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trlProps/ctrlProp18.xml" ContentType="application/vnd.ms-excel.controlproperties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ctrlProps/ctrlProp19.xml" ContentType="application/vnd.ms-excel.controlproperties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ctrlProps/ctrlProp21.xml" ContentType="application/vnd.ms-excel.controlproperties+xml"/>
  <Override PartName="/xl/tables/table5.xml" ContentType="application/vnd.openxmlformats-officedocument.spreadsheetml.table+xml"/>
  <Override PartName="/xl/drawings/drawing10.xml" ContentType="application/vnd.openxmlformats-officedocument.drawing+xml"/>
  <Override PartName="/xl/ctrlProps/ctrlProp22.xml" ContentType="application/vnd.ms-excel.controlproperties+xml"/>
  <Override PartName="/xl/tables/table6.xml" ContentType="application/vnd.openxmlformats-officedocument.spreadsheetml.table+xml"/>
  <Override PartName="/xl/drawings/drawing11.xml" ContentType="application/vnd.openxmlformats-officedocument.drawing+xml"/>
  <Override PartName="/xl/ctrlProps/ctrlProp23.xml" ContentType="application/vnd.ms-excel.controlproperties+xml"/>
  <Override PartName="/xl/tables/table7.xml" ContentType="application/vnd.openxmlformats-officedocument.spreadsheetml.table+xml"/>
  <Override PartName="/xl/drawings/drawing12.xml" ContentType="application/vnd.openxmlformats-officedocument.drawing+xml"/>
  <Override PartName="/xl/ctrlProps/ctrlProp24.xml" ContentType="application/vnd.ms-excel.controlproperties+xml"/>
  <Override PartName="/xl/tables/table8.xml" ContentType="application/vnd.openxmlformats-officedocument.spreadsheetml.table+xml"/>
  <Override PartName="/xl/drawings/drawing13.xml" ContentType="application/vnd.openxmlformats-officedocument.drawing+xml"/>
  <Override PartName="/xl/ctrlProps/ctrlProp25.xml" ContentType="application/vnd.ms-excel.controlproperties+xml"/>
  <Override PartName="/xl/tables/table9.xml" ContentType="application/vnd.openxmlformats-officedocument.spreadsheetml.table+xml"/>
  <Override PartName="/xl/drawings/drawing14.xml" ContentType="application/vnd.openxmlformats-officedocument.drawing+xml"/>
  <Override PartName="/xl/ctrlProps/ctrlProp26.xml" ContentType="application/vnd.ms-excel.controlproperties+xml"/>
  <Override PartName="/xl/tables/table10.xml" ContentType="application/vnd.openxmlformats-officedocument.spreadsheetml.table+xml"/>
  <Override PartName="/xl/drawings/drawing15.xml" ContentType="application/vnd.openxmlformats-officedocument.drawing+xml"/>
  <Override PartName="/xl/ctrlProps/ctrlProp27.xml" ContentType="application/vnd.ms-excel.controlproperties+xml"/>
  <Override PartName="/xl/tables/table11.xml" ContentType="application/vnd.openxmlformats-officedocument.spreadsheetml.table+xml"/>
  <Override PartName="/xl/drawings/drawing1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17.xml" ContentType="application/vnd.openxmlformats-officedocument.drawing+xml"/>
  <Override PartName="/xl/ctrlProps/ctrlProp28.xml" ContentType="application/vnd.ms-excel.controlproperties+xml"/>
  <Override PartName="/xl/pivotTables/pivotTable2.xml" ContentType="application/vnd.openxmlformats-officedocument.spreadsheetml.pivotTable+xml"/>
  <Override PartName="/xl/drawings/drawing18.xml" ContentType="application/vnd.openxmlformats-officedocument.drawing+xml"/>
  <Override PartName="/xl/slicers/slicer1.xml" ContentType="application/vnd.ms-excel.slicer+xml"/>
  <Override PartName="/xl/drawings/drawing19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12.xml" ContentType="application/vnd.openxmlformats-officedocument.spreadsheetml.table+xml"/>
  <Override PartName="/xl/comments1.xml" ContentType="application/vnd.openxmlformats-officedocument.spreadsheetml.comments+xml"/>
  <Override PartName="/xl/drawings/drawing20.xml" ContentType="application/vnd.openxmlformats-officedocument.drawing+xml"/>
  <Override PartName="/xl/ctrlProps/ctrlProp32.xml" ContentType="application/vnd.ms-excel.controlproperties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drawings/drawing21.xml" ContentType="application/vnd.openxmlformats-officedocument.drawing+xml"/>
  <Override PartName="/xl/ctrlProps/ctrlProp33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2.xml" ContentType="application/vnd.openxmlformats-officedocument.drawing+xml"/>
  <Override PartName="/xl/ctrlProps/ctrlProp34.xml" ContentType="application/vnd.ms-excel.controlproperties+xml"/>
  <Override PartName="/xl/charts/chart3.xml" ContentType="application/vnd.openxmlformats-officedocument.drawingml.chart+xml"/>
  <Override PartName="/xl/drawings/drawing23.xml" ContentType="application/vnd.openxmlformats-officedocument.drawing+xml"/>
  <Override PartName="/xl/ctrlProps/ctrlProp35.xml" ContentType="application/vnd.ms-excel.controlproperties+xml"/>
  <Override PartName="/xl/charts/chart4.xml" ContentType="application/vnd.openxmlformats-officedocument.drawingml.chart+xml"/>
  <Override PartName="/xl/drawings/drawing24.xml" ContentType="application/vnd.openxmlformats-officedocument.drawing+xml"/>
  <Override PartName="/xl/ctrlProps/ctrlProp36.xml" ContentType="application/vnd.ms-excel.controlproperties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drawings/drawing25.xml" ContentType="application/vnd.openxmlformats-officedocument.drawing+xml"/>
  <Override PartName="/xl/ctrlProps/ctrlProp37.xml" ContentType="application/vnd.ms-excel.controlpropertie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26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pivotTables/pivotTable3.xml" ContentType="application/vnd.openxmlformats-officedocument.spreadsheetml.pivotTable+xml"/>
  <Override PartName="/xl/drawings/drawing27.xml" ContentType="application/vnd.openxmlformats-officedocument.drawing+xml"/>
  <Override PartName="/xl/ctrlProps/ctrlProp43.xml" ContentType="application/vnd.ms-excel.controlproperties+xml"/>
  <Override PartName="/xl/drawings/drawing28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tables/table19.xml" ContentType="application/vnd.openxmlformats-officedocument.spreadsheetml.table+xml"/>
  <Override PartName="/xl/drawings/drawing29.xml" ContentType="application/vnd.openxmlformats-officedocument.drawing+xml"/>
  <Override PartName="/xl/ctrlProps/ctrlProp46.xml" ContentType="application/vnd.ms-excel.controlproperties+xml"/>
  <Override PartName="/xl/tables/table20.xml" ContentType="application/vnd.openxmlformats-officedocument.spreadsheetml.table+xml"/>
  <Override PartName="/xl/charts/chart7.xml" ContentType="application/vnd.openxmlformats-officedocument.drawingml.chart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30.xml" ContentType="application/vnd.openxmlformats-officedocument.drawing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never" codeName="ThisWorkbook" hidePivotFieldList="1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karin\Downloads\"/>
    </mc:Choice>
  </mc:AlternateContent>
  <xr:revisionPtr revIDLastSave="0" documentId="13_ncr:1_{FBD63645-4257-418A-9B87-52E1266E29A6}" xr6:coauthVersionLast="47" xr6:coauthVersionMax="47" xr10:uidLastSave="{00000000-0000-0000-0000-000000000000}"/>
  <bookViews>
    <workbookView xWindow="-108" yWindow="-108" windowWidth="23256" windowHeight="13896" tabRatio="855" firstSheet="16" activeTab="31" xr2:uid="{C93E2B0B-A6A3-4C5F-AACB-3593565515F3}"/>
  </bookViews>
  <sheets>
    <sheet name="Menú" sheetId="55" state="hidden" r:id="rId1"/>
    <sheet name="Glosario de Términos" sheetId="56" state="hidden" r:id="rId2"/>
    <sheet name="Conocimiento" sheetId="58" state="hidden" r:id="rId3"/>
    <sheet name="Experiencia" sheetId="59" state="hidden" r:id="rId4"/>
    <sheet name="Habilidad Gerencia" sheetId="60" state="hidden" r:id="rId5"/>
    <sheet name="Rol del Cargo" sheetId="61" state="hidden" r:id="rId6"/>
    <sheet name="Contacto" sheetId="62" state="hidden" r:id="rId7"/>
    <sheet name="Frecuencia del Contacto" sheetId="63" state="hidden" r:id="rId8"/>
    <sheet name="Contenido Relaciones" sheetId="64" state="hidden" r:id="rId9"/>
    <sheet name="Complejidad Conceptual" sheetId="65" state="hidden" r:id="rId10"/>
    <sheet name="Guías de Apoyo" sheetId="66" state="hidden" r:id="rId11"/>
    <sheet name="Impacto" sheetId="67" state="hidden" r:id="rId12"/>
    <sheet name="Autonomía" sheetId="68" state="hidden" r:id="rId13"/>
    <sheet name="Magnitudes" sheetId="73" state="hidden" r:id="rId14"/>
    <sheet name="Criticidad" sheetId="69" state="hidden" r:id="rId15"/>
    <sheet name="Posicionamiento por área" sheetId="101" state="hidden" r:id="rId16"/>
    <sheet name="Estructura Vs Mediana" sheetId="51" r:id="rId17"/>
    <sheet name="Comparativos curvas" sheetId="113" state="hidden" r:id="rId18"/>
    <sheet name="Nomenclatura de Cargos" sheetId="112" state="hidden" r:id="rId19"/>
    <sheet name="Tabla Dinámica" sheetId="102" state="hidden" r:id="rId20"/>
    <sheet name="Base de Datos" sheetId="1" r:id="rId21"/>
    <sheet name="Plantilla de Valoración" sheetId="2" state="hidden" r:id="rId22"/>
    <sheet name="Gerencia General" sheetId="104" state="hidden" r:id="rId23"/>
    <sheet name="Actualización Curva - Costo Lab" sheetId="57" state="hidden" r:id="rId24"/>
    <sheet name="Gráfico de Dispersión Equidad" sheetId="78" state="hidden" r:id="rId25"/>
    <sheet name="Gráfico de Dispersión Competiti" sheetId="79" state="hidden" r:id="rId26"/>
    <sheet name="Nivel de Equidad" sheetId="47" state="hidden" r:id="rId27"/>
    <sheet name="Política de Administración" sheetId="49" state="hidden" r:id="rId28"/>
    <sheet name="Nivel de Competitividad" sheetId="50" state="hidden" r:id="rId29"/>
    <sheet name="Estructura Vs Política" sheetId="75" state="hidden" r:id="rId30"/>
    <sheet name="Costos de Nivelación" sheetId="80" state="hidden" r:id="rId31"/>
    <sheet name="Curva Equidad y Competitividad" sheetId="43" r:id="rId32"/>
    <sheet name="Comercial y Mercadeo" sheetId="106" state="hidden" r:id="rId33"/>
    <sheet name="Admon y Financiera" sheetId="107" state="hidden" r:id="rId34"/>
    <sheet name="GH" sheetId="108" state="hidden" r:id="rId35"/>
    <sheet name="Operaciones" sheetId="109" state="hidden" r:id="rId36"/>
    <sheet name="Metodologia Nomenclatura" sheetId="105" state="hidden" r:id="rId37"/>
    <sheet name="E&amp;E X CAT" sheetId="110" state="hidden" r:id="rId38"/>
    <sheet name="E&amp;E X AREA" sheetId="111" state="hidden" r:id="rId39"/>
    <sheet name="Criticidades" sheetId="9" state="hidden" r:id="rId40"/>
    <sheet name="Niveles" sheetId="8" state="hidden" r:id="rId41"/>
    <sheet name="NivelSHR" sheetId="22" state="hidden" r:id="rId42"/>
    <sheet name="Factor 1" sheetId="10" state="hidden" r:id="rId43"/>
    <sheet name="Factor 2" sheetId="11" state="hidden" r:id="rId44"/>
    <sheet name="Factor 3" sheetId="12" state="hidden" r:id="rId45"/>
    <sheet name="Factor 4" sheetId="13" state="hidden" r:id="rId46"/>
    <sheet name="Variables" sheetId="15" r:id="rId47"/>
    <sheet name="Categorias Configuración" sheetId="7" r:id="rId48"/>
    <sheet name="Categorias" sheetId="3" r:id="rId49"/>
    <sheet name="Valoración Tablas" sheetId="14" r:id="rId50"/>
  </sheets>
  <externalReferences>
    <externalReference r:id="rId51"/>
    <externalReference r:id="rId52"/>
  </externalReferences>
  <definedNames>
    <definedName name="_xlnm._FilterDatabase" localSheetId="17" hidden="1">'Comparativos curvas'!$N$3:$P$84</definedName>
    <definedName name="_xlnm._FilterDatabase" localSheetId="38" hidden="1">'E&amp;E X AREA'!$A$1:$I$41</definedName>
    <definedName name="_xlnm._FilterDatabase" localSheetId="11" hidden="1">Impacto!$B$2:$D$3</definedName>
    <definedName name="_xlnm._FilterDatabase" localSheetId="18" hidden="1">'Nomenclatura de Cargos'!#REF!</definedName>
    <definedName name="_xleta.LOOKUP" hidden="1" xlm="1">#NAME?</definedName>
    <definedName name="Ajuste_Curv" localSheetId="33">#REF!</definedName>
    <definedName name="Ajuste_Curv" localSheetId="32">#REF!</definedName>
    <definedName name="Ajuste_Curv" localSheetId="22">#REF!</definedName>
    <definedName name="Ajuste_Curv" localSheetId="34">#REF!</definedName>
    <definedName name="Ajuste_Curv" localSheetId="36">#REF!</definedName>
    <definedName name="Ajuste_Curv" localSheetId="35">#REF!</definedName>
    <definedName name="Ajuste_Curv">'Costos de Nivelación'!$O$6</definedName>
    <definedName name="Ajuste_de_Curva_Anual">'Actualización Curva - Costo Lab'!$C$6:$D$6</definedName>
    <definedName name="Año_análisis" localSheetId="23">'Actualización Curva - Costo Lab'!$C$8</definedName>
    <definedName name="Año_análisis">'Actualización Curva - Costo Lab'!$G$8</definedName>
    <definedName name="Año_original_informe" localSheetId="23">'Actualización Curva - Costo Lab'!$C$9</definedName>
    <definedName name="Año_original_informe">'Actualización Curva - Costo Lab'!$G$9</definedName>
    <definedName name="Autonomia_Lista" localSheetId="23">Autonomia[Autonomia]</definedName>
    <definedName name="Autonomia_Lista" localSheetId="33">[1]!Autonomia[Autonomia]</definedName>
    <definedName name="Autonomia_Lista" localSheetId="32">[1]!Autonomia[Autonomia]</definedName>
    <definedName name="Autonomia_Lista" localSheetId="38">Autonomia[Autonomia]</definedName>
    <definedName name="Autonomia_Lista" localSheetId="29">Autonomia[Autonomia]</definedName>
    <definedName name="Autonomia_Lista" localSheetId="22">[1]!Autonomia[Autonomia]</definedName>
    <definedName name="Autonomia_Lista" localSheetId="34">[1]!Autonomia[Autonomia]</definedName>
    <definedName name="Autonomia_Lista" localSheetId="25">Autonomia[Autonomia]</definedName>
    <definedName name="Autonomia_Lista" localSheetId="36">[1]!Autonomia[Autonomia]</definedName>
    <definedName name="Autonomia_Lista" localSheetId="35">[1]!Autonomia[Autonomia]</definedName>
    <definedName name="Autonomia_Lista" localSheetId="27">Autonomia[Autonomia]</definedName>
    <definedName name="Autonomia_Lista">Autonomia[Autonomia]</definedName>
    <definedName name="Beneficios_Salarios_Ordinarios">'Actualización Curva - Costo Lab'!$L$28</definedName>
    <definedName name="Cargos" localSheetId="23">Cargos_Catalogo[Cargo]</definedName>
    <definedName name="Cargos" localSheetId="33">[1]!Cargos_Catalogo[Cargo Tipo Valorado]</definedName>
    <definedName name="Cargos" localSheetId="32">[1]!Cargos_Catalogo[Cargo Tipo Valorado]</definedName>
    <definedName name="Cargos" localSheetId="38">Cargos_Catalogo[Cargo]</definedName>
    <definedName name="Cargos" localSheetId="29">Cargos_Catalogo[Cargo]</definedName>
    <definedName name="Cargos" localSheetId="22">[1]!Cargos_Catalogo[Cargo Tipo Valorado]</definedName>
    <definedName name="Cargos" localSheetId="34">[1]!Cargos_Catalogo[Cargo Tipo Valorado]</definedName>
    <definedName name="Cargos" localSheetId="25">Cargos_Catalogo[Cargo]</definedName>
    <definedName name="Cargos" localSheetId="36">[1]!Cargos_Catalogo[Cargo Tipo Valorado]</definedName>
    <definedName name="Cargos" localSheetId="35">[1]!Cargos_Catalogo[Cargo Tipo Valorado]</definedName>
    <definedName name="Cargos" localSheetId="27">Cargos_Catalogo[Cargo]</definedName>
    <definedName name="Cargos">Cargos_Catalogo[Cargo]</definedName>
    <definedName name="Cargos_Iniciales">'Plantilla de Valoración'!$B$5:$AQ$86</definedName>
    <definedName name="Cargos_Valorados" localSheetId="33">[1]!Cargos_Catalogo[Cargo Tipo Valorado]</definedName>
    <definedName name="Cargos_Valorados" localSheetId="32">[1]!Cargos_Catalogo[Cargo Tipo Valorado]</definedName>
    <definedName name="Cargos_Valorados" localSheetId="38">Cargos_Catalogo[Cargo]</definedName>
    <definedName name="Cargos_Valorados" localSheetId="22">[1]!Cargos_Catalogo[Cargo Tipo Valorado]</definedName>
    <definedName name="Cargos_Valorados" localSheetId="34">[1]!Cargos_Catalogo[Cargo Tipo Valorado]</definedName>
    <definedName name="Cargos_Valorados" localSheetId="36">[1]!Cargos_Catalogo[Cargo Tipo Valorado]</definedName>
    <definedName name="Cargos_Valorados" localSheetId="35">[1]!Cargos_Catalogo[Cargo Tipo Valorado]</definedName>
    <definedName name="Cargos_Valorados">Cargos_Catalogo[Cargo]</definedName>
    <definedName name="CargosValorados" localSheetId="23">Cargos_Catalogo[Cargo]</definedName>
    <definedName name="CargosValorados" localSheetId="33">[1]!Cargos_Catalogo[Cargo Tipo Valorado]</definedName>
    <definedName name="CargosValorados" localSheetId="32">[1]!Cargos_Catalogo[Cargo Tipo Valorado]</definedName>
    <definedName name="CargosValorados" localSheetId="38">Cargos_Catalogo[Cargo]</definedName>
    <definedName name="CargosValorados" localSheetId="29">Cargos_Catalogo[Cargo]</definedName>
    <definedName name="CargosValorados" localSheetId="22">[1]!Cargos_Catalogo[Cargo Tipo Valorado]</definedName>
    <definedName name="CargosValorados" localSheetId="34">[1]!Cargos_Catalogo[Cargo Tipo Valorado]</definedName>
    <definedName name="CargosValorados" localSheetId="25">Cargos_Catalogo[Cargo]</definedName>
    <definedName name="CargosValorados" localSheetId="36">[1]!Cargos_Catalogo[Cargo Tipo Valorado]</definedName>
    <definedName name="CargosValorados" localSheetId="35">[1]!Cargos_Catalogo[Cargo Tipo Valorado]</definedName>
    <definedName name="CargosValorados" localSheetId="27">Cargos_Catalogo[Cargo]</definedName>
    <definedName name="CargosValorados">Cargos_Catalogo[Cargo]</definedName>
    <definedName name="CargoValorado" localSheetId="33">[1]!Cargos_Catalogo[Cargo Tipo Valorado]</definedName>
    <definedName name="CargoValorado" localSheetId="32">[1]!Cargos_Catalogo[Cargo Tipo Valorado]</definedName>
    <definedName name="CargoValorado" localSheetId="38">Cargos_Catalogo[Cargo]</definedName>
    <definedName name="CargoValorado" localSheetId="22">[1]!Cargos_Catalogo[Cargo Tipo Valorado]</definedName>
    <definedName name="CargoValorado" localSheetId="34">[1]!Cargos_Catalogo[Cargo Tipo Valorado]</definedName>
    <definedName name="CargoValorado" localSheetId="36">[1]!Cargos_Catalogo[Cargo Tipo Valorado]</definedName>
    <definedName name="CargoValorado" localSheetId="35">[1]!Cargos_Catalogo[Cargo Tipo Valorado]</definedName>
    <definedName name="CargoValorado">Cargos_Catalogo[Cargo]</definedName>
    <definedName name="Categoria">Categorias!$B$5:$H$2542</definedName>
    <definedName name="Categorias_Maximo">'Categorias Configuración'!$C$6</definedName>
    <definedName name="Complejidad_Conceptual_Lista" localSheetId="23">Complejidad_Conceptual[Complejidad Conceptual]</definedName>
    <definedName name="Complejidad_Conceptual_Lista" localSheetId="33">[1]!Complejidad_Conceptual[Complejidad Conceptual]</definedName>
    <definedName name="Complejidad_Conceptual_Lista" localSheetId="32">[1]!Complejidad_Conceptual[Complejidad Conceptual]</definedName>
    <definedName name="Complejidad_Conceptual_Lista" localSheetId="38">Complejidad_Conceptual[Complejidad Conceptual]</definedName>
    <definedName name="Complejidad_Conceptual_Lista" localSheetId="29">Complejidad_Conceptual[Complejidad Conceptual]</definedName>
    <definedName name="Complejidad_Conceptual_Lista" localSheetId="22">[1]!Complejidad_Conceptual[Complejidad Conceptual]</definedName>
    <definedName name="Complejidad_Conceptual_Lista" localSheetId="34">[1]!Complejidad_Conceptual[Complejidad Conceptual]</definedName>
    <definedName name="Complejidad_Conceptual_Lista" localSheetId="25">Complejidad_Conceptual[Complejidad Conceptual]</definedName>
    <definedName name="Complejidad_Conceptual_Lista" localSheetId="36">[1]!Complejidad_Conceptual[Complejidad Conceptual]</definedName>
    <definedName name="Complejidad_Conceptual_Lista" localSheetId="35">[1]!Complejidad_Conceptual[Complejidad Conceptual]</definedName>
    <definedName name="Complejidad_Conceptual_Lista" localSheetId="27">Complejidad_Conceptual[Complejidad Conceptual]</definedName>
    <definedName name="Complejidad_Conceptual_Lista">Complejidad_Conceptual[Complejidad Conceptual]</definedName>
    <definedName name="Conocimientos_Lista" localSheetId="23">Conocimientos[Conocimientos]</definedName>
    <definedName name="Conocimientos_Lista" localSheetId="33">[1]!Conocimientos[Conocimientos]</definedName>
    <definedName name="Conocimientos_Lista" localSheetId="32">[1]!Conocimientos[Conocimientos]</definedName>
    <definedName name="Conocimientos_Lista" localSheetId="38">Conocimientos[Conocimientos]</definedName>
    <definedName name="Conocimientos_Lista" localSheetId="29">Conocimientos[Conocimientos]</definedName>
    <definedName name="Conocimientos_Lista" localSheetId="22">[1]!Conocimientos[Conocimientos]</definedName>
    <definedName name="Conocimientos_Lista" localSheetId="34">[1]!Conocimientos[Conocimientos]</definedName>
    <definedName name="Conocimientos_Lista" localSheetId="25">Conocimientos[Conocimientos]</definedName>
    <definedName name="Conocimientos_Lista" localSheetId="36">[1]!Conocimientos[Conocimientos]</definedName>
    <definedName name="Conocimientos_Lista" localSheetId="35">[1]!Conocimientos[Conocimientos]</definedName>
    <definedName name="Conocimientos_Lista" localSheetId="27">Conocimientos[Conocimientos]</definedName>
    <definedName name="Conocimientos_Lista">Conocimientos[Conocimientos]</definedName>
    <definedName name="Contacto_Lista" localSheetId="23">Contacto[Contacto]</definedName>
    <definedName name="Contacto_Lista" localSheetId="33">[1]!Contacto[Contacto]</definedName>
    <definedName name="Contacto_Lista" localSheetId="32">[1]!Contacto[Contacto]</definedName>
    <definedName name="Contacto_Lista" localSheetId="38">Contacto[Contacto]</definedName>
    <definedName name="Contacto_Lista" localSheetId="29">Contacto[Contacto]</definedName>
    <definedName name="Contacto_Lista" localSheetId="22">[1]!Contacto[Contacto]</definedName>
    <definedName name="Contacto_Lista" localSheetId="34">[1]!Contacto[Contacto]</definedName>
    <definedName name="Contacto_Lista" localSheetId="25">Contacto[Contacto]</definedName>
    <definedName name="Contacto_Lista" localSheetId="36">[1]!Contacto[Contacto]</definedName>
    <definedName name="Contacto_Lista" localSheetId="35">[1]!Contacto[Contacto]</definedName>
    <definedName name="Contacto_Lista" localSheetId="27">Contacto[Contacto]</definedName>
    <definedName name="Contacto_Lista">Contacto[Contacto]</definedName>
    <definedName name="Contenido_de_las_Relaciones_Lista" localSheetId="23">Contenido_de_las_Relaciones[Contenido de las Relaciones]</definedName>
    <definedName name="Contenido_de_las_Relaciones_Lista" localSheetId="33">[1]!Contenido_de_las_Relaciones[Contenido de las Relaciones]</definedName>
    <definedName name="Contenido_de_las_Relaciones_Lista" localSheetId="32">[1]!Contenido_de_las_Relaciones[Contenido de las Relaciones]</definedName>
    <definedName name="Contenido_de_las_Relaciones_Lista" localSheetId="38">Contenido_de_las_Relaciones[Contenido de las Relaciones]</definedName>
    <definedName name="Contenido_de_las_Relaciones_Lista" localSheetId="29">Contenido_de_las_Relaciones[Contenido de las Relaciones]</definedName>
    <definedName name="Contenido_de_las_Relaciones_Lista" localSheetId="22">[1]!Contenido_de_las_Relaciones[Contenido de las Relaciones]</definedName>
    <definedName name="Contenido_de_las_Relaciones_Lista" localSheetId="34">[1]!Contenido_de_las_Relaciones[Contenido de las Relaciones]</definedName>
    <definedName name="Contenido_de_las_Relaciones_Lista" localSheetId="25">Contenido_de_las_Relaciones[Contenido de las Relaciones]</definedName>
    <definedName name="Contenido_de_las_Relaciones_Lista" localSheetId="36">[1]!Contenido_de_las_Relaciones[Contenido de las Relaciones]</definedName>
    <definedName name="Contenido_de_las_Relaciones_Lista" localSheetId="35">[1]!Contenido_de_las_Relaciones[Contenido de las Relaciones]</definedName>
    <definedName name="Contenido_de_las_Relaciones_Lista" localSheetId="27">Contenido_de_las_Relaciones[Contenido de las Relaciones]</definedName>
    <definedName name="Contenido_de_las_Relaciones_Lista">Contenido_de_las_Relaciones[Contenido de las Relaciones]</definedName>
    <definedName name="Criticidad_Lista" localSheetId="23">Criticidad_Registro[Criticidad]</definedName>
    <definedName name="Criticidad_Lista" localSheetId="33">[1]!Criticidad_Registro[Criticidad]</definedName>
    <definedName name="Criticidad_Lista" localSheetId="32">[1]!Criticidad_Registro[Criticidad]</definedName>
    <definedName name="Criticidad_Lista" localSheetId="38">Criticidad_Registro[Criticidad]</definedName>
    <definedName name="Criticidad_Lista" localSheetId="29">Criticidad_Registro[Criticidad]</definedName>
    <definedName name="Criticidad_Lista" localSheetId="22">[1]!Criticidad_Registro[Criticidad]</definedName>
    <definedName name="Criticidad_Lista" localSheetId="34">[1]!Criticidad_Registro[Criticidad]</definedName>
    <definedName name="Criticidad_Lista" localSheetId="25">Criticidad_Registro[Criticidad]</definedName>
    <definedName name="Criticidad_Lista" localSheetId="36">[1]!Criticidad_Registro[Criticidad]</definedName>
    <definedName name="Criticidad_Lista" localSheetId="35">[1]!Criticidad_Registro[Criticidad]</definedName>
    <definedName name="Criticidad_Lista" localSheetId="27">Criticidad_Registro[Criticidad]</definedName>
    <definedName name="Criticidad_Lista">Criticidad_Registro[Criticidad]</definedName>
    <definedName name="Cuartil3" localSheetId="33">'[1]Curva Equidad y Competitividad'!#REF!</definedName>
    <definedName name="Cuartil3" localSheetId="32">'[1]Curva Equidad y Competitividad'!#REF!</definedName>
    <definedName name="Cuartil3" localSheetId="22">'[1]Curva Equidad y Competitividad'!#REF!</definedName>
    <definedName name="Cuartil3" localSheetId="34">'[1]Curva Equidad y Competitividad'!#REF!</definedName>
    <definedName name="Cuartil3" localSheetId="36">'[1]Curva Equidad y Competitividad'!#REF!</definedName>
    <definedName name="Cuartil3" localSheetId="35">'[1]Curva Equidad y Competitividad'!#REF!</definedName>
    <definedName name="Cuartil3">'Curva Equidad y Competitividad'!#REF!</definedName>
    <definedName name="Datos_Iniciales">'Base de Datos'!$B$7:$BJ$157</definedName>
    <definedName name="Destino" localSheetId="33">INDIRECT('[1]Categorias Configuración'!$F$5)</definedName>
    <definedName name="Destino" localSheetId="32">INDIRECT('[1]Categorias Configuración'!$F$5)</definedName>
    <definedName name="Destino" localSheetId="22">INDIRECT('[1]Categorias Configuración'!$F$5)</definedName>
    <definedName name="Destino" localSheetId="34">INDIRECT('[1]Categorias Configuración'!$F$5)</definedName>
    <definedName name="Destino" localSheetId="36">INDIRECT('[1]Categorias Configuración'!$F$5)</definedName>
    <definedName name="Destino" localSheetId="35">INDIRECT('[1]Categorias Configuración'!$F$5)</definedName>
    <definedName name="Destino">INDIRECT('Categorias Configuración'!$F$5)</definedName>
    <definedName name="Equidad_Resumen_Semilla">INDIRECT("'Equidad Resumen'!B9:O9")</definedName>
    <definedName name="FactorPrestacionalIntegral" localSheetId="33">'[1]Actualización Curva - Costo Lab'!$L$19</definedName>
    <definedName name="FactorPrestacionalIntegral" localSheetId="32">'[1]Actualización Curva - Costo Lab'!$L$19</definedName>
    <definedName name="FactorPrestacionalIntegral" localSheetId="22">'[1]Actualización Curva - Costo Lab'!$L$19</definedName>
    <definedName name="FactorPrestacionalIntegral" localSheetId="34">'[1]Actualización Curva - Costo Lab'!$L$19</definedName>
    <definedName name="FactorPrestacionalIntegral" localSheetId="36">'[1]Actualización Curva - Costo Lab'!$L$19</definedName>
    <definedName name="FactorPrestacionalIntegral" localSheetId="35">'[1]Actualización Curva - Costo Lab'!$L$19</definedName>
    <definedName name="FactorPrestacionalIntegral">'Actualización Curva - Costo Lab'!$L$19</definedName>
    <definedName name="FactorPrestacionalOrdinario" localSheetId="33">'[1]Actualización Curva - Costo Lab'!$L$10</definedName>
    <definedName name="FactorPrestacionalOrdinario" localSheetId="32">'[1]Actualización Curva - Costo Lab'!$L$10</definedName>
    <definedName name="FactorPrestacionalOrdinario" localSheetId="22">'[1]Actualización Curva - Costo Lab'!$L$10</definedName>
    <definedName name="FactorPrestacionalOrdinario" localSheetId="34">'[1]Actualización Curva - Costo Lab'!$L$10</definedName>
    <definedName name="FactorPrestacionalOrdinario" localSheetId="36">'[1]Actualización Curva - Costo Lab'!$L$10</definedName>
    <definedName name="FactorPrestacionalOrdinario" localSheetId="35">'[1]Actualización Curva - Costo Lab'!$L$10</definedName>
    <definedName name="FactorPrestacionalOrdinario">'Actualización Curva - Costo Lab'!$L$10</definedName>
    <definedName name="Formato_Rango_Categorias" localSheetId="33">[1]Variables!$C$4</definedName>
    <definedName name="Formato_Rango_Categorias" localSheetId="32">[1]Variables!$C$4</definedName>
    <definedName name="Formato_Rango_Categorias" localSheetId="22">[1]Variables!$C$4</definedName>
    <definedName name="Formato_Rango_Categorias" localSheetId="34">[1]Variables!$C$4</definedName>
    <definedName name="Formato_Rango_Categorias" localSheetId="36">[1]Variables!$C$4</definedName>
    <definedName name="Formato_Rango_Categorias" localSheetId="35">[1]Variables!$C$4</definedName>
    <definedName name="Formato_Rango_Categorias">Variables!$C$4</definedName>
    <definedName name="FPVIntegral">'Actualización Curva - Costo Lab'!$N$20</definedName>
    <definedName name="FPVOrdinario">'Actualización Curva - Costo Lab'!$N$11</definedName>
    <definedName name="Frecuencia_del_Contacto_Lista" localSheetId="23">Frecuencia_del_Contacto[Frecuencia del Contacto]</definedName>
    <definedName name="Frecuencia_del_Contacto_Lista" localSheetId="33">[1]!Frecuencia_del_Contacto[Frecuencia del Contacto]</definedName>
    <definedName name="Frecuencia_del_Contacto_Lista" localSheetId="32">[1]!Frecuencia_del_Contacto[Frecuencia del Contacto]</definedName>
    <definedName name="Frecuencia_del_Contacto_Lista" localSheetId="38">Frecuencia_del_Contacto[Frecuencia del Contacto]</definedName>
    <definedName name="Frecuencia_del_Contacto_Lista" localSheetId="29">Frecuencia_del_Contacto[Frecuencia del Contacto]</definedName>
    <definedName name="Frecuencia_del_Contacto_Lista" localSheetId="22">[1]!Frecuencia_del_Contacto[Frecuencia del Contacto]</definedName>
    <definedName name="Frecuencia_del_Contacto_Lista" localSheetId="34">[1]!Frecuencia_del_Contacto[Frecuencia del Contacto]</definedName>
    <definedName name="Frecuencia_del_Contacto_Lista" localSheetId="25">Frecuencia_del_Contacto[Frecuencia del Contacto]</definedName>
    <definedName name="Frecuencia_del_Contacto_Lista" localSheetId="36">[1]!Frecuencia_del_Contacto[Frecuencia del Contacto]</definedName>
    <definedName name="Frecuencia_del_Contacto_Lista" localSheetId="35">[1]!Frecuencia_del_Contacto[Frecuencia del Contacto]</definedName>
    <definedName name="Frecuencia_del_Contacto_Lista" localSheetId="27">Frecuencia_del_Contacto[Frecuencia del Contacto]</definedName>
    <definedName name="Frecuencia_del_Contacto_Lista">Frecuencia_del_Contacto[Frecuencia del Contacto]</definedName>
    <definedName name="Guias_de_Apoyo_Lista" localSheetId="23">Guias_de_Apoyo[Guias de Apoyo]</definedName>
    <definedName name="Guias_de_Apoyo_Lista" localSheetId="33">[1]!Guias_de_Apoyo[Guias de Apoyo]</definedName>
    <definedName name="Guias_de_Apoyo_Lista" localSheetId="32">[1]!Guias_de_Apoyo[Guias de Apoyo]</definedName>
    <definedName name="Guias_de_Apoyo_Lista" localSheetId="38">Guias_de_Apoyo[Guias de Apoyo]</definedName>
    <definedName name="Guias_de_Apoyo_Lista" localSheetId="29">Guias_de_Apoyo[Guias de Apoyo]</definedName>
    <definedName name="Guias_de_Apoyo_Lista" localSheetId="22">[1]!Guias_de_Apoyo[Guias de Apoyo]</definedName>
    <definedName name="Guias_de_Apoyo_Lista" localSheetId="34">[1]!Guias_de_Apoyo[Guias de Apoyo]</definedName>
    <definedName name="Guias_de_Apoyo_Lista" localSheetId="25">Guias_de_Apoyo[Guias de Apoyo]</definedName>
    <definedName name="Guias_de_Apoyo_Lista" localSheetId="36">[1]!Guias_de_Apoyo[Guias de Apoyo]</definedName>
    <definedName name="Guias_de_Apoyo_Lista" localSheetId="35">[1]!Guias_de_Apoyo[Guias de Apoyo]</definedName>
    <definedName name="Guias_de_Apoyo_Lista" localSheetId="27">Guias_de_Apoyo[Guias de Apoyo]</definedName>
    <definedName name="Guias_de_Apoyo_Lista">Guias_de_Apoyo[Guias de Apoyo]</definedName>
    <definedName name="Habilidad_Gerencial_Lista" localSheetId="23">Habilidad_Gerencial[Habilidad Gerencial]</definedName>
    <definedName name="Habilidad_Gerencial_Lista" localSheetId="33">[1]!Habilidad_Gerencial[Habilidad Gerencial]</definedName>
    <definedName name="Habilidad_Gerencial_Lista" localSheetId="32">[1]!Habilidad_Gerencial[Habilidad Gerencial]</definedName>
    <definedName name="Habilidad_Gerencial_Lista" localSheetId="38">Habilidad_Gerencial[Habilidad Gerencial]</definedName>
    <definedName name="Habilidad_Gerencial_Lista" localSheetId="29">Habilidad_Gerencial[Habilidad Gerencial]</definedName>
    <definedName name="Habilidad_Gerencial_Lista" localSheetId="22">[1]!Habilidad_Gerencial[Habilidad Gerencial]</definedName>
    <definedName name="Habilidad_Gerencial_Lista" localSheetId="34">[1]!Habilidad_Gerencial[Habilidad Gerencial]</definedName>
    <definedName name="Habilidad_Gerencial_Lista" localSheetId="25">Habilidad_Gerencial[Habilidad Gerencial]</definedName>
    <definedName name="Habilidad_Gerencial_Lista" localSheetId="36">[1]!Habilidad_Gerencial[Habilidad Gerencial]</definedName>
    <definedName name="Habilidad_Gerencial_Lista" localSheetId="35">[1]!Habilidad_Gerencial[Habilidad Gerencial]</definedName>
    <definedName name="Habilidad_Gerencial_Lista" localSheetId="27">Habilidad_Gerencial[Habilidad Gerencial]</definedName>
    <definedName name="Habilidad_Gerencial_Lista">Habilidad_Gerencial[Habilidad Gerencial]</definedName>
    <definedName name="Idioma">Variables!$C$3</definedName>
    <definedName name="Impacto_del_Cargo_Lista" localSheetId="23">Impacto_del_Cargo[Impacto del cargo]</definedName>
    <definedName name="Impacto_del_Cargo_Lista" localSheetId="33">[1]!Impacto_del_Cargo[Impacto del cargo]</definedName>
    <definedName name="Impacto_del_Cargo_Lista" localSheetId="32">[1]!Impacto_del_Cargo[Impacto del cargo]</definedName>
    <definedName name="Impacto_del_Cargo_Lista" localSheetId="38">Impacto_del_Cargo[Impacto del cargo]</definedName>
    <definedName name="Impacto_del_Cargo_Lista" localSheetId="29">Impacto_del_Cargo[Impacto del cargo]</definedName>
    <definedName name="Impacto_del_Cargo_Lista" localSheetId="22">[1]!Impacto_del_Cargo[Impacto del cargo]</definedName>
    <definedName name="Impacto_del_Cargo_Lista" localSheetId="34">[1]!Impacto_del_Cargo[Impacto del cargo]</definedName>
    <definedName name="Impacto_del_Cargo_Lista" localSheetId="25">Impacto_del_Cargo[Impacto del cargo]</definedName>
    <definedName name="Impacto_del_Cargo_Lista" localSheetId="36">[1]!Impacto_del_Cargo[Impacto del cargo]</definedName>
    <definedName name="Impacto_del_Cargo_Lista" localSheetId="35">[1]!Impacto_del_Cargo[Impacto del cargo]</definedName>
    <definedName name="Impacto_del_Cargo_Lista" localSheetId="27">Impacto_del_Cargo[Impacto del cargo]</definedName>
    <definedName name="Impacto_del_Cargo_Lista">Impacto_del_Cargo[Impacto del cargo]</definedName>
    <definedName name="IndiceIncrementoC" localSheetId="33">'[1]Actualización Curva - Costo Lab'!$C$10</definedName>
    <definedName name="IndiceIncrementoC" localSheetId="32">'[1]Actualización Curva - Costo Lab'!$C$10</definedName>
    <definedName name="IndiceIncrementoC" localSheetId="22">'[1]Actualización Curva - Costo Lab'!$C$10</definedName>
    <definedName name="IndiceIncrementoC" localSheetId="34">'[1]Actualización Curva - Costo Lab'!$C$10</definedName>
    <definedName name="IndiceIncrementoC" localSheetId="36">'[1]Actualización Curva - Costo Lab'!$C$10</definedName>
    <definedName name="IndiceIncrementoC" localSheetId="35">'[1]Actualización Curva - Costo Lab'!$C$10</definedName>
    <definedName name="IndiceIncrementoC">'Actualización Curva - Costo Lab'!$C$10</definedName>
    <definedName name="IndiceIncrementoE" localSheetId="33">'[1]Actualización Curva - Costo Lab'!$G$10</definedName>
    <definedName name="IndiceIncrementoE" localSheetId="32">'[1]Actualización Curva - Costo Lab'!$G$10</definedName>
    <definedName name="IndiceIncrementoE" localSheetId="22">'[1]Actualización Curva - Costo Lab'!$G$10</definedName>
    <definedName name="IndiceIncrementoE" localSheetId="34">'[1]Actualización Curva - Costo Lab'!$G$10</definedName>
    <definedName name="IndiceIncrementoE" localSheetId="36">'[1]Actualización Curva - Costo Lab'!$G$10</definedName>
    <definedName name="IndiceIncrementoE" localSheetId="35">'[1]Actualización Curva - Costo Lab'!$G$10</definedName>
    <definedName name="IndiceIncrementoE">'Actualización Curva - Costo Lab'!$G$10</definedName>
    <definedName name="Magnitud_de_Cifras_Lista" localSheetId="23">Magnitud_de_Cifras[Magnitud de Cifras]</definedName>
    <definedName name="Magnitud_de_Cifras_Lista" localSheetId="33">[1]!Magnitud_de_Cifras[Magnitud de Cifras]</definedName>
    <definedName name="Magnitud_de_Cifras_Lista" localSheetId="32">[1]!Magnitud_de_Cifras[Magnitud de Cifras]</definedName>
    <definedName name="Magnitud_de_Cifras_Lista" localSheetId="38">Magnitud_de_Cifras[Magnitud de Cifras]</definedName>
    <definedName name="Magnitud_de_Cifras_Lista" localSheetId="29">Magnitud_de_Cifras[Magnitud de Cifras]</definedName>
    <definedName name="Magnitud_de_Cifras_Lista" localSheetId="22">[1]!Magnitud_de_Cifras[Magnitud de Cifras]</definedName>
    <definedName name="Magnitud_de_Cifras_Lista" localSheetId="34">[1]!Magnitud_de_Cifras[Magnitud de Cifras]</definedName>
    <definedName name="Magnitud_de_Cifras_Lista" localSheetId="25">Magnitud_de_Cifras[Magnitud de Cifras]</definedName>
    <definedName name="Magnitud_de_Cifras_Lista" localSheetId="36">[1]!Magnitud_de_Cifras[Magnitud de Cifras]</definedName>
    <definedName name="Magnitud_de_Cifras_Lista" localSheetId="35">[1]!Magnitud_de_Cifras[Magnitud de Cifras]</definedName>
    <definedName name="Magnitud_de_Cifras_Lista" localSheetId="27">Magnitud_de_Cifras[Magnitud de Cifras]</definedName>
    <definedName name="Magnitud_de_Cifras_Lista">Magnitud_de_Cifras[Magnitud de Cifras]</definedName>
    <definedName name="Niveles_Lista" localSheetId="23">Niveles_Registro[Nivel]</definedName>
    <definedName name="Niveles_Lista" localSheetId="33">[1]!Niveles_Registro[Nivel]</definedName>
    <definedName name="Niveles_Lista" localSheetId="32">[1]!Niveles_Registro[Nivel]</definedName>
    <definedName name="Niveles_Lista" localSheetId="38">Niveles_Registro[Nivel]</definedName>
    <definedName name="Niveles_Lista" localSheetId="29">Niveles_Registro[Nivel]</definedName>
    <definedName name="Niveles_Lista" localSheetId="22">[1]!Niveles_Registro[Nivel]</definedName>
    <definedName name="Niveles_Lista" localSheetId="34">[1]!Niveles_Registro[Nivel]</definedName>
    <definedName name="Niveles_Lista" localSheetId="25">Niveles_Registro[Nivel]</definedName>
    <definedName name="Niveles_Lista" localSheetId="36">[1]!Niveles_Registro[Nivel]</definedName>
    <definedName name="Niveles_Lista" localSheetId="35">[1]!Niveles_Registro[Nivel]</definedName>
    <definedName name="Niveles_Lista" localSheetId="27">Niveles_Registro[Nivel]</definedName>
    <definedName name="Niveles_Lista">Niveles_Registro[Nivel]</definedName>
    <definedName name="Piso" localSheetId="33">'[1]Categorias Configuración'!$C$5</definedName>
    <definedName name="Piso" localSheetId="32">'[1]Categorias Configuración'!$C$5</definedName>
    <definedName name="Piso" localSheetId="22">'[1]Categorias Configuración'!$C$5</definedName>
    <definedName name="Piso" localSheetId="34">'[1]Categorias Configuración'!$C$5</definedName>
    <definedName name="Piso" localSheetId="36">'[1]Categorias Configuración'!$C$5</definedName>
    <definedName name="Piso" localSheetId="35">'[1]Categorias Configuración'!$C$5</definedName>
    <definedName name="Piso">'Categorias Configuración'!$C$5</definedName>
    <definedName name="Query_from_Excel_Files" localSheetId="31" hidden="1">'Curva Equidad y Competitividad'!#REF!</definedName>
    <definedName name="Query_from_Excel_Files_1" localSheetId="31" hidden="1">'Curva Equidad y Competitividad'!#REF!</definedName>
    <definedName name="Rol_del_Cargo_Lista" localSheetId="23">Rol_del_Cargo[Rol del Cargo]</definedName>
    <definedName name="Rol_del_Cargo_Lista" localSheetId="33">[1]!Rol_del_Cargo[Rol del Cargo]</definedName>
    <definedName name="Rol_del_Cargo_Lista" localSheetId="32">[1]!Rol_del_Cargo[Rol del Cargo]</definedName>
    <definedName name="Rol_del_Cargo_Lista" localSheetId="38">Rol_del_Cargo[Rol del Cargo]</definedName>
    <definedName name="Rol_del_Cargo_Lista" localSheetId="29">Rol_del_Cargo[Rol del Cargo]</definedName>
    <definedName name="Rol_del_Cargo_Lista" localSheetId="22">[1]!Rol_del_Cargo[Rol del Cargo]</definedName>
    <definedName name="Rol_del_Cargo_Lista" localSheetId="34">[1]!Rol_del_Cargo[Rol del Cargo]</definedName>
    <definedName name="Rol_del_Cargo_Lista" localSheetId="25">Rol_del_Cargo[Rol del Cargo]</definedName>
    <definedName name="Rol_del_Cargo_Lista" localSheetId="36">[1]!Rol_del_Cargo[Rol del Cargo]</definedName>
    <definedName name="Rol_del_Cargo_Lista" localSheetId="35">[1]!Rol_del_Cargo[Rol del Cargo]</definedName>
    <definedName name="Rol_del_Cargo_Lista" localSheetId="27">Rol_del_Cargo[Rol del Cargo]</definedName>
    <definedName name="Rol_del_Cargo_Lista">Rol_del_Cargo[Rol del Cargo]</definedName>
    <definedName name="SegmentaciónDeDatos_Taller">#N/A</definedName>
    <definedName name="Semilla" localSheetId="33">INDIRECT('[1]Categorias Configuración'!$F$4)</definedName>
    <definedName name="Semilla" localSheetId="32">INDIRECT('[1]Categorias Configuración'!$F$4)</definedName>
    <definedName name="Semilla" localSheetId="22">INDIRECT('[1]Categorias Configuración'!$F$4)</definedName>
    <definedName name="Semilla" localSheetId="34">INDIRECT('[1]Categorias Configuración'!$F$4)</definedName>
    <definedName name="Semilla" localSheetId="36">INDIRECT('[1]Categorias Configuración'!$F$4)</definedName>
    <definedName name="Semilla" localSheetId="35">INDIRECT('[1]Categorias Configuración'!$F$4)</definedName>
    <definedName name="Semilla">INDIRECT('Categorias Configuración'!$F$4)</definedName>
    <definedName name="SMMLV" localSheetId="33">'[1]Actualización Curva - Costo Lab'!$L$6</definedName>
    <definedName name="SMMLV" localSheetId="32">'[1]Actualización Curva - Costo Lab'!$L$6</definedName>
    <definedName name="SMMLV" localSheetId="22">'[1]Actualización Curva - Costo Lab'!$L$6</definedName>
    <definedName name="SMMLV" localSheetId="34">'[1]Actualización Curva - Costo Lab'!$L$6</definedName>
    <definedName name="SMMLV" localSheetId="36">'[1]Actualización Curva - Costo Lab'!$L$6</definedName>
    <definedName name="SMMLV" localSheetId="35">'[1]Actualización Curva - Costo Lab'!$L$6</definedName>
    <definedName name="SMMLV">'Actualización Curva - Costo Lab'!$L$6</definedName>
    <definedName name="Techo" localSheetId="33">'[1]Categorias Configuración'!$C$4</definedName>
    <definedName name="Techo" localSheetId="32">'[1]Categorias Configuración'!$C$4</definedName>
    <definedName name="Techo" localSheetId="22">'[1]Categorias Configuración'!$C$4</definedName>
    <definedName name="Techo" localSheetId="34">'[1]Categorias Configuración'!$C$4</definedName>
    <definedName name="Techo" localSheetId="36">'[1]Categorias Configuración'!$C$4</definedName>
    <definedName name="Techo" localSheetId="35">'[1]Categorias Configuración'!$C$4</definedName>
    <definedName name="Techo">'Categorias Configuración'!$C$4</definedName>
    <definedName name="Tendencia_Lista" localSheetId="23">Tendencia[Tendencia]</definedName>
    <definedName name="Tendencia_Lista" localSheetId="33">[1]!Tendencia[Tendencia]</definedName>
    <definedName name="Tendencia_Lista" localSheetId="32">[1]!Tendencia[Tendencia]</definedName>
    <definedName name="Tendencia_Lista" localSheetId="38">Tendencia[Tendencia]</definedName>
    <definedName name="Tendencia_Lista" localSheetId="29">Tendencia[Tendencia]</definedName>
    <definedName name="Tendencia_Lista" localSheetId="22">[1]!Tendencia[Tendencia]</definedName>
    <definedName name="Tendencia_Lista" localSheetId="34">[1]!Tendencia[Tendencia]</definedName>
    <definedName name="Tendencia_Lista" localSheetId="25">Tendencia[Tendencia]</definedName>
    <definedName name="Tendencia_Lista" localSheetId="36">[1]!Tendencia[Tendencia]</definedName>
    <definedName name="Tendencia_Lista" localSheetId="35">[1]!Tendencia[Tendencia]</definedName>
    <definedName name="Tendencia_Lista" localSheetId="27">Tendencia[Tendencia]</definedName>
    <definedName name="Tendencia_Lista">Tendencia[Tendencia]</definedName>
  </definedNames>
  <calcPr calcId="191028" calcMode="autoNoTable"/>
  <pivotCaches>
    <pivotCache cacheId="112" r:id="rId53"/>
    <pivotCache cacheId="113" r:id="rId54"/>
  </pivotCaches>
  <extLst>
    <ext xmlns:x14="http://schemas.microsoft.com/office/spreadsheetml/2009/9/main" uri="{BBE1A952-AA13-448e-AADC-164F8A28A991}">
      <x14:slicerCaches>
        <x14:slicerCache r:id="rId5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5" i="1" l="1"/>
  <c r="O155" i="1"/>
  <c r="Q155" i="1"/>
  <c r="S155" i="1"/>
  <c r="T155" i="1"/>
  <c r="X155" i="1"/>
  <c r="AG155" i="1"/>
  <c r="AJ155" i="1" s="1"/>
  <c r="AT155" i="1"/>
  <c r="CO155" i="1"/>
  <c r="CS155" i="1"/>
  <c r="J152" i="1"/>
  <c r="O152" i="1"/>
  <c r="Q152" i="1"/>
  <c r="S152" i="1"/>
  <c r="T152" i="1"/>
  <c r="X152" i="1"/>
  <c r="AG152" i="1"/>
  <c r="AJ152" i="1" s="1"/>
  <c r="AT152" i="1"/>
  <c r="CO152" i="1"/>
  <c r="CS152" i="1"/>
  <c r="J153" i="1"/>
  <c r="O153" i="1"/>
  <c r="Q153" i="1"/>
  <c r="S153" i="1"/>
  <c r="T153" i="1"/>
  <c r="X153" i="1"/>
  <c r="AG153" i="1"/>
  <c r="AJ153" i="1" s="1"/>
  <c r="AT153" i="1"/>
  <c r="CO153" i="1"/>
  <c r="CS153" i="1"/>
  <c r="J154" i="1"/>
  <c r="O154" i="1"/>
  <c r="Q154" i="1"/>
  <c r="U154" i="1" s="1"/>
  <c r="S154" i="1"/>
  <c r="T154" i="1"/>
  <c r="X154" i="1"/>
  <c r="AG154" i="1"/>
  <c r="AJ154" i="1" s="1"/>
  <c r="AT154" i="1"/>
  <c r="CO154" i="1"/>
  <c r="CS154" i="1"/>
  <c r="J146" i="1"/>
  <c r="O146" i="1"/>
  <c r="Q146" i="1"/>
  <c r="BS146" i="1" s="1"/>
  <c r="S146" i="1"/>
  <c r="T146" i="1"/>
  <c r="X146" i="1"/>
  <c r="AG146" i="1"/>
  <c r="Y146" i="1" s="1"/>
  <c r="AT146" i="1"/>
  <c r="CO146" i="1"/>
  <c r="CS146" i="1"/>
  <c r="J147" i="1"/>
  <c r="O147" i="1"/>
  <c r="Q147" i="1"/>
  <c r="CI147" i="1" s="1"/>
  <c r="S147" i="1"/>
  <c r="T147" i="1"/>
  <c r="X147" i="1"/>
  <c r="AG147" i="1"/>
  <c r="Z147" i="1" s="1"/>
  <c r="DA147" i="1" s="1"/>
  <c r="AT147" i="1"/>
  <c r="CO147" i="1"/>
  <c r="CS147" i="1"/>
  <c r="J148" i="1"/>
  <c r="O148" i="1"/>
  <c r="Q148" i="1"/>
  <c r="U148" i="1" s="1"/>
  <c r="S148" i="1"/>
  <c r="T148" i="1"/>
  <c r="X148" i="1"/>
  <c r="AG148" i="1"/>
  <c r="DE148" i="1" s="1"/>
  <c r="AT148" i="1"/>
  <c r="CO148" i="1"/>
  <c r="CS148" i="1"/>
  <c r="J149" i="1"/>
  <c r="O149" i="1"/>
  <c r="Q149" i="1"/>
  <c r="U149" i="1" s="1"/>
  <c r="S149" i="1"/>
  <c r="T149" i="1"/>
  <c r="X149" i="1"/>
  <c r="AG149" i="1"/>
  <c r="DE149" i="1" s="1"/>
  <c r="AT149" i="1"/>
  <c r="CO149" i="1"/>
  <c r="CS149" i="1"/>
  <c r="J150" i="1"/>
  <c r="O150" i="1"/>
  <c r="Q150" i="1"/>
  <c r="U150" i="1" s="1"/>
  <c r="S150" i="1"/>
  <c r="T150" i="1"/>
  <c r="X150" i="1"/>
  <c r="AG150" i="1"/>
  <c r="Y150" i="1" s="1"/>
  <c r="AJ150" i="1"/>
  <c r="AL150" i="1"/>
  <c r="AT150" i="1"/>
  <c r="CO150" i="1"/>
  <c r="CS150" i="1"/>
  <c r="J151" i="1"/>
  <c r="O151" i="1"/>
  <c r="Q151" i="1"/>
  <c r="S151" i="1"/>
  <c r="T151" i="1"/>
  <c r="X151" i="1"/>
  <c r="AG151" i="1"/>
  <c r="Y151" i="1" s="1"/>
  <c r="AJ151" i="1"/>
  <c r="AL151" i="1"/>
  <c r="AT151" i="1"/>
  <c r="AV151" i="1"/>
  <c r="CO151" i="1"/>
  <c r="CS151" i="1"/>
  <c r="J157" i="1"/>
  <c r="O157" i="1"/>
  <c r="Q157" i="1"/>
  <c r="R157" i="1" s="1"/>
  <c r="DR157" i="1" s="1"/>
  <c r="S157" i="1"/>
  <c r="T157" i="1"/>
  <c r="X157" i="1"/>
  <c r="AG157" i="1"/>
  <c r="AJ157" i="1" s="1"/>
  <c r="AT157" i="1"/>
  <c r="CO157" i="1"/>
  <c r="CS157" i="1"/>
  <c r="AK88" i="51"/>
  <c r="AJ88" i="51"/>
  <c r="AI88" i="51"/>
  <c r="AG88" i="51"/>
  <c r="AF88" i="51"/>
  <c r="AE88" i="51"/>
  <c r="AC88" i="51"/>
  <c r="AB88" i="51"/>
  <c r="AA88" i="51"/>
  <c r="Y88" i="51"/>
  <c r="X88" i="51"/>
  <c r="W88" i="51"/>
  <c r="U88" i="51"/>
  <c r="T88" i="51"/>
  <c r="S88" i="51"/>
  <c r="AK87" i="51"/>
  <c r="AJ87" i="51"/>
  <c r="AI87" i="51"/>
  <c r="AG87" i="51"/>
  <c r="AF87" i="51"/>
  <c r="AE87" i="51"/>
  <c r="AC87" i="51"/>
  <c r="AB87" i="51"/>
  <c r="AA87" i="51"/>
  <c r="Y87" i="51"/>
  <c r="X87" i="51"/>
  <c r="W87" i="51"/>
  <c r="U87" i="51"/>
  <c r="T87" i="51"/>
  <c r="S87" i="51"/>
  <c r="AK86" i="51"/>
  <c r="AJ86" i="51"/>
  <c r="AI86" i="51"/>
  <c r="AG86" i="51"/>
  <c r="AF86" i="51"/>
  <c r="AE86" i="51"/>
  <c r="AC86" i="51"/>
  <c r="AB86" i="51"/>
  <c r="AA86" i="51"/>
  <c r="Y86" i="51"/>
  <c r="X86" i="51"/>
  <c r="W86" i="51"/>
  <c r="U86" i="51"/>
  <c r="T86" i="51"/>
  <c r="S86" i="51"/>
  <c r="AK85" i="51"/>
  <c r="AJ85" i="51"/>
  <c r="AI85" i="51"/>
  <c r="AG85" i="51"/>
  <c r="AF85" i="51"/>
  <c r="AE85" i="51"/>
  <c r="AC85" i="51"/>
  <c r="AB85" i="51"/>
  <c r="AA85" i="51"/>
  <c r="Y85" i="51"/>
  <c r="X85" i="51"/>
  <c r="W85" i="51"/>
  <c r="U85" i="51"/>
  <c r="T85" i="51"/>
  <c r="S85" i="51"/>
  <c r="AK84" i="51"/>
  <c r="AJ84" i="51"/>
  <c r="AI84" i="51"/>
  <c r="AG84" i="51"/>
  <c r="AF84" i="51"/>
  <c r="AE84" i="51"/>
  <c r="AC84" i="51"/>
  <c r="AB84" i="51"/>
  <c r="AA84" i="51"/>
  <c r="Y84" i="51"/>
  <c r="X84" i="51"/>
  <c r="W84" i="51"/>
  <c r="U84" i="51"/>
  <c r="T84" i="51"/>
  <c r="S84" i="51"/>
  <c r="AK83" i="51"/>
  <c r="AJ83" i="51"/>
  <c r="AI83" i="51"/>
  <c r="AG83" i="51"/>
  <c r="AF83" i="51"/>
  <c r="AE83" i="51"/>
  <c r="AC83" i="51"/>
  <c r="AB83" i="51"/>
  <c r="AA83" i="51"/>
  <c r="Y83" i="51"/>
  <c r="X83" i="51"/>
  <c r="W83" i="51"/>
  <c r="U83" i="51"/>
  <c r="T83" i="51"/>
  <c r="S83" i="51"/>
  <c r="AK82" i="51"/>
  <c r="AJ82" i="51"/>
  <c r="AI82" i="51"/>
  <c r="AG82" i="51"/>
  <c r="AF82" i="51"/>
  <c r="AE82" i="51"/>
  <c r="AC82" i="51"/>
  <c r="AB82" i="51"/>
  <c r="AA82" i="51"/>
  <c r="Y82" i="51"/>
  <c r="X82" i="51"/>
  <c r="W82" i="51"/>
  <c r="U82" i="51"/>
  <c r="T82" i="51"/>
  <c r="S82" i="51"/>
  <c r="AK81" i="51"/>
  <c r="AJ81" i="51"/>
  <c r="AI81" i="51"/>
  <c r="AG81" i="51"/>
  <c r="AF81" i="51"/>
  <c r="AE81" i="51"/>
  <c r="AC81" i="51"/>
  <c r="AB81" i="51"/>
  <c r="AA81" i="51"/>
  <c r="Y81" i="51"/>
  <c r="X81" i="51"/>
  <c r="W81" i="51"/>
  <c r="U81" i="51"/>
  <c r="T81" i="51"/>
  <c r="S81" i="51"/>
  <c r="AK80" i="51"/>
  <c r="AJ80" i="51"/>
  <c r="AI80" i="51"/>
  <c r="AG80" i="51"/>
  <c r="AF80" i="51"/>
  <c r="AE80" i="51"/>
  <c r="AC80" i="51"/>
  <c r="AB80" i="51"/>
  <c r="AA80" i="51"/>
  <c r="Y80" i="51"/>
  <c r="X80" i="51"/>
  <c r="W80" i="51"/>
  <c r="U80" i="51"/>
  <c r="T80" i="51"/>
  <c r="S80" i="51"/>
  <c r="AK79" i="51"/>
  <c r="AJ79" i="51"/>
  <c r="AI79" i="51"/>
  <c r="AG79" i="51"/>
  <c r="AF79" i="51"/>
  <c r="AE79" i="51"/>
  <c r="AC79" i="51"/>
  <c r="AB79" i="51"/>
  <c r="AA79" i="51"/>
  <c r="Y79" i="51"/>
  <c r="X79" i="51"/>
  <c r="W79" i="51"/>
  <c r="U79" i="51"/>
  <c r="T79" i="51"/>
  <c r="S79" i="51"/>
  <c r="AK78" i="51"/>
  <c r="AJ78" i="51"/>
  <c r="AI78" i="51"/>
  <c r="AG78" i="51"/>
  <c r="AF78" i="51"/>
  <c r="AE78" i="51"/>
  <c r="AC78" i="51"/>
  <c r="AB78" i="51"/>
  <c r="AA78" i="51"/>
  <c r="Y78" i="51"/>
  <c r="X78" i="51"/>
  <c r="W78" i="51"/>
  <c r="U78" i="51"/>
  <c r="T78" i="51"/>
  <c r="S78" i="51"/>
  <c r="AK77" i="51"/>
  <c r="AJ77" i="51"/>
  <c r="AI77" i="51"/>
  <c r="AG77" i="51"/>
  <c r="AF77" i="51"/>
  <c r="AE77" i="51"/>
  <c r="AC77" i="51"/>
  <c r="AB77" i="51"/>
  <c r="AA77" i="51"/>
  <c r="Y77" i="51"/>
  <c r="X77" i="51"/>
  <c r="W77" i="51"/>
  <c r="U77" i="51"/>
  <c r="T77" i="51"/>
  <c r="S77" i="51"/>
  <c r="AK76" i="51"/>
  <c r="AJ76" i="51"/>
  <c r="AI76" i="51"/>
  <c r="AG76" i="51"/>
  <c r="AF76" i="51"/>
  <c r="AE76" i="51"/>
  <c r="AC76" i="51"/>
  <c r="AB76" i="51"/>
  <c r="AA76" i="51"/>
  <c r="Y76" i="51"/>
  <c r="X76" i="51"/>
  <c r="W76" i="51"/>
  <c r="U76" i="51"/>
  <c r="T76" i="51"/>
  <c r="S76" i="51"/>
  <c r="AK75" i="51"/>
  <c r="AJ75" i="51"/>
  <c r="AI75" i="51"/>
  <c r="AG75" i="51"/>
  <c r="AF75" i="51"/>
  <c r="AE75" i="51"/>
  <c r="AC75" i="51"/>
  <c r="AB75" i="51"/>
  <c r="AA75" i="51"/>
  <c r="Y75" i="51"/>
  <c r="X75" i="51"/>
  <c r="W75" i="51"/>
  <c r="U75" i="51"/>
  <c r="T75" i="51"/>
  <c r="S75" i="51"/>
  <c r="AK74" i="51"/>
  <c r="AJ74" i="51"/>
  <c r="AI74" i="51"/>
  <c r="AG74" i="51"/>
  <c r="AF74" i="51"/>
  <c r="AE74" i="51"/>
  <c r="AC74" i="51"/>
  <c r="AB74" i="51"/>
  <c r="AA74" i="51"/>
  <c r="Y74" i="51"/>
  <c r="X74" i="51"/>
  <c r="W74" i="51"/>
  <c r="U74" i="51"/>
  <c r="T74" i="51"/>
  <c r="S74" i="51"/>
  <c r="AK73" i="51"/>
  <c r="AJ73" i="51"/>
  <c r="AI73" i="51"/>
  <c r="AG73" i="51"/>
  <c r="AF73" i="51"/>
  <c r="AE73" i="51"/>
  <c r="AC73" i="51"/>
  <c r="AB73" i="51"/>
  <c r="AA73" i="51"/>
  <c r="Y73" i="51"/>
  <c r="X73" i="51"/>
  <c r="W73" i="51"/>
  <c r="U73" i="51"/>
  <c r="T73" i="51"/>
  <c r="S73" i="51"/>
  <c r="AK72" i="51"/>
  <c r="AJ72" i="51"/>
  <c r="AI72" i="51"/>
  <c r="AG72" i="51"/>
  <c r="AF72" i="51"/>
  <c r="AE72" i="51"/>
  <c r="AC72" i="51"/>
  <c r="AB72" i="51"/>
  <c r="AA72" i="51"/>
  <c r="Y72" i="51"/>
  <c r="X72" i="51"/>
  <c r="W72" i="51"/>
  <c r="U72" i="51"/>
  <c r="T72" i="51"/>
  <c r="S72" i="51"/>
  <c r="AK71" i="51"/>
  <c r="AJ71" i="51"/>
  <c r="AI71" i="51"/>
  <c r="AG71" i="51"/>
  <c r="AF71" i="51"/>
  <c r="AE71" i="51"/>
  <c r="AC71" i="51"/>
  <c r="AB71" i="51"/>
  <c r="AA71" i="51"/>
  <c r="Y71" i="51"/>
  <c r="X71" i="51"/>
  <c r="W71" i="51"/>
  <c r="U71" i="51"/>
  <c r="T71" i="51"/>
  <c r="S71" i="51"/>
  <c r="AK70" i="51"/>
  <c r="AJ70" i="51"/>
  <c r="AI70" i="51"/>
  <c r="AG70" i="51"/>
  <c r="AF70" i="51"/>
  <c r="AE70" i="51"/>
  <c r="AC70" i="51"/>
  <c r="AB70" i="51"/>
  <c r="AA70" i="51"/>
  <c r="Y70" i="51"/>
  <c r="X70" i="51"/>
  <c r="W70" i="51"/>
  <c r="U70" i="51"/>
  <c r="T70" i="51"/>
  <c r="S70" i="51"/>
  <c r="AK69" i="51"/>
  <c r="AJ69" i="51"/>
  <c r="AI69" i="51"/>
  <c r="AG69" i="51"/>
  <c r="AF69" i="51"/>
  <c r="AE69" i="51"/>
  <c r="AC69" i="51"/>
  <c r="AB69" i="51"/>
  <c r="AA69" i="51"/>
  <c r="Y69" i="51"/>
  <c r="X69" i="51"/>
  <c r="W69" i="51"/>
  <c r="U69" i="51"/>
  <c r="T69" i="51"/>
  <c r="S69" i="51"/>
  <c r="AK68" i="51"/>
  <c r="AJ68" i="51"/>
  <c r="AI68" i="51"/>
  <c r="AG68" i="51"/>
  <c r="AF68" i="51"/>
  <c r="AE68" i="51"/>
  <c r="AC68" i="51"/>
  <c r="AB68" i="51"/>
  <c r="AA68" i="51"/>
  <c r="Y68" i="51"/>
  <c r="X68" i="51"/>
  <c r="W68" i="51"/>
  <c r="U68" i="51"/>
  <c r="T68" i="51"/>
  <c r="S68" i="51"/>
  <c r="AK67" i="51"/>
  <c r="AJ67" i="51"/>
  <c r="AI67" i="51"/>
  <c r="AG67" i="51"/>
  <c r="AF67" i="51"/>
  <c r="AE67" i="51"/>
  <c r="AC67" i="51"/>
  <c r="AB67" i="51"/>
  <c r="AA67" i="51"/>
  <c r="Y67" i="51"/>
  <c r="X67" i="51"/>
  <c r="W67" i="51"/>
  <c r="U67" i="51"/>
  <c r="T67" i="51"/>
  <c r="S67" i="51"/>
  <c r="AK66" i="51"/>
  <c r="AJ66" i="51"/>
  <c r="AI66" i="51"/>
  <c r="AG66" i="51"/>
  <c r="AF66" i="51"/>
  <c r="AE66" i="51"/>
  <c r="AC66" i="51"/>
  <c r="AB66" i="51"/>
  <c r="AA66" i="51"/>
  <c r="Y66" i="51"/>
  <c r="X66" i="51"/>
  <c r="W66" i="51"/>
  <c r="U66" i="51"/>
  <c r="T66" i="51"/>
  <c r="S66" i="51"/>
  <c r="AK65" i="51"/>
  <c r="AJ65" i="51"/>
  <c r="AI65" i="51"/>
  <c r="AG65" i="51"/>
  <c r="AF65" i="51"/>
  <c r="AE65" i="51"/>
  <c r="AC65" i="51"/>
  <c r="AB65" i="51"/>
  <c r="AA65" i="51"/>
  <c r="Y65" i="51"/>
  <c r="X65" i="51"/>
  <c r="W65" i="51"/>
  <c r="U65" i="51"/>
  <c r="T65" i="51"/>
  <c r="S65" i="51"/>
  <c r="AK64" i="51"/>
  <c r="AJ64" i="51"/>
  <c r="AI64" i="51"/>
  <c r="AG64" i="51"/>
  <c r="AF64" i="51"/>
  <c r="AE64" i="51"/>
  <c r="AC64" i="51"/>
  <c r="AB64" i="51"/>
  <c r="AA64" i="51"/>
  <c r="Y64" i="51"/>
  <c r="X64" i="51"/>
  <c r="W64" i="51"/>
  <c r="U64" i="51"/>
  <c r="T64" i="51"/>
  <c r="S64" i="51"/>
  <c r="AK63" i="51"/>
  <c r="AJ63" i="51"/>
  <c r="AI63" i="51"/>
  <c r="AG63" i="51"/>
  <c r="AF63" i="51"/>
  <c r="AE63" i="51"/>
  <c r="AC63" i="51"/>
  <c r="AB63" i="51"/>
  <c r="AA63" i="51"/>
  <c r="Y63" i="51"/>
  <c r="X63" i="51"/>
  <c r="W63" i="51"/>
  <c r="U63" i="51"/>
  <c r="T63" i="51"/>
  <c r="S63" i="51"/>
  <c r="AK62" i="51"/>
  <c r="AJ62" i="51"/>
  <c r="AI62" i="51"/>
  <c r="AG62" i="51"/>
  <c r="AF62" i="51"/>
  <c r="AE62" i="51"/>
  <c r="AC62" i="51"/>
  <c r="AB62" i="51"/>
  <c r="AA62" i="51"/>
  <c r="Y62" i="51"/>
  <c r="X62" i="51"/>
  <c r="W62" i="51"/>
  <c r="U62" i="51"/>
  <c r="T62" i="51"/>
  <c r="S62" i="51"/>
  <c r="AK61" i="51"/>
  <c r="AJ61" i="51"/>
  <c r="AI61" i="51"/>
  <c r="AG61" i="51"/>
  <c r="AF61" i="51"/>
  <c r="AE61" i="51"/>
  <c r="AC61" i="51"/>
  <c r="AB61" i="51"/>
  <c r="AA61" i="51"/>
  <c r="Y61" i="51"/>
  <c r="X61" i="51"/>
  <c r="W61" i="51"/>
  <c r="U61" i="51"/>
  <c r="T61" i="51"/>
  <c r="S61" i="51"/>
  <c r="AK60" i="51"/>
  <c r="AJ60" i="51"/>
  <c r="AI60" i="51"/>
  <c r="AG60" i="51"/>
  <c r="AF60" i="51"/>
  <c r="AE60" i="51"/>
  <c r="AC60" i="51"/>
  <c r="AB60" i="51"/>
  <c r="AA60" i="51"/>
  <c r="Y60" i="51"/>
  <c r="X60" i="51"/>
  <c r="W60" i="51"/>
  <c r="U60" i="51"/>
  <c r="T60" i="51"/>
  <c r="S60" i="51"/>
  <c r="AK59" i="51"/>
  <c r="AJ59" i="51"/>
  <c r="AI59" i="51"/>
  <c r="AG59" i="51"/>
  <c r="AF59" i="51"/>
  <c r="AE59" i="51"/>
  <c r="AC59" i="51"/>
  <c r="AB59" i="51"/>
  <c r="AA59" i="51"/>
  <c r="Y59" i="51"/>
  <c r="X59" i="51"/>
  <c r="W59" i="51"/>
  <c r="U59" i="51"/>
  <c r="T59" i="51"/>
  <c r="S59" i="51"/>
  <c r="AK58" i="51"/>
  <c r="AJ58" i="51"/>
  <c r="AI58" i="51"/>
  <c r="AG58" i="51"/>
  <c r="AF58" i="51"/>
  <c r="AE58" i="51"/>
  <c r="AC58" i="51"/>
  <c r="AB58" i="51"/>
  <c r="AA58" i="51"/>
  <c r="Y58" i="51"/>
  <c r="X58" i="51"/>
  <c r="W58" i="51"/>
  <c r="U58" i="51"/>
  <c r="T58" i="51"/>
  <c r="S58" i="51"/>
  <c r="AK57" i="51"/>
  <c r="AJ57" i="51"/>
  <c r="AI57" i="51"/>
  <c r="AG57" i="51"/>
  <c r="AF57" i="51"/>
  <c r="AE57" i="51"/>
  <c r="AC57" i="51"/>
  <c r="AB57" i="51"/>
  <c r="AA57" i="51"/>
  <c r="Y57" i="51"/>
  <c r="X57" i="51"/>
  <c r="W57" i="51"/>
  <c r="U57" i="51"/>
  <c r="T57" i="51"/>
  <c r="S57" i="51"/>
  <c r="AK56" i="51"/>
  <c r="AJ56" i="51"/>
  <c r="AI56" i="51"/>
  <c r="AG56" i="51"/>
  <c r="AF56" i="51"/>
  <c r="AE56" i="51"/>
  <c r="AC56" i="51"/>
  <c r="AB56" i="51"/>
  <c r="AA56" i="51"/>
  <c r="Y56" i="51"/>
  <c r="X56" i="51"/>
  <c r="W56" i="51"/>
  <c r="U56" i="51"/>
  <c r="T56" i="51"/>
  <c r="S56" i="51"/>
  <c r="AK55" i="51"/>
  <c r="AJ55" i="51"/>
  <c r="AI55" i="51"/>
  <c r="AG55" i="51"/>
  <c r="AF55" i="51"/>
  <c r="AE55" i="51"/>
  <c r="AC55" i="51"/>
  <c r="AB55" i="51"/>
  <c r="AA55" i="51"/>
  <c r="Y55" i="51"/>
  <c r="X55" i="51"/>
  <c r="W55" i="51"/>
  <c r="U55" i="51"/>
  <c r="T55" i="51"/>
  <c r="S55" i="51"/>
  <c r="AK54" i="51"/>
  <c r="AJ54" i="51"/>
  <c r="AI54" i="51"/>
  <c r="AG54" i="51"/>
  <c r="AF54" i="51"/>
  <c r="AE54" i="51"/>
  <c r="AC54" i="51"/>
  <c r="AB54" i="51"/>
  <c r="AA54" i="51"/>
  <c r="Y54" i="51"/>
  <c r="X54" i="51"/>
  <c r="W54" i="51"/>
  <c r="U54" i="51"/>
  <c r="T54" i="51"/>
  <c r="S54" i="51"/>
  <c r="AK53" i="51"/>
  <c r="AJ53" i="51"/>
  <c r="AI53" i="51"/>
  <c r="AG53" i="51"/>
  <c r="AF53" i="51"/>
  <c r="AE53" i="51"/>
  <c r="AC53" i="51"/>
  <c r="AB53" i="51"/>
  <c r="AA53" i="51"/>
  <c r="Y53" i="51"/>
  <c r="X53" i="51"/>
  <c r="W53" i="51"/>
  <c r="U53" i="51"/>
  <c r="T53" i="51"/>
  <c r="S53" i="51"/>
  <c r="AK52" i="51"/>
  <c r="AJ52" i="51"/>
  <c r="AI52" i="51"/>
  <c r="AG52" i="51"/>
  <c r="AF52" i="51"/>
  <c r="AE52" i="51"/>
  <c r="AC52" i="51"/>
  <c r="AB52" i="51"/>
  <c r="AA52" i="51"/>
  <c r="Y52" i="51"/>
  <c r="X52" i="51"/>
  <c r="W52" i="51"/>
  <c r="U52" i="51"/>
  <c r="T52" i="51"/>
  <c r="S52" i="51"/>
  <c r="AK51" i="51"/>
  <c r="AJ51" i="51"/>
  <c r="AI51" i="51"/>
  <c r="AG51" i="51"/>
  <c r="AF51" i="51"/>
  <c r="AE51" i="51"/>
  <c r="AC51" i="51"/>
  <c r="AB51" i="51"/>
  <c r="AA51" i="51"/>
  <c r="Y51" i="51"/>
  <c r="X51" i="51"/>
  <c r="W51" i="51"/>
  <c r="U51" i="51"/>
  <c r="T51" i="51"/>
  <c r="S51" i="51"/>
  <c r="AK50" i="51"/>
  <c r="AJ50" i="51"/>
  <c r="AI50" i="51"/>
  <c r="AG50" i="51"/>
  <c r="AF50" i="51"/>
  <c r="AE50" i="51"/>
  <c r="AC50" i="51"/>
  <c r="AB50" i="51"/>
  <c r="AA50" i="51"/>
  <c r="Y50" i="51"/>
  <c r="X50" i="51"/>
  <c r="W50" i="51"/>
  <c r="U50" i="51"/>
  <c r="T50" i="51"/>
  <c r="S50" i="51"/>
  <c r="AK49" i="51"/>
  <c r="AJ49" i="51"/>
  <c r="AI49" i="51"/>
  <c r="AG49" i="51"/>
  <c r="AF49" i="51"/>
  <c r="AE49" i="51"/>
  <c r="AC49" i="51"/>
  <c r="AB49" i="51"/>
  <c r="AA49" i="51"/>
  <c r="Y49" i="51"/>
  <c r="X49" i="51"/>
  <c r="W49" i="51"/>
  <c r="U49" i="51"/>
  <c r="T49" i="51"/>
  <c r="S49" i="51"/>
  <c r="AK48" i="51"/>
  <c r="AJ48" i="51"/>
  <c r="AI48" i="51"/>
  <c r="AG48" i="51"/>
  <c r="AF48" i="51"/>
  <c r="AE48" i="51"/>
  <c r="AC48" i="51"/>
  <c r="AB48" i="51"/>
  <c r="AA48" i="51"/>
  <c r="Y48" i="51"/>
  <c r="X48" i="51"/>
  <c r="W48" i="51"/>
  <c r="U48" i="51"/>
  <c r="T48" i="51"/>
  <c r="S48" i="51"/>
  <c r="AK47" i="51"/>
  <c r="AJ47" i="51"/>
  <c r="AI47" i="51"/>
  <c r="AG47" i="51"/>
  <c r="AF47" i="51"/>
  <c r="AE47" i="51"/>
  <c r="AC47" i="51"/>
  <c r="AB47" i="51"/>
  <c r="AA47" i="51"/>
  <c r="Y47" i="51"/>
  <c r="X47" i="51"/>
  <c r="W47" i="51"/>
  <c r="U47" i="51"/>
  <c r="T47" i="51"/>
  <c r="S47" i="51"/>
  <c r="AK46" i="51"/>
  <c r="AJ46" i="51"/>
  <c r="AI46" i="51"/>
  <c r="AG46" i="51"/>
  <c r="AF46" i="51"/>
  <c r="AE46" i="51"/>
  <c r="AC46" i="51"/>
  <c r="AB46" i="51"/>
  <c r="AA46" i="51"/>
  <c r="Y46" i="51"/>
  <c r="X46" i="51"/>
  <c r="W46" i="51"/>
  <c r="U46" i="51"/>
  <c r="T46" i="51"/>
  <c r="S46" i="51"/>
  <c r="AK45" i="51"/>
  <c r="AJ45" i="51"/>
  <c r="AI45" i="51"/>
  <c r="AG45" i="51"/>
  <c r="AF45" i="51"/>
  <c r="AE45" i="51"/>
  <c r="AC45" i="51"/>
  <c r="AB45" i="51"/>
  <c r="AA45" i="51"/>
  <c r="Y45" i="51"/>
  <c r="X45" i="51"/>
  <c r="W45" i="51"/>
  <c r="U45" i="51"/>
  <c r="T45" i="51"/>
  <c r="S45" i="51"/>
  <c r="AK44" i="51"/>
  <c r="AJ44" i="51"/>
  <c r="AI44" i="51"/>
  <c r="AG44" i="51"/>
  <c r="AF44" i="51"/>
  <c r="AE44" i="51"/>
  <c r="AC44" i="51"/>
  <c r="AB44" i="51"/>
  <c r="AA44" i="51"/>
  <c r="Y44" i="51"/>
  <c r="X44" i="51"/>
  <c r="W44" i="51"/>
  <c r="U44" i="51"/>
  <c r="T44" i="51"/>
  <c r="S44" i="51"/>
  <c r="AK43" i="51"/>
  <c r="AJ43" i="51"/>
  <c r="AI43" i="51"/>
  <c r="AG43" i="51"/>
  <c r="AF43" i="51"/>
  <c r="AE43" i="51"/>
  <c r="AC43" i="51"/>
  <c r="AB43" i="51"/>
  <c r="AA43" i="51"/>
  <c r="Y43" i="51"/>
  <c r="X43" i="51"/>
  <c r="W43" i="51"/>
  <c r="U43" i="51"/>
  <c r="T43" i="51"/>
  <c r="S43" i="51"/>
  <c r="AK42" i="51"/>
  <c r="AJ42" i="51"/>
  <c r="AI42" i="51"/>
  <c r="AG42" i="51"/>
  <c r="AF42" i="51"/>
  <c r="AE42" i="51"/>
  <c r="AC42" i="51"/>
  <c r="AB42" i="51"/>
  <c r="AA42" i="51"/>
  <c r="Y42" i="51"/>
  <c r="X42" i="51"/>
  <c r="W42" i="51"/>
  <c r="U42" i="51"/>
  <c r="T42" i="51"/>
  <c r="S42" i="51"/>
  <c r="AK41" i="51"/>
  <c r="AJ41" i="51"/>
  <c r="AI41" i="51"/>
  <c r="AG41" i="51"/>
  <c r="AF41" i="51"/>
  <c r="AE41" i="51"/>
  <c r="AC41" i="51"/>
  <c r="AB41" i="51"/>
  <c r="AA41" i="51"/>
  <c r="Y41" i="51"/>
  <c r="X41" i="51"/>
  <c r="W41" i="51"/>
  <c r="U41" i="51"/>
  <c r="T41" i="51"/>
  <c r="S41" i="51"/>
  <c r="AK40" i="51"/>
  <c r="AJ40" i="51"/>
  <c r="AI40" i="51"/>
  <c r="AG40" i="51"/>
  <c r="AF40" i="51"/>
  <c r="AE40" i="51"/>
  <c r="AC40" i="51"/>
  <c r="AB40" i="51"/>
  <c r="AA40" i="51"/>
  <c r="Y40" i="51"/>
  <c r="X40" i="51"/>
  <c r="W40" i="51"/>
  <c r="U40" i="51"/>
  <c r="T40" i="51"/>
  <c r="S40" i="51"/>
  <c r="AK39" i="51"/>
  <c r="AJ39" i="51"/>
  <c r="AI39" i="51"/>
  <c r="AG39" i="51"/>
  <c r="AF39" i="51"/>
  <c r="AE39" i="51"/>
  <c r="AC39" i="51"/>
  <c r="AB39" i="51"/>
  <c r="AA39" i="51"/>
  <c r="Y39" i="51"/>
  <c r="X39" i="51"/>
  <c r="W39" i="51"/>
  <c r="U39" i="51"/>
  <c r="T39" i="51"/>
  <c r="S39" i="51"/>
  <c r="AK38" i="51"/>
  <c r="AJ38" i="51"/>
  <c r="AI38" i="51"/>
  <c r="AG38" i="51"/>
  <c r="AF38" i="51"/>
  <c r="AE38" i="51"/>
  <c r="AC38" i="51"/>
  <c r="AB38" i="51"/>
  <c r="AA38" i="51"/>
  <c r="Y38" i="51"/>
  <c r="X38" i="51"/>
  <c r="W38" i="51"/>
  <c r="U38" i="51"/>
  <c r="T38" i="51"/>
  <c r="S38" i="51"/>
  <c r="AK37" i="51"/>
  <c r="AJ37" i="51"/>
  <c r="AI37" i="51"/>
  <c r="AG37" i="51"/>
  <c r="AF37" i="51"/>
  <c r="AE37" i="51"/>
  <c r="AC37" i="51"/>
  <c r="AB37" i="51"/>
  <c r="AA37" i="51"/>
  <c r="Y37" i="51"/>
  <c r="X37" i="51"/>
  <c r="W37" i="51"/>
  <c r="U37" i="51"/>
  <c r="T37" i="51"/>
  <c r="S37" i="51"/>
  <c r="AK36" i="51"/>
  <c r="AJ36" i="51"/>
  <c r="AI36" i="51"/>
  <c r="AG36" i="51"/>
  <c r="AF36" i="51"/>
  <c r="AE36" i="51"/>
  <c r="AC36" i="51"/>
  <c r="AB36" i="51"/>
  <c r="AA36" i="51"/>
  <c r="Y36" i="51"/>
  <c r="X36" i="51"/>
  <c r="W36" i="51"/>
  <c r="U36" i="51"/>
  <c r="T36" i="51"/>
  <c r="S36" i="51"/>
  <c r="AK35" i="51"/>
  <c r="AJ35" i="51"/>
  <c r="AI35" i="51"/>
  <c r="AG35" i="51"/>
  <c r="AF35" i="51"/>
  <c r="AE35" i="51"/>
  <c r="AC35" i="51"/>
  <c r="AB35" i="51"/>
  <c r="AA35" i="51"/>
  <c r="Y35" i="51"/>
  <c r="X35" i="51"/>
  <c r="W35" i="51"/>
  <c r="U35" i="51"/>
  <c r="T35" i="51"/>
  <c r="S35" i="51"/>
  <c r="AK34" i="51"/>
  <c r="AJ34" i="51"/>
  <c r="AI34" i="51"/>
  <c r="AG34" i="51"/>
  <c r="AF34" i="51"/>
  <c r="AE34" i="51"/>
  <c r="AC34" i="51"/>
  <c r="AB34" i="51"/>
  <c r="AA34" i="51"/>
  <c r="Y34" i="51"/>
  <c r="X34" i="51"/>
  <c r="W34" i="51"/>
  <c r="U34" i="51"/>
  <c r="T34" i="51"/>
  <c r="S34" i="51"/>
  <c r="AK33" i="51"/>
  <c r="AJ33" i="51"/>
  <c r="AI33" i="51"/>
  <c r="AG33" i="51"/>
  <c r="AF33" i="51"/>
  <c r="AE33" i="51"/>
  <c r="AC33" i="51"/>
  <c r="AB33" i="51"/>
  <c r="AA33" i="51"/>
  <c r="Y33" i="51"/>
  <c r="X33" i="51"/>
  <c r="W33" i="51"/>
  <c r="U33" i="51"/>
  <c r="T33" i="51"/>
  <c r="S33" i="51"/>
  <c r="AK32" i="51"/>
  <c r="AJ32" i="51"/>
  <c r="AI32" i="51"/>
  <c r="AG32" i="51"/>
  <c r="AF32" i="51"/>
  <c r="AE32" i="51"/>
  <c r="AC32" i="51"/>
  <c r="AB32" i="51"/>
  <c r="AA32" i="51"/>
  <c r="Y32" i="51"/>
  <c r="X32" i="51"/>
  <c r="W32" i="51"/>
  <c r="U32" i="51"/>
  <c r="T32" i="51"/>
  <c r="S32" i="51"/>
  <c r="AK31" i="51"/>
  <c r="AJ31" i="51"/>
  <c r="AI31" i="51"/>
  <c r="AG31" i="51"/>
  <c r="AF31" i="51"/>
  <c r="AE31" i="51"/>
  <c r="AC31" i="51"/>
  <c r="AB31" i="51"/>
  <c r="AA31" i="51"/>
  <c r="Y31" i="51"/>
  <c r="X31" i="51"/>
  <c r="W31" i="51"/>
  <c r="U31" i="51"/>
  <c r="T31" i="51"/>
  <c r="S31" i="51"/>
  <c r="AK30" i="51"/>
  <c r="AJ30" i="51"/>
  <c r="AI30" i="51"/>
  <c r="AG30" i="51"/>
  <c r="AF30" i="51"/>
  <c r="AE30" i="51"/>
  <c r="AC30" i="51"/>
  <c r="AB30" i="51"/>
  <c r="AA30" i="51"/>
  <c r="Y30" i="51"/>
  <c r="X30" i="51"/>
  <c r="W30" i="51"/>
  <c r="U30" i="51"/>
  <c r="T30" i="51"/>
  <c r="S30" i="51"/>
  <c r="AK29" i="51"/>
  <c r="AJ29" i="51"/>
  <c r="AI29" i="51"/>
  <c r="AG29" i="51"/>
  <c r="AF29" i="51"/>
  <c r="AE29" i="51"/>
  <c r="AC29" i="51"/>
  <c r="AB29" i="51"/>
  <c r="AA29" i="51"/>
  <c r="Y29" i="51"/>
  <c r="X29" i="51"/>
  <c r="W29" i="51"/>
  <c r="U29" i="51"/>
  <c r="T29" i="51"/>
  <c r="S29" i="51"/>
  <c r="AK28" i="51"/>
  <c r="AJ28" i="51"/>
  <c r="AI28" i="51"/>
  <c r="AG28" i="51"/>
  <c r="AF28" i="51"/>
  <c r="AE28" i="51"/>
  <c r="AC28" i="51"/>
  <c r="AB28" i="51"/>
  <c r="AA28" i="51"/>
  <c r="Y28" i="51"/>
  <c r="X28" i="51"/>
  <c r="W28" i="51"/>
  <c r="U28" i="51"/>
  <c r="T28" i="51"/>
  <c r="S28" i="51"/>
  <c r="AK27" i="51"/>
  <c r="AJ27" i="51"/>
  <c r="AI27" i="51"/>
  <c r="AG27" i="51"/>
  <c r="AF27" i="51"/>
  <c r="AE27" i="51"/>
  <c r="AC27" i="51"/>
  <c r="AB27" i="51"/>
  <c r="AA27" i="51"/>
  <c r="Y27" i="51"/>
  <c r="X27" i="51"/>
  <c r="W27" i="51"/>
  <c r="U27" i="51"/>
  <c r="T27" i="51"/>
  <c r="S27" i="51"/>
  <c r="AK26" i="51"/>
  <c r="AJ26" i="51"/>
  <c r="AI26" i="51"/>
  <c r="AG26" i="51"/>
  <c r="AF26" i="51"/>
  <c r="AE26" i="51"/>
  <c r="AC26" i="51"/>
  <c r="AB26" i="51"/>
  <c r="AA26" i="51"/>
  <c r="Y26" i="51"/>
  <c r="X26" i="51"/>
  <c r="W26" i="51"/>
  <c r="U26" i="51"/>
  <c r="T26" i="51"/>
  <c r="S26" i="51"/>
  <c r="AK25" i="51"/>
  <c r="AJ25" i="51"/>
  <c r="AI25" i="51"/>
  <c r="AG25" i="51"/>
  <c r="AF25" i="51"/>
  <c r="AE25" i="51"/>
  <c r="AC25" i="51"/>
  <c r="AB25" i="51"/>
  <c r="AA25" i="51"/>
  <c r="Y25" i="51"/>
  <c r="X25" i="51"/>
  <c r="W25" i="51"/>
  <c r="U25" i="51"/>
  <c r="T25" i="51"/>
  <c r="S25" i="51"/>
  <c r="AK24" i="51"/>
  <c r="AJ24" i="51"/>
  <c r="AI24" i="51"/>
  <c r="AG24" i="51"/>
  <c r="AF24" i="51"/>
  <c r="AE24" i="51"/>
  <c r="AC24" i="51"/>
  <c r="AB24" i="51"/>
  <c r="AA24" i="51"/>
  <c r="Y24" i="51"/>
  <c r="X24" i="51"/>
  <c r="W24" i="51"/>
  <c r="U24" i="51"/>
  <c r="T24" i="51"/>
  <c r="S24" i="51"/>
  <c r="AK23" i="51"/>
  <c r="AJ23" i="51"/>
  <c r="AI23" i="51"/>
  <c r="AG23" i="51"/>
  <c r="AF23" i="51"/>
  <c r="AE23" i="51"/>
  <c r="AC23" i="51"/>
  <c r="AB23" i="51"/>
  <c r="AA23" i="51"/>
  <c r="Y23" i="51"/>
  <c r="X23" i="51"/>
  <c r="W23" i="51"/>
  <c r="U23" i="51"/>
  <c r="T23" i="51"/>
  <c r="S23" i="51"/>
  <c r="AK22" i="51"/>
  <c r="AJ22" i="51"/>
  <c r="AI22" i="51"/>
  <c r="AG22" i="51"/>
  <c r="AF22" i="51"/>
  <c r="AE22" i="51"/>
  <c r="AC22" i="51"/>
  <c r="AB22" i="51"/>
  <c r="AA22" i="51"/>
  <c r="Y22" i="51"/>
  <c r="X22" i="51"/>
  <c r="W22" i="51"/>
  <c r="U22" i="51"/>
  <c r="T22" i="51"/>
  <c r="S22" i="51"/>
  <c r="AK21" i="51"/>
  <c r="AJ21" i="51"/>
  <c r="AI21" i="51"/>
  <c r="AG21" i="51"/>
  <c r="AF21" i="51"/>
  <c r="AE21" i="51"/>
  <c r="AC21" i="51"/>
  <c r="AB21" i="51"/>
  <c r="AA21" i="51"/>
  <c r="Y21" i="51"/>
  <c r="X21" i="51"/>
  <c r="W21" i="51"/>
  <c r="U21" i="51"/>
  <c r="T21" i="51"/>
  <c r="S21" i="51"/>
  <c r="AK20" i="51"/>
  <c r="AJ20" i="51"/>
  <c r="AI20" i="51"/>
  <c r="AG20" i="51"/>
  <c r="AF20" i="51"/>
  <c r="AE20" i="51"/>
  <c r="AC20" i="51"/>
  <c r="AB20" i="51"/>
  <c r="AA20" i="51"/>
  <c r="Y20" i="51"/>
  <c r="X20" i="51"/>
  <c r="W20" i="51"/>
  <c r="U20" i="51"/>
  <c r="T20" i="51"/>
  <c r="S20" i="51"/>
  <c r="AK19" i="51"/>
  <c r="AJ19" i="51"/>
  <c r="AI19" i="51"/>
  <c r="AG19" i="51"/>
  <c r="AF19" i="51"/>
  <c r="AE19" i="51"/>
  <c r="AC19" i="51"/>
  <c r="AB19" i="51"/>
  <c r="AA19" i="51"/>
  <c r="Y19" i="51"/>
  <c r="X19" i="51"/>
  <c r="W19" i="51"/>
  <c r="U19" i="51"/>
  <c r="T19" i="51"/>
  <c r="S19" i="51"/>
  <c r="AK18" i="51"/>
  <c r="AJ18" i="51"/>
  <c r="AI18" i="51"/>
  <c r="AG18" i="51"/>
  <c r="AF18" i="51"/>
  <c r="AE18" i="51"/>
  <c r="AC18" i="51"/>
  <c r="AB18" i="51"/>
  <c r="AA18" i="51"/>
  <c r="Y18" i="51"/>
  <c r="X18" i="51"/>
  <c r="W18" i="51"/>
  <c r="U18" i="51"/>
  <c r="T18" i="51"/>
  <c r="S18" i="51"/>
  <c r="AK17" i="51"/>
  <c r="AJ17" i="51"/>
  <c r="AI17" i="51"/>
  <c r="AG17" i="51"/>
  <c r="AF17" i="51"/>
  <c r="AE17" i="51"/>
  <c r="AC17" i="51"/>
  <c r="AB17" i="51"/>
  <c r="AA17" i="51"/>
  <c r="Y17" i="51"/>
  <c r="X17" i="51"/>
  <c r="W17" i="51"/>
  <c r="U17" i="51"/>
  <c r="T17" i="51"/>
  <c r="S17" i="51"/>
  <c r="AK16" i="51"/>
  <c r="AJ16" i="51"/>
  <c r="AI16" i="51"/>
  <c r="AG16" i="51"/>
  <c r="AF16" i="51"/>
  <c r="AE16" i="51"/>
  <c r="AC16" i="51"/>
  <c r="AB16" i="51"/>
  <c r="AA16" i="51"/>
  <c r="Y16" i="51"/>
  <c r="X16" i="51"/>
  <c r="W16" i="51"/>
  <c r="U16" i="51"/>
  <c r="T16" i="51"/>
  <c r="S16" i="51"/>
  <c r="AK15" i="51"/>
  <c r="AJ15" i="51"/>
  <c r="AI15" i="51"/>
  <c r="AG15" i="51"/>
  <c r="AF15" i="51"/>
  <c r="AE15" i="51"/>
  <c r="AC15" i="51"/>
  <c r="AB15" i="51"/>
  <c r="AA15" i="51"/>
  <c r="Y15" i="51"/>
  <c r="X15" i="51"/>
  <c r="W15" i="51"/>
  <c r="U15" i="51"/>
  <c r="T15" i="51"/>
  <c r="S15" i="51"/>
  <c r="AK14" i="51"/>
  <c r="AJ14" i="51"/>
  <c r="AI14" i="51"/>
  <c r="AG14" i="51"/>
  <c r="AF14" i="51"/>
  <c r="AE14" i="51"/>
  <c r="AC14" i="51"/>
  <c r="AB14" i="51"/>
  <c r="AA14" i="51"/>
  <c r="Y14" i="51"/>
  <c r="X14" i="51"/>
  <c r="W14" i="51"/>
  <c r="U14" i="51"/>
  <c r="T14" i="51"/>
  <c r="S14" i="51"/>
  <c r="AK13" i="51"/>
  <c r="AJ13" i="51"/>
  <c r="AI13" i="51"/>
  <c r="AG13" i="51"/>
  <c r="AF13" i="51"/>
  <c r="AE13" i="51"/>
  <c r="AC13" i="51"/>
  <c r="AB13" i="51"/>
  <c r="AA13" i="51"/>
  <c r="Y13" i="51"/>
  <c r="X13" i="51"/>
  <c r="W13" i="51"/>
  <c r="U13" i="51"/>
  <c r="T13" i="51"/>
  <c r="S13" i="51"/>
  <c r="AK12" i="51"/>
  <c r="AJ12" i="51"/>
  <c r="AI12" i="51"/>
  <c r="AG12" i="51"/>
  <c r="AF12" i="51"/>
  <c r="AE12" i="51"/>
  <c r="AC12" i="51"/>
  <c r="AB12" i="51"/>
  <c r="AA12" i="51"/>
  <c r="Y12" i="51"/>
  <c r="X12" i="51"/>
  <c r="W12" i="51"/>
  <c r="U12" i="51"/>
  <c r="T12" i="51"/>
  <c r="S12" i="51"/>
  <c r="AK11" i="51"/>
  <c r="AJ11" i="51"/>
  <c r="AI11" i="51"/>
  <c r="AG11" i="51"/>
  <c r="AF11" i="51"/>
  <c r="AE11" i="51"/>
  <c r="AC11" i="51"/>
  <c r="AB11" i="51"/>
  <c r="AA11" i="51"/>
  <c r="Y11" i="51"/>
  <c r="X11" i="51"/>
  <c r="W11" i="51"/>
  <c r="U11" i="51"/>
  <c r="T11" i="51"/>
  <c r="S11" i="51"/>
  <c r="AK10" i="51"/>
  <c r="AJ10" i="51"/>
  <c r="AI10" i="51"/>
  <c r="AG10" i="51"/>
  <c r="AF10" i="51"/>
  <c r="AE10" i="51"/>
  <c r="AC10" i="51"/>
  <c r="AB10" i="51"/>
  <c r="AA10" i="51"/>
  <c r="Y10" i="51"/>
  <c r="X10" i="51"/>
  <c r="W10" i="51"/>
  <c r="U10" i="51"/>
  <c r="T10" i="51"/>
  <c r="S10" i="51"/>
  <c r="AK9" i="51"/>
  <c r="AJ9" i="51"/>
  <c r="AI9" i="51"/>
  <c r="AG9" i="51"/>
  <c r="AF9" i="51"/>
  <c r="AE9" i="51"/>
  <c r="AC9" i="51"/>
  <c r="AB9" i="51"/>
  <c r="AA9" i="51"/>
  <c r="Y9" i="51"/>
  <c r="X9" i="51"/>
  <c r="W9" i="51"/>
  <c r="U9" i="51"/>
  <c r="T9" i="51"/>
  <c r="S9" i="51"/>
  <c r="AK8" i="51"/>
  <c r="AJ8" i="51"/>
  <c r="AI8" i="51"/>
  <c r="AG8" i="51"/>
  <c r="AF8" i="51"/>
  <c r="AE8" i="51"/>
  <c r="AC8" i="51"/>
  <c r="AB8" i="51"/>
  <c r="AA8" i="51"/>
  <c r="Y8" i="51"/>
  <c r="X8" i="51"/>
  <c r="W8" i="51"/>
  <c r="U8" i="51"/>
  <c r="T8" i="51"/>
  <c r="S8" i="51"/>
  <c r="F2" i="105"/>
  <c r="U155" i="1" l="1"/>
  <c r="BW155" i="1"/>
  <c r="CY155" i="1"/>
  <c r="BS155" i="1"/>
  <c r="CI155" i="1"/>
  <c r="BU155" i="1"/>
  <c r="CK155" i="1"/>
  <c r="CG155" i="1"/>
  <c r="Y155" i="1"/>
  <c r="BQ155" i="1"/>
  <c r="Z155" i="1"/>
  <c r="DA155" i="1" s="1"/>
  <c r="AJ148" i="1"/>
  <c r="DE155" i="1"/>
  <c r="AV155" i="1"/>
  <c r="W155" i="1" s="1"/>
  <c r="AL155" i="1"/>
  <c r="V155" i="1" s="1"/>
  <c r="AA155" i="1" s="1"/>
  <c r="AX155" i="1"/>
  <c r="AX150" i="1"/>
  <c r="AV150" i="1"/>
  <c r="DB155" i="1"/>
  <c r="U152" i="1"/>
  <c r="BM152" i="1" s="1"/>
  <c r="CI152" i="1"/>
  <c r="BW152" i="1"/>
  <c r="BS152" i="1"/>
  <c r="CG152" i="1"/>
  <c r="BU152" i="1"/>
  <c r="CY152" i="1"/>
  <c r="CK152" i="1"/>
  <c r="Z152" i="1"/>
  <c r="DA152" i="1" s="1"/>
  <c r="Y152" i="1"/>
  <c r="V152" i="1"/>
  <c r="AA152" i="1" s="1"/>
  <c r="DB149" i="1"/>
  <c r="DE152" i="1"/>
  <c r="AV152" i="1"/>
  <c r="CG154" i="1"/>
  <c r="BU154" i="1"/>
  <c r="AX152" i="1"/>
  <c r="AL152" i="1"/>
  <c r="DB152" i="1"/>
  <c r="BO154" i="1"/>
  <c r="BM154" i="1"/>
  <c r="BW153" i="1"/>
  <c r="CG153" i="1"/>
  <c r="CY153" i="1"/>
  <c r="BU153" i="1"/>
  <c r="BS153" i="1"/>
  <c r="CK153" i="1"/>
  <c r="CI153" i="1"/>
  <c r="Z153" i="1"/>
  <c r="DA153" i="1" s="1"/>
  <c r="Y153" i="1"/>
  <c r="V150" i="1"/>
  <c r="AA150" i="1" s="1"/>
  <c r="U153" i="1"/>
  <c r="AJ147" i="1"/>
  <c r="AX153" i="1"/>
  <c r="BW150" i="1"/>
  <c r="DE153" i="1"/>
  <c r="AV153" i="1"/>
  <c r="AV148" i="1"/>
  <c r="CY154" i="1"/>
  <c r="DY154" i="1" s="1"/>
  <c r="DX154" i="1" s="1"/>
  <c r="DW154" i="1" s="1"/>
  <c r="DU154" i="1" s="1"/>
  <c r="CM154" i="1" s="1"/>
  <c r="AL153" i="1"/>
  <c r="V153" i="1" s="1"/>
  <c r="AA153" i="1" s="1"/>
  <c r="DE150" i="1"/>
  <c r="AL148" i="1"/>
  <c r="DB153" i="1"/>
  <c r="AX149" i="1"/>
  <c r="U157" i="1"/>
  <c r="BM157" i="1" s="1"/>
  <c r="AV149" i="1"/>
  <c r="BQ154" i="1"/>
  <c r="Z154" i="1"/>
  <c r="DA154" i="1" s="1"/>
  <c r="CY157" i="1"/>
  <c r="DY157" i="1" s="1"/>
  <c r="DX157" i="1" s="1"/>
  <c r="DW157" i="1" s="1"/>
  <c r="Y154" i="1"/>
  <c r="AL149" i="1"/>
  <c r="V151" i="1"/>
  <c r="AA151" i="1" s="1"/>
  <c r="AJ149" i="1"/>
  <c r="DE151" i="1"/>
  <c r="DE154" i="1"/>
  <c r="AV154" i="1"/>
  <c r="AL154" i="1"/>
  <c r="V154" i="1" s="1"/>
  <c r="AA154" i="1" s="1"/>
  <c r="AX154" i="1"/>
  <c r="DB151" i="1"/>
  <c r="DB150" i="1"/>
  <c r="AX151" i="1"/>
  <c r="W151" i="1" s="1"/>
  <c r="AL147" i="1"/>
  <c r="V147" i="1" s="1"/>
  <c r="AA147" i="1" s="1"/>
  <c r="DB154" i="1"/>
  <c r="CG147" i="1"/>
  <c r="CK146" i="1"/>
  <c r="BW147" i="1"/>
  <c r="CI146" i="1"/>
  <c r="BU147" i="1"/>
  <c r="CG146" i="1"/>
  <c r="BS147" i="1"/>
  <c r="BU146" i="1"/>
  <c r="U151" i="1"/>
  <c r="BQ151" i="1" s="1"/>
  <c r="DT151" i="1" s="1"/>
  <c r="U146" i="1"/>
  <c r="CY147" i="1"/>
  <c r="CW147" i="1" s="1"/>
  <c r="CK147" i="1"/>
  <c r="DD147" i="1"/>
  <c r="DC147" i="1"/>
  <c r="CG151" i="1"/>
  <c r="BW151" i="1"/>
  <c r="CI151" i="1"/>
  <c r="CY151" i="1"/>
  <c r="BU151" i="1"/>
  <c r="CK151" i="1"/>
  <c r="BS151" i="1"/>
  <c r="W150" i="1"/>
  <c r="DB147" i="1"/>
  <c r="Y149" i="1"/>
  <c r="Z149" i="1"/>
  <c r="DA149" i="1" s="1"/>
  <c r="BM149" i="1"/>
  <c r="BO149" i="1"/>
  <c r="BQ149" i="1"/>
  <c r="BO150" i="1"/>
  <c r="BQ150" i="1"/>
  <c r="AX148" i="1"/>
  <c r="Y148" i="1"/>
  <c r="Z148" i="1"/>
  <c r="DA148" i="1" s="1"/>
  <c r="BM150" i="1"/>
  <c r="BN150" i="1" s="1"/>
  <c r="W149" i="1"/>
  <c r="Z146" i="1"/>
  <c r="DA146" i="1" s="1"/>
  <c r="BQ148" i="1"/>
  <c r="BM148" i="1"/>
  <c r="BO148" i="1"/>
  <c r="CY146" i="1"/>
  <c r="BW146" i="1"/>
  <c r="AJ146" i="1"/>
  <c r="DB146" i="1"/>
  <c r="AL146" i="1"/>
  <c r="V146" i="1" s="1"/>
  <c r="AA146" i="1" s="1"/>
  <c r="AV146" i="1"/>
  <c r="DE146" i="1"/>
  <c r="AX146" i="1"/>
  <c r="DB148" i="1"/>
  <c r="AV147" i="1"/>
  <c r="DE147" i="1"/>
  <c r="AX147" i="1"/>
  <c r="Y147" i="1"/>
  <c r="CG157" i="1"/>
  <c r="U147" i="1"/>
  <c r="Z150" i="1"/>
  <c r="DA150" i="1" s="1"/>
  <c r="CI157" i="1"/>
  <c r="CC157" i="1"/>
  <c r="BU157" i="1"/>
  <c r="BS157" i="1"/>
  <c r="Z151" i="1"/>
  <c r="DA151" i="1" s="1"/>
  <c r="CK157" i="1"/>
  <c r="CA157" i="1"/>
  <c r="AX157" i="1"/>
  <c r="BW157" i="1"/>
  <c r="AL157" i="1"/>
  <c r="V157" i="1" s="1"/>
  <c r="AA157" i="1" s="1"/>
  <c r="Z157" i="1"/>
  <c r="DA157" i="1" s="1"/>
  <c r="Y157" i="1"/>
  <c r="DE157" i="1"/>
  <c r="BY157" i="1"/>
  <c r="CE157" i="1" s="1"/>
  <c r="CF157" i="1" s="1"/>
  <c r="AV157" i="1"/>
  <c r="DB157" i="1"/>
  <c r="J127" i="1"/>
  <c r="O127" i="1"/>
  <c r="X127" i="1"/>
  <c r="AG127" i="1"/>
  <c r="DB127" i="1" s="1"/>
  <c r="AT127" i="1"/>
  <c r="CS127" i="1"/>
  <c r="J134" i="1"/>
  <c r="O134" i="1"/>
  <c r="X134" i="1"/>
  <c r="AG134" i="1"/>
  <c r="AT134" i="1"/>
  <c r="CS134" i="1"/>
  <c r="J140" i="1"/>
  <c r="O140" i="1"/>
  <c r="X140" i="1"/>
  <c r="AG140" i="1"/>
  <c r="AT140" i="1"/>
  <c r="CS140" i="1"/>
  <c r="CS75" i="1"/>
  <c r="AT75" i="1"/>
  <c r="AG75" i="1"/>
  <c r="X75" i="1"/>
  <c r="O75" i="1"/>
  <c r="J75" i="1"/>
  <c r="CS74" i="1"/>
  <c r="AT74" i="1"/>
  <c r="AG74" i="1"/>
  <c r="X74" i="1"/>
  <c r="O74" i="1"/>
  <c r="J74" i="1"/>
  <c r="CS73" i="1"/>
  <c r="AT73" i="1"/>
  <c r="AG73" i="1"/>
  <c r="X73" i="1"/>
  <c r="O73" i="1"/>
  <c r="J73" i="1"/>
  <c r="CS72" i="1"/>
  <c r="AT72" i="1"/>
  <c r="AG72" i="1"/>
  <c r="X72" i="1"/>
  <c r="O72" i="1"/>
  <c r="J72" i="1"/>
  <c r="CS71" i="1"/>
  <c r="AT71" i="1"/>
  <c r="AG71" i="1"/>
  <c r="X71" i="1"/>
  <c r="O71" i="1"/>
  <c r="J71" i="1"/>
  <c r="CS70" i="1"/>
  <c r="AT70" i="1"/>
  <c r="AG70" i="1"/>
  <c r="X70" i="1"/>
  <c r="O70" i="1"/>
  <c r="J70" i="1"/>
  <c r="CS69" i="1"/>
  <c r="AT69" i="1"/>
  <c r="AG69" i="1"/>
  <c r="X69" i="1"/>
  <c r="O69" i="1"/>
  <c r="J69" i="1"/>
  <c r="CS68" i="1"/>
  <c r="AT68" i="1"/>
  <c r="AG68" i="1"/>
  <c r="X68" i="1"/>
  <c r="O68" i="1"/>
  <c r="J68" i="1"/>
  <c r="CS67" i="1"/>
  <c r="AT67" i="1"/>
  <c r="AG67" i="1"/>
  <c r="Z67" i="1" s="1"/>
  <c r="DA67" i="1" s="1"/>
  <c r="DD67" i="1" s="1"/>
  <c r="Y67" i="1"/>
  <c r="X67" i="1"/>
  <c r="O67" i="1"/>
  <c r="J67" i="1"/>
  <c r="CS26" i="1"/>
  <c r="AT26" i="1"/>
  <c r="AG26" i="1"/>
  <c r="X26" i="1"/>
  <c r="O26" i="1"/>
  <c r="J26" i="1"/>
  <c r="CS25" i="1"/>
  <c r="AT25" i="1"/>
  <c r="AG25" i="1"/>
  <c r="AX25" i="1" s="1"/>
  <c r="X25" i="1"/>
  <c r="O25" i="1"/>
  <c r="J25" i="1"/>
  <c r="CS24" i="1"/>
  <c r="AT24" i="1"/>
  <c r="AG24" i="1"/>
  <c r="X24" i="1"/>
  <c r="O24" i="1"/>
  <c r="J24" i="1"/>
  <c r="CS23" i="1"/>
  <c r="AT23" i="1"/>
  <c r="AG23" i="1"/>
  <c r="X23" i="1"/>
  <c r="O23" i="1"/>
  <c r="J23" i="1"/>
  <c r="CS22" i="1"/>
  <c r="AT22" i="1"/>
  <c r="AG22" i="1"/>
  <c r="X22" i="1"/>
  <c r="O22" i="1"/>
  <c r="J22" i="1"/>
  <c r="CS19" i="1"/>
  <c r="AT19" i="1"/>
  <c r="AG19" i="1"/>
  <c r="X19" i="1"/>
  <c r="O19" i="1"/>
  <c r="J19" i="1"/>
  <c r="CS18" i="1"/>
  <c r="AT18" i="1"/>
  <c r="AG18" i="1"/>
  <c r="X18" i="1"/>
  <c r="O18" i="1"/>
  <c r="J18" i="1"/>
  <c r="CS80" i="1"/>
  <c r="AT80" i="1"/>
  <c r="AG80" i="1"/>
  <c r="X80" i="1"/>
  <c r="O80" i="1"/>
  <c r="J80" i="1"/>
  <c r="CS30" i="1"/>
  <c r="AT30" i="1"/>
  <c r="AG30" i="1"/>
  <c r="X30" i="1"/>
  <c r="O30" i="1"/>
  <c r="J30" i="1"/>
  <c r="CS29" i="1"/>
  <c r="AT29" i="1"/>
  <c r="AG29" i="1"/>
  <c r="X29" i="1"/>
  <c r="O29" i="1"/>
  <c r="J29" i="1"/>
  <c r="CS56" i="1"/>
  <c r="AT56" i="1"/>
  <c r="AG56" i="1"/>
  <c r="AX56" i="1" s="1"/>
  <c r="X56" i="1"/>
  <c r="O56" i="1"/>
  <c r="J56" i="1"/>
  <c r="CS63" i="1"/>
  <c r="AT63" i="1"/>
  <c r="AG63" i="1"/>
  <c r="X63" i="1"/>
  <c r="O63" i="1"/>
  <c r="J63" i="1"/>
  <c r="CS62" i="1"/>
  <c r="AT62" i="1"/>
  <c r="AG62" i="1"/>
  <c r="X62" i="1"/>
  <c r="O62" i="1"/>
  <c r="J62" i="1"/>
  <c r="CS61" i="1"/>
  <c r="AT61" i="1"/>
  <c r="AG61" i="1"/>
  <c r="X61" i="1"/>
  <c r="O61" i="1"/>
  <c r="J61" i="1"/>
  <c r="CS16" i="1"/>
  <c r="AT16" i="1"/>
  <c r="AG16" i="1"/>
  <c r="X16" i="1"/>
  <c r="O16" i="1"/>
  <c r="J16" i="1"/>
  <c r="CS15" i="1"/>
  <c r="AT15" i="1"/>
  <c r="AG15" i="1"/>
  <c r="X15" i="1"/>
  <c r="O15" i="1"/>
  <c r="J15" i="1"/>
  <c r="CS14" i="1"/>
  <c r="AT14" i="1"/>
  <c r="AG14" i="1"/>
  <c r="X14" i="1"/>
  <c r="O14" i="1"/>
  <c r="J14" i="1"/>
  <c r="CS13" i="1"/>
  <c r="AT13" i="1"/>
  <c r="AG13" i="1"/>
  <c r="AX13" i="1" s="1"/>
  <c r="X13" i="1"/>
  <c r="O13" i="1"/>
  <c r="J13" i="1"/>
  <c r="CS12" i="1"/>
  <c r="AT12" i="1"/>
  <c r="AG12" i="1"/>
  <c r="AX12" i="1" s="1"/>
  <c r="X12" i="1"/>
  <c r="O12" i="1"/>
  <c r="J12" i="1"/>
  <c r="CS11" i="1"/>
  <c r="AT11" i="1"/>
  <c r="AG11" i="1"/>
  <c r="X11" i="1"/>
  <c r="O11" i="1"/>
  <c r="J11" i="1"/>
  <c r="CS52" i="1"/>
  <c r="AT52" i="1"/>
  <c r="AG52" i="1"/>
  <c r="X52" i="1"/>
  <c r="O52" i="1"/>
  <c r="J52" i="1"/>
  <c r="CS51" i="1"/>
  <c r="AT51" i="1"/>
  <c r="AG51" i="1"/>
  <c r="X51" i="1"/>
  <c r="O51" i="1"/>
  <c r="J51" i="1"/>
  <c r="CS50" i="1"/>
  <c r="AT50" i="1"/>
  <c r="AG50" i="1"/>
  <c r="X50" i="1"/>
  <c r="O50" i="1"/>
  <c r="J50" i="1"/>
  <c r="CS49" i="1"/>
  <c r="AT49" i="1"/>
  <c r="AG49" i="1"/>
  <c r="X49" i="1"/>
  <c r="O49" i="1"/>
  <c r="J49" i="1"/>
  <c r="CS48" i="1"/>
  <c r="AT48" i="1"/>
  <c r="AG48" i="1"/>
  <c r="AX48" i="1" s="1"/>
  <c r="X48" i="1"/>
  <c r="O48" i="1"/>
  <c r="J48" i="1"/>
  <c r="CS47" i="1"/>
  <c r="AT47" i="1"/>
  <c r="AG47" i="1"/>
  <c r="X47" i="1"/>
  <c r="O47" i="1"/>
  <c r="J47" i="1"/>
  <c r="CS65" i="1"/>
  <c r="AT65" i="1"/>
  <c r="AG65" i="1"/>
  <c r="X65" i="1"/>
  <c r="O65" i="1"/>
  <c r="J65" i="1"/>
  <c r="CS36" i="1"/>
  <c r="AT36" i="1"/>
  <c r="AG36" i="1"/>
  <c r="X36" i="1"/>
  <c r="O36" i="1"/>
  <c r="J36" i="1"/>
  <c r="CS43" i="1"/>
  <c r="AT43" i="1"/>
  <c r="AG43" i="1"/>
  <c r="X43" i="1"/>
  <c r="O43" i="1"/>
  <c r="J43" i="1"/>
  <c r="CS42" i="1"/>
  <c r="AT42" i="1"/>
  <c r="AG42" i="1"/>
  <c r="X42" i="1"/>
  <c r="O42" i="1"/>
  <c r="J42" i="1"/>
  <c r="CS118" i="1"/>
  <c r="AT118" i="1"/>
  <c r="AG118" i="1"/>
  <c r="X118" i="1"/>
  <c r="O118" i="1"/>
  <c r="J118" i="1"/>
  <c r="CS117" i="1"/>
  <c r="AT117" i="1"/>
  <c r="AG117" i="1"/>
  <c r="X117" i="1"/>
  <c r="O117" i="1"/>
  <c r="J117" i="1"/>
  <c r="CS116" i="1"/>
  <c r="AT116" i="1"/>
  <c r="AG116" i="1"/>
  <c r="X116" i="1"/>
  <c r="O116" i="1"/>
  <c r="J116" i="1"/>
  <c r="CS115" i="1"/>
  <c r="AT115" i="1"/>
  <c r="AG115" i="1"/>
  <c r="X115" i="1"/>
  <c r="O115" i="1"/>
  <c r="J115" i="1"/>
  <c r="CS108" i="1"/>
  <c r="AT108" i="1"/>
  <c r="AG108" i="1"/>
  <c r="X108" i="1"/>
  <c r="O108" i="1"/>
  <c r="J108" i="1"/>
  <c r="CS107" i="1"/>
  <c r="AT107" i="1"/>
  <c r="AG107" i="1"/>
  <c r="X107" i="1"/>
  <c r="O107" i="1"/>
  <c r="J107" i="1"/>
  <c r="CS106" i="1"/>
  <c r="AT106" i="1"/>
  <c r="AG106" i="1"/>
  <c r="AX106" i="1" s="1"/>
  <c r="X106" i="1"/>
  <c r="O106" i="1"/>
  <c r="J106" i="1"/>
  <c r="CS105" i="1"/>
  <c r="AT105" i="1"/>
  <c r="AG105" i="1"/>
  <c r="AX105" i="1" s="1"/>
  <c r="X105" i="1"/>
  <c r="O105" i="1"/>
  <c r="J105" i="1"/>
  <c r="CS104" i="1"/>
  <c r="AT104" i="1"/>
  <c r="AG104" i="1"/>
  <c r="X104" i="1"/>
  <c r="O104" i="1"/>
  <c r="J104" i="1"/>
  <c r="CS103" i="1"/>
  <c r="AT103" i="1"/>
  <c r="AG103" i="1"/>
  <c r="X103" i="1"/>
  <c r="O103" i="1"/>
  <c r="J103" i="1"/>
  <c r="CS102" i="1"/>
  <c r="AT102" i="1"/>
  <c r="AG102" i="1"/>
  <c r="X102" i="1"/>
  <c r="O102" i="1"/>
  <c r="J102" i="1"/>
  <c r="CS54" i="1"/>
  <c r="AT54" i="1"/>
  <c r="AG54" i="1"/>
  <c r="X54" i="1"/>
  <c r="O54" i="1"/>
  <c r="J54" i="1"/>
  <c r="CS98" i="1"/>
  <c r="AT98" i="1"/>
  <c r="AG98" i="1"/>
  <c r="X98" i="1"/>
  <c r="O98" i="1"/>
  <c r="J98" i="1"/>
  <c r="CS97" i="1"/>
  <c r="AT97" i="1"/>
  <c r="AG97" i="1"/>
  <c r="X97" i="1"/>
  <c r="O97" i="1"/>
  <c r="J97" i="1"/>
  <c r="CS96" i="1"/>
  <c r="AT96" i="1"/>
  <c r="AG96" i="1"/>
  <c r="AX96" i="1" s="1"/>
  <c r="X96" i="1"/>
  <c r="O96" i="1"/>
  <c r="J96" i="1"/>
  <c r="CS95" i="1"/>
  <c r="AT95" i="1"/>
  <c r="AG95" i="1"/>
  <c r="X95" i="1"/>
  <c r="O95" i="1"/>
  <c r="J95" i="1"/>
  <c r="CS94" i="1"/>
  <c r="AT94" i="1"/>
  <c r="AG94" i="1"/>
  <c r="X94" i="1"/>
  <c r="O94" i="1"/>
  <c r="J94" i="1"/>
  <c r="CS93" i="1"/>
  <c r="AT93" i="1"/>
  <c r="AG93" i="1"/>
  <c r="X93" i="1"/>
  <c r="O93" i="1"/>
  <c r="J93" i="1"/>
  <c r="J39" i="1"/>
  <c r="O39" i="1"/>
  <c r="X39" i="1"/>
  <c r="AG39" i="1"/>
  <c r="AT39" i="1"/>
  <c r="CS39" i="1"/>
  <c r="J40" i="1"/>
  <c r="O40" i="1"/>
  <c r="X40" i="1"/>
  <c r="AG40" i="1"/>
  <c r="AX40" i="1" s="1"/>
  <c r="AT40" i="1"/>
  <c r="CS40" i="1"/>
  <c r="BW154" i="1" l="1"/>
  <c r="CK154" i="1"/>
  <c r="CI154" i="1"/>
  <c r="BS154" i="1"/>
  <c r="BT154" i="1" s="1"/>
  <c r="DV154" i="1"/>
  <c r="CQ154" i="1" s="1"/>
  <c r="BO155" i="1"/>
  <c r="BM155" i="1"/>
  <c r="BN155" i="1" s="1"/>
  <c r="BT155" i="1"/>
  <c r="CH155" i="1"/>
  <c r="V149" i="1"/>
  <c r="AA149" i="1" s="1"/>
  <c r="DY155" i="1"/>
  <c r="DX155" i="1" s="1"/>
  <c r="DW155" i="1" s="1"/>
  <c r="CW155" i="1"/>
  <c r="CU155" i="1" s="1"/>
  <c r="ED155" i="1"/>
  <c r="EC155" i="1" s="1"/>
  <c r="EB155" i="1" s="1"/>
  <c r="V148" i="1"/>
  <c r="AA148" i="1" s="1"/>
  <c r="BN148" i="1" s="1"/>
  <c r="DC155" i="1"/>
  <c r="DF155" i="1" s="1"/>
  <c r="DD155" i="1"/>
  <c r="DS155" i="1"/>
  <c r="DT155" i="1"/>
  <c r="AB155" i="1"/>
  <c r="AC155" i="1"/>
  <c r="BK155" i="1" s="1"/>
  <c r="BQ152" i="1"/>
  <c r="BO152" i="1"/>
  <c r="BO157" i="1"/>
  <c r="ED157" i="1"/>
  <c r="EC157" i="1" s="1"/>
  <c r="EB157" i="1" s="1"/>
  <c r="EA157" i="1" s="1"/>
  <c r="CT157" i="1" s="1"/>
  <c r="CY150" i="1"/>
  <c r="CW150" i="1" s="1"/>
  <c r="CU150" i="1" s="1"/>
  <c r="BU150" i="1"/>
  <c r="CW157" i="1"/>
  <c r="BT152" i="1"/>
  <c r="BN152" i="1"/>
  <c r="CH152" i="1"/>
  <c r="W152" i="1"/>
  <c r="DC152" i="1"/>
  <c r="DF152" i="1" s="1"/>
  <c r="DD152" i="1"/>
  <c r="DY152" i="1"/>
  <c r="DX152" i="1" s="1"/>
  <c r="DW152" i="1" s="1"/>
  <c r="CW152" i="1"/>
  <c r="CU152" i="1" s="1"/>
  <c r="ED152" i="1"/>
  <c r="EC152" i="1" s="1"/>
  <c r="EB152" i="1" s="1"/>
  <c r="W153" i="1"/>
  <c r="AC153" i="1" s="1"/>
  <c r="CH153" i="1"/>
  <c r="BT153" i="1"/>
  <c r="DF147" i="1"/>
  <c r="ED153" i="1"/>
  <c r="EC153" i="1" s="1"/>
  <c r="EB153" i="1" s="1"/>
  <c r="CW153" i="1"/>
  <c r="DY153" i="1"/>
  <c r="DX153" i="1" s="1"/>
  <c r="DW153" i="1" s="1"/>
  <c r="BS150" i="1"/>
  <c r="BT150" i="1" s="1"/>
  <c r="CW154" i="1"/>
  <c r="CG150" i="1"/>
  <c r="CH150" i="1" s="1"/>
  <c r="W148" i="1"/>
  <c r="AB148" i="1" s="1"/>
  <c r="W147" i="1"/>
  <c r="CU147" i="1" s="1"/>
  <c r="CV147" i="1" s="1"/>
  <c r="CI150" i="1"/>
  <c r="BO153" i="1"/>
  <c r="BQ153" i="1"/>
  <c r="BM153" i="1"/>
  <c r="BN153" i="1" s="1"/>
  <c r="DC153" i="1"/>
  <c r="DD153" i="1"/>
  <c r="ED154" i="1"/>
  <c r="EC154" i="1" s="1"/>
  <c r="EB154" i="1" s="1"/>
  <c r="EA154" i="1" s="1"/>
  <c r="CT154" i="1" s="1"/>
  <c r="DF153" i="1"/>
  <c r="CK150" i="1"/>
  <c r="BQ157" i="1"/>
  <c r="DS157" i="1" s="1"/>
  <c r="AB151" i="1"/>
  <c r="AC151" i="1"/>
  <c r="BK151" i="1" s="1"/>
  <c r="BN154" i="1"/>
  <c r="CH154" i="1"/>
  <c r="W154" i="1"/>
  <c r="BT151" i="1"/>
  <c r="DS154" i="1"/>
  <c r="DT154" i="1"/>
  <c r="CH151" i="1"/>
  <c r="DC154" i="1"/>
  <c r="DD154" i="1"/>
  <c r="BO151" i="1"/>
  <c r="DS151" i="1"/>
  <c r="BM151" i="1"/>
  <c r="BN151" i="1" s="1"/>
  <c r="BM146" i="1"/>
  <c r="BN146" i="1" s="1"/>
  <c r="BO146" i="1"/>
  <c r="BQ146" i="1"/>
  <c r="DY147" i="1"/>
  <c r="DX147" i="1" s="1"/>
  <c r="DW147" i="1" s="1"/>
  <c r="ED147" i="1"/>
  <c r="EC147" i="1" s="1"/>
  <c r="EB147" i="1" s="1"/>
  <c r="AB149" i="1"/>
  <c r="AC149" i="1"/>
  <c r="BK149" i="1" s="1"/>
  <c r="CG148" i="1"/>
  <c r="BU148" i="1"/>
  <c r="CY148" i="1"/>
  <c r="BW148" i="1"/>
  <c r="CK148" i="1"/>
  <c r="CI148" i="1"/>
  <c r="BS148" i="1"/>
  <c r="AC150" i="1"/>
  <c r="AB150" i="1"/>
  <c r="DD150" i="1"/>
  <c r="DC150" i="1"/>
  <c r="BO147" i="1"/>
  <c r="BM147" i="1"/>
  <c r="BN147" i="1" s="1"/>
  <c r="BQ147" i="1"/>
  <c r="CH146" i="1"/>
  <c r="BT146" i="1"/>
  <c r="DS148" i="1"/>
  <c r="DT148" i="1"/>
  <c r="DC151" i="1"/>
  <c r="DD151" i="1"/>
  <c r="BN149" i="1"/>
  <c r="W146" i="1"/>
  <c r="DS150" i="1"/>
  <c r="DT150" i="1"/>
  <c r="DS149" i="1"/>
  <c r="DT149" i="1"/>
  <c r="DC148" i="1"/>
  <c r="DD148" i="1"/>
  <c r="DY146" i="1"/>
  <c r="DX146" i="1" s="1"/>
  <c r="DW146" i="1" s="1"/>
  <c r="ED146" i="1"/>
  <c r="EC146" i="1" s="1"/>
  <c r="EB146" i="1" s="1"/>
  <c r="CW146" i="1"/>
  <c r="BT147" i="1"/>
  <c r="CH147" i="1"/>
  <c r="CW151" i="1"/>
  <c r="ED151" i="1"/>
  <c r="EC151" i="1" s="1"/>
  <c r="EB151" i="1" s="1"/>
  <c r="DY151" i="1"/>
  <c r="DX151" i="1" s="1"/>
  <c r="DW151" i="1" s="1"/>
  <c r="AB147" i="1"/>
  <c r="AC147" i="1"/>
  <c r="DD149" i="1"/>
  <c r="DC149" i="1"/>
  <c r="DF149" i="1" s="1"/>
  <c r="CI149" i="1"/>
  <c r="CY149" i="1"/>
  <c r="CG149" i="1"/>
  <c r="CH149" i="1" s="1"/>
  <c r="BS149" i="1"/>
  <c r="BT149" i="1" s="1"/>
  <c r="CK149" i="1"/>
  <c r="BU149" i="1"/>
  <c r="BW149" i="1"/>
  <c r="DC146" i="1"/>
  <c r="DD146" i="1"/>
  <c r="BN157" i="1"/>
  <c r="BZ157" i="1"/>
  <c r="CH157" i="1"/>
  <c r="BT157" i="1"/>
  <c r="DU157" i="1"/>
  <c r="CM157" i="1" s="1"/>
  <c r="DV157" i="1"/>
  <c r="CQ157" i="1" s="1"/>
  <c r="DC157" i="1"/>
  <c r="DD157" i="1"/>
  <c r="W157" i="1"/>
  <c r="AX97" i="1"/>
  <c r="W97" i="1" s="1"/>
  <c r="DB107" i="1"/>
  <c r="AX107" i="1"/>
  <c r="W107" i="1" s="1"/>
  <c r="Z36" i="1"/>
  <c r="DA36" i="1" s="1"/>
  <c r="DD36" i="1" s="1"/>
  <c r="AX36" i="1"/>
  <c r="W36" i="1" s="1"/>
  <c r="AL11" i="1"/>
  <c r="AX11" i="1"/>
  <c r="W11" i="1" s="1"/>
  <c r="Y30" i="1"/>
  <c r="AX30" i="1"/>
  <c r="W30" i="1" s="1"/>
  <c r="AX26" i="1"/>
  <c r="W26" i="1" s="1"/>
  <c r="AL95" i="1"/>
  <c r="AX95" i="1"/>
  <c r="W95" i="1" s="1"/>
  <c r="AX42" i="1"/>
  <c r="W42" i="1" s="1"/>
  <c r="AL51" i="1"/>
  <c r="AX51" i="1"/>
  <c r="W51" i="1" s="1"/>
  <c r="AL74" i="1"/>
  <c r="AX74" i="1"/>
  <c r="W74" i="1" s="1"/>
  <c r="AJ134" i="1"/>
  <c r="AX134" i="1"/>
  <c r="Y98" i="1"/>
  <c r="AX98" i="1"/>
  <c r="W98" i="1" s="1"/>
  <c r="AL108" i="1"/>
  <c r="AX108" i="1"/>
  <c r="W108" i="1" s="1"/>
  <c r="Y65" i="1"/>
  <c r="AX65" i="1"/>
  <c r="W65" i="1" s="1"/>
  <c r="Z80" i="1"/>
  <c r="DA80" i="1" s="1"/>
  <c r="DC80" i="1" s="1"/>
  <c r="AX80" i="1"/>
  <c r="W80" i="1" s="1"/>
  <c r="Z52" i="1"/>
  <c r="DA52" i="1" s="1"/>
  <c r="DE52" i="1" s="1"/>
  <c r="AX52" i="1"/>
  <c r="W52" i="1" s="1"/>
  <c r="Z75" i="1"/>
  <c r="DA75" i="1" s="1"/>
  <c r="DD75" i="1" s="1"/>
  <c r="AX75" i="1"/>
  <c r="W75" i="1" s="1"/>
  <c r="DB39" i="1"/>
  <c r="AX39" i="1"/>
  <c r="AX61" i="1"/>
  <c r="W61" i="1" s="1"/>
  <c r="DB19" i="1"/>
  <c r="AX19" i="1"/>
  <c r="W19" i="1" s="1"/>
  <c r="AX24" i="1"/>
  <c r="W24" i="1" s="1"/>
  <c r="AL69" i="1"/>
  <c r="AX69" i="1"/>
  <c r="W69" i="1" s="1"/>
  <c r="AJ72" i="1"/>
  <c r="AX72" i="1"/>
  <c r="W72" i="1" s="1"/>
  <c r="Y43" i="1"/>
  <c r="AX43" i="1"/>
  <c r="W43" i="1" s="1"/>
  <c r="AL62" i="1"/>
  <c r="AX62" i="1"/>
  <c r="W62" i="1" s="1"/>
  <c r="Z22" i="1"/>
  <c r="DA22" i="1" s="1"/>
  <c r="DD22" i="1" s="1"/>
  <c r="AX22" i="1"/>
  <c r="W22" i="1" s="1"/>
  <c r="DB67" i="1"/>
  <c r="AX67" i="1"/>
  <c r="W67" i="1" s="1"/>
  <c r="Y54" i="1"/>
  <c r="AX54" i="1"/>
  <c r="W54" i="1" s="1"/>
  <c r="DB115" i="1"/>
  <c r="AX115" i="1"/>
  <c r="W115" i="1" s="1"/>
  <c r="AL47" i="1"/>
  <c r="AX47" i="1"/>
  <c r="W47" i="1" s="1"/>
  <c r="Z29" i="1"/>
  <c r="DA29" i="1" s="1"/>
  <c r="DD29" i="1" s="1"/>
  <c r="AX29" i="1"/>
  <c r="W29" i="1" s="1"/>
  <c r="AL70" i="1"/>
  <c r="AX70" i="1"/>
  <c r="W70" i="1" s="1"/>
  <c r="AL127" i="1"/>
  <c r="AX127" i="1"/>
  <c r="DB63" i="1"/>
  <c r="AX63" i="1"/>
  <c r="W63" i="1" s="1"/>
  <c r="AL93" i="1"/>
  <c r="AX93" i="1"/>
  <c r="W93" i="1" s="1"/>
  <c r="Z117" i="1"/>
  <c r="DA117" i="1" s="1"/>
  <c r="DD117" i="1" s="1"/>
  <c r="AX117" i="1"/>
  <c r="W117" i="1" s="1"/>
  <c r="AX15" i="1"/>
  <c r="W15" i="1" s="1"/>
  <c r="Z102" i="1"/>
  <c r="DA102" i="1" s="1"/>
  <c r="DC102" i="1" s="1"/>
  <c r="AX102" i="1"/>
  <c r="W102" i="1" s="1"/>
  <c r="DB14" i="1"/>
  <c r="AX14" i="1"/>
  <c r="W14" i="1" s="1"/>
  <c r="AL71" i="1"/>
  <c r="AX71" i="1"/>
  <c r="W71" i="1" s="1"/>
  <c r="Z103" i="1"/>
  <c r="DA103" i="1" s="1"/>
  <c r="DC103" i="1" s="1"/>
  <c r="AX103" i="1"/>
  <c r="W103" i="1" s="1"/>
  <c r="DB49" i="1"/>
  <c r="AX49" i="1"/>
  <c r="W49" i="1" s="1"/>
  <c r="AX94" i="1"/>
  <c r="W94" i="1" s="1"/>
  <c r="AX104" i="1"/>
  <c r="W104" i="1" s="1"/>
  <c r="Y118" i="1"/>
  <c r="AX118" i="1"/>
  <c r="W118" i="1" s="1"/>
  <c r="Z50" i="1"/>
  <c r="DA50" i="1" s="1"/>
  <c r="DC50" i="1" s="1"/>
  <c r="AX50" i="1"/>
  <c r="W50" i="1" s="1"/>
  <c r="Y16" i="1"/>
  <c r="AX16" i="1"/>
  <c r="W16" i="1" s="1"/>
  <c r="AX18" i="1"/>
  <c r="W18" i="1" s="1"/>
  <c r="AL73" i="1"/>
  <c r="AX73" i="1"/>
  <c r="W73" i="1" s="1"/>
  <c r="DB23" i="1"/>
  <c r="AX23" i="1"/>
  <c r="W23" i="1" s="1"/>
  <c r="Z68" i="1"/>
  <c r="DA68" i="1" s="1"/>
  <c r="DE68" i="1" s="1"/>
  <c r="AX68" i="1"/>
  <c r="W68" i="1" s="1"/>
  <c r="DB116" i="1"/>
  <c r="AX116" i="1"/>
  <c r="W116" i="1" s="1"/>
  <c r="AJ140" i="1"/>
  <c r="AX140" i="1"/>
  <c r="AV127" i="1"/>
  <c r="AJ127" i="1"/>
  <c r="Z14" i="1"/>
  <c r="DA14" i="1" s="1"/>
  <c r="DE14" i="1" s="1"/>
  <c r="Z24" i="1"/>
  <c r="DA24" i="1" s="1"/>
  <c r="DD24" i="1" s="1"/>
  <c r="Y71" i="1"/>
  <c r="Y73" i="1"/>
  <c r="Z47" i="1"/>
  <c r="DA47" i="1" s="1"/>
  <c r="DC47" i="1" s="1"/>
  <c r="Y70" i="1"/>
  <c r="Y127" i="1"/>
  <c r="DB74" i="1"/>
  <c r="DB71" i="1"/>
  <c r="Z127" i="1"/>
  <c r="DA127" i="1" s="1"/>
  <c r="DE127" i="1" s="1"/>
  <c r="AJ71" i="1"/>
  <c r="DB70" i="1"/>
  <c r="Y134" i="1"/>
  <c r="DB134" i="1"/>
  <c r="Z134" i="1"/>
  <c r="DA134" i="1" s="1"/>
  <c r="DE134" i="1" s="1"/>
  <c r="DB75" i="1"/>
  <c r="Y22" i="1"/>
  <c r="AV134" i="1"/>
  <c r="Y68" i="1"/>
  <c r="Y18" i="1"/>
  <c r="AL134" i="1"/>
  <c r="Z18" i="1"/>
  <c r="DA18" i="1" s="1"/>
  <c r="DC18" i="1" s="1"/>
  <c r="DB69" i="1"/>
  <c r="Z73" i="1"/>
  <c r="DA73" i="1" s="1"/>
  <c r="DC73" i="1" s="1"/>
  <c r="DB73" i="1"/>
  <c r="Z70" i="1"/>
  <c r="DA70" i="1" s="1"/>
  <c r="DD70" i="1" s="1"/>
  <c r="Z71" i="1"/>
  <c r="DA71" i="1" s="1"/>
  <c r="DD71" i="1" s="1"/>
  <c r="Y140" i="1"/>
  <c r="AV140" i="1"/>
  <c r="AL140" i="1"/>
  <c r="Z140" i="1"/>
  <c r="DA140" i="1" s="1"/>
  <c r="DE140" i="1" s="1"/>
  <c r="DB140" i="1"/>
  <c r="AJ74" i="1"/>
  <c r="Z74" i="1"/>
  <c r="DA74" i="1" s="1"/>
  <c r="Y74" i="1"/>
  <c r="DC67" i="1"/>
  <c r="Y75" i="1"/>
  <c r="AJ69" i="1"/>
  <c r="AL75" i="1"/>
  <c r="AJ75" i="1"/>
  <c r="Z72" i="1"/>
  <c r="DA72" i="1" s="1"/>
  <c r="Y72" i="1"/>
  <c r="DB72" i="1"/>
  <c r="DB68" i="1"/>
  <c r="AJ68" i="1"/>
  <c r="AL68" i="1"/>
  <c r="AL72" i="1"/>
  <c r="Z69" i="1"/>
  <c r="DA69" i="1" s="1"/>
  <c r="Y69" i="1"/>
  <c r="AL67" i="1"/>
  <c r="DE67" i="1"/>
  <c r="AJ67" i="1"/>
  <c r="AJ70" i="1"/>
  <c r="AJ73" i="1"/>
  <c r="Y62" i="1"/>
  <c r="Z62" i="1"/>
  <c r="DA62" i="1" s="1"/>
  <c r="DD62" i="1" s="1"/>
  <c r="Z106" i="1"/>
  <c r="DA106" i="1" s="1"/>
  <c r="DC106" i="1" s="1"/>
  <c r="Y106" i="1"/>
  <c r="Z12" i="1"/>
  <c r="DA12" i="1" s="1"/>
  <c r="DD12" i="1" s="1"/>
  <c r="Y12" i="1"/>
  <c r="Y14" i="1"/>
  <c r="Z16" i="1"/>
  <c r="DA16" i="1" s="1"/>
  <c r="DD16" i="1" s="1"/>
  <c r="Y24" i="1"/>
  <c r="DB26" i="1"/>
  <c r="Z30" i="1"/>
  <c r="DA30" i="1" s="1"/>
  <c r="DC30" i="1" s="1"/>
  <c r="DB24" i="1"/>
  <c r="AL24" i="1"/>
  <c r="AJ30" i="1"/>
  <c r="Z26" i="1"/>
  <c r="DA26" i="1" s="1"/>
  <c r="DE26" i="1" s="1"/>
  <c r="AJ24" i="1"/>
  <c r="W25" i="1"/>
  <c r="AL25" i="1"/>
  <c r="AJ25" i="1"/>
  <c r="DB25" i="1"/>
  <c r="Z25" i="1"/>
  <c r="DA25" i="1" s="1"/>
  <c r="Y25" i="1"/>
  <c r="Z23" i="1"/>
  <c r="DA23" i="1" s="1"/>
  <c r="DE23" i="1" s="1"/>
  <c r="Y23" i="1"/>
  <c r="AJ22" i="1"/>
  <c r="Y26" i="1"/>
  <c r="AJ23" i="1"/>
  <c r="AJ26" i="1"/>
  <c r="AL22" i="1"/>
  <c r="DB22" i="1"/>
  <c r="AL23" i="1"/>
  <c r="AL26" i="1"/>
  <c r="Y56" i="1"/>
  <c r="Z56" i="1"/>
  <c r="DA56" i="1" s="1"/>
  <c r="DE56" i="1" s="1"/>
  <c r="DB18" i="1"/>
  <c r="Y80" i="1"/>
  <c r="DB80" i="1"/>
  <c r="Z19" i="1"/>
  <c r="DA19" i="1" s="1"/>
  <c r="DE19" i="1" s="1"/>
  <c r="Y19" i="1"/>
  <c r="DB29" i="1"/>
  <c r="AJ19" i="1"/>
  <c r="AJ18" i="1"/>
  <c r="AL18" i="1"/>
  <c r="AL19" i="1"/>
  <c r="AJ80" i="1"/>
  <c r="AL80" i="1"/>
  <c r="Z61" i="1"/>
  <c r="DA61" i="1" s="1"/>
  <c r="DC61" i="1" s="1"/>
  <c r="Z118" i="1"/>
  <c r="DA118" i="1" s="1"/>
  <c r="DD118" i="1" s="1"/>
  <c r="AL30" i="1"/>
  <c r="AJ29" i="1"/>
  <c r="AL29" i="1"/>
  <c r="Z11" i="1"/>
  <c r="DA11" i="1" s="1"/>
  <c r="DD11" i="1" s="1"/>
  <c r="DB30" i="1"/>
  <c r="Y29" i="1"/>
  <c r="DB56" i="1"/>
  <c r="Y36" i="1"/>
  <c r="Z98" i="1"/>
  <c r="DA98" i="1" s="1"/>
  <c r="DE98" i="1" s="1"/>
  <c r="Y61" i="1"/>
  <c r="Z63" i="1"/>
  <c r="DA63" i="1" s="1"/>
  <c r="DD63" i="1" s="1"/>
  <c r="Y15" i="1"/>
  <c r="Z42" i="1"/>
  <c r="DA42" i="1" s="1"/>
  <c r="DE42" i="1" s="1"/>
  <c r="Y11" i="1"/>
  <c r="Z15" i="1"/>
  <c r="DA15" i="1" s="1"/>
  <c r="DE15" i="1" s="1"/>
  <c r="AJ56" i="1"/>
  <c r="W56" i="1"/>
  <c r="AL56" i="1"/>
  <c r="DB15" i="1"/>
  <c r="AL61" i="1"/>
  <c r="DB62" i="1"/>
  <c r="DB61" i="1"/>
  <c r="AJ63" i="1"/>
  <c r="Y63" i="1"/>
  <c r="AL63" i="1"/>
  <c r="AJ62" i="1"/>
  <c r="AJ61" i="1"/>
  <c r="DB117" i="1"/>
  <c r="Y117" i="1"/>
  <c r="DB11" i="1"/>
  <c r="AL14" i="1"/>
  <c r="Z13" i="1"/>
  <c r="DA13" i="1" s="1"/>
  <c r="DE13" i="1" s="1"/>
  <c r="Y13" i="1"/>
  <c r="DB13" i="1"/>
  <c r="W13" i="1"/>
  <c r="AJ13" i="1"/>
  <c r="AL13" i="1"/>
  <c r="AJ12" i="1"/>
  <c r="W12" i="1"/>
  <c r="AJ15" i="1"/>
  <c r="DB12" i="1"/>
  <c r="AL15" i="1"/>
  <c r="AL16" i="1"/>
  <c r="AL12" i="1"/>
  <c r="DB16" i="1"/>
  <c r="AJ16" i="1"/>
  <c r="AJ11" i="1"/>
  <c r="AJ14" i="1"/>
  <c r="Y107" i="1"/>
  <c r="Y47" i="1"/>
  <c r="DB51" i="1"/>
  <c r="DB52" i="1"/>
  <c r="Z104" i="1"/>
  <c r="DA104" i="1" s="1"/>
  <c r="DC104" i="1" s="1"/>
  <c r="DB47" i="1"/>
  <c r="Y102" i="1"/>
  <c r="Z43" i="1"/>
  <c r="DA43" i="1" s="1"/>
  <c r="DC43" i="1" s="1"/>
  <c r="Y51" i="1"/>
  <c r="AL50" i="1"/>
  <c r="Y116" i="1"/>
  <c r="Y50" i="1"/>
  <c r="Z51" i="1"/>
  <c r="DA51" i="1" s="1"/>
  <c r="DD51" i="1" s="1"/>
  <c r="DB50" i="1"/>
  <c r="AJ47" i="1"/>
  <c r="AL48" i="1"/>
  <c r="W48" i="1"/>
  <c r="AJ48" i="1"/>
  <c r="Z48" i="1"/>
  <c r="DA48" i="1" s="1"/>
  <c r="DB48" i="1"/>
  <c r="Y48" i="1"/>
  <c r="Z49" i="1"/>
  <c r="DA49" i="1" s="1"/>
  <c r="Y49" i="1"/>
  <c r="AJ49" i="1"/>
  <c r="AL49" i="1"/>
  <c r="Y52" i="1"/>
  <c r="AJ52" i="1"/>
  <c r="AL52" i="1"/>
  <c r="AJ51" i="1"/>
  <c r="AJ50" i="1"/>
  <c r="Z116" i="1"/>
  <c r="DA116" i="1" s="1"/>
  <c r="DC116" i="1" s="1"/>
  <c r="Y103" i="1"/>
  <c r="AJ36" i="1"/>
  <c r="DB36" i="1"/>
  <c r="DB65" i="1"/>
  <c r="AL36" i="1"/>
  <c r="DB43" i="1"/>
  <c r="Y104" i="1"/>
  <c r="Z65" i="1"/>
  <c r="DA65" i="1" s="1"/>
  <c r="DE65" i="1" s="1"/>
  <c r="AL65" i="1"/>
  <c r="AJ65" i="1"/>
  <c r="AJ42" i="1"/>
  <c r="DB42" i="1"/>
  <c r="AJ43" i="1"/>
  <c r="AL43" i="1"/>
  <c r="Y42" i="1"/>
  <c r="AL42" i="1"/>
  <c r="AL116" i="1"/>
  <c r="Z107" i="1"/>
  <c r="DA107" i="1" s="1"/>
  <c r="DC107" i="1" s="1"/>
  <c r="AL102" i="1"/>
  <c r="DB102" i="1"/>
  <c r="DB118" i="1"/>
  <c r="AJ115" i="1"/>
  <c r="Z115" i="1"/>
  <c r="DA115" i="1" s="1"/>
  <c r="Y115" i="1"/>
  <c r="AL115" i="1"/>
  <c r="AL118" i="1"/>
  <c r="AJ117" i="1"/>
  <c r="AL117" i="1"/>
  <c r="AJ118" i="1"/>
  <c r="AJ116" i="1"/>
  <c r="DB105" i="1"/>
  <c r="W105" i="1"/>
  <c r="AL105" i="1"/>
  <c r="AJ105" i="1"/>
  <c r="AL96" i="1"/>
  <c r="Z96" i="1"/>
  <c r="DA96" i="1" s="1"/>
  <c r="DC96" i="1" s="1"/>
  <c r="Y96" i="1"/>
  <c r="DB106" i="1"/>
  <c r="W106" i="1"/>
  <c r="AJ106" i="1"/>
  <c r="AL106" i="1"/>
  <c r="AJ108" i="1"/>
  <c r="AJ102" i="1"/>
  <c r="DB104" i="1"/>
  <c r="AL103" i="1"/>
  <c r="AJ103" i="1"/>
  <c r="DB103" i="1"/>
  <c r="Y108" i="1"/>
  <c r="DB108" i="1"/>
  <c r="Z108" i="1"/>
  <c r="DA108" i="1" s="1"/>
  <c r="AJ104" i="1"/>
  <c r="AL104" i="1"/>
  <c r="AL107" i="1"/>
  <c r="AJ107" i="1"/>
  <c r="Z105" i="1"/>
  <c r="DA105" i="1" s="1"/>
  <c r="Y105" i="1"/>
  <c r="Y94" i="1"/>
  <c r="Z97" i="1"/>
  <c r="DA97" i="1" s="1"/>
  <c r="DE97" i="1" s="1"/>
  <c r="Y93" i="1"/>
  <c r="DB54" i="1"/>
  <c r="Z54" i="1"/>
  <c r="DA54" i="1" s="1"/>
  <c r="DC54" i="1" s="1"/>
  <c r="AJ54" i="1"/>
  <c r="AL54" i="1"/>
  <c r="AJ97" i="1"/>
  <c r="AJ98" i="1"/>
  <c r="AL98" i="1"/>
  <c r="W96" i="1"/>
  <c r="DB94" i="1"/>
  <c r="DB95" i="1"/>
  <c r="DB97" i="1"/>
  <c r="DB98" i="1"/>
  <c r="Z95" i="1"/>
  <c r="DA95" i="1" s="1"/>
  <c r="DE95" i="1" s="1"/>
  <c r="Y95" i="1"/>
  <c r="AJ95" i="1"/>
  <c r="Z94" i="1"/>
  <c r="DA94" i="1" s="1"/>
  <c r="Y97" i="1"/>
  <c r="AJ94" i="1"/>
  <c r="Z93" i="1"/>
  <c r="DA93" i="1" s="1"/>
  <c r="AL94" i="1"/>
  <c r="DB93" i="1"/>
  <c r="AL97" i="1"/>
  <c r="DB96" i="1"/>
  <c r="AJ93" i="1"/>
  <c r="AJ96" i="1"/>
  <c r="AV40" i="1"/>
  <c r="W40" i="1" s="1"/>
  <c r="AL40" i="1"/>
  <c r="AJ40" i="1"/>
  <c r="AJ39" i="1"/>
  <c r="Y39" i="1"/>
  <c r="Z39" i="1"/>
  <c r="DA39" i="1" s="1"/>
  <c r="DE39" i="1" s="1"/>
  <c r="AL39" i="1"/>
  <c r="AV39" i="1"/>
  <c r="DB40" i="1"/>
  <c r="Z40" i="1"/>
  <c r="DA40" i="1" s="1"/>
  <c r="DE40" i="1" s="1"/>
  <c r="Y40" i="1"/>
  <c r="DO155" i="1" l="1"/>
  <c r="DY150" i="1"/>
  <c r="DX150" i="1" s="1"/>
  <c r="DW150" i="1" s="1"/>
  <c r="DQ155" i="1"/>
  <c r="ED150" i="1"/>
  <c r="EC150" i="1" s="1"/>
  <c r="EB150" i="1" s="1"/>
  <c r="DG155" i="1"/>
  <c r="AC148" i="1"/>
  <c r="CR155" i="1"/>
  <c r="DH155" i="1" s="1"/>
  <c r="CN155" i="1"/>
  <c r="DP155" i="1"/>
  <c r="CH148" i="1"/>
  <c r="DZ155" i="1"/>
  <c r="CP155" i="1" s="1"/>
  <c r="EA155" i="1"/>
  <c r="CT155" i="1" s="1"/>
  <c r="BT148" i="1"/>
  <c r="CV155" i="1"/>
  <c r="CL155" i="1"/>
  <c r="BX155" i="1"/>
  <c r="BL155" i="1"/>
  <c r="CZ155" i="1"/>
  <c r="EE155" i="1" s="1"/>
  <c r="BR155" i="1"/>
  <c r="DV155" i="1"/>
  <c r="CQ155" i="1" s="1"/>
  <c r="DU155" i="1"/>
  <c r="CM155" i="1" s="1"/>
  <c r="BV155" i="1"/>
  <c r="CJ155" i="1"/>
  <c r="BP155" i="1"/>
  <c r="CX155" i="1"/>
  <c r="CU154" i="1"/>
  <c r="CV154" i="1" s="1"/>
  <c r="DZ157" i="1"/>
  <c r="CP157" i="1" s="1"/>
  <c r="DS152" i="1"/>
  <c r="DT152" i="1"/>
  <c r="DQ150" i="1"/>
  <c r="DP151" i="1"/>
  <c r="BX151" i="1"/>
  <c r="DP153" i="1"/>
  <c r="DQ153" i="1"/>
  <c r="DO153" i="1"/>
  <c r="DG153" i="1"/>
  <c r="CR152" i="1"/>
  <c r="DH152" i="1" s="1"/>
  <c r="CN152" i="1"/>
  <c r="BV151" i="1"/>
  <c r="AB153" i="1"/>
  <c r="BP153" i="1" s="1"/>
  <c r="BK153" i="1"/>
  <c r="CV152" i="1"/>
  <c r="CU153" i="1"/>
  <c r="CN153" i="1" s="1"/>
  <c r="DU152" i="1"/>
  <c r="CM152" i="1" s="1"/>
  <c r="DV152" i="1"/>
  <c r="CQ152" i="1" s="1"/>
  <c r="AB152" i="1"/>
  <c r="AC152" i="1"/>
  <c r="BK152" i="1" s="1"/>
  <c r="DZ152" i="1"/>
  <c r="CP152" i="1" s="1"/>
  <c r="EA152" i="1"/>
  <c r="CT152" i="1" s="1"/>
  <c r="CJ151" i="1"/>
  <c r="DU153" i="1"/>
  <c r="CM153" i="1" s="1"/>
  <c r="DV153" i="1"/>
  <c r="CQ153" i="1" s="1"/>
  <c r="DZ154" i="1"/>
  <c r="CP154" i="1" s="1"/>
  <c r="CL153" i="1"/>
  <c r="CZ153" i="1"/>
  <c r="EE153" i="1" s="1"/>
  <c r="BX153" i="1"/>
  <c r="BR153" i="1"/>
  <c r="BL153" i="1"/>
  <c r="DS153" i="1"/>
  <c r="DT153" i="1"/>
  <c r="BV153" i="1"/>
  <c r="BL151" i="1"/>
  <c r="DT157" i="1"/>
  <c r="EA153" i="1"/>
  <c r="CT153" i="1" s="1"/>
  <c r="DZ153" i="1"/>
  <c r="CP153" i="1" s="1"/>
  <c r="DF148" i="1"/>
  <c r="DQ151" i="1"/>
  <c r="DF154" i="1"/>
  <c r="DO151" i="1"/>
  <c r="CZ151" i="1"/>
  <c r="EE151" i="1" s="1"/>
  <c r="BR151" i="1"/>
  <c r="BP151" i="1"/>
  <c r="CL151" i="1"/>
  <c r="DF150" i="1"/>
  <c r="DG150" i="1" s="1"/>
  <c r="AB154" i="1"/>
  <c r="AC154" i="1"/>
  <c r="DP150" i="1"/>
  <c r="BK150" i="1"/>
  <c r="DF146" i="1"/>
  <c r="DO150" i="1"/>
  <c r="DS146" i="1"/>
  <c r="DT146" i="1"/>
  <c r="EA147" i="1"/>
  <c r="CT147" i="1" s="1"/>
  <c r="DZ147" i="1"/>
  <c r="CP147" i="1" s="1"/>
  <c r="DU147" i="1"/>
  <c r="CM147" i="1" s="1"/>
  <c r="DV147" i="1"/>
  <c r="CQ147" i="1" s="1"/>
  <c r="DG149" i="1"/>
  <c r="BP147" i="1"/>
  <c r="CX147" i="1"/>
  <c r="CJ147" i="1"/>
  <c r="BV147" i="1"/>
  <c r="CU146" i="1"/>
  <c r="DZ146" i="1"/>
  <c r="CP146" i="1" s="1"/>
  <c r="EA146" i="1"/>
  <c r="CT146" i="1" s="1"/>
  <c r="DZ150" i="1"/>
  <c r="CP150" i="1" s="1"/>
  <c r="EA150" i="1"/>
  <c r="CT150" i="1" s="1"/>
  <c r="DU146" i="1"/>
  <c r="CM146" i="1" s="1"/>
  <c r="DV146" i="1"/>
  <c r="CQ146" i="1" s="1"/>
  <c r="BL149" i="1"/>
  <c r="BR149" i="1"/>
  <c r="CZ149" i="1"/>
  <c r="EE149" i="1" s="1"/>
  <c r="CL149" i="1"/>
  <c r="BX149" i="1"/>
  <c r="DF157" i="1"/>
  <c r="CW148" i="1"/>
  <c r="CU148" i="1" s="1"/>
  <c r="ED148" i="1"/>
  <c r="EC148" i="1" s="1"/>
  <c r="EB148" i="1" s="1"/>
  <c r="DY148" i="1"/>
  <c r="DX148" i="1" s="1"/>
  <c r="DW148" i="1" s="1"/>
  <c r="DT147" i="1"/>
  <c r="DS147" i="1"/>
  <c r="CN150" i="1"/>
  <c r="CR150" i="1"/>
  <c r="DH150" i="1" s="1"/>
  <c r="CV150" i="1"/>
  <c r="BP149" i="1"/>
  <c r="CJ149" i="1"/>
  <c r="BV149" i="1"/>
  <c r="BX147" i="1"/>
  <c r="BR147" i="1"/>
  <c r="CZ147" i="1"/>
  <c r="EE147" i="1" s="1"/>
  <c r="DO147" i="1"/>
  <c r="DP147" i="1"/>
  <c r="DQ147" i="1"/>
  <c r="CL147" i="1"/>
  <c r="BL147" i="1"/>
  <c r="BK147" i="1"/>
  <c r="DU151" i="1"/>
  <c r="CM151" i="1" s="1"/>
  <c r="DV151" i="1"/>
  <c r="CQ151" i="1" s="1"/>
  <c r="DZ151" i="1"/>
  <c r="CP151" i="1" s="1"/>
  <c r="EA151" i="1"/>
  <c r="CT151" i="1" s="1"/>
  <c r="BP150" i="1"/>
  <c r="CX150" i="1"/>
  <c r="CJ150" i="1"/>
  <c r="BV150" i="1"/>
  <c r="DO149" i="1"/>
  <c r="DY149" i="1"/>
  <c r="DX149" i="1" s="1"/>
  <c r="DW149" i="1" s="1"/>
  <c r="ED149" i="1"/>
  <c r="EC149" i="1" s="1"/>
  <c r="EB149" i="1" s="1"/>
  <c r="CW149" i="1"/>
  <c r="CU149" i="1" s="1"/>
  <c r="DP149" i="1"/>
  <c r="DQ149" i="1"/>
  <c r="DG147" i="1"/>
  <c r="DU150" i="1"/>
  <c r="CM150" i="1" s="1"/>
  <c r="DV150" i="1"/>
  <c r="CQ150" i="1" s="1"/>
  <c r="CU151" i="1"/>
  <c r="CX151" i="1"/>
  <c r="CL150" i="1"/>
  <c r="CZ150" i="1"/>
  <c r="EE150" i="1" s="1"/>
  <c r="BR150" i="1"/>
  <c r="BL150" i="1"/>
  <c r="BX150" i="1"/>
  <c r="BP148" i="1"/>
  <c r="BV148" i="1"/>
  <c r="CJ148" i="1"/>
  <c r="CN147" i="1"/>
  <c r="CR147" i="1"/>
  <c r="DH147" i="1" s="1"/>
  <c r="AB146" i="1"/>
  <c r="AC146" i="1"/>
  <c r="BK146" i="1" s="1"/>
  <c r="DF151" i="1"/>
  <c r="DG151" i="1" s="1"/>
  <c r="AB157" i="1"/>
  <c r="AC157" i="1"/>
  <c r="BK157" i="1" s="1"/>
  <c r="CU157" i="1"/>
  <c r="DD102" i="1"/>
  <c r="V134" i="1"/>
  <c r="AA134" i="1" s="1"/>
  <c r="DE117" i="1"/>
  <c r="DC117" i="1"/>
  <c r="DD50" i="1"/>
  <c r="DC36" i="1"/>
  <c r="DC24" i="1"/>
  <c r="DC22" i="1"/>
  <c r="DE75" i="1"/>
  <c r="DE22" i="1"/>
  <c r="DF22" i="1" s="1"/>
  <c r="V74" i="1"/>
  <c r="AA74" i="1" s="1"/>
  <c r="DE36" i="1"/>
  <c r="DE50" i="1"/>
  <c r="W127" i="1"/>
  <c r="V51" i="1"/>
  <c r="AA51" i="1" s="1"/>
  <c r="V127" i="1"/>
  <c r="AA127" i="1" s="1"/>
  <c r="V47" i="1"/>
  <c r="AA47" i="1" s="1"/>
  <c r="V11" i="1"/>
  <c r="AA11" i="1" s="1"/>
  <c r="V108" i="1"/>
  <c r="AA108" i="1" s="1"/>
  <c r="V62" i="1"/>
  <c r="AA62" i="1" s="1"/>
  <c r="V93" i="1"/>
  <c r="AA93" i="1" s="1"/>
  <c r="DD68" i="1"/>
  <c r="DE80" i="1"/>
  <c r="V69" i="1"/>
  <c r="AA69" i="1" s="1"/>
  <c r="DD52" i="1"/>
  <c r="V71" i="1"/>
  <c r="AA71" i="1" s="1"/>
  <c r="DD80" i="1"/>
  <c r="DD14" i="1"/>
  <c r="DC29" i="1"/>
  <c r="DE29" i="1"/>
  <c r="DC75" i="1"/>
  <c r="DC68" i="1"/>
  <c r="V72" i="1"/>
  <c r="AA72" i="1" s="1"/>
  <c r="V95" i="1"/>
  <c r="AA95" i="1" s="1"/>
  <c r="DC14" i="1"/>
  <c r="DE102" i="1"/>
  <c r="DD103" i="1"/>
  <c r="DE24" i="1"/>
  <c r="DC52" i="1"/>
  <c r="DE103" i="1"/>
  <c r="DE47" i="1"/>
  <c r="V73" i="1"/>
  <c r="AA73" i="1" s="1"/>
  <c r="V70" i="1"/>
  <c r="AB70" i="1" s="1"/>
  <c r="V140" i="1"/>
  <c r="AA140" i="1" s="1"/>
  <c r="DD47" i="1"/>
  <c r="DC127" i="1"/>
  <c r="DD127" i="1"/>
  <c r="DE12" i="1"/>
  <c r="DE73" i="1"/>
  <c r="DD18" i="1"/>
  <c r="DE18" i="1"/>
  <c r="V75" i="1"/>
  <c r="AA75" i="1" s="1"/>
  <c r="DE62" i="1"/>
  <c r="V19" i="1"/>
  <c r="AA19" i="1" s="1"/>
  <c r="V67" i="1"/>
  <c r="AA67" i="1" s="1"/>
  <c r="V105" i="1"/>
  <c r="AA105" i="1" s="1"/>
  <c r="DF67" i="1"/>
  <c r="W134" i="1"/>
  <c r="DC70" i="1"/>
  <c r="DD134" i="1"/>
  <c r="DC134" i="1"/>
  <c r="DD73" i="1"/>
  <c r="V25" i="1"/>
  <c r="AA25" i="1" s="1"/>
  <c r="DD106" i="1"/>
  <c r="DC62" i="1"/>
  <c r="W140" i="1"/>
  <c r="DE106" i="1"/>
  <c r="DC12" i="1"/>
  <c r="DC71" i="1"/>
  <c r="DE70" i="1"/>
  <c r="DE71" i="1"/>
  <c r="DC140" i="1"/>
  <c r="DD140" i="1"/>
  <c r="V68" i="1"/>
  <c r="AA68" i="1" s="1"/>
  <c r="DD30" i="1"/>
  <c r="DE30" i="1"/>
  <c r="DE74" i="1"/>
  <c r="DC74" i="1"/>
  <c r="DD74" i="1"/>
  <c r="DC69" i="1"/>
  <c r="DD69" i="1"/>
  <c r="DD72" i="1"/>
  <c r="DC72" i="1"/>
  <c r="DE72" i="1"/>
  <c r="DE69" i="1"/>
  <c r="DE16" i="1"/>
  <c r="DC16" i="1"/>
  <c r="V23" i="1"/>
  <c r="AB23" i="1" s="1"/>
  <c r="DC26" i="1"/>
  <c r="DD56" i="1"/>
  <c r="DD26" i="1"/>
  <c r="V30" i="1"/>
  <c r="AA30" i="1" s="1"/>
  <c r="DC56" i="1"/>
  <c r="V24" i="1"/>
  <c r="V26" i="1"/>
  <c r="AB26" i="1" s="1"/>
  <c r="V22" i="1"/>
  <c r="AA22" i="1" s="1"/>
  <c r="DD23" i="1"/>
  <c r="DC23" i="1"/>
  <c r="DD25" i="1"/>
  <c r="DC25" i="1"/>
  <c r="DE25" i="1"/>
  <c r="DD19" i="1"/>
  <c r="DC19" i="1"/>
  <c r="V80" i="1"/>
  <c r="AA80" i="1" s="1"/>
  <c r="V18" i="1"/>
  <c r="DE11" i="1"/>
  <c r="V29" i="1"/>
  <c r="AA29" i="1" s="1"/>
  <c r="DE118" i="1"/>
  <c r="DE63" i="1"/>
  <c r="DC63" i="1"/>
  <c r="DC118" i="1"/>
  <c r="V61" i="1"/>
  <c r="AA61" i="1" s="1"/>
  <c r="DC11" i="1"/>
  <c r="DD61" i="1"/>
  <c r="DE61" i="1"/>
  <c r="V13" i="1"/>
  <c r="AA13" i="1" s="1"/>
  <c r="DD15" i="1"/>
  <c r="V63" i="1"/>
  <c r="AA63" i="1" s="1"/>
  <c r="V16" i="1"/>
  <c r="AA16" i="1" s="1"/>
  <c r="DC98" i="1"/>
  <c r="DD98" i="1"/>
  <c r="DD42" i="1"/>
  <c r="V56" i="1"/>
  <c r="AA56" i="1" s="1"/>
  <c r="DC42" i="1"/>
  <c r="DC15" i="1"/>
  <c r="V15" i="1"/>
  <c r="AA15" i="1" s="1"/>
  <c r="V12" i="1"/>
  <c r="AA12" i="1" s="1"/>
  <c r="DD43" i="1"/>
  <c r="DE43" i="1"/>
  <c r="V14" i="1"/>
  <c r="AA14" i="1" s="1"/>
  <c r="V106" i="1"/>
  <c r="AA106" i="1" s="1"/>
  <c r="DD13" i="1"/>
  <c r="DC13" i="1"/>
  <c r="V48" i="1"/>
  <c r="AA48" i="1" s="1"/>
  <c r="V52" i="1"/>
  <c r="AA52" i="1" s="1"/>
  <c r="DE51" i="1"/>
  <c r="DD104" i="1"/>
  <c r="V65" i="1"/>
  <c r="AA65" i="1" s="1"/>
  <c r="V50" i="1"/>
  <c r="AA50" i="1" s="1"/>
  <c r="DE104" i="1"/>
  <c r="DC51" i="1"/>
  <c r="V49" i="1"/>
  <c r="AA49" i="1" s="1"/>
  <c r="V36" i="1"/>
  <c r="AA36" i="1" s="1"/>
  <c r="V103" i="1"/>
  <c r="AA103" i="1" s="1"/>
  <c r="DC48" i="1"/>
  <c r="DD48" i="1"/>
  <c r="DE48" i="1"/>
  <c r="DE49" i="1"/>
  <c r="DD49" i="1"/>
  <c r="DC49" i="1"/>
  <c r="DE116" i="1"/>
  <c r="DD116" i="1"/>
  <c r="V115" i="1"/>
  <c r="AA115" i="1" s="1"/>
  <c r="DC65" i="1"/>
  <c r="DD65" i="1"/>
  <c r="V43" i="1"/>
  <c r="AC43" i="1" s="1"/>
  <c r="BL43" i="1" s="1"/>
  <c r="V42" i="1"/>
  <c r="AA42" i="1" s="1"/>
  <c r="V116" i="1"/>
  <c r="AA116" i="1" s="1"/>
  <c r="V118" i="1"/>
  <c r="AA118" i="1" s="1"/>
  <c r="V102" i="1"/>
  <c r="AA102" i="1" s="1"/>
  <c r="DD107" i="1"/>
  <c r="DD96" i="1"/>
  <c r="DE107" i="1"/>
  <c r="V107" i="1"/>
  <c r="AA107" i="1" s="1"/>
  <c r="DE96" i="1"/>
  <c r="V96" i="1"/>
  <c r="AA96" i="1" s="1"/>
  <c r="DC115" i="1"/>
  <c r="DD115" i="1"/>
  <c r="V117" i="1"/>
  <c r="AB117" i="1" s="1"/>
  <c r="DE115" i="1"/>
  <c r="DC108" i="1"/>
  <c r="DE108" i="1"/>
  <c r="DD108" i="1"/>
  <c r="V104" i="1"/>
  <c r="DC105" i="1"/>
  <c r="DE105" i="1"/>
  <c r="DD105" i="1"/>
  <c r="DD54" i="1"/>
  <c r="DD97" i="1"/>
  <c r="DC97" i="1"/>
  <c r="V40" i="1"/>
  <c r="AA40" i="1" s="1"/>
  <c r="V54" i="1"/>
  <c r="AA54" i="1" s="1"/>
  <c r="V98" i="1"/>
  <c r="AC98" i="1" s="1"/>
  <c r="BL98" i="1" s="1"/>
  <c r="DE54" i="1"/>
  <c r="V94" i="1"/>
  <c r="AA94" i="1" s="1"/>
  <c r="V97" i="1"/>
  <c r="DD94" i="1"/>
  <c r="DC94" i="1"/>
  <c r="DD93" i="1"/>
  <c r="DC93" i="1"/>
  <c r="DE93" i="1"/>
  <c r="DE94" i="1"/>
  <c r="DD95" i="1"/>
  <c r="DC95" i="1"/>
  <c r="V39" i="1"/>
  <c r="AA39" i="1" s="1"/>
  <c r="W39" i="1"/>
  <c r="DD40" i="1"/>
  <c r="DC40" i="1"/>
  <c r="DD39" i="1"/>
  <c r="DC39" i="1"/>
  <c r="DG148" i="1" l="1"/>
  <c r="CN154" i="1"/>
  <c r="CR154" i="1"/>
  <c r="DH154" i="1" s="1"/>
  <c r="DP148" i="1"/>
  <c r="BX148" i="1"/>
  <c r="CL148" i="1"/>
  <c r="BL148" i="1"/>
  <c r="DO148" i="1"/>
  <c r="BR148" i="1"/>
  <c r="CZ148" i="1"/>
  <c r="EE148" i="1" s="1"/>
  <c r="DQ148" i="1"/>
  <c r="BK148" i="1"/>
  <c r="DI155" i="1"/>
  <c r="DL155" i="1"/>
  <c r="DJ155" i="1"/>
  <c r="DK155" i="1"/>
  <c r="DG152" i="1"/>
  <c r="CV153" i="1"/>
  <c r="BV152" i="1"/>
  <c r="BP152" i="1"/>
  <c r="CX152" i="1"/>
  <c r="CJ152" i="1"/>
  <c r="DI152" i="1"/>
  <c r="DL152" i="1"/>
  <c r="CR153" i="1"/>
  <c r="DH153" i="1" s="1"/>
  <c r="DJ153" i="1" s="1"/>
  <c r="DF117" i="1"/>
  <c r="CJ153" i="1"/>
  <c r="CX153" i="1"/>
  <c r="DK152" i="1"/>
  <c r="DJ152" i="1"/>
  <c r="CL152" i="1"/>
  <c r="BR152" i="1"/>
  <c r="BX152" i="1"/>
  <c r="CZ152" i="1"/>
  <c r="EE152" i="1" s="1"/>
  <c r="BL152" i="1"/>
  <c r="DP152" i="1"/>
  <c r="DQ152" i="1"/>
  <c r="DO152" i="1"/>
  <c r="DL153" i="1"/>
  <c r="DI153" i="1"/>
  <c r="DJ154" i="1"/>
  <c r="DK154" i="1"/>
  <c r="DI154" i="1"/>
  <c r="DL154" i="1"/>
  <c r="CL154" i="1"/>
  <c r="BL154" i="1"/>
  <c r="BX154" i="1"/>
  <c r="CZ154" i="1"/>
  <c r="EE154" i="1" s="1"/>
  <c r="DP154" i="1"/>
  <c r="DQ154" i="1"/>
  <c r="BR154" i="1"/>
  <c r="DO154" i="1"/>
  <c r="BV154" i="1"/>
  <c r="CJ154" i="1"/>
  <c r="BP154" i="1"/>
  <c r="CX154" i="1"/>
  <c r="BK154" i="1"/>
  <c r="DG154" i="1"/>
  <c r="CX148" i="1"/>
  <c r="DZ149" i="1"/>
  <c r="CP149" i="1" s="1"/>
  <c r="EA149" i="1"/>
  <c r="CT149" i="1" s="1"/>
  <c r="DL150" i="1"/>
  <c r="DI150" i="1"/>
  <c r="DI147" i="1"/>
  <c r="DL147" i="1"/>
  <c r="CR148" i="1"/>
  <c r="DH148" i="1" s="1"/>
  <c r="CN148" i="1"/>
  <c r="CV148" i="1"/>
  <c r="DU149" i="1"/>
  <c r="CM149" i="1" s="1"/>
  <c r="DV149" i="1"/>
  <c r="CQ149" i="1" s="1"/>
  <c r="DK147" i="1"/>
  <c r="DJ147" i="1"/>
  <c r="DJ150" i="1"/>
  <c r="DK150" i="1"/>
  <c r="CL146" i="1"/>
  <c r="BX146" i="1"/>
  <c r="BR146" i="1"/>
  <c r="CZ146" i="1"/>
  <c r="EE146" i="1" s="1"/>
  <c r="BL146" i="1"/>
  <c r="DP146" i="1"/>
  <c r="DQ146" i="1"/>
  <c r="DO146" i="1"/>
  <c r="BV146" i="1"/>
  <c r="BP146" i="1"/>
  <c r="CX146" i="1"/>
  <c r="CJ146" i="1"/>
  <c r="CN151" i="1"/>
  <c r="CR151" i="1"/>
  <c r="DH151" i="1" s="1"/>
  <c r="CV151" i="1"/>
  <c r="DZ148" i="1"/>
  <c r="CP148" i="1" s="1"/>
  <c r="EA148" i="1"/>
  <c r="CT148" i="1" s="1"/>
  <c r="DF102" i="1"/>
  <c r="CN146" i="1"/>
  <c r="CR146" i="1"/>
  <c r="DH146" i="1" s="1"/>
  <c r="CV146" i="1"/>
  <c r="DV148" i="1"/>
  <c r="CQ148" i="1" s="1"/>
  <c r="DU148" i="1"/>
  <c r="CM148" i="1" s="1"/>
  <c r="CR149" i="1"/>
  <c r="DH149" i="1" s="1"/>
  <c r="CN149" i="1"/>
  <c r="CV149" i="1"/>
  <c r="CX149" i="1"/>
  <c r="DG146" i="1"/>
  <c r="AB73" i="1"/>
  <c r="DF75" i="1"/>
  <c r="DF50" i="1"/>
  <c r="BV157" i="1"/>
  <c r="CJ157" i="1"/>
  <c r="BP157" i="1"/>
  <c r="CX157" i="1"/>
  <c r="CB157" i="1"/>
  <c r="CN157" i="1"/>
  <c r="CR157" i="1"/>
  <c r="DH157" i="1" s="1"/>
  <c r="CV157" i="1"/>
  <c r="CL157" i="1"/>
  <c r="BX157" i="1"/>
  <c r="BR157" i="1"/>
  <c r="DP157" i="1"/>
  <c r="DQ157" i="1"/>
  <c r="CD157" i="1"/>
  <c r="CZ157" i="1"/>
  <c r="EE157" i="1" s="1"/>
  <c r="BL157" i="1"/>
  <c r="DO157" i="1"/>
  <c r="DF36" i="1"/>
  <c r="DG157" i="1"/>
  <c r="AC70" i="1"/>
  <c r="BL70" i="1" s="1"/>
  <c r="AA70" i="1"/>
  <c r="AB71" i="1"/>
  <c r="AC73" i="1"/>
  <c r="BL73" i="1" s="1"/>
  <c r="AB74" i="1"/>
  <c r="DF24" i="1"/>
  <c r="AC74" i="1"/>
  <c r="BK74" i="1" s="1"/>
  <c r="DF29" i="1"/>
  <c r="AB51" i="1"/>
  <c r="AB11" i="1"/>
  <c r="DF80" i="1"/>
  <c r="AC93" i="1"/>
  <c r="BL93" i="1" s="1"/>
  <c r="AB108" i="1"/>
  <c r="AC108" i="1"/>
  <c r="BK108" i="1" s="1"/>
  <c r="AC51" i="1"/>
  <c r="BL51" i="1" s="1"/>
  <c r="AC11" i="1"/>
  <c r="BL11" i="1" s="1"/>
  <c r="AC127" i="1"/>
  <c r="BK127" i="1" s="1"/>
  <c r="AC47" i="1"/>
  <c r="BL47" i="1" s="1"/>
  <c r="DF103" i="1"/>
  <c r="AC62" i="1"/>
  <c r="BL62" i="1" s="1"/>
  <c r="AB127" i="1"/>
  <c r="AB47" i="1"/>
  <c r="AB62" i="1"/>
  <c r="AB72" i="1"/>
  <c r="AC69" i="1"/>
  <c r="BK69" i="1" s="1"/>
  <c r="DF68" i="1"/>
  <c r="AC71" i="1"/>
  <c r="BL71" i="1" s="1"/>
  <c r="AB140" i="1"/>
  <c r="DF52" i="1"/>
  <c r="AB95" i="1"/>
  <c r="AB93" i="1"/>
  <c r="AB69" i="1"/>
  <c r="DF14" i="1"/>
  <c r="DF47" i="1"/>
  <c r="AC95" i="1"/>
  <c r="BL95" i="1" s="1"/>
  <c r="AC72" i="1"/>
  <c r="BK72" i="1" s="1"/>
  <c r="DF134" i="1"/>
  <c r="AB67" i="1"/>
  <c r="AC105" i="1"/>
  <c r="BK105" i="1" s="1"/>
  <c r="AB105" i="1"/>
  <c r="AC67" i="1"/>
  <c r="DF127" i="1"/>
  <c r="DF12" i="1"/>
  <c r="DF18" i="1"/>
  <c r="AB75" i="1"/>
  <c r="AC75" i="1"/>
  <c r="BK75" i="1" s="1"/>
  <c r="AA26" i="1"/>
  <c r="DF106" i="1"/>
  <c r="DF70" i="1"/>
  <c r="DG70" i="1" s="1"/>
  <c r="DF73" i="1"/>
  <c r="AB25" i="1"/>
  <c r="AC25" i="1"/>
  <c r="BL25" i="1" s="1"/>
  <c r="AB19" i="1"/>
  <c r="AC19" i="1"/>
  <c r="BK19" i="1" s="1"/>
  <c r="DF62" i="1"/>
  <c r="DF16" i="1"/>
  <c r="AB68" i="1"/>
  <c r="DF71" i="1"/>
  <c r="AB134" i="1"/>
  <c r="AC134" i="1"/>
  <c r="BK134" i="1" s="1"/>
  <c r="AC68" i="1"/>
  <c r="AC140" i="1"/>
  <c r="DF30" i="1"/>
  <c r="DF63" i="1"/>
  <c r="DF140" i="1"/>
  <c r="DF72" i="1"/>
  <c r="AC23" i="1"/>
  <c r="BK23" i="1" s="1"/>
  <c r="AA23" i="1"/>
  <c r="AC26" i="1"/>
  <c r="BL26" i="1" s="1"/>
  <c r="DF69" i="1"/>
  <c r="DF74" i="1"/>
  <c r="DF56" i="1"/>
  <c r="AB50" i="1"/>
  <c r="DF11" i="1"/>
  <c r="DF26" i="1"/>
  <c r="AC22" i="1"/>
  <c r="BK22" i="1" s="1"/>
  <c r="DF116" i="1"/>
  <c r="DF23" i="1"/>
  <c r="AC80" i="1"/>
  <c r="BK80" i="1" s="1"/>
  <c r="DF25" i="1"/>
  <c r="AC63" i="1"/>
  <c r="AB80" i="1"/>
  <c r="AB30" i="1"/>
  <c r="AA24" i="1"/>
  <c r="AB24" i="1"/>
  <c r="AC24" i="1"/>
  <c r="AC30" i="1"/>
  <c r="BL30" i="1" s="1"/>
  <c r="AB22" i="1"/>
  <c r="DF19" i="1"/>
  <c r="AC61" i="1"/>
  <c r="BL61" i="1" s="1"/>
  <c r="DF118" i="1"/>
  <c r="AA18" i="1"/>
  <c r="AC18" i="1"/>
  <c r="AB18" i="1"/>
  <c r="AC29" i="1"/>
  <c r="BK29" i="1" s="1"/>
  <c r="AB29" i="1"/>
  <c r="AB13" i="1"/>
  <c r="AC13" i="1"/>
  <c r="BK13" i="1" s="1"/>
  <c r="AC16" i="1"/>
  <c r="AB61" i="1"/>
  <c r="DF61" i="1"/>
  <c r="AB63" i="1"/>
  <c r="DF98" i="1"/>
  <c r="DG98" i="1" s="1"/>
  <c r="DF15" i="1"/>
  <c r="DF42" i="1"/>
  <c r="DF43" i="1"/>
  <c r="DG43" i="1" s="1"/>
  <c r="AC56" i="1"/>
  <c r="BK56" i="1" s="1"/>
  <c r="AC106" i="1"/>
  <c r="BK106" i="1" s="1"/>
  <c r="AB106" i="1"/>
  <c r="AB15" i="1"/>
  <c r="AB56" i="1"/>
  <c r="AB16" i="1"/>
  <c r="AB48" i="1"/>
  <c r="AB14" i="1"/>
  <c r="AC12" i="1"/>
  <c r="BK12" i="1" s="1"/>
  <c r="AC15" i="1"/>
  <c r="AB12" i="1"/>
  <c r="DF104" i="1"/>
  <c r="AB65" i="1"/>
  <c r="AC14" i="1"/>
  <c r="AC65" i="1"/>
  <c r="BL65" i="1" s="1"/>
  <c r="DF13" i="1"/>
  <c r="AB103" i="1"/>
  <c r="AC48" i="1"/>
  <c r="BK48" i="1" s="1"/>
  <c r="DF40" i="1"/>
  <c r="DF48" i="1"/>
  <c r="AB52" i="1"/>
  <c r="AC50" i="1"/>
  <c r="BK50" i="1" s="1"/>
  <c r="DF51" i="1"/>
  <c r="AB36" i="1"/>
  <c r="AC36" i="1"/>
  <c r="BK36" i="1" s="1"/>
  <c r="AC52" i="1"/>
  <c r="BK52" i="1" s="1"/>
  <c r="AB49" i="1"/>
  <c r="AC49" i="1"/>
  <c r="BL49" i="1" s="1"/>
  <c r="AC103" i="1"/>
  <c r="BL103" i="1" s="1"/>
  <c r="DF49" i="1"/>
  <c r="AB115" i="1"/>
  <c r="DF65" i="1"/>
  <c r="AC115" i="1"/>
  <c r="BL115" i="1" s="1"/>
  <c r="AB102" i="1"/>
  <c r="DF107" i="1"/>
  <c r="AB43" i="1"/>
  <c r="AA43" i="1"/>
  <c r="AB42" i="1"/>
  <c r="AC42" i="1"/>
  <c r="DF96" i="1"/>
  <c r="AB116" i="1"/>
  <c r="BK43" i="1"/>
  <c r="AC118" i="1"/>
  <c r="BK118" i="1" s="1"/>
  <c r="AC116" i="1"/>
  <c r="BL116" i="1" s="1"/>
  <c r="AC102" i="1"/>
  <c r="BK102" i="1" s="1"/>
  <c r="AB118" i="1"/>
  <c r="AB107" i="1"/>
  <c r="AB96" i="1"/>
  <c r="AC96" i="1"/>
  <c r="AC107" i="1"/>
  <c r="BK107" i="1" s="1"/>
  <c r="DF115" i="1"/>
  <c r="AA117" i="1"/>
  <c r="AC117" i="1"/>
  <c r="DF54" i="1"/>
  <c r="DF108" i="1"/>
  <c r="DF95" i="1"/>
  <c r="DF105" i="1"/>
  <c r="AA104" i="1"/>
  <c r="AB104" i="1"/>
  <c r="AC104" i="1"/>
  <c r="AB40" i="1"/>
  <c r="AC40" i="1"/>
  <c r="DF97" i="1"/>
  <c r="AB54" i="1"/>
  <c r="AC54" i="1"/>
  <c r="BL54" i="1" s="1"/>
  <c r="AB98" i="1"/>
  <c r="AA98" i="1"/>
  <c r="BK98" i="1"/>
  <c r="AB94" i="1"/>
  <c r="AA97" i="1"/>
  <c r="AB97" i="1"/>
  <c r="AC97" i="1"/>
  <c r="DF93" i="1"/>
  <c r="AC94" i="1"/>
  <c r="DF94" i="1"/>
  <c r="AC39" i="1"/>
  <c r="BK39" i="1" s="1"/>
  <c r="AB39" i="1"/>
  <c r="DF39" i="1"/>
  <c r="DK153" i="1" l="1"/>
  <c r="DM153" i="1" s="1"/>
  <c r="DN153" i="1" s="1"/>
  <c r="DM155" i="1"/>
  <c r="DN155" i="1" s="1"/>
  <c r="DM152" i="1"/>
  <c r="DN152" i="1" s="1"/>
  <c r="BK70" i="1"/>
  <c r="DM154" i="1"/>
  <c r="DN154" i="1" s="1"/>
  <c r="DI149" i="1"/>
  <c r="DL149" i="1"/>
  <c r="DJ148" i="1"/>
  <c r="DK148" i="1"/>
  <c r="DJ146" i="1"/>
  <c r="DK146" i="1"/>
  <c r="DM147" i="1"/>
  <c r="DN147" i="1" s="1"/>
  <c r="DM150" i="1"/>
  <c r="DN150" i="1" s="1"/>
  <c r="DJ151" i="1"/>
  <c r="DK151" i="1"/>
  <c r="DL151" i="1"/>
  <c r="DI151" i="1"/>
  <c r="DJ149" i="1"/>
  <c r="DK149" i="1"/>
  <c r="DI146" i="1"/>
  <c r="DL146" i="1"/>
  <c r="DI148" i="1"/>
  <c r="DL148" i="1"/>
  <c r="DG47" i="1"/>
  <c r="DK157" i="1"/>
  <c r="DJ157" i="1"/>
  <c r="DI157" i="1"/>
  <c r="DL157" i="1"/>
  <c r="DG73" i="1"/>
  <c r="BK73" i="1"/>
  <c r="DG11" i="1"/>
  <c r="BL74" i="1"/>
  <c r="DG69" i="1"/>
  <c r="BL108" i="1"/>
  <c r="BK62" i="1"/>
  <c r="DG93" i="1"/>
  <c r="BL127" i="1"/>
  <c r="DG74" i="1"/>
  <c r="DG24" i="1"/>
  <c r="BK47" i="1"/>
  <c r="BK51" i="1"/>
  <c r="BK11" i="1"/>
  <c r="DG62" i="1"/>
  <c r="BK93" i="1"/>
  <c r="DG51" i="1"/>
  <c r="DG127" i="1"/>
  <c r="DG68" i="1"/>
  <c r="DG108" i="1"/>
  <c r="BL69" i="1"/>
  <c r="DG71" i="1"/>
  <c r="DG14" i="1"/>
  <c r="BK71" i="1"/>
  <c r="DG95" i="1"/>
  <c r="BL72" i="1"/>
  <c r="DG72" i="1"/>
  <c r="BK95" i="1"/>
  <c r="DG75" i="1"/>
  <c r="DG105" i="1"/>
  <c r="BL105" i="1"/>
  <c r="BL75" i="1"/>
  <c r="BL67" i="1"/>
  <c r="BK67" i="1"/>
  <c r="DG67" i="1"/>
  <c r="DG16" i="1"/>
  <c r="BK25" i="1"/>
  <c r="BL68" i="1"/>
  <c r="DG63" i="1"/>
  <c r="DG25" i="1"/>
  <c r="BL19" i="1"/>
  <c r="DG134" i="1"/>
  <c r="DG19" i="1"/>
  <c r="BL134" i="1"/>
  <c r="BK68" i="1"/>
  <c r="BL140" i="1"/>
  <c r="DG140" i="1"/>
  <c r="BK140" i="1"/>
  <c r="DG23" i="1"/>
  <c r="BL23" i="1"/>
  <c r="BK26" i="1"/>
  <c r="DG26" i="1"/>
  <c r="DG22" i="1"/>
  <c r="BL22" i="1"/>
  <c r="BL80" i="1"/>
  <c r="BK63" i="1"/>
  <c r="BL63" i="1"/>
  <c r="DG80" i="1"/>
  <c r="BL24" i="1"/>
  <c r="BK24" i="1"/>
  <c r="DG30" i="1"/>
  <c r="BK30" i="1"/>
  <c r="BK61" i="1"/>
  <c r="DG13" i="1"/>
  <c r="DG61" i="1"/>
  <c r="BL18" i="1"/>
  <c r="BK18" i="1"/>
  <c r="DG18" i="1"/>
  <c r="BL29" i="1"/>
  <c r="BL16" i="1"/>
  <c r="BL56" i="1"/>
  <c r="BK16" i="1"/>
  <c r="BL13" i="1"/>
  <c r="DG29" i="1"/>
  <c r="DG106" i="1"/>
  <c r="DG15" i="1"/>
  <c r="BK65" i="1"/>
  <c r="DG42" i="1"/>
  <c r="BL12" i="1"/>
  <c r="DG12" i="1"/>
  <c r="BL106" i="1"/>
  <c r="DG56" i="1"/>
  <c r="DG49" i="1"/>
  <c r="BK15" i="1"/>
  <c r="DG65" i="1"/>
  <c r="BL15" i="1"/>
  <c r="DG50" i="1"/>
  <c r="BL14" i="1"/>
  <c r="BK14" i="1"/>
  <c r="BL50" i="1"/>
  <c r="BL48" i="1"/>
  <c r="DG40" i="1"/>
  <c r="BL36" i="1"/>
  <c r="DG48" i="1"/>
  <c r="BL52" i="1"/>
  <c r="DG52" i="1"/>
  <c r="DG103" i="1"/>
  <c r="DG36" i="1"/>
  <c r="BK49" i="1"/>
  <c r="BK103" i="1"/>
  <c r="DG115" i="1"/>
  <c r="BK115" i="1"/>
  <c r="BK42" i="1"/>
  <c r="BL42" i="1"/>
  <c r="DG96" i="1"/>
  <c r="DG116" i="1"/>
  <c r="DG118" i="1"/>
  <c r="BL118" i="1"/>
  <c r="DG102" i="1"/>
  <c r="BK96" i="1"/>
  <c r="BK116" i="1"/>
  <c r="BL102" i="1"/>
  <c r="BL96" i="1"/>
  <c r="BL40" i="1"/>
  <c r="DG107" i="1"/>
  <c r="BL107" i="1"/>
  <c r="BL117" i="1"/>
  <c r="DG117" i="1"/>
  <c r="BK117" i="1"/>
  <c r="BK104" i="1"/>
  <c r="BL104" i="1"/>
  <c r="DG104" i="1"/>
  <c r="BK40" i="1"/>
  <c r="DG54" i="1"/>
  <c r="BK54" i="1"/>
  <c r="DG94" i="1"/>
  <c r="BL94" i="1"/>
  <c r="BK94" i="1"/>
  <c r="BK97" i="1"/>
  <c r="BL97" i="1"/>
  <c r="DG97" i="1"/>
  <c r="BL39" i="1"/>
  <c r="DG39" i="1"/>
  <c r="DM151" i="1" l="1"/>
  <c r="DN151" i="1" s="1"/>
  <c r="DM146" i="1"/>
  <c r="DN146" i="1" s="1"/>
  <c r="DM148" i="1"/>
  <c r="DN148" i="1" s="1"/>
  <c r="DM149" i="1"/>
  <c r="DN149" i="1" s="1"/>
  <c r="DM157" i="1"/>
  <c r="DN157" i="1" s="1"/>
  <c r="AG145" i="1"/>
  <c r="AV145" i="1" s="1"/>
  <c r="AG144" i="1"/>
  <c r="AV144" i="1" s="1"/>
  <c r="AG156" i="1"/>
  <c r="AG92" i="1"/>
  <c r="AX92" i="1" s="1"/>
  <c r="AG57" i="1"/>
  <c r="AX57" i="1" s="1"/>
  <c r="AG53" i="1"/>
  <c r="AX53" i="1" s="1"/>
  <c r="AG101" i="1"/>
  <c r="AX101" i="1" s="1"/>
  <c r="AG137" i="1"/>
  <c r="AX137" i="1" s="1"/>
  <c r="AG129" i="1"/>
  <c r="AX129" i="1" s="1"/>
  <c r="AG138" i="1"/>
  <c r="AX138" i="1" s="1"/>
  <c r="AG126" i="1"/>
  <c r="AX126" i="1" s="1"/>
  <c r="AG85" i="1"/>
  <c r="AX85" i="1" s="1"/>
  <c r="AG114" i="1"/>
  <c r="AX114" i="1" s="1"/>
  <c r="AG41" i="1"/>
  <c r="AX41" i="1" s="1"/>
  <c r="AG20" i="1"/>
  <c r="AX20" i="1" s="1"/>
  <c r="AG77" i="1"/>
  <c r="AX77" i="1" s="1"/>
  <c r="AG119" i="1"/>
  <c r="AX119" i="1" s="1"/>
  <c r="AG35" i="1"/>
  <c r="AX35" i="1" s="1"/>
  <c r="AG64" i="1"/>
  <c r="AX64" i="1" s="1"/>
  <c r="AG46" i="1"/>
  <c r="AX46" i="1" s="1"/>
  <c r="AG38" i="1"/>
  <c r="AX38" i="1" s="1"/>
  <c r="AG10" i="1"/>
  <c r="AX10" i="1" s="1"/>
  <c r="AG34" i="1"/>
  <c r="AX34" i="1" s="1"/>
  <c r="AG27" i="1"/>
  <c r="AX27" i="1" s="1"/>
  <c r="AG110" i="1"/>
  <c r="AX110" i="1" s="1"/>
  <c r="AG60" i="1"/>
  <c r="AX60" i="1" s="1"/>
  <c r="AG33" i="1"/>
  <c r="AX33" i="1" s="1"/>
  <c r="AG45" i="1"/>
  <c r="AX45" i="1" s="1"/>
  <c r="AG55" i="1"/>
  <c r="AX55" i="1" s="1"/>
  <c r="AG76" i="1"/>
  <c r="AX76" i="1" s="1"/>
  <c r="AG59" i="1"/>
  <c r="AX59" i="1" s="1"/>
  <c r="AG58" i="1"/>
  <c r="AX58" i="1" s="1"/>
  <c r="AG37" i="1"/>
  <c r="AX37" i="1" s="1"/>
  <c r="AG44" i="1"/>
  <c r="AX44" i="1" s="1"/>
  <c r="AG28" i="1"/>
  <c r="AX28" i="1" s="1"/>
  <c r="AG31" i="1"/>
  <c r="AX31" i="1" s="1"/>
  <c r="AG79" i="1"/>
  <c r="AX79" i="1" s="1"/>
  <c r="AG8" i="1"/>
  <c r="AX8" i="1" s="1"/>
  <c r="AG32" i="1"/>
  <c r="AX32" i="1" s="1"/>
  <c r="AG111" i="1"/>
  <c r="AX111" i="1" s="1"/>
  <c r="AG17" i="1"/>
  <c r="AX17" i="1" s="1"/>
  <c r="AG21" i="1"/>
  <c r="AX21" i="1" s="1"/>
  <c r="AG9" i="1"/>
  <c r="AX9" i="1" s="1"/>
  <c r="AG87" i="1"/>
  <c r="AX87" i="1" s="1"/>
  <c r="AG112" i="1"/>
  <c r="AX112" i="1" s="1"/>
  <c r="AG133" i="1"/>
  <c r="AX133" i="1" s="1"/>
  <c r="AG128" i="1"/>
  <c r="AX128" i="1" s="1"/>
  <c r="AG122" i="1"/>
  <c r="AX122" i="1" s="1"/>
  <c r="AG99" i="1"/>
  <c r="AX99" i="1" s="1"/>
  <c r="AG136" i="1"/>
  <c r="AX136" i="1" s="1"/>
  <c r="AG130" i="1"/>
  <c r="AX130" i="1" s="1"/>
  <c r="AG131" i="1"/>
  <c r="AX131" i="1" s="1"/>
  <c r="AG141" i="1"/>
  <c r="AX141" i="1" s="1"/>
  <c r="AG139" i="1"/>
  <c r="AX139" i="1" s="1"/>
  <c r="AG84" i="1"/>
  <c r="AX84" i="1" s="1"/>
  <c r="AG132" i="1"/>
  <c r="AX132" i="1" s="1"/>
  <c r="AG135" i="1"/>
  <c r="AX135" i="1" s="1"/>
  <c r="AG88" i="1"/>
  <c r="AX88" i="1" s="1"/>
  <c r="AG100" i="1"/>
  <c r="AX100" i="1" s="1"/>
  <c r="AG124" i="1"/>
  <c r="AX124" i="1" s="1"/>
  <c r="AG78" i="1"/>
  <c r="AX78" i="1" s="1"/>
  <c r="AG120" i="1"/>
  <c r="AX120" i="1" s="1"/>
  <c r="AG142" i="1"/>
  <c r="AX142" i="1" s="1"/>
  <c r="AG109" i="1"/>
  <c r="AX109" i="1" s="1"/>
  <c r="AG90" i="1"/>
  <c r="AX90" i="1" s="1"/>
  <c r="AG123" i="1"/>
  <c r="AX123" i="1" s="1"/>
  <c r="AG66" i="1"/>
  <c r="AX66" i="1" s="1"/>
  <c r="AG82" i="1"/>
  <c r="AX82" i="1" s="1"/>
  <c r="AG125" i="1"/>
  <c r="AX125" i="1" s="1"/>
  <c r="AG89" i="1"/>
  <c r="AX89" i="1" s="1"/>
  <c r="AG91" i="1"/>
  <c r="AX91" i="1" s="1"/>
  <c r="AG81" i="1"/>
  <c r="AX81" i="1" s="1"/>
  <c r="AG121" i="1"/>
  <c r="AX121" i="1" s="1"/>
  <c r="AG86" i="1"/>
  <c r="AX86" i="1" s="1"/>
  <c r="AG83" i="1"/>
  <c r="AX83" i="1" s="1"/>
  <c r="AG113" i="1"/>
  <c r="AX113" i="1" s="1"/>
  <c r="AG143" i="1"/>
  <c r="AX143" i="1" l="1"/>
  <c r="AV143" i="1"/>
  <c r="AX145" i="1"/>
  <c r="AV156" i="1"/>
  <c r="AX156" i="1"/>
  <c r="J145" i="1"/>
  <c r="E41" i="111" l="1"/>
  <c r="E40" i="111"/>
  <c r="E39" i="111"/>
  <c r="E38" i="111"/>
  <c r="E61" i="111"/>
  <c r="E37" i="111"/>
  <c r="E78" i="111"/>
  <c r="E60" i="111"/>
  <c r="E36" i="111"/>
  <c r="E59" i="111"/>
  <c r="E58" i="111"/>
  <c r="E77" i="111"/>
  <c r="E57" i="111"/>
  <c r="E35" i="111"/>
  <c r="E76" i="111"/>
  <c r="E75" i="111"/>
  <c r="E74" i="111"/>
  <c r="E56" i="111"/>
  <c r="E55" i="111"/>
  <c r="E73" i="111"/>
  <c r="E34" i="111"/>
  <c r="E33" i="111"/>
  <c r="E32" i="111"/>
  <c r="E54" i="111"/>
  <c r="E82" i="111"/>
  <c r="E31" i="111"/>
  <c r="E30" i="111"/>
  <c r="E53" i="111"/>
  <c r="E52" i="111"/>
  <c r="E69" i="111"/>
  <c r="E26" i="111"/>
  <c r="E25" i="111"/>
  <c r="E24" i="111"/>
  <c r="E23" i="111"/>
  <c r="E22" i="111"/>
  <c r="E21" i="111"/>
  <c r="E81" i="111"/>
  <c r="E20" i="111"/>
  <c r="E19" i="111"/>
  <c r="E18" i="111"/>
  <c r="E68" i="111"/>
  <c r="E14" i="111"/>
  <c r="E13" i="111"/>
  <c r="E12" i="111"/>
  <c r="E11" i="111"/>
  <c r="E10" i="111"/>
  <c r="E9" i="111"/>
  <c r="E8" i="111"/>
  <c r="E64" i="111"/>
  <c r="E47" i="111"/>
  <c r="E7" i="111"/>
  <c r="E63" i="111"/>
  <c r="E6" i="111"/>
  <c r="E46" i="111"/>
  <c r="E3" i="111"/>
  <c r="E79" i="111"/>
  <c r="E5" i="111"/>
  <c r="E45" i="111"/>
  <c r="E44" i="111"/>
  <c r="E43" i="111"/>
  <c r="E62" i="111"/>
  <c r="E4" i="111"/>
  <c r="E42" i="111"/>
  <c r="E2" i="111"/>
  <c r="E81" i="110" l="1"/>
  <c r="E80" i="110"/>
  <c r="E79" i="110"/>
  <c r="E78" i="110"/>
  <c r="E77" i="110"/>
  <c r="E76" i="110"/>
  <c r="E75" i="110"/>
  <c r="E74" i="110"/>
  <c r="E73" i="110"/>
  <c r="E72" i="110"/>
  <c r="E71" i="110"/>
  <c r="E70" i="110"/>
  <c r="E69" i="110"/>
  <c r="E68" i="110"/>
  <c r="E67" i="110"/>
  <c r="E66" i="110"/>
  <c r="E65" i="110"/>
  <c r="E64" i="110"/>
  <c r="E63" i="110"/>
  <c r="E62" i="110"/>
  <c r="E61" i="110"/>
  <c r="E60" i="110"/>
  <c r="E59" i="110"/>
  <c r="E58" i="110"/>
  <c r="E57" i="110"/>
  <c r="E56" i="110"/>
  <c r="E55" i="110"/>
  <c r="E48" i="110"/>
  <c r="E47" i="110"/>
  <c r="E46" i="110"/>
  <c r="E45" i="110"/>
  <c r="E44" i="110"/>
  <c r="E43" i="110"/>
  <c r="E42" i="110"/>
  <c r="E41" i="110"/>
  <c r="E40" i="110"/>
  <c r="E39" i="110"/>
  <c r="E38" i="110"/>
  <c r="E37" i="110"/>
  <c r="E36" i="110"/>
  <c r="E35" i="110"/>
  <c r="E23" i="110"/>
  <c r="E22" i="110"/>
  <c r="E21" i="110"/>
  <c r="E20" i="110"/>
  <c r="E19" i="110"/>
  <c r="E18" i="110"/>
  <c r="E17" i="110"/>
  <c r="E16" i="110"/>
  <c r="E15" i="110"/>
  <c r="E14" i="110"/>
  <c r="E13" i="110"/>
  <c r="E12" i="110"/>
  <c r="E11" i="110"/>
  <c r="E10" i="110"/>
  <c r="E9" i="110"/>
  <c r="E8" i="110"/>
  <c r="E7" i="110"/>
  <c r="E6" i="110"/>
  <c r="E5" i="110"/>
  <c r="E4" i="110"/>
  <c r="E3" i="110"/>
  <c r="E2" i="110"/>
  <c r="E1" i="110"/>
  <c r="B16" i="109" l="1"/>
  <c r="B15" i="109"/>
  <c r="B14" i="109"/>
  <c r="B13" i="109"/>
  <c r="B12" i="109"/>
  <c r="B10" i="109"/>
  <c r="B9" i="109"/>
  <c r="B7" i="109"/>
  <c r="B6" i="109"/>
  <c r="B5" i="109"/>
  <c r="B4" i="109"/>
  <c r="B3" i="109"/>
  <c r="B2" i="109"/>
  <c r="C13" i="2"/>
  <c r="B14" i="108"/>
  <c r="B13" i="108"/>
  <c r="B12" i="108"/>
  <c r="B11" i="108"/>
  <c r="B10" i="108"/>
  <c r="B9" i="108"/>
  <c r="B7" i="108"/>
  <c r="B6" i="108"/>
  <c r="B4" i="108"/>
  <c r="B3" i="108"/>
  <c r="B2" i="108"/>
  <c r="B14" i="107"/>
  <c r="B13" i="107"/>
  <c r="B12" i="107"/>
  <c r="B11" i="107"/>
  <c r="B10" i="107"/>
  <c r="B8" i="107"/>
  <c r="B7" i="107"/>
  <c r="B5" i="107"/>
  <c r="B4" i="107"/>
  <c r="B3" i="107"/>
  <c r="B2" i="107"/>
  <c r="B14" i="106" l="1"/>
  <c r="B13" i="106"/>
  <c r="B12" i="106"/>
  <c r="B10" i="106"/>
  <c r="B9" i="106"/>
  <c r="B7" i="106"/>
  <c r="B6" i="106"/>
  <c r="B5" i="106"/>
  <c r="B4" i="106"/>
  <c r="B3" i="106"/>
  <c r="B2" i="106"/>
  <c r="B12" i="104"/>
  <c r="B11" i="104"/>
  <c r="B9" i="104"/>
  <c r="B8" i="104"/>
  <c r="B7" i="104"/>
  <c r="B6" i="104"/>
  <c r="B5" i="104"/>
  <c r="B4" i="104"/>
  <c r="B3" i="104"/>
  <c r="B2" i="104"/>
  <c r="F23" i="105"/>
  <c r="F26" i="105"/>
  <c r="F25" i="105"/>
  <c r="F24" i="105"/>
  <c r="F22" i="105"/>
  <c r="F11" i="105"/>
  <c r="F10" i="105"/>
  <c r="F9" i="105"/>
  <c r="F8" i="105"/>
  <c r="F7" i="105"/>
  <c r="F6" i="105"/>
  <c r="F5" i="105"/>
  <c r="F4" i="105"/>
  <c r="F3" i="105"/>
  <c r="F21" i="105"/>
  <c r="F20" i="105"/>
  <c r="F19" i="105"/>
  <c r="F18" i="105"/>
  <c r="B11" i="106" s="1"/>
  <c r="F17" i="105"/>
  <c r="F16" i="105"/>
  <c r="F15" i="105"/>
  <c r="B10" i="104" s="1"/>
  <c r="F14" i="105"/>
  <c r="F13" i="105"/>
  <c r="F12" i="105"/>
  <c r="E70" i="111" l="1"/>
  <c r="E27" i="111"/>
  <c r="E71" i="111"/>
  <c r="E28" i="111"/>
  <c r="E29" i="111"/>
  <c r="E72" i="111"/>
  <c r="E49" i="110"/>
  <c r="E51" i="110"/>
  <c r="E53" i="110"/>
  <c r="E54" i="110"/>
  <c r="E52" i="110"/>
  <c r="E50" i="110"/>
  <c r="B9" i="107"/>
  <c r="B8" i="108"/>
  <c r="B11" i="109"/>
  <c r="E51" i="111"/>
  <c r="E67" i="111"/>
  <c r="E16" i="111"/>
  <c r="E80" i="111"/>
  <c r="E66" i="111"/>
  <c r="E50" i="111"/>
  <c r="E49" i="111"/>
  <c r="E48" i="111"/>
  <c r="E15" i="111"/>
  <c r="E65" i="111"/>
  <c r="E17" i="111"/>
  <c r="E33" i="110"/>
  <c r="E31" i="110"/>
  <c r="E25" i="110"/>
  <c r="E24" i="110"/>
  <c r="E34" i="110"/>
  <c r="E32" i="110"/>
  <c r="E28" i="110"/>
  <c r="E26" i="110"/>
  <c r="E29" i="110"/>
  <c r="E30" i="110"/>
  <c r="E27" i="110"/>
  <c r="B6" i="107"/>
  <c r="B8" i="109"/>
  <c r="B5" i="108"/>
  <c r="B8" i="106"/>
  <c r="L6" i="2"/>
  <c r="P6" i="2"/>
  <c r="V6" i="2"/>
  <c r="AA6" i="2"/>
  <c r="AH6" i="2"/>
  <c r="AR6" i="2" s="1"/>
  <c r="AL6" i="2"/>
  <c r="L70" i="2"/>
  <c r="P70" i="2"/>
  <c r="V70" i="2"/>
  <c r="AA70" i="2"/>
  <c r="AH70" i="2"/>
  <c r="AR70" i="2" s="1"/>
  <c r="AL70" i="2"/>
  <c r="L56" i="2"/>
  <c r="P56" i="2"/>
  <c r="V56" i="2"/>
  <c r="AA56" i="2"/>
  <c r="AH56" i="2"/>
  <c r="AR56" i="2" s="1"/>
  <c r="AL56" i="2"/>
  <c r="L71" i="2"/>
  <c r="P71" i="2"/>
  <c r="V71" i="2"/>
  <c r="AA71" i="2"/>
  <c r="AH71" i="2"/>
  <c r="AK71" i="2" s="1"/>
  <c r="AL71" i="2"/>
  <c r="L75" i="2"/>
  <c r="P75" i="2"/>
  <c r="V75" i="2"/>
  <c r="AA75" i="2"/>
  <c r="AH75" i="2"/>
  <c r="AL75" i="2"/>
  <c r="L72" i="2"/>
  <c r="P72" i="2"/>
  <c r="V72" i="2"/>
  <c r="AA72" i="2"/>
  <c r="AH72" i="2"/>
  <c r="AR72" i="2" s="1"/>
  <c r="AL72" i="2"/>
  <c r="L14" i="2"/>
  <c r="P14" i="2"/>
  <c r="V14" i="2"/>
  <c r="AA14" i="2"/>
  <c r="AH14" i="2"/>
  <c r="AR14" i="2" s="1"/>
  <c r="AL14" i="2"/>
  <c r="L15" i="2"/>
  <c r="P15" i="2"/>
  <c r="V15" i="2"/>
  <c r="AA15" i="2"/>
  <c r="AH15" i="2"/>
  <c r="AL15" i="2"/>
  <c r="L9" i="2"/>
  <c r="P9" i="2"/>
  <c r="V9" i="2"/>
  <c r="AA9" i="2"/>
  <c r="AH9" i="2"/>
  <c r="AL9" i="2"/>
  <c r="L7" i="2"/>
  <c r="P7" i="2"/>
  <c r="V7" i="2"/>
  <c r="AA7" i="2"/>
  <c r="AH7" i="2"/>
  <c r="AL7" i="2"/>
  <c r="L8" i="2"/>
  <c r="P8" i="2"/>
  <c r="V8" i="2"/>
  <c r="AA8" i="2"/>
  <c r="AH8" i="2"/>
  <c r="AR8" i="2" s="1"/>
  <c r="AL8" i="2"/>
  <c r="L13" i="2"/>
  <c r="P13" i="2"/>
  <c r="V13" i="2"/>
  <c r="AA13" i="2"/>
  <c r="AH13" i="2"/>
  <c r="AR13" i="2" s="1"/>
  <c r="AL13" i="2"/>
  <c r="L25" i="2"/>
  <c r="P25" i="2"/>
  <c r="V25" i="2"/>
  <c r="AA25" i="2"/>
  <c r="AH25" i="2"/>
  <c r="AR25" i="2" s="1"/>
  <c r="AL25" i="2"/>
  <c r="L22" i="2"/>
  <c r="P22" i="2"/>
  <c r="V22" i="2"/>
  <c r="AA22" i="2"/>
  <c r="AH22" i="2"/>
  <c r="AR22" i="2" s="1"/>
  <c r="AL22" i="2"/>
  <c r="L23" i="2"/>
  <c r="P23" i="2"/>
  <c r="V23" i="2"/>
  <c r="AA23" i="2"/>
  <c r="AH23" i="2"/>
  <c r="AR23" i="2" s="1"/>
  <c r="AL23" i="2"/>
  <c r="L19" i="2"/>
  <c r="P19" i="2"/>
  <c r="V19" i="2"/>
  <c r="AA19" i="2"/>
  <c r="AH19" i="2"/>
  <c r="AR19" i="2" s="1"/>
  <c r="AL19" i="2"/>
  <c r="L42" i="2"/>
  <c r="P42" i="2"/>
  <c r="V42" i="2"/>
  <c r="AA42" i="2"/>
  <c r="AH42" i="2"/>
  <c r="AR42" i="2" s="1"/>
  <c r="AL42" i="2"/>
  <c r="L17" i="2"/>
  <c r="P17" i="2"/>
  <c r="V17" i="2"/>
  <c r="AA17" i="2"/>
  <c r="AH17" i="2"/>
  <c r="AR17" i="2" s="1"/>
  <c r="AL17" i="2"/>
  <c r="L27" i="2"/>
  <c r="P27" i="2"/>
  <c r="V27" i="2"/>
  <c r="AA27" i="2"/>
  <c r="AH27" i="2"/>
  <c r="AL27" i="2"/>
  <c r="L30" i="2"/>
  <c r="P30" i="2"/>
  <c r="V30" i="2"/>
  <c r="AA30" i="2"/>
  <c r="AH30" i="2"/>
  <c r="AL30" i="2"/>
  <c r="L39" i="2"/>
  <c r="P39" i="2"/>
  <c r="V39" i="2"/>
  <c r="AA39" i="2"/>
  <c r="AH39" i="2"/>
  <c r="AR39" i="2" s="1"/>
  <c r="AL39" i="2"/>
  <c r="L33" i="2"/>
  <c r="P33" i="2"/>
  <c r="V33" i="2"/>
  <c r="AA33" i="2"/>
  <c r="AH33" i="2"/>
  <c r="AR33" i="2" s="1"/>
  <c r="AL33" i="2"/>
  <c r="L46" i="2"/>
  <c r="P46" i="2"/>
  <c r="V46" i="2"/>
  <c r="AA46" i="2"/>
  <c r="AH46" i="2"/>
  <c r="AL46" i="2"/>
  <c r="L41" i="2"/>
  <c r="P41" i="2"/>
  <c r="V41" i="2"/>
  <c r="AA41" i="2"/>
  <c r="AH41" i="2"/>
  <c r="AR41" i="2" s="1"/>
  <c r="AL41" i="2"/>
  <c r="L47" i="2"/>
  <c r="P47" i="2"/>
  <c r="V47" i="2"/>
  <c r="AA47" i="2"/>
  <c r="AH47" i="2"/>
  <c r="AL47" i="2"/>
  <c r="L28" i="2"/>
  <c r="P28" i="2"/>
  <c r="V28" i="2"/>
  <c r="AA28" i="2"/>
  <c r="AH28" i="2"/>
  <c r="AL28" i="2"/>
  <c r="L26" i="2"/>
  <c r="P26" i="2"/>
  <c r="V26" i="2"/>
  <c r="AA26" i="2"/>
  <c r="AH26" i="2"/>
  <c r="AL26" i="2"/>
  <c r="L36" i="2"/>
  <c r="P36" i="2"/>
  <c r="V36" i="2"/>
  <c r="AA36" i="2"/>
  <c r="AH36" i="2"/>
  <c r="AL36" i="2"/>
  <c r="L43" i="2"/>
  <c r="P43" i="2"/>
  <c r="V43" i="2"/>
  <c r="AA43" i="2"/>
  <c r="AH43" i="2"/>
  <c r="AL43" i="2"/>
  <c r="L55" i="2"/>
  <c r="P55" i="2"/>
  <c r="V55" i="2"/>
  <c r="AA55" i="2"/>
  <c r="AH55" i="2"/>
  <c r="AL55" i="2"/>
  <c r="L24" i="2"/>
  <c r="P24" i="2"/>
  <c r="V24" i="2"/>
  <c r="AA24" i="2"/>
  <c r="AH24" i="2"/>
  <c r="AL24" i="2"/>
  <c r="L16" i="2"/>
  <c r="P16" i="2"/>
  <c r="V16" i="2"/>
  <c r="AA16" i="2"/>
  <c r="AH16" i="2"/>
  <c r="AL16" i="2"/>
  <c r="L10" i="2"/>
  <c r="P10" i="2"/>
  <c r="V10" i="2"/>
  <c r="AA10" i="2"/>
  <c r="AH10" i="2"/>
  <c r="AL10" i="2"/>
  <c r="L12" i="2"/>
  <c r="P12" i="2"/>
  <c r="V12" i="2"/>
  <c r="AA12" i="2"/>
  <c r="AH12" i="2"/>
  <c r="AR12" i="2" s="1"/>
  <c r="AL12" i="2"/>
  <c r="L20" i="2"/>
  <c r="P20" i="2"/>
  <c r="V20" i="2"/>
  <c r="AA20" i="2"/>
  <c r="AH20" i="2"/>
  <c r="AL20" i="2"/>
  <c r="L11" i="2"/>
  <c r="P11" i="2"/>
  <c r="V11" i="2"/>
  <c r="AA11" i="2"/>
  <c r="AH11" i="2"/>
  <c r="AL11" i="2"/>
  <c r="L31" i="2"/>
  <c r="P31" i="2"/>
  <c r="V31" i="2"/>
  <c r="AA31" i="2"/>
  <c r="AH31" i="2"/>
  <c r="AR31" i="2" s="1"/>
  <c r="AL31" i="2"/>
  <c r="L50" i="2"/>
  <c r="P50" i="2"/>
  <c r="V50" i="2"/>
  <c r="AA50" i="2"/>
  <c r="AH50" i="2"/>
  <c r="AL50" i="2"/>
  <c r="L32" i="2"/>
  <c r="P32" i="2"/>
  <c r="V32" i="2"/>
  <c r="AA32" i="2"/>
  <c r="AH32" i="2"/>
  <c r="AL32" i="2"/>
  <c r="L38" i="2"/>
  <c r="P38" i="2"/>
  <c r="V38" i="2"/>
  <c r="AA38" i="2"/>
  <c r="AH38" i="2"/>
  <c r="AL38" i="2"/>
  <c r="L52" i="2"/>
  <c r="P52" i="2"/>
  <c r="V52" i="2"/>
  <c r="AA52" i="2"/>
  <c r="AH52" i="2"/>
  <c r="AR52" i="2" s="1"/>
  <c r="AL52" i="2"/>
  <c r="L53" i="2"/>
  <c r="P53" i="2"/>
  <c r="V53" i="2"/>
  <c r="AA53" i="2"/>
  <c r="AH53" i="2"/>
  <c r="AL53" i="2"/>
  <c r="L21" i="2"/>
  <c r="P21" i="2"/>
  <c r="V21" i="2"/>
  <c r="AA21" i="2"/>
  <c r="AH21" i="2"/>
  <c r="AR21" i="2" s="1"/>
  <c r="AL21" i="2"/>
  <c r="L18" i="2"/>
  <c r="P18" i="2"/>
  <c r="V18" i="2"/>
  <c r="AA18" i="2"/>
  <c r="AH18" i="2"/>
  <c r="AR18" i="2" s="1"/>
  <c r="AL18" i="2"/>
  <c r="L34" i="2"/>
  <c r="P34" i="2"/>
  <c r="V34" i="2"/>
  <c r="AA34" i="2"/>
  <c r="AH34" i="2"/>
  <c r="AL34" i="2"/>
  <c r="L29" i="2"/>
  <c r="P29" i="2"/>
  <c r="V29" i="2"/>
  <c r="AA29" i="2"/>
  <c r="AH29" i="2"/>
  <c r="AR29" i="2" s="1"/>
  <c r="AL29" i="2"/>
  <c r="L40" i="2"/>
  <c r="P40" i="2"/>
  <c r="V40" i="2"/>
  <c r="AA40" i="2"/>
  <c r="AH40" i="2"/>
  <c r="AL40" i="2"/>
  <c r="L51" i="2"/>
  <c r="P51" i="2"/>
  <c r="V51" i="2"/>
  <c r="AA51" i="2"/>
  <c r="AH51" i="2"/>
  <c r="AR51" i="2" s="1"/>
  <c r="AL51" i="2"/>
  <c r="L35" i="2"/>
  <c r="P35" i="2"/>
  <c r="V35" i="2"/>
  <c r="AA35" i="2"/>
  <c r="AH35" i="2"/>
  <c r="AR35" i="2" s="1"/>
  <c r="AL35" i="2"/>
  <c r="L44" i="2"/>
  <c r="P44" i="2"/>
  <c r="V44" i="2"/>
  <c r="AA44" i="2"/>
  <c r="AH44" i="2"/>
  <c r="AL44" i="2"/>
  <c r="L62" i="2"/>
  <c r="P62" i="2"/>
  <c r="V62" i="2"/>
  <c r="AA62" i="2"/>
  <c r="AH62" i="2"/>
  <c r="AL62" i="2"/>
  <c r="L54" i="2"/>
  <c r="P54" i="2"/>
  <c r="V54" i="2"/>
  <c r="AA54" i="2"/>
  <c r="AH54" i="2"/>
  <c r="AL54" i="2"/>
  <c r="L67" i="2"/>
  <c r="P67" i="2"/>
  <c r="V67" i="2"/>
  <c r="AA67" i="2"/>
  <c r="AH67" i="2"/>
  <c r="AR67" i="2" s="1"/>
  <c r="AL67" i="2"/>
  <c r="L57" i="2"/>
  <c r="P57" i="2"/>
  <c r="V57" i="2"/>
  <c r="AA57" i="2"/>
  <c r="AH57" i="2"/>
  <c r="AL57" i="2"/>
  <c r="L37" i="2"/>
  <c r="P37" i="2"/>
  <c r="V37" i="2"/>
  <c r="AA37" i="2"/>
  <c r="AH37" i="2"/>
  <c r="AL37" i="2"/>
  <c r="L80" i="2"/>
  <c r="P80" i="2"/>
  <c r="V80" i="2"/>
  <c r="AA80" i="2"/>
  <c r="AH80" i="2"/>
  <c r="AL80" i="2"/>
  <c r="L48" i="2"/>
  <c r="P48" i="2"/>
  <c r="V48" i="2"/>
  <c r="AA48" i="2"/>
  <c r="AH48" i="2"/>
  <c r="AL48" i="2"/>
  <c r="L83" i="2"/>
  <c r="P83" i="2"/>
  <c r="V83" i="2"/>
  <c r="AA83" i="2"/>
  <c r="AH83" i="2"/>
  <c r="AL83" i="2"/>
  <c r="L64" i="2"/>
  <c r="P64" i="2"/>
  <c r="V64" i="2"/>
  <c r="AA64" i="2"/>
  <c r="AH64" i="2"/>
  <c r="AL64" i="2"/>
  <c r="L65" i="2"/>
  <c r="P65" i="2"/>
  <c r="V65" i="2"/>
  <c r="AA65" i="2"/>
  <c r="AH65" i="2"/>
  <c r="AL65" i="2"/>
  <c r="L84" i="2"/>
  <c r="P84" i="2"/>
  <c r="V84" i="2"/>
  <c r="AA84" i="2"/>
  <c r="AH84" i="2"/>
  <c r="AR84" i="2" s="1"/>
  <c r="AL84" i="2"/>
  <c r="L86" i="2"/>
  <c r="P86" i="2"/>
  <c r="V86" i="2"/>
  <c r="AA86" i="2"/>
  <c r="AH86" i="2"/>
  <c r="AR86" i="2" s="1"/>
  <c r="AL86" i="2"/>
  <c r="L81" i="2"/>
  <c r="P81" i="2"/>
  <c r="V81" i="2"/>
  <c r="AA81" i="2"/>
  <c r="AH81" i="2"/>
  <c r="AR81" i="2" s="1"/>
  <c r="AL81" i="2"/>
  <c r="L85" i="2"/>
  <c r="P85" i="2"/>
  <c r="V85" i="2"/>
  <c r="AA85" i="2"/>
  <c r="AH85" i="2"/>
  <c r="AR85" i="2" s="1"/>
  <c r="AL85" i="2"/>
  <c r="L49" i="2"/>
  <c r="P49" i="2"/>
  <c r="V49" i="2"/>
  <c r="AA49" i="2"/>
  <c r="AH49" i="2"/>
  <c r="AR49" i="2" s="1"/>
  <c r="AL49" i="2"/>
  <c r="L73" i="2"/>
  <c r="P73" i="2"/>
  <c r="V73" i="2"/>
  <c r="AA73" i="2"/>
  <c r="AH73" i="2"/>
  <c r="AR73" i="2" s="1"/>
  <c r="AL73" i="2"/>
  <c r="L59" i="2"/>
  <c r="P59" i="2"/>
  <c r="V59" i="2"/>
  <c r="AA59" i="2"/>
  <c r="AH59" i="2"/>
  <c r="AL59" i="2"/>
  <c r="L60" i="2"/>
  <c r="P60" i="2"/>
  <c r="V60" i="2"/>
  <c r="AA60" i="2"/>
  <c r="AH60" i="2"/>
  <c r="AL60" i="2"/>
  <c r="L61" i="2"/>
  <c r="P61" i="2"/>
  <c r="V61" i="2"/>
  <c r="AA61" i="2"/>
  <c r="AH61" i="2"/>
  <c r="AL61" i="2"/>
  <c r="L58" i="2"/>
  <c r="P58" i="2"/>
  <c r="V58" i="2"/>
  <c r="AA58" i="2"/>
  <c r="AH58" i="2"/>
  <c r="AL58" i="2"/>
  <c r="L78" i="2"/>
  <c r="P78" i="2"/>
  <c r="V78" i="2"/>
  <c r="AA78" i="2"/>
  <c r="AH78" i="2"/>
  <c r="AL78" i="2"/>
  <c r="L66" i="2"/>
  <c r="P66" i="2"/>
  <c r="V66" i="2"/>
  <c r="AA66" i="2"/>
  <c r="AH66" i="2"/>
  <c r="AL66" i="2"/>
  <c r="L45" i="2"/>
  <c r="P45" i="2"/>
  <c r="V45" i="2"/>
  <c r="AA45" i="2"/>
  <c r="AH45" i="2"/>
  <c r="AR45" i="2" s="1"/>
  <c r="AL45" i="2"/>
  <c r="L68" i="2"/>
  <c r="P68" i="2"/>
  <c r="V68" i="2"/>
  <c r="AA68" i="2"/>
  <c r="AH68" i="2"/>
  <c r="AL68" i="2"/>
  <c r="L74" i="2"/>
  <c r="P74" i="2"/>
  <c r="V74" i="2"/>
  <c r="AA74" i="2"/>
  <c r="AH74" i="2"/>
  <c r="AR74" i="2" s="1"/>
  <c r="AL74" i="2"/>
  <c r="L69" i="2"/>
  <c r="P69" i="2"/>
  <c r="V69" i="2"/>
  <c r="AA69" i="2"/>
  <c r="AH69" i="2"/>
  <c r="AL69" i="2"/>
  <c r="L76" i="2"/>
  <c r="P76" i="2"/>
  <c r="V76" i="2"/>
  <c r="AA76" i="2"/>
  <c r="AH76" i="2"/>
  <c r="AL76" i="2"/>
  <c r="L63" i="2"/>
  <c r="P63" i="2"/>
  <c r="V63" i="2"/>
  <c r="AA63" i="2"/>
  <c r="AH63" i="2"/>
  <c r="AL63" i="2"/>
  <c r="L82" i="2"/>
  <c r="P82" i="2"/>
  <c r="V82" i="2"/>
  <c r="AA82" i="2"/>
  <c r="AH82" i="2"/>
  <c r="AR82" i="2" s="1"/>
  <c r="AL82" i="2"/>
  <c r="L77" i="2"/>
  <c r="P77" i="2"/>
  <c r="V77" i="2"/>
  <c r="AA77" i="2"/>
  <c r="AH77" i="2"/>
  <c r="AR77" i="2" s="1"/>
  <c r="AL77" i="2"/>
  <c r="L79" i="2"/>
  <c r="P79" i="2"/>
  <c r="V79" i="2"/>
  <c r="AA79" i="2"/>
  <c r="AH79" i="2"/>
  <c r="AR79" i="2" s="1"/>
  <c r="AL79" i="2"/>
  <c r="H22" i="57"/>
  <c r="H23" i="57" s="1"/>
  <c r="H24" i="57" s="1"/>
  <c r="H25" i="57" s="1"/>
  <c r="H26" i="57" s="1"/>
  <c r="H27" i="57" s="1"/>
  <c r="H28" i="57" s="1"/>
  <c r="H29" i="57" s="1"/>
  <c r="X145" i="1"/>
  <c r="O145" i="1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Q33" i="2" l="1"/>
  <c r="AR37" i="2"/>
  <c r="Q85" i="2"/>
  <c r="W85" i="2" s="1"/>
  <c r="G85" i="2" s="1"/>
  <c r="AR69" i="2"/>
  <c r="Q36" i="2"/>
  <c r="W36" i="2" s="1"/>
  <c r="G36" i="2" s="1"/>
  <c r="AR30" i="2"/>
  <c r="Q78" i="2"/>
  <c r="W78" i="2" s="1"/>
  <c r="G78" i="2" s="1"/>
  <c r="Q11" i="2"/>
  <c r="W11" i="2" s="1"/>
  <c r="G11" i="2" s="1"/>
  <c r="AR38" i="2"/>
  <c r="AR47" i="2"/>
  <c r="AK17" i="2"/>
  <c r="AJ17" i="2"/>
  <c r="AI17" i="2"/>
  <c r="Q74" i="2"/>
  <c r="W74" i="2" s="1"/>
  <c r="G74" i="2" s="1"/>
  <c r="Q36" i="1" s="1"/>
  <c r="Q40" i="2"/>
  <c r="W40" i="2" s="1"/>
  <c r="G40" i="2" s="1"/>
  <c r="Q57" i="2"/>
  <c r="W57" i="2" s="1"/>
  <c r="G57" i="2" s="1"/>
  <c r="Q45" i="2"/>
  <c r="W45" i="2" s="1"/>
  <c r="G45" i="2" s="1"/>
  <c r="Q60" i="2"/>
  <c r="W60" i="2" s="1"/>
  <c r="G60" i="2" s="1"/>
  <c r="Q26" i="2"/>
  <c r="W26" i="2" s="1"/>
  <c r="G26" i="2" s="1"/>
  <c r="Q51" i="2"/>
  <c r="W51" i="2" s="1"/>
  <c r="G51" i="2" s="1"/>
  <c r="Q44" i="2"/>
  <c r="W44" i="2" s="1"/>
  <c r="G44" i="2" s="1"/>
  <c r="AR64" i="2"/>
  <c r="AR48" i="2"/>
  <c r="Q6" i="2"/>
  <c r="W6" i="2" s="1"/>
  <c r="G6" i="2" s="1"/>
  <c r="Q8" i="2"/>
  <c r="W8" i="2" s="1"/>
  <c r="G8" i="2" s="1"/>
  <c r="AR32" i="2"/>
  <c r="Q48" i="2"/>
  <c r="W48" i="2" s="1"/>
  <c r="G48" i="2" s="1"/>
  <c r="Q47" i="2"/>
  <c r="W47" i="2" s="1"/>
  <c r="AR75" i="2"/>
  <c r="Q61" i="2"/>
  <c r="W61" i="2" s="1"/>
  <c r="G61" i="2" s="1"/>
  <c r="Q80" i="2"/>
  <c r="W80" i="2" s="1"/>
  <c r="G80" i="2" s="1"/>
  <c r="Q23" i="2"/>
  <c r="W23" i="2" s="1"/>
  <c r="Q73" i="2"/>
  <c r="W73" i="2" s="1"/>
  <c r="G73" i="2" s="1"/>
  <c r="Q71" i="2"/>
  <c r="W71" i="2" s="1"/>
  <c r="G71" i="2" s="1"/>
  <c r="AR78" i="2"/>
  <c r="AR40" i="2"/>
  <c r="Q21" i="2"/>
  <c r="W21" i="2" s="1"/>
  <c r="G21" i="2" s="1"/>
  <c r="Q70" i="2"/>
  <c r="W70" i="2" s="1"/>
  <c r="G70" i="2" s="1"/>
  <c r="Q82" i="2"/>
  <c r="W82" i="2" s="1"/>
  <c r="Q24" i="2"/>
  <c r="W24" i="2" s="1"/>
  <c r="G24" i="2" s="1"/>
  <c r="Q127" i="1" s="1"/>
  <c r="AI71" i="2"/>
  <c r="AR59" i="2"/>
  <c r="AR46" i="2"/>
  <c r="AR27" i="2"/>
  <c r="Q56" i="2"/>
  <c r="W56" i="2" s="1"/>
  <c r="G56" i="2" s="1"/>
  <c r="Q35" i="2"/>
  <c r="W35" i="2" s="1"/>
  <c r="G35" i="2" s="1"/>
  <c r="Q72" i="2"/>
  <c r="W72" i="2" s="1"/>
  <c r="Q42" i="2"/>
  <c r="W42" i="2" s="1"/>
  <c r="Q18" i="2"/>
  <c r="W18" i="2" s="1"/>
  <c r="G18" i="2" s="1"/>
  <c r="AR11" i="2"/>
  <c r="Q59" i="2"/>
  <c r="W59" i="2" s="1"/>
  <c r="G59" i="2" s="1"/>
  <c r="Q10" i="2"/>
  <c r="W10" i="2" s="1"/>
  <c r="Q58" i="2"/>
  <c r="W58" i="2" s="1"/>
  <c r="G58" i="2" s="1"/>
  <c r="Q7" i="2"/>
  <c r="W7" i="2" s="1"/>
  <c r="Q15" i="2"/>
  <c r="W15" i="2" s="1"/>
  <c r="Q66" i="2"/>
  <c r="W66" i="2" s="1"/>
  <c r="G66" i="2" s="1"/>
  <c r="Q65" i="2"/>
  <c r="W65" i="2" s="1"/>
  <c r="G65" i="2" s="1"/>
  <c r="Q16" i="2"/>
  <c r="W16" i="2" s="1"/>
  <c r="Q69" i="2"/>
  <c r="W69" i="2" s="1"/>
  <c r="G69" i="2" s="1"/>
  <c r="Q67" i="2"/>
  <c r="W67" i="2" s="1"/>
  <c r="G67" i="2" s="1"/>
  <c r="Q49" i="2"/>
  <c r="W49" i="2" s="1"/>
  <c r="AR15" i="2"/>
  <c r="Q81" i="2"/>
  <c r="W81" i="2" s="1"/>
  <c r="G81" i="2" s="1"/>
  <c r="Q12" i="2"/>
  <c r="W12" i="2" s="1"/>
  <c r="Q20" i="2"/>
  <c r="W20" i="2" s="1"/>
  <c r="Q13" i="2"/>
  <c r="Q53" i="2"/>
  <c r="W53" i="2" s="1"/>
  <c r="G53" i="2" s="1"/>
  <c r="AR71" i="2"/>
  <c r="AR65" i="2"/>
  <c r="Q62" i="2"/>
  <c r="AR76" i="2"/>
  <c r="AR58" i="2"/>
  <c r="AJ71" i="2"/>
  <c r="AR60" i="2"/>
  <c r="Q37" i="2"/>
  <c r="Q83" i="2"/>
  <c r="W83" i="2" s="1"/>
  <c r="G83" i="2" s="1"/>
  <c r="AR80" i="2"/>
  <c r="AR50" i="2"/>
  <c r="W33" i="2"/>
  <c r="G33" i="2" s="1"/>
  <c r="Q29" i="2"/>
  <c r="Q38" i="2"/>
  <c r="W38" i="2" s="1"/>
  <c r="G38" i="2" s="1"/>
  <c r="Q28" i="2"/>
  <c r="W28" i="2" s="1"/>
  <c r="G28" i="2" s="1"/>
  <c r="Q39" i="2"/>
  <c r="W39" i="2" s="1"/>
  <c r="G39" i="2" s="1"/>
  <c r="Q86" i="2"/>
  <c r="W86" i="2" s="1"/>
  <c r="Q55" i="2"/>
  <c r="W55" i="2" s="1"/>
  <c r="Q9" i="2"/>
  <c r="W9" i="2" s="1"/>
  <c r="G9" i="2" s="1"/>
  <c r="Q32" i="2"/>
  <c r="W32" i="2" s="1"/>
  <c r="Q31" i="2"/>
  <c r="W31" i="2" s="1"/>
  <c r="Q63" i="2"/>
  <c r="W63" i="2" s="1"/>
  <c r="Q17" i="2"/>
  <c r="W17" i="2" s="1"/>
  <c r="G17" i="2" s="1"/>
  <c r="Q134" i="1" s="1"/>
  <c r="Q14" i="2"/>
  <c r="W14" i="2" s="1"/>
  <c r="G14" i="2" s="1"/>
  <c r="Q19" i="2"/>
  <c r="W19" i="2" s="1"/>
  <c r="Q22" i="2"/>
  <c r="W22" i="2" s="1"/>
  <c r="G22" i="2" s="1"/>
  <c r="Q46" i="2"/>
  <c r="W46" i="2" s="1"/>
  <c r="G46" i="2" s="1"/>
  <c r="Q68" i="2"/>
  <c r="W68" i="2" s="1"/>
  <c r="G68" i="2" s="1"/>
  <c r="Q27" i="2"/>
  <c r="W27" i="2" s="1"/>
  <c r="Q54" i="2"/>
  <c r="W54" i="2" s="1"/>
  <c r="G54" i="2" s="1"/>
  <c r="Q80" i="1" s="1"/>
  <c r="Q76" i="2"/>
  <c r="W76" i="2" s="1"/>
  <c r="Q52" i="2"/>
  <c r="W52" i="2" s="1"/>
  <c r="G52" i="2" s="1"/>
  <c r="Q41" i="2"/>
  <c r="W41" i="2" s="1"/>
  <c r="Q77" i="2"/>
  <c r="W77" i="2" s="1"/>
  <c r="G77" i="2" s="1"/>
  <c r="AR53" i="2"/>
  <c r="AR63" i="2"/>
  <c r="AR66" i="2"/>
  <c r="AR28" i="2"/>
  <c r="AR34" i="2"/>
  <c r="AR83" i="2"/>
  <c r="AR57" i="2"/>
  <c r="Q75" i="2"/>
  <c r="AR7" i="2"/>
  <c r="AR68" i="2"/>
  <c r="AR44" i="2"/>
  <c r="AR61" i="2"/>
  <c r="AI24" i="2"/>
  <c r="AJ24" i="2"/>
  <c r="AK24" i="2"/>
  <c r="AR24" i="2"/>
  <c r="AR16" i="2"/>
  <c r="Q30" i="2"/>
  <c r="AR54" i="2"/>
  <c r="Q43" i="2"/>
  <c r="Q79" i="2"/>
  <c r="AR10" i="2"/>
  <c r="AR26" i="2"/>
  <c r="AR36" i="2"/>
  <c r="Q50" i="2"/>
  <c r="Q84" i="2"/>
  <c r="AR43" i="2"/>
  <c r="Q64" i="2"/>
  <c r="AR62" i="2"/>
  <c r="AR9" i="2"/>
  <c r="Q34" i="2"/>
  <c r="AR20" i="2"/>
  <c r="AR55" i="2"/>
  <c r="Q25" i="2"/>
  <c r="AI72" i="2"/>
  <c r="AK72" i="2"/>
  <c r="AJ72" i="2"/>
  <c r="H6" i="43"/>
  <c r="H7" i="43"/>
  <c r="H8" i="43"/>
  <c r="H9" i="43"/>
  <c r="H10" i="43"/>
  <c r="H11" i="43"/>
  <c r="H12" i="43"/>
  <c r="H13" i="43"/>
  <c r="H14" i="43"/>
  <c r="H15" i="43"/>
  <c r="H16" i="43"/>
  <c r="H17" i="43"/>
  <c r="H18" i="43"/>
  <c r="H19" i="43"/>
  <c r="H20" i="43"/>
  <c r="H21" i="43"/>
  <c r="H22" i="43"/>
  <c r="H23" i="43"/>
  <c r="H24" i="43"/>
  <c r="H25" i="43"/>
  <c r="H26" i="43"/>
  <c r="H27" i="43"/>
  <c r="H28" i="43"/>
  <c r="H29" i="43"/>
  <c r="CC150" i="1" l="1"/>
  <c r="CD150" i="1" s="1"/>
  <c r="DR150" i="1"/>
  <c r="DR154" i="1"/>
  <c r="CC154" i="1"/>
  <c r="CD154" i="1" s="1"/>
  <c r="CC148" i="1"/>
  <c r="CD148" i="1" s="1"/>
  <c r="DR148" i="1"/>
  <c r="DR149" i="1"/>
  <c r="CC149" i="1"/>
  <c r="CD149" i="1" s="1"/>
  <c r="DR146" i="1"/>
  <c r="CC146" i="1"/>
  <c r="CD146" i="1" s="1"/>
  <c r="DR151" i="1"/>
  <c r="CC151" i="1"/>
  <c r="CD151" i="1" s="1"/>
  <c r="CC152" i="1"/>
  <c r="CD152" i="1" s="1"/>
  <c r="DR152" i="1"/>
  <c r="CC153" i="1"/>
  <c r="CD153" i="1" s="1"/>
  <c r="DR153" i="1"/>
  <c r="CC147" i="1"/>
  <c r="CD147" i="1" s="1"/>
  <c r="DR147" i="1"/>
  <c r="Q65" i="1"/>
  <c r="Q70" i="1"/>
  <c r="Q74" i="1"/>
  <c r="Q68" i="1"/>
  <c r="Q71" i="1"/>
  <c r="Q69" i="1"/>
  <c r="Q75" i="1"/>
  <c r="Q73" i="1"/>
  <c r="Q72" i="1"/>
  <c r="Q67" i="1"/>
  <c r="Q23" i="1"/>
  <c r="Q24" i="1"/>
  <c r="Q26" i="1"/>
  <c r="Q22" i="1"/>
  <c r="Q25" i="1"/>
  <c r="Q19" i="1"/>
  <c r="Q18" i="1"/>
  <c r="Q30" i="1"/>
  <c r="Q29" i="1"/>
  <c r="Q62" i="1"/>
  <c r="Q63" i="1"/>
  <c r="Q61" i="1"/>
  <c r="Q48" i="1"/>
  <c r="Q47" i="1"/>
  <c r="Q50" i="1"/>
  <c r="Q52" i="1"/>
  <c r="Q51" i="1"/>
  <c r="Q49" i="1"/>
  <c r="Q42" i="1"/>
  <c r="Q43" i="1"/>
  <c r="Q118" i="1"/>
  <c r="Q115" i="1"/>
  <c r="Q116" i="1"/>
  <c r="Q117" i="1"/>
  <c r="Q106" i="1"/>
  <c r="Q107" i="1"/>
  <c r="Q103" i="1"/>
  <c r="Q105" i="1"/>
  <c r="Q102" i="1"/>
  <c r="Q108" i="1"/>
  <c r="Q104" i="1"/>
  <c r="G7" i="2"/>
  <c r="Q145" i="1" s="1"/>
  <c r="G27" i="2"/>
  <c r="G47" i="2"/>
  <c r="G10" i="2"/>
  <c r="Q140" i="1" s="1"/>
  <c r="G82" i="2"/>
  <c r="G23" i="2"/>
  <c r="G49" i="2"/>
  <c r="G72" i="2"/>
  <c r="Q39" i="1" s="1"/>
  <c r="G32" i="2"/>
  <c r="W13" i="2"/>
  <c r="G13" i="2" s="1"/>
  <c r="G15" i="2"/>
  <c r="G42" i="2"/>
  <c r="G16" i="2"/>
  <c r="W62" i="2"/>
  <c r="G62" i="2" s="1"/>
  <c r="G20" i="2"/>
  <c r="G12" i="2"/>
  <c r="W37" i="2"/>
  <c r="G37" i="2" s="1"/>
  <c r="G76" i="2"/>
  <c r="G55" i="2"/>
  <c r="G41" i="2"/>
  <c r="G19" i="2"/>
  <c r="G63" i="2"/>
  <c r="G31" i="2"/>
  <c r="G86" i="2"/>
  <c r="W29" i="2"/>
  <c r="G29" i="2" s="1"/>
  <c r="W43" i="2"/>
  <c r="G43" i="2" s="1"/>
  <c r="W75" i="2"/>
  <c r="G75" i="2" s="1"/>
  <c r="W50" i="2"/>
  <c r="G50" i="2" s="1"/>
  <c r="W84" i="2"/>
  <c r="G84" i="2" s="1"/>
  <c r="W64" i="2"/>
  <c r="G64" i="2" s="1"/>
  <c r="W30" i="2"/>
  <c r="G30" i="2" s="1"/>
  <c r="W25" i="2"/>
  <c r="G25" i="2" s="1"/>
  <c r="W79" i="2"/>
  <c r="G79" i="2" s="1"/>
  <c r="W34" i="2"/>
  <c r="G34" i="2" s="1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J5" i="43"/>
  <c r="J6" i="43"/>
  <c r="J7" i="43"/>
  <c r="J8" i="43"/>
  <c r="J9" i="43"/>
  <c r="J10" i="43"/>
  <c r="J11" i="43"/>
  <c r="J12" i="43"/>
  <c r="J13" i="43"/>
  <c r="J14" i="43"/>
  <c r="J15" i="43"/>
  <c r="J16" i="43"/>
  <c r="J17" i="43"/>
  <c r="J18" i="43"/>
  <c r="J19" i="43"/>
  <c r="J20" i="43"/>
  <c r="J21" i="43"/>
  <c r="J22" i="43"/>
  <c r="J23" i="43"/>
  <c r="J24" i="43"/>
  <c r="J25" i="43"/>
  <c r="J26" i="43"/>
  <c r="J27" i="43"/>
  <c r="J28" i="43"/>
  <c r="J29" i="43"/>
  <c r="I5" i="43"/>
  <c r="I6" i="43"/>
  <c r="I7" i="43"/>
  <c r="I8" i="43"/>
  <c r="I9" i="43"/>
  <c r="I10" i="43"/>
  <c r="I11" i="43"/>
  <c r="I12" i="43"/>
  <c r="I13" i="43"/>
  <c r="I14" i="43"/>
  <c r="I15" i="43"/>
  <c r="I16" i="43"/>
  <c r="I17" i="43"/>
  <c r="I18" i="43"/>
  <c r="I19" i="43"/>
  <c r="I20" i="43"/>
  <c r="I21" i="43"/>
  <c r="I22" i="43"/>
  <c r="I23" i="43"/>
  <c r="I24" i="43"/>
  <c r="I25" i="43"/>
  <c r="I26" i="43"/>
  <c r="I27" i="43"/>
  <c r="I28" i="43"/>
  <c r="I29" i="43"/>
  <c r="H5" i="43"/>
  <c r="G5" i="43"/>
  <c r="CA155" i="1" s="1"/>
  <c r="CB155" i="1" s="1"/>
  <c r="G6" i="43"/>
  <c r="CA154" i="1" s="1"/>
  <c r="CB154" i="1" s="1"/>
  <c r="G7" i="43"/>
  <c r="CA153" i="1" s="1"/>
  <c r="CB153" i="1" s="1"/>
  <c r="G8" i="43"/>
  <c r="CA152" i="1" s="1"/>
  <c r="CB152" i="1" s="1"/>
  <c r="G9" i="43"/>
  <c r="CA151" i="1" s="1"/>
  <c r="CB151" i="1" s="1"/>
  <c r="G10" i="43"/>
  <c r="G11" i="43"/>
  <c r="CA150" i="1" s="1"/>
  <c r="CB150" i="1" s="1"/>
  <c r="G12" i="43"/>
  <c r="G13" i="43"/>
  <c r="CA149" i="1" s="1"/>
  <c r="CB149" i="1" s="1"/>
  <c r="G14" i="43"/>
  <c r="G15" i="43"/>
  <c r="G16" i="43"/>
  <c r="G17" i="43"/>
  <c r="G18" i="43"/>
  <c r="G19" i="43"/>
  <c r="G20" i="43"/>
  <c r="G21" i="43"/>
  <c r="G22" i="43"/>
  <c r="G23" i="43"/>
  <c r="G24" i="43"/>
  <c r="G25" i="43"/>
  <c r="G26" i="43"/>
  <c r="G27" i="43"/>
  <c r="CA146" i="1" s="1"/>
  <c r="CB146" i="1" s="1"/>
  <c r="G28" i="43"/>
  <c r="CA147" i="1" s="1"/>
  <c r="CB147" i="1" s="1"/>
  <c r="G29" i="43"/>
  <c r="CA148" i="1" s="1"/>
  <c r="CB148" i="1" s="1"/>
  <c r="F5" i="43"/>
  <c r="BY155" i="1" s="1"/>
  <c r="F6" i="43"/>
  <c r="BY154" i="1" s="1"/>
  <c r="F7" i="43"/>
  <c r="BY153" i="1" s="1"/>
  <c r="F8" i="43"/>
  <c r="BY152" i="1" s="1"/>
  <c r="F9" i="43"/>
  <c r="BY151" i="1" s="1"/>
  <c r="F10" i="43"/>
  <c r="F11" i="43"/>
  <c r="BY150" i="1" s="1"/>
  <c r="F12" i="43"/>
  <c r="F13" i="43"/>
  <c r="BY149" i="1" s="1"/>
  <c r="F14" i="43"/>
  <c r="F15" i="43"/>
  <c r="F16" i="43"/>
  <c r="F17" i="43"/>
  <c r="F18" i="43"/>
  <c r="F19" i="43"/>
  <c r="F20" i="43"/>
  <c r="F21" i="43"/>
  <c r="F22" i="43"/>
  <c r="F23" i="43"/>
  <c r="F24" i="43"/>
  <c r="F25" i="43"/>
  <c r="F26" i="43"/>
  <c r="F27" i="43"/>
  <c r="BY146" i="1" s="1"/>
  <c r="F28" i="43"/>
  <c r="BY147" i="1" s="1"/>
  <c r="F29" i="43"/>
  <c r="BY148" i="1" s="1"/>
  <c r="E5" i="43"/>
  <c r="E6" i="43"/>
  <c r="E7" i="43"/>
  <c r="E8" i="43"/>
  <c r="E9" i="43"/>
  <c r="E10" i="43"/>
  <c r="E11" i="43"/>
  <c r="E12" i="43"/>
  <c r="E13" i="43"/>
  <c r="E14" i="43"/>
  <c r="E15" i="43"/>
  <c r="E16" i="43"/>
  <c r="E17" i="43"/>
  <c r="E18" i="43"/>
  <c r="E19" i="43"/>
  <c r="E20" i="43"/>
  <c r="E21" i="43"/>
  <c r="E22" i="43"/>
  <c r="E23" i="43"/>
  <c r="E24" i="43"/>
  <c r="E25" i="43"/>
  <c r="E26" i="43"/>
  <c r="E27" i="43"/>
  <c r="E28" i="43"/>
  <c r="E29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7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CE147" i="1" l="1"/>
  <c r="CF147" i="1" s="1"/>
  <c r="BZ147" i="1"/>
  <c r="CE146" i="1"/>
  <c r="CF146" i="1" s="1"/>
  <c r="BZ146" i="1"/>
  <c r="CE151" i="1"/>
  <c r="CF151" i="1" s="1"/>
  <c r="BZ151" i="1"/>
  <c r="CE152" i="1"/>
  <c r="CF152" i="1" s="1"/>
  <c r="BZ152" i="1"/>
  <c r="CE149" i="1"/>
  <c r="CF149" i="1" s="1"/>
  <c r="BZ149" i="1"/>
  <c r="CE153" i="1"/>
  <c r="CF153" i="1" s="1"/>
  <c r="BZ153" i="1"/>
  <c r="CE148" i="1"/>
  <c r="CF148" i="1" s="1"/>
  <c r="BZ148" i="1"/>
  <c r="CE150" i="1"/>
  <c r="CF150" i="1" s="1"/>
  <c r="BZ150" i="1"/>
  <c r="CC155" i="1"/>
  <c r="CD155" i="1" s="1"/>
  <c r="DR155" i="1"/>
  <c r="CE154" i="1"/>
  <c r="CF154" i="1" s="1"/>
  <c r="BZ154" i="1"/>
  <c r="CE155" i="1"/>
  <c r="CF155" i="1" s="1"/>
  <c r="BZ155" i="1"/>
  <c r="Q56" i="1"/>
  <c r="Q40" i="1"/>
  <c r="Q54" i="1"/>
  <c r="Q12" i="1"/>
  <c r="Q13" i="1"/>
  <c r="Q16" i="1"/>
  <c r="Q11" i="1"/>
  <c r="Q14" i="1"/>
  <c r="Q15" i="1"/>
  <c r="Q97" i="1"/>
  <c r="Q94" i="1"/>
  <c r="Q98" i="1"/>
  <c r="Q93" i="1"/>
  <c r="Q96" i="1"/>
  <c r="Q95" i="1"/>
  <c r="D62" i="50"/>
  <c r="D63" i="50"/>
  <c r="D61" i="50"/>
  <c r="X144" i="1" l="1"/>
  <c r="X156" i="1"/>
  <c r="X92" i="1"/>
  <c r="X57" i="1"/>
  <c r="X143" i="1"/>
  <c r="X53" i="1"/>
  <c r="X101" i="1"/>
  <c r="X137" i="1"/>
  <c r="X129" i="1"/>
  <c r="X138" i="1"/>
  <c r="X126" i="1"/>
  <c r="X85" i="1"/>
  <c r="X114" i="1"/>
  <c r="X41" i="1"/>
  <c r="X20" i="1"/>
  <c r="X77" i="1"/>
  <c r="X89" i="1"/>
  <c r="X119" i="1"/>
  <c r="X83" i="1"/>
  <c r="X35" i="1"/>
  <c r="X64" i="1"/>
  <c r="X46" i="1"/>
  <c r="X38" i="1"/>
  <c r="X10" i="1"/>
  <c r="X121" i="1"/>
  <c r="X34" i="1"/>
  <c r="X27" i="1"/>
  <c r="X110" i="1"/>
  <c r="X60" i="1"/>
  <c r="X33" i="1"/>
  <c r="X45" i="1"/>
  <c r="X55" i="1"/>
  <c r="X76" i="1"/>
  <c r="X59" i="1"/>
  <c r="X58" i="1"/>
  <c r="X37" i="1"/>
  <c r="X44" i="1"/>
  <c r="X28" i="1"/>
  <c r="X31" i="1"/>
  <c r="X79" i="1"/>
  <c r="X8" i="1"/>
  <c r="X32" i="1"/>
  <c r="X111" i="1"/>
  <c r="X17" i="1"/>
  <c r="X21" i="1"/>
  <c r="X9" i="1"/>
  <c r="X87" i="1"/>
  <c r="X112" i="1"/>
  <c r="X133" i="1"/>
  <c r="X128" i="1"/>
  <c r="X122" i="1"/>
  <c r="X91" i="1"/>
  <c r="X113" i="1"/>
  <c r="X99" i="1"/>
  <c r="X136" i="1"/>
  <c r="X130" i="1"/>
  <c r="X131" i="1"/>
  <c r="X141" i="1"/>
  <c r="X86" i="1"/>
  <c r="X139" i="1"/>
  <c r="X84" i="1"/>
  <c r="X132" i="1"/>
  <c r="X135" i="1"/>
  <c r="X88" i="1"/>
  <c r="X100" i="1"/>
  <c r="X124" i="1"/>
  <c r="X78" i="1"/>
  <c r="X120" i="1"/>
  <c r="X142" i="1"/>
  <c r="X109" i="1"/>
  <c r="X90" i="1"/>
  <c r="X123" i="1"/>
  <c r="X66" i="1"/>
  <c r="X82" i="1"/>
  <c r="X125" i="1"/>
  <c r="X81" i="1"/>
  <c r="E19" i="80" l="1"/>
  <c r="E20" i="80"/>
  <c r="E21" i="80"/>
  <c r="E27" i="80"/>
  <c r="E28" i="80"/>
  <c r="E29" i="80"/>
  <c r="G9" i="57" l="1"/>
  <c r="J9" i="1" l="1"/>
  <c r="J128" i="1"/>
  <c r="J55" i="1"/>
  <c r="J92" i="1"/>
  <c r="J57" i="1"/>
  <c r="J143" i="1"/>
  <c r="J8" i="1"/>
  <c r="J53" i="1"/>
  <c r="J87" i="1"/>
  <c r="J33" i="1"/>
  <c r="J101" i="1"/>
  <c r="J59" i="1"/>
  <c r="J142" i="1"/>
  <c r="J137" i="1"/>
  <c r="J129" i="1"/>
  <c r="J138" i="1"/>
  <c r="J112" i="1"/>
  <c r="J126" i="1"/>
  <c r="J85" i="1"/>
  <c r="J114" i="1"/>
  <c r="J41" i="1"/>
  <c r="J32" i="1"/>
  <c r="J111" i="1"/>
  <c r="J28" i="1"/>
  <c r="J133" i="1"/>
  <c r="J124" i="1"/>
  <c r="J76" i="1"/>
  <c r="J45" i="1"/>
  <c r="J84" i="1"/>
  <c r="J88" i="1"/>
  <c r="J17" i="1"/>
  <c r="J83" i="1"/>
  <c r="J21" i="1"/>
  <c r="J125" i="1"/>
  <c r="J109" i="1"/>
  <c r="J121" i="1"/>
  <c r="J122" i="1"/>
  <c r="J79" i="1"/>
  <c r="J91" i="1"/>
  <c r="J58" i="1"/>
  <c r="J113" i="1"/>
  <c r="J144" i="1"/>
  <c r="J35" i="1"/>
  <c r="J34" i="1"/>
  <c r="J99" i="1"/>
  <c r="J86" i="1"/>
  <c r="J90" i="1"/>
  <c r="J139" i="1"/>
  <c r="J135" i="1"/>
  <c r="J130" i="1"/>
  <c r="J78" i="1"/>
  <c r="J82" i="1"/>
  <c r="J136" i="1"/>
  <c r="J132" i="1"/>
  <c r="J120" i="1"/>
  <c r="J31" i="1"/>
  <c r="J131" i="1"/>
  <c r="J81" i="1"/>
  <c r="J20" i="1"/>
  <c r="J66" i="1"/>
  <c r="J27" i="1"/>
  <c r="J100" i="1"/>
  <c r="J77" i="1"/>
  <c r="J89" i="1"/>
  <c r="J156" i="1"/>
  <c r="J119" i="1"/>
  <c r="J64" i="1"/>
  <c r="J110" i="1"/>
  <c r="J123" i="1"/>
  <c r="J141" i="1"/>
  <c r="J46" i="1"/>
  <c r="J37" i="1"/>
  <c r="J44" i="1"/>
  <c r="J60" i="1"/>
  <c r="J38" i="1"/>
  <c r="J10" i="1"/>
  <c r="O9" i="1" l="1"/>
  <c r="AL9" i="1"/>
  <c r="AT9" i="1"/>
  <c r="AL128" i="1"/>
  <c r="AJ128" i="1" l="1"/>
  <c r="W9" i="1"/>
  <c r="AJ9" i="1"/>
  <c r="Z128" i="1"/>
  <c r="Y128" i="1"/>
  <c r="Z9" i="1"/>
  <c r="DA9" i="1" s="1"/>
  <c r="DC9" i="1" s="1"/>
  <c r="Y9" i="1"/>
  <c r="DB9" i="1"/>
  <c r="V9" i="1" l="1"/>
  <c r="AA9" i="1" s="1"/>
  <c r="AI85" i="2" s="1"/>
  <c r="V128" i="1"/>
  <c r="DE9" i="1"/>
  <c r="DD9" i="1"/>
  <c r="AC9" i="1" l="1"/>
  <c r="AK85" i="2" s="1"/>
  <c r="AB9" i="1"/>
  <c r="AJ85" i="2" s="1"/>
  <c r="DF9" i="1"/>
  <c r="DG9" i="1" l="1"/>
  <c r="BK9" i="1"/>
  <c r="BL9" i="1"/>
  <c r="AL45" i="1"/>
  <c r="AL55" i="1"/>
  <c r="AL82" i="1"/>
  <c r="AL92" i="1"/>
  <c r="AL88" i="1"/>
  <c r="AL37" i="1"/>
  <c r="AL57" i="1"/>
  <c r="AL77" i="1"/>
  <c r="AL143" i="1"/>
  <c r="AL136" i="1"/>
  <c r="AL8" i="1"/>
  <c r="AL34" i="1"/>
  <c r="AL53" i="1"/>
  <c r="AL109" i="1"/>
  <c r="AL44" i="1"/>
  <c r="AL60" i="1"/>
  <c r="AL87" i="1"/>
  <c r="AL89" i="1"/>
  <c r="AL33" i="1"/>
  <c r="AL101" i="1"/>
  <c r="AL59" i="1"/>
  <c r="AL99" i="1"/>
  <c r="AL142" i="1"/>
  <c r="AL137" i="1"/>
  <c r="AL129" i="1"/>
  <c r="AL138" i="1"/>
  <c r="AL112" i="1"/>
  <c r="AL132" i="1"/>
  <c r="AL126" i="1"/>
  <c r="AL85" i="1"/>
  <c r="AL114" i="1"/>
  <c r="AL17" i="1"/>
  <c r="AL156" i="1"/>
  <c r="AL120" i="1"/>
  <c r="AL41" i="1"/>
  <c r="AL121" i="1"/>
  <c r="AL31" i="1"/>
  <c r="AL38" i="1"/>
  <c r="AL32" i="1"/>
  <c r="AL10" i="1"/>
  <c r="AL111" i="1"/>
  <c r="AL83" i="1"/>
  <c r="AL86" i="1"/>
  <c r="AL90" i="1"/>
  <c r="AL131" i="1"/>
  <c r="AL122" i="1"/>
  <c r="AL119" i="1"/>
  <c r="AL76" i="1"/>
  <c r="AL145" i="1"/>
  <c r="AL79" i="1"/>
  <c r="AL28" i="1"/>
  <c r="AL84" i="1"/>
  <c r="AL27" i="1"/>
  <c r="AL139" i="1"/>
  <c r="AL21" i="1"/>
  <c r="AL91" i="1"/>
  <c r="AL135" i="1"/>
  <c r="AL81" i="1"/>
  <c r="AL35" i="1"/>
  <c r="AL58" i="1"/>
  <c r="AL64" i="1"/>
  <c r="AL110" i="1"/>
  <c r="AL133" i="1"/>
  <c r="AL130" i="1"/>
  <c r="AL123" i="1"/>
  <c r="AL141" i="1"/>
  <c r="AL20" i="1"/>
  <c r="AL124" i="1"/>
  <c r="AL78" i="1"/>
  <c r="AL113" i="1"/>
  <c r="AL100" i="1"/>
  <c r="AL144" i="1"/>
  <c r="AL46" i="1"/>
  <c r="AL66" i="1"/>
  <c r="AL125" i="1"/>
  <c r="O126" i="1"/>
  <c r="O85" i="1"/>
  <c r="O114" i="1"/>
  <c r="O17" i="1"/>
  <c r="O156" i="1"/>
  <c r="O120" i="1"/>
  <c r="O41" i="1"/>
  <c r="O121" i="1"/>
  <c r="O31" i="1"/>
  <c r="O38" i="1"/>
  <c r="O32" i="1"/>
  <c r="O10" i="1"/>
  <c r="O111" i="1"/>
  <c r="O83" i="1"/>
  <c r="O86" i="1"/>
  <c r="O90" i="1"/>
  <c r="O131" i="1"/>
  <c r="O122" i="1"/>
  <c r="O119" i="1"/>
  <c r="O76" i="1"/>
  <c r="O79" i="1"/>
  <c r="O28" i="1"/>
  <c r="O84" i="1"/>
  <c r="O27" i="1"/>
  <c r="O139" i="1"/>
  <c r="O21" i="1"/>
  <c r="O91" i="1"/>
  <c r="O135" i="1"/>
  <c r="O81" i="1"/>
  <c r="O35" i="1"/>
  <c r="O58" i="1"/>
  <c r="O64" i="1"/>
  <c r="O110" i="1"/>
  <c r="O133" i="1"/>
  <c r="O130" i="1"/>
  <c r="O123" i="1"/>
  <c r="O141" i="1"/>
  <c r="O20" i="1"/>
  <c r="O124" i="1"/>
  <c r="O78" i="1"/>
  <c r="O113" i="1"/>
  <c r="O100" i="1"/>
  <c r="O144" i="1"/>
  <c r="O46" i="1"/>
  <c r="O66" i="1"/>
  <c r="O125" i="1"/>
  <c r="AT126" i="1"/>
  <c r="AT85" i="1"/>
  <c r="AT114" i="1"/>
  <c r="AT17" i="1"/>
  <c r="AT156" i="1"/>
  <c r="AT120" i="1"/>
  <c r="AT41" i="1"/>
  <c r="AT121" i="1"/>
  <c r="AT31" i="1"/>
  <c r="AT38" i="1"/>
  <c r="AT32" i="1"/>
  <c r="AT10" i="1"/>
  <c r="AT111" i="1"/>
  <c r="AT83" i="1"/>
  <c r="AT86" i="1"/>
  <c r="AT90" i="1"/>
  <c r="AT131" i="1"/>
  <c r="AT122" i="1"/>
  <c r="AT119" i="1"/>
  <c r="AT76" i="1"/>
  <c r="AT145" i="1"/>
  <c r="AT79" i="1"/>
  <c r="AT28" i="1"/>
  <c r="AT84" i="1"/>
  <c r="AT27" i="1"/>
  <c r="AT139" i="1"/>
  <c r="AT21" i="1"/>
  <c r="AT91" i="1"/>
  <c r="AT135" i="1"/>
  <c r="AT81" i="1"/>
  <c r="AT35" i="1"/>
  <c r="AT58" i="1"/>
  <c r="AT64" i="1"/>
  <c r="AT110" i="1"/>
  <c r="AT133" i="1"/>
  <c r="AT130" i="1"/>
  <c r="AT123" i="1"/>
  <c r="AT141" i="1"/>
  <c r="AT20" i="1"/>
  <c r="AT124" i="1"/>
  <c r="AT78" i="1"/>
  <c r="AT113" i="1"/>
  <c r="AT100" i="1"/>
  <c r="AT144" i="1"/>
  <c r="AT46" i="1"/>
  <c r="AT66" i="1"/>
  <c r="AT125" i="1"/>
  <c r="CS126" i="1"/>
  <c r="CS85" i="1"/>
  <c r="CS114" i="1"/>
  <c r="CS17" i="1"/>
  <c r="CS156" i="1"/>
  <c r="CS120" i="1"/>
  <c r="CS41" i="1"/>
  <c r="CS121" i="1"/>
  <c r="CS31" i="1"/>
  <c r="CS38" i="1"/>
  <c r="CS32" i="1"/>
  <c r="CS10" i="1"/>
  <c r="CS111" i="1"/>
  <c r="CS83" i="1"/>
  <c r="CS86" i="1"/>
  <c r="CS90" i="1"/>
  <c r="CS131" i="1"/>
  <c r="CS122" i="1"/>
  <c r="CS119" i="1"/>
  <c r="CS76" i="1"/>
  <c r="CS79" i="1"/>
  <c r="CS28" i="1"/>
  <c r="CS84" i="1"/>
  <c r="CS27" i="1"/>
  <c r="CS139" i="1"/>
  <c r="CS21" i="1"/>
  <c r="CS91" i="1"/>
  <c r="CS135" i="1"/>
  <c r="CS81" i="1"/>
  <c r="CS35" i="1"/>
  <c r="CS58" i="1"/>
  <c r="CS64" i="1"/>
  <c r="CS110" i="1"/>
  <c r="CS133" i="1"/>
  <c r="CS130" i="1"/>
  <c r="CS123" i="1"/>
  <c r="CS141" i="1"/>
  <c r="CS20" i="1"/>
  <c r="CS124" i="1"/>
  <c r="CS78" i="1"/>
  <c r="CS113" i="1"/>
  <c r="CS100" i="1"/>
  <c r="CS46" i="1"/>
  <c r="CS66" i="1"/>
  <c r="CS125" i="1"/>
  <c r="AJ125" i="1" l="1"/>
  <c r="W66" i="1"/>
  <c r="AJ66" i="1"/>
  <c r="AJ46" i="1"/>
  <c r="AJ144" i="1"/>
  <c r="AJ100" i="1"/>
  <c r="AJ113" i="1"/>
  <c r="AJ78" i="1"/>
  <c r="AJ124" i="1"/>
  <c r="AJ20" i="1"/>
  <c r="AJ141" i="1"/>
  <c r="W123" i="1"/>
  <c r="AJ123" i="1"/>
  <c r="AJ130" i="1"/>
  <c r="AJ133" i="1"/>
  <c r="AJ110" i="1"/>
  <c r="AJ64" i="1"/>
  <c r="AJ58" i="1"/>
  <c r="AJ35" i="1"/>
  <c r="AJ81" i="1"/>
  <c r="AJ135" i="1"/>
  <c r="AJ91" i="1"/>
  <c r="W21" i="1"/>
  <c r="AJ21" i="1"/>
  <c r="W139" i="1"/>
  <c r="AJ139" i="1"/>
  <c r="AJ27" i="1"/>
  <c r="AJ84" i="1"/>
  <c r="W28" i="1"/>
  <c r="AJ28" i="1"/>
  <c r="AJ79" i="1"/>
  <c r="AJ145" i="1"/>
  <c r="V145" i="1" s="1"/>
  <c r="AJ76" i="1"/>
  <c r="AJ119" i="1"/>
  <c r="AJ122" i="1"/>
  <c r="AJ131" i="1"/>
  <c r="AJ90" i="1"/>
  <c r="W86" i="1"/>
  <c r="AJ86" i="1"/>
  <c r="W83" i="1"/>
  <c r="AJ83" i="1"/>
  <c r="AJ111" i="1"/>
  <c r="AJ10" i="1"/>
  <c r="AJ32" i="1"/>
  <c r="AJ38" i="1"/>
  <c r="AJ31" i="1"/>
  <c r="AJ121" i="1"/>
  <c r="AJ41" i="1"/>
  <c r="AJ120" i="1"/>
  <c r="AJ156" i="1"/>
  <c r="AJ17" i="1"/>
  <c r="W114" i="1"/>
  <c r="AJ114" i="1"/>
  <c r="AJ85" i="1"/>
  <c r="AJ126" i="1"/>
  <c r="AJ132" i="1"/>
  <c r="AJ112" i="1"/>
  <c r="AJ138" i="1"/>
  <c r="AJ129" i="1"/>
  <c r="AJ137" i="1"/>
  <c r="AJ142" i="1"/>
  <c r="AJ99" i="1"/>
  <c r="AJ59" i="1"/>
  <c r="AJ101" i="1"/>
  <c r="AJ33" i="1"/>
  <c r="AJ89" i="1"/>
  <c r="AJ87" i="1"/>
  <c r="AJ60" i="1"/>
  <c r="AJ44" i="1"/>
  <c r="AJ109" i="1"/>
  <c r="AJ53" i="1"/>
  <c r="AJ34" i="1"/>
  <c r="AJ8" i="1"/>
  <c r="AJ136" i="1"/>
  <c r="AJ143" i="1"/>
  <c r="AJ77" i="1"/>
  <c r="AJ57" i="1"/>
  <c r="AJ37" i="1"/>
  <c r="AJ88" i="1"/>
  <c r="AJ92" i="1"/>
  <c r="AJ82" i="1"/>
  <c r="AJ55" i="1"/>
  <c r="AJ45" i="1"/>
  <c r="Z125" i="1"/>
  <c r="DA125" i="1" s="1"/>
  <c r="Y125" i="1"/>
  <c r="Z66" i="1"/>
  <c r="DA66" i="1" s="1"/>
  <c r="Y66" i="1"/>
  <c r="Z46" i="1"/>
  <c r="DA46" i="1" s="1"/>
  <c r="DD46" i="1" s="1"/>
  <c r="Y46" i="1"/>
  <c r="Z144" i="1"/>
  <c r="DA144" i="1" s="1"/>
  <c r="DB144" i="1" s="1"/>
  <c r="Y144" i="1"/>
  <c r="Z100" i="1"/>
  <c r="DA100" i="1" s="1"/>
  <c r="DE100" i="1" s="1"/>
  <c r="Y100" i="1"/>
  <c r="Z113" i="1"/>
  <c r="DA113" i="1" s="1"/>
  <c r="DD113" i="1" s="1"/>
  <c r="Y113" i="1"/>
  <c r="Z78" i="1"/>
  <c r="DA78" i="1" s="1"/>
  <c r="DE78" i="1" s="1"/>
  <c r="Y78" i="1"/>
  <c r="Z124" i="1"/>
  <c r="DA124" i="1" s="1"/>
  <c r="DD124" i="1" s="1"/>
  <c r="Y124" i="1"/>
  <c r="Z20" i="1"/>
  <c r="DA20" i="1" s="1"/>
  <c r="DE20" i="1" s="1"/>
  <c r="Y20" i="1"/>
  <c r="Z141" i="1"/>
  <c r="DA141" i="1" s="1"/>
  <c r="Y141" i="1"/>
  <c r="Z123" i="1"/>
  <c r="DA123" i="1" s="1"/>
  <c r="DC123" i="1" s="1"/>
  <c r="Y123" i="1"/>
  <c r="Z130" i="1"/>
  <c r="DA130" i="1" s="1"/>
  <c r="Y130" i="1"/>
  <c r="Z133" i="1"/>
  <c r="DA133" i="1" s="1"/>
  <c r="DC133" i="1" s="1"/>
  <c r="Y133" i="1"/>
  <c r="Z110" i="1"/>
  <c r="DA110" i="1" s="1"/>
  <c r="Y110" i="1"/>
  <c r="Z64" i="1"/>
  <c r="DA64" i="1" s="1"/>
  <c r="Y64" i="1"/>
  <c r="Z58" i="1"/>
  <c r="DA58" i="1" s="1"/>
  <c r="Y58" i="1"/>
  <c r="Z35" i="1"/>
  <c r="DA35" i="1" s="1"/>
  <c r="DD35" i="1" s="1"/>
  <c r="Y35" i="1"/>
  <c r="Z81" i="1"/>
  <c r="DA81" i="1" s="1"/>
  <c r="DD81" i="1" s="1"/>
  <c r="Y81" i="1"/>
  <c r="Z135" i="1"/>
  <c r="DA135" i="1" s="1"/>
  <c r="DE135" i="1" s="1"/>
  <c r="Y135" i="1"/>
  <c r="Z91" i="1"/>
  <c r="DA91" i="1" s="1"/>
  <c r="DE91" i="1" s="1"/>
  <c r="Y91" i="1"/>
  <c r="Z21" i="1"/>
  <c r="DA21" i="1" s="1"/>
  <c r="Y21" i="1"/>
  <c r="Z139" i="1"/>
  <c r="DA139" i="1" s="1"/>
  <c r="DD139" i="1" s="1"/>
  <c r="Y139" i="1"/>
  <c r="Z27" i="1"/>
  <c r="DA27" i="1" s="1"/>
  <c r="Y27" i="1"/>
  <c r="Z84" i="1"/>
  <c r="DA84" i="1" s="1"/>
  <c r="DC84" i="1" s="1"/>
  <c r="Y84" i="1"/>
  <c r="Z28" i="1"/>
  <c r="DA28" i="1" s="1"/>
  <c r="DC28" i="1" s="1"/>
  <c r="Y28" i="1"/>
  <c r="Z79" i="1"/>
  <c r="DA79" i="1" s="1"/>
  <c r="DC79" i="1" s="1"/>
  <c r="Y79" i="1"/>
  <c r="Z76" i="1"/>
  <c r="DA76" i="1" s="1"/>
  <c r="DD76" i="1" s="1"/>
  <c r="Y76" i="1"/>
  <c r="Z119" i="1"/>
  <c r="DA119" i="1" s="1"/>
  <c r="Y119" i="1"/>
  <c r="Z122" i="1"/>
  <c r="DA122" i="1" s="1"/>
  <c r="DE122" i="1" s="1"/>
  <c r="Y122" i="1"/>
  <c r="Z131" i="1"/>
  <c r="DA131" i="1" s="1"/>
  <c r="DE131" i="1" s="1"/>
  <c r="Y131" i="1"/>
  <c r="Z90" i="1"/>
  <c r="DA90" i="1" s="1"/>
  <c r="Y90" i="1"/>
  <c r="Z86" i="1"/>
  <c r="DA86" i="1" s="1"/>
  <c r="Y86" i="1"/>
  <c r="Z83" i="1"/>
  <c r="DA83" i="1" s="1"/>
  <c r="DC83" i="1" s="1"/>
  <c r="Y83" i="1"/>
  <c r="Z111" i="1"/>
  <c r="DA111" i="1" s="1"/>
  <c r="DC111" i="1" s="1"/>
  <c r="Y111" i="1"/>
  <c r="Z10" i="1"/>
  <c r="DA10" i="1" s="1"/>
  <c r="DE10" i="1" s="1"/>
  <c r="Y10" i="1"/>
  <c r="Z32" i="1"/>
  <c r="DA32" i="1" s="1"/>
  <c r="DC32" i="1" s="1"/>
  <c r="Y32" i="1"/>
  <c r="Z38" i="1"/>
  <c r="DA38" i="1" s="1"/>
  <c r="DC38" i="1" s="1"/>
  <c r="Y38" i="1"/>
  <c r="Z31" i="1"/>
  <c r="DA31" i="1" s="1"/>
  <c r="DC31" i="1" s="1"/>
  <c r="Y31" i="1"/>
  <c r="Z121" i="1"/>
  <c r="DA121" i="1" s="1"/>
  <c r="DE121" i="1" s="1"/>
  <c r="Y121" i="1"/>
  <c r="Z41" i="1"/>
  <c r="DA41" i="1" s="1"/>
  <c r="Y41" i="1"/>
  <c r="Z120" i="1"/>
  <c r="DA120" i="1" s="1"/>
  <c r="DC120" i="1" s="1"/>
  <c r="Y120" i="1"/>
  <c r="Z156" i="1"/>
  <c r="DA156" i="1" s="1"/>
  <c r="Y156" i="1"/>
  <c r="Z17" i="1"/>
  <c r="DA17" i="1" s="1"/>
  <c r="DC17" i="1" s="1"/>
  <c r="Y17" i="1"/>
  <c r="Z114" i="1"/>
  <c r="DA114" i="1" s="1"/>
  <c r="DE114" i="1" s="1"/>
  <c r="Y114" i="1"/>
  <c r="Z85" i="1"/>
  <c r="DA85" i="1" s="1"/>
  <c r="DD85" i="1" s="1"/>
  <c r="Y85" i="1"/>
  <c r="Z126" i="1"/>
  <c r="DA126" i="1" s="1"/>
  <c r="Y126" i="1"/>
  <c r="Z132" i="1"/>
  <c r="Y132" i="1"/>
  <c r="Z112" i="1"/>
  <c r="Y112" i="1"/>
  <c r="Z138" i="1"/>
  <c r="Y138" i="1"/>
  <c r="Z129" i="1"/>
  <c r="Y129" i="1"/>
  <c r="Z137" i="1"/>
  <c r="Y137" i="1"/>
  <c r="Z142" i="1"/>
  <c r="Y142" i="1"/>
  <c r="Z99" i="1"/>
  <c r="Y99" i="1"/>
  <c r="Z59" i="1"/>
  <c r="Y59" i="1"/>
  <c r="Z101" i="1"/>
  <c r="Y101" i="1"/>
  <c r="Z33" i="1"/>
  <c r="Y33" i="1"/>
  <c r="Z89" i="1"/>
  <c r="Y89" i="1"/>
  <c r="Z87" i="1"/>
  <c r="Y87" i="1"/>
  <c r="Z60" i="1"/>
  <c r="Y60" i="1"/>
  <c r="Z44" i="1"/>
  <c r="Y44" i="1"/>
  <c r="Z109" i="1"/>
  <c r="Y109" i="1"/>
  <c r="Z53" i="1"/>
  <c r="Y53" i="1"/>
  <c r="Z34" i="1"/>
  <c r="Y34" i="1"/>
  <c r="Z8" i="1"/>
  <c r="Y8" i="1"/>
  <c r="Z136" i="1"/>
  <c r="Y136" i="1"/>
  <c r="Z143" i="1"/>
  <c r="Y143" i="1"/>
  <c r="Z77" i="1"/>
  <c r="Y77" i="1"/>
  <c r="Z57" i="1"/>
  <c r="Y57" i="1"/>
  <c r="Z37" i="1"/>
  <c r="Y37" i="1"/>
  <c r="Z88" i="1"/>
  <c r="Y88" i="1"/>
  <c r="Z92" i="1"/>
  <c r="Y92" i="1"/>
  <c r="Z82" i="1"/>
  <c r="Y82" i="1"/>
  <c r="Z55" i="1"/>
  <c r="Y55" i="1"/>
  <c r="Z45" i="1"/>
  <c r="Y45" i="1"/>
  <c r="Z145" i="1"/>
  <c r="DA145" i="1" s="1"/>
  <c r="DE145" i="1" s="1"/>
  <c r="Y145" i="1"/>
  <c r="DB114" i="1"/>
  <c r="DB84" i="1"/>
  <c r="DB120" i="1"/>
  <c r="DB41" i="1"/>
  <c r="DB64" i="1"/>
  <c r="DB85" i="1"/>
  <c r="DB81" i="1"/>
  <c r="DB122" i="1"/>
  <c r="DB20" i="1"/>
  <c r="DB35" i="1"/>
  <c r="DB21" i="1"/>
  <c r="DB66" i="1"/>
  <c r="DB135" i="1"/>
  <c r="DB27" i="1"/>
  <c r="DB130" i="1"/>
  <c r="DB91" i="1"/>
  <c r="DB123" i="1"/>
  <c r="DB28" i="1"/>
  <c r="DB83" i="1"/>
  <c r="DB125" i="1"/>
  <c r="DB111" i="1"/>
  <c r="DB32" i="1"/>
  <c r="DB31" i="1"/>
  <c r="DB46" i="1"/>
  <c r="DB17" i="1"/>
  <c r="DB126" i="1"/>
  <c r="DB58" i="1"/>
  <c r="DB86" i="1"/>
  <c r="DB79" i="1"/>
  <c r="DB38" i="1"/>
  <c r="DB141" i="1"/>
  <c r="DB76" i="1"/>
  <c r="DB100" i="1"/>
  <c r="DB133" i="1"/>
  <c r="DB10" i="1"/>
  <c r="DB78" i="1"/>
  <c r="DB113" i="1"/>
  <c r="DB124" i="1"/>
  <c r="DB110" i="1"/>
  <c r="DB139" i="1"/>
  <c r="DB119" i="1"/>
  <c r="DB131" i="1"/>
  <c r="DB90" i="1"/>
  <c r="DB121" i="1"/>
  <c r="DE156" i="1" l="1"/>
  <c r="DB156" i="1"/>
  <c r="DB145" i="1"/>
  <c r="W46" i="1"/>
  <c r="W81" i="1"/>
  <c r="W111" i="1"/>
  <c r="W31" i="1"/>
  <c r="W125" i="1"/>
  <c r="W126" i="1"/>
  <c r="W141" i="1"/>
  <c r="W113" i="1"/>
  <c r="W79" i="1"/>
  <c r="W41" i="1"/>
  <c r="W84" i="1"/>
  <c r="W110" i="1"/>
  <c r="W78" i="1"/>
  <c r="W156" i="1"/>
  <c r="W58" i="1"/>
  <c r="W38" i="1"/>
  <c r="W27" i="1"/>
  <c r="W135" i="1"/>
  <c r="W130" i="1"/>
  <c r="W20" i="1"/>
  <c r="W76" i="1"/>
  <c r="W100" i="1"/>
  <c r="W91" i="1"/>
  <c r="W10" i="1"/>
  <c r="W85" i="1"/>
  <c r="W35" i="1"/>
  <c r="W131" i="1"/>
  <c r="W119" i="1"/>
  <c r="W124" i="1"/>
  <c r="W32" i="1"/>
  <c r="W120" i="1"/>
  <c r="W144" i="1"/>
  <c r="W90" i="1"/>
  <c r="W17" i="1"/>
  <c r="W133" i="1"/>
  <c r="W145" i="1"/>
  <c r="W64" i="1"/>
  <c r="W122" i="1"/>
  <c r="W121" i="1"/>
  <c r="V45" i="1"/>
  <c r="V55" i="1"/>
  <c r="V82" i="1"/>
  <c r="V92" i="1"/>
  <c r="V88" i="1"/>
  <c r="V37" i="1"/>
  <c r="V57" i="1"/>
  <c r="V77" i="1"/>
  <c r="V143" i="1"/>
  <c r="V136" i="1"/>
  <c r="V8" i="1"/>
  <c r="V34" i="1"/>
  <c r="V53" i="1"/>
  <c r="V109" i="1"/>
  <c r="V44" i="1"/>
  <c r="V60" i="1"/>
  <c r="V87" i="1"/>
  <c r="V89" i="1"/>
  <c r="V33" i="1"/>
  <c r="V101" i="1"/>
  <c r="V59" i="1"/>
  <c r="V99" i="1"/>
  <c r="V142" i="1"/>
  <c r="V137" i="1"/>
  <c r="V129" i="1"/>
  <c r="V138" i="1"/>
  <c r="V112" i="1"/>
  <c r="V132" i="1"/>
  <c r="V126" i="1"/>
  <c r="AA126" i="1" s="1"/>
  <c r="AI25" i="2" s="1"/>
  <c r="V85" i="1"/>
  <c r="AA85" i="1" s="1"/>
  <c r="V114" i="1"/>
  <c r="AA114" i="1" s="1"/>
  <c r="AI33" i="2" s="1"/>
  <c r="V17" i="1"/>
  <c r="AA17" i="1" s="1"/>
  <c r="AI83" i="2" s="1"/>
  <c r="V156" i="1"/>
  <c r="AA156" i="1" s="1"/>
  <c r="AI6" i="2" s="1"/>
  <c r="V120" i="1"/>
  <c r="AA120" i="1" s="1"/>
  <c r="AI32" i="2" s="1"/>
  <c r="V41" i="1"/>
  <c r="AA41" i="1" s="1"/>
  <c r="V121" i="1"/>
  <c r="AA121" i="1" s="1"/>
  <c r="V31" i="1"/>
  <c r="AA31" i="1" s="1"/>
  <c r="AI79" i="2" s="1"/>
  <c r="V38" i="1"/>
  <c r="AA38" i="1" s="1"/>
  <c r="AI70" i="2" s="1"/>
  <c r="V32" i="1"/>
  <c r="AA32" i="1" s="1"/>
  <c r="AI77" i="2" s="1"/>
  <c r="V10" i="1"/>
  <c r="AA10" i="1" s="1"/>
  <c r="AI84" i="2" s="1"/>
  <c r="V111" i="1"/>
  <c r="AA111" i="1" s="1"/>
  <c r="AI36" i="2" s="1"/>
  <c r="V83" i="1"/>
  <c r="AA83" i="1" s="1"/>
  <c r="AI51" i="2" s="1"/>
  <c r="V86" i="1"/>
  <c r="AA86" i="1" s="1"/>
  <c r="V90" i="1"/>
  <c r="AA90" i="1" s="1"/>
  <c r="AI43" i="2" s="1"/>
  <c r="V131" i="1"/>
  <c r="AA131" i="1" s="1"/>
  <c r="AI21" i="2" s="1"/>
  <c r="V122" i="1"/>
  <c r="AA122" i="1" s="1"/>
  <c r="AI29" i="2" s="1"/>
  <c r="V119" i="1"/>
  <c r="AA119" i="1" s="1"/>
  <c r="AI30" i="2" s="1"/>
  <c r="V76" i="1"/>
  <c r="AA76" i="1" s="1"/>
  <c r="V79" i="1"/>
  <c r="AA79" i="1" s="1"/>
  <c r="AI54" i="2" s="1"/>
  <c r="V28" i="1"/>
  <c r="AA28" i="1" s="1"/>
  <c r="AI78" i="2" s="1"/>
  <c r="V84" i="1"/>
  <c r="V27" i="1"/>
  <c r="AA27" i="1" s="1"/>
  <c r="AI80" i="2" s="1"/>
  <c r="V139" i="1"/>
  <c r="AA139" i="1" s="1"/>
  <c r="AI12" i="2" s="1"/>
  <c r="V21" i="1"/>
  <c r="AA21" i="1" s="1"/>
  <c r="AI81" i="2" s="1"/>
  <c r="V91" i="1"/>
  <c r="AA91" i="1" s="1"/>
  <c r="AI44" i="2" s="1"/>
  <c r="V135" i="1"/>
  <c r="AA135" i="1" s="1"/>
  <c r="AI16" i="2" s="1"/>
  <c r="V81" i="1"/>
  <c r="AA81" i="1" s="1"/>
  <c r="AI53" i="2" s="1"/>
  <c r="V35" i="1"/>
  <c r="AA35" i="1" s="1"/>
  <c r="AI74" i="2" s="1"/>
  <c r="V58" i="1"/>
  <c r="AA58" i="1" s="1"/>
  <c r="V64" i="1"/>
  <c r="AA64" i="1" s="1"/>
  <c r="V110" i="1"/>
  <c r="V133" i="1"/>
  <c r="AA133" i="1" s="1"/>
  <c r="AI18" i="2" s="1"/>
  <c r="V130" i="1"/>
  <c r="AA130" i="1" s="1"/>
  <c r="AI19" i="2" s="1"/>
  <c r="V123" i="1"/>
  <c r="AA123" i="1" s="1"/>
  <c r="AI28" i="2" s="1"/>
  <c r="V141" i="1"/>
  <c r="AA141" i="1" s="1"/>
  <c r="V20" i="1"/>
  <c r="AA20" i="1" s="1"/>
  <c r="AI82" i="2" s="1"/>
  <c r="V124" i="1"/>
  <c r="AA124" i="1" s="1"/>
  <c r="AI27" i="2" s="1"/>
  <c r="V78" i="1"/>
  <c r="V113" i="1"/>
  <c r="AA113" i="1" s="1"/>
  <c r="AI35" i="2" s="1"/>
  <c r="V100" i="1"/>
  <c r="AA100" i="1" s="1"/>
  <c r="AI40" i="2" s="1"/>
  <c r="V144" i="1"/>
  <c r="AA144" i="1" s="1"/>
  <c r="AI8" i="2" s="1"/>
  <c r="V46" i="1"/>
  <c r="AA46" i="1" s="1"/>
  <c r="V66" i="1"/>
  <c r="AA66" i="1" s="1"/>
  <c r="V125" i="1"/>
  <c r="AA125" i="1" s="1"/>
  <c r="AI26" i="2" s="1"/>
  <c r="AA145" i="1"/>
  <c r="AI7" i="2" s="1"/>
  <c r="DD64" i="1"/>
  <c r="DE64" i="1"/>
  <c r="DC64" i="1"/>
  <c r="DC114" i="1"/>
  <c r="DE85" i="1"/>
  <c r="DD114" i="1"/>
  <c r="DE41" i="1"/>
  <c r="DD41" i="1"/>
  <c r="DC41" i="1"/>
  <c r="DE32" i="1"/>
  <c r="DE84" i="1"/>
  <c r="DD84" i="1"/>
  <c r="DC85" i="1"/>
  <c r="DD120" i="1"/>
  <c r="DE120" i="1"/>
  <c r="DC121" i="1"/>
  <c r="DC113" i="1"/>
  <c r="DC139" i="1"/>
  <c r="DD131" i="1"/>
  <c r="DE139" i="1"/>
  <c r="DC131" i="1"/>
  <c r="DD121" i="1"/>
  <c r="DC78" i="1"/>
  <c r="DD78" i="1"/>
  <c r="DE133" i="1"/>
  <c r="DD133" i="1"/>
  <c r="DE113" i="1"/>
  <c r="DC10" i="1"/>
  <c r="DD20" i="1"/>
  <c r="DD32" i="1"/>
  <c r="DD28" i="1"/>
  <c r="DE28" i="1"/>
  <c r="DC46" i="1"/>
  <c r="DE46" i="1"/>
  <c r="DC35" i="1"/>
  <c r="DC20" i="1"/>
  <c r="DD10" i="1"/>
  <c r="DE35" i="1"/>
  <c r="DD123" i="1"/>
  <c r="DE17" i="1"/>
  <c r="DD111" i="1"/>
  <c r="DE79" i="1"/>
  <c r="DD79" i="1"/>
  <c r="DD83" i="1"/>
  <c r="DD17" i="1"/>
  <c r="DE83" i="1"/>
  <c r="DE111" i="1"/>
  <c r="DD135" i="1"/>
  <c r="DC135" i="1"/>
  <c r="DC21" i="1"/>
  <c r="DD21" i="1"/>
  <c r="DE21" i="1"/>
  <c r="DC90" i="1"/>
  <c r="DE90" i="1"/>
  <c r="DD90" i="1"/>
  <c r="DD126" i="1"/>
  <c r="DC126" i="1"/>
  <c r="DE126" i="1"/>
  <c r="DC130" i="1"/>
  <c r="DD130" i="1"/>
  <c r="DE130" i="1"/>
  <c r="DC141" i="1"/>
  <c r="DD141" i="1"/>
  <c r="DD66" i="1"/>
  <c r="DE66" i="1"/>
  <c r="DC66" i="1"/>
  <c r="DD122" i="1"/>
  <c r="DC122" i="1"/>
  <c r="DE38" i="1"/>
  <c r="DD38" i="1"/>
  <c r="DE31" i="1"/>
  <c r="DD31" i="1"/>
  <c r="DC144" i="1"/>
  <c r="DD144" i="1"/>
  <c r="DE144" i="1"/>
  <c r="DD91" i="1"/>
  <c r="DC91" i="1"/>
  <c r="DD27" i="1"/>
  <c r="DC27" i="1"/>
  <c r="DE27" i="1"/>
  <c r="DC58" i="1"/>
  <c r="DD58" i="1"/>
  <c r="DD119" i="1"/>
  <c r="DE119" i="1"/>
  <c r="DC119" i="1"/>
  <c r="DE124" i="1"/>
  <c r="DD100" i="1"/>
  <c r="DC145" i="1"/>
  <c r="DE58" i="1"/>
  <c r="DD145" i="1"/>
  <c r="DE76" i="1"/>
  <c r="DE141" i="1"/>
  <c r="DC124" i="1"/>
  <c r="DC100" i="1"/>
  <c r="DC110" i="1"/>
  <c r="DD110" i="1"/>
  <c r="DE110" i="1"/>
  <c r="DD86" i="1"/>
  <c r="DC86" i="1"/>
  <c r="DC76" i="1"/>
  <c r="DC125" i="1"/>
  <c r="DD125" i="1"/>
  <c r="DE125" i="1"/>
  <c r="DE123" i="1"/>
  <c r="DC81" i="1"/>
  <c r="DE81" i="1"/>
  <c r="DC156" i="1"/>
  <c r="DD156" i="1"/>
  <c r="DE86" i="1"/>
  <c r="AI57" i="2" l="1"/>
  <c r="AI48" i="2"/>
  <c r="AI59" i="2"/>
  <c r="AC78" i="1"/>
  <c r="BK78" i="1" s="1"/>
  <c r="AB84" i="1"/>
  <c r="AJ50" i="2" s="1"/>
  <c r="AC110" i="1"/>
  <c r="AB145" i="1"/>
  <c r="AJ7" i="2" s="1"/>
  <c r="AC145" i="1"/>
  <c r="AC122" i="1"/>
  <c r="AB122" i="1"/>
  <c r="AJ29" i="2" s="1"/>
  <c r="AC111" i="1"/>
  <c r="AC46" i="1"/>
  <c r="AC90" i="1"/>
  <c r="AB90" i="1"/>
  <c r="AJ43" i="2" s="1"/>
  <c r="AB110" i="1"/>
  <c r="AJ37" i="2" s="1"/>
  <c r="AA110" i="1"/>
  <c r="AI37" i="2" s="1"/>
  <c r="AC81" i="1"/>
  <c r="AB114" i="1"/>
  <c r="AJ33" i="2" s="1"/>
  <c r="AC114" i="1"/>
  <c r="AB121" i="1"/>
  <c r="AC31" i="1"/>
  <c r="AB31" i="1"/>
  <c r="AJ79" i="2" s="1"/>
  <c r="AC83" i="1"/>
  <c r="AC64" i="1"/>
  <c r="AB79" i="1"/>
  <c r="AJ54" i="2" s="1"/>
  <c r="AC79" i="1"/>
  <c r="AB66" i="1"/>
  <c r="AC66" i="1"/>
  <c r="AA84" i="1"/>
  <c r="AB64" i="1"/>
  <c r="AB133" i="1"/>
  <c r="AJ18" i="2" s="1"/>
  <c r="AC131" i="1"/>
  <c r="AC121" i="1"/>
  <c r="AB156" i="1"/>
  <c r="AJ6" i="2" s="1"/>
  <c r="AC84" i="1"/>
  <c r="AC133" i="1"/>
  <c r="AB86" i="1"/>
  <c r="AB20" i="1"/>
  <c r="AJ82" i="2" s="1"/>
  <c r="AB139" i="1"/>
  <c r="AJ12" i="2" s="1"/>
  <c r="AC141" i="1"/>
  <c r="AB141" i="1"/>
  <c r="AB135" i="1"/>
  <c r="AJ16" i="2" s="1"/>
  <c r="AC139" i="1"/>
  <c r="AC135" i="1"/>
  <c r="AB113" i="1"/>
  <c r="AJ35" i="2" s="1"/>
  <c r="AC35" i="1"/>
  <c r="AC130" i="1"/>
  <c r="AB130" i="1"/>
  <c r="AJ19" i="2" s="1"/>
  <c r="AB17" i="1"/>
  <c r="AJ83" i="2" s="1"/>
  <c r="AC21" i="1"/>
  <c r="AC86" i="1"/>
  <c r="AB78" i="1"/>
  <c r="AJ55" i="2" s="1"/>
  <c r="AB28" i="1"/>
  <c r="AJ78" i="2" s="1"/>
  <c r="AC76" i="1"/>
  <c r="AC85" i="1"/>
  <c r="AA78" i="1"/>
  <c r="AI55" i="2" s="1"/>
  <c r="AC28" i="1"/>
  <c r="AK78" i="2" s="1"/>
  <c r="AB85" i="1"/>
  <c r="AJ48" i="2" s="1"/>
  <c r="AC156" i="1"/>
  <c r="AB38" i="1"/>
  <c r="AJ70" i="2" s="1"/>
  <c r="AC38" i="1"/>
  <c r="AC124" i="1"/>
  <c r="AC125" i="1"/>
  <c r="AK26" i="2" s="1"/>
  <c r="AB125" i="1"/>
  <c r="AJ26" i="2" s="1"/>
  <c r="AB91" i="1"/>
  <c r="AJ44" i="2" s="1"/>
  <c r="AB124" i="1"/>
  <c r="AJ27" i="2" s="1"/>
  <c r="AC91" i="1"/>
  <c r="AC119" i="1"/>
  <c r="AB32" i="1"/>
  <c r="AJ77" i="2" s="1"/>
  <c r="AC20" i="1"/>
  <c r="AK82" i="2" s="1"/>
  <c r="AC32" i="1"/>
  <c r="AB111" i="1"/>
  <c r="AJ36" i="2" s="1"/>
  <c r="AB119" i="1"/>
  <c r="AJ30" i="2" s="1"/>
  <c r="AC58" i="1"/>
  <c r="AC126" i="1"/>
  <c r="AB41" i="1"/>
  <c r="AB58" i="1"/>
  <c r="AC41" i="1"/>
  <c r="AB35" i="1"/>
  <c r="AJ74" i="2" s="1"/>
  <c r="AB100" i="1"/>
  <c r="AJ40" i="2" s="1"/>
  <c r="AC100" i="1"/>
  <c r="AC10" i="1"/>
  <c r="DF114" i="1"/>
  <c r="AB10" i="1"/>
  <c r="AJ84" i="2" s="1"/>
  <c r="AB27" i="1"/>
  <c r="AJ80" i="2" s="1"/>
  <c r="AC123" i="1"/>
  <c r="AB144" i="1"/>
  <c r="AJ8" i="2" s="1"/>
  <c r="AB123" i="1"/>
  <c r="AJ28" i="2" s="1"/>
  <c r="AB120" i="1"/>
  <c r="AJ32" i="2" s="1"/>
  <c r="AC120" i="1"/>
  <c r="DF85" i="1"/>
  <c r="DF64" i="1"/>
  <c r="AC144" i="1"/>
  <c r="DF41" i="1"/>
  <c r="DF120" i="1"/>
  <c r="AB81" i="1"/>
  <c r="AJ53" i="2" s="1"/>
  <c r="DF84" i="1"/>
  <c r="DF32" i="1"/>
  <c r="AC17" i="1"/>
  <c r="DF121" i="1"/>
  <c r="DF78" i="1"/>
  <c r="DF131" i="1"/>
  <c r="DF113" i="1"/>
  <c r="DF133" i="1"/>
  <c r="DF139" i="1"/>
  <c r="DF10" i="1"/>
  <c r="DF46" i="1"/>
  <c r="DF20" i="1"/>
  <c r="AB21" i="1"/>
  <c r="AJ81" i="2" s="1"/>
  <c r="AC27" i="1"/>
  <c r="DF28" i="1"/>
  <c r="AB76" i="1"/>
  <c r="AJ57" i="2" s="1"/>
  <c r="AB131" i="1"/>
  <c r="AJ21" i="2" s="1"/>
  <c r="DF83" i="1"/>
  <c r="AB126" i="1"/>
  <c r="AJ25" i="2" s="1"/>
  <c r="DF35" i="1"/>
  <c r="AC113" i="1"/>
  <c r="AB46" i="1"/>
  <c r="AB83" i="1"/>
  <c r="AJ51" i="2" s="1"/>
  <c r="DF79" i="1"/>
  <c r="DF123" i="1"/>
  <c r="DF122" i="1"/>
  <c r="DF111" i="1"/>
  <c r="DF17" i="1"/>
  <c r="DF135" i="1"/>
  <c r="DF156" i="1"/>
  <c r="DF91" i="1"/>
  <c r="DF141" i="1"/>
  <c r="DF38" i="1"/>
  <c r="DF66" i="1"/>
  <c r="DF124" i="1"/>
  <c r="DF90" i="1"/>
  <c r="DF21" i="1"/>
  <c r="DF86" i="1"/>
  <c r="DF110" i="1"/>
  <c r="DF100" i="1"/>
  <c r="DF31" i="1"/>
  <c r="DF27" i="1"/>
  <c r="DF130" i="1"/>
  <c r="DF58" i="1"/>
  <c r="DF144" i="1"/>
  <c r="DF81" i="1"/>
  <c r="DF145" i="1"/>
  <c r="DF125" i="1"/>
  <c r="DF126" i="1"/>
  <c r="DF76" i="1"/>
  <c r="DF119" i="1"/>
  <c r="AJ59" i="2" l="1"/>
  <c r="AI31" i="2"/>
  <c r="AI50" i="2"/>
  <c r="BK79" i="1"/>
  <c r="AK54" i="2"/>
  <c r="BK38" i="1"/>
  <c r="AK70" i="2"/>
  <c r="AJ31" i="2"/>
  <c r="BL83" i="1"/>
  <c r="AK51" i="2"/>
  <c r="BL135" i="1"/>
  <c r="AK16" i="2"/>
  <c r="BL139" i="1"/>
  <c r="AK12" i="2"/>
  <c r="DG78" i="1"/>
  <c r="BL131" i="1"/>
  <c r="AK21" i="2"/>
  <c r="BL130" i="1"/>
  <c r="AK19" i="2"/>
  <c r="BL133" i="1"/>
  <c r="AK18" i="2"/>
  <c r="BK111" i="1"/>
  <c r="AK36" i="2"/>
  <c r="BL58" i="1"/>
  <c r="BL126" i="1"/>
  <c r="AK25" i="2"/>
  <c r="BK145" i="1"/>
  <c r="AK7" i="2"/>
  <c r="BK156" i="1"/>
  <c r="AK6" i="2"/>
  <c r="BL119" i="1"/>
  <c r="AK30" i="2"/>
  <c r="BL85" i="1"/>
  <c r="AK48" i="2"/>
  <c r="BK114" i="1"/>
  <c r="AK33" i="2"/>
  <c r="BL27" i="1"/>
  <c r="AK80" i="2"/>
  <c r="BL76" i="1"/>
  <c r="AK57" i="2"/>
  <c r="BK113" i="1"/>
  <c r="AK35" i="2"/>
  <c r="BL81" i="1"/>
  <c r="AK53" i="2"/>
  <c r="BL35" i="1"/>
  <c r="AK74" i="2"/>
  <c r="BK110" i="1"/>
  <c r="AK37" i="2"/>
  <c r="BK46" i="1"/>
  <c r="BK120" i="1"/>
  <c r="AK32" i="2"/>
  <c r="BK91" i="1"/>
  <c r="AK44" i="2"/>
  <c r="BL21" i="1"/>
  <c r="AK81" i="2"/>
  <c r="BL90" i="1"/>
  <c r="AK43" i="2"/>
  <c r="BK121" i="1"/>
  <c r="AK31" i="2"/>
  <c r="BL66" i="1"/>
  <c r="BK123" i="1"/>
  <c r="AK28" i="2"/>
  <c r="BL144" i="1"/>
  <c r="AK8" i="2"/>
  <c r="BL17" i="1"/>
  <c r="AK83" i="2"/>
  <c r="BK10" i="1"/>
  <c r="AK84" i="2"/>
  <c r="BK86" i="1"/>
  <c r="BL84" i="1"/>
  <c r="AK50" i="2"/>
  <c r="BK31" i="1"/>
  <c r="AK79" i="2"/>
  <c r="BK100" i="1"/>
  <c r="AK40" i="2"/>
  <c r="BL141" i="1"/>
  <c r="BK122" i="1"/>
  <c r="AK29" i="2"/>
  <c r="BL124" i="1"/>
  <c r="AK27" i="2"/>
  <c r="BK41" i="1"/>
  <c r="BK32" i="1"/>
  <c r="AK77" i="2"/>
  <c r="BL64" i="1"/>
  <c r="AK59" i="2"/>
  <c r="BL78" i="1"/>
  <c r="AK55" i="2"/>
  <c r="DG110" i="1"/>
  <c r="BL110" i="1"/>
  <c r="BL114" i="1"/>
  <c r="DG145" i="1"/>
  <c r="BK20" i="1"/>
  <c r="BL145" i="1"/>
  <c r="DG46" i="1"/>
  <c r="DG122" i="1"/>
  <c r="DG83" i="1"/>
  <c r="BK90" i="1"/>
  <c r="BL122" i="1"/>
  <c r="BL111" i="1"/>
  <c r="DG111" i="1"/>
  <c r="DG90" i="1"/>
  <c r="BK83" i="1"/>
  <c r="BL46" i="1"/>
  <c r="BK81" i="1"/>
  <c r="DG81" i="1"/>
  <c r="BL79" i="1"/>
  <c r="DG114" i="1"/>
  <c r="DG31" i="1"/>
  <c r="BL31" i="1"/>
  <c r="DG64" i="1"/>
  <c r="BK64" i="1"/>
  <c r="DG79" i="1"/>
  <c r="DG84" i="1"/>
  <c r="DG35" i="1"/>
  <c r="DG66" i="1"/>
  <c r="BK66" i="1"/>
  <c r="BK139" i="1"/>
  <c r="DG133" i="1"/>
  <c r="BK84" i="1"/>
  <c r="BL38" i="1"/>
  <c r="BK130" i="1"/>
  <c r="BK133" i="1"/>
  <c r="DG139" i="1"/>
  <c r="BK35" i="1"/>
  <c r="DG130" i="1"/>
  <c r="BK131" i="1"/>
  <c r="BK135" i="1"/>
  <c r="DG135" i="1"/>
  <c r="BK141" i="1"/>
  <c r="DG141" i="1"/>
  <c r="DG131" i="1"/>
  <c r="DG86" i="1"/>
  <c r="BK125" i="1"/>
  <c r="BK28" i="1"/>
  <c r="DG121" i="1"/>
  <c r="BK124" i="1"/>
  <c r="BL121" i="1"/>
  <c r="DG20" i="1"/>
  <c r="BK85" i="1"/>
  <c r="DG85" i="1"/>
  <c r="DG38" i="1"/>
  <c r="DG124" i="1"/>
  <c r="DG91" i="1"/>
  <c r="DG125" i="1"/>
  <c r="BL86" i="1"/>
  <c r="BL91" i="1"/>
  <c r="BL125" i="1"/>
  <c r="DG119" i="1"/>
  <c r="BK119" i="1"/>
  <c r="DG21" i="1"/>
  <c r="DG100" i="1"/>
  <c r="BK76" i="1"/>
  <c r="DG156" i="1"/>
  <c r="BL100" i="1"/>
  <c r="BK21" i="1"/>
  <c r="DG76" i="1"/>
  <c r="BL156" i="1"/>
  <c r="BK58" i="1"/>
  <c r="BL28" i="1"/>
  <c r="BL32" i="1"/>
  <c r="DG28" i="1"/>
  <c r="DG32" i="1"/>
  <c r="BL20" i="1"/>
  <c r="DG41" i="1"/>
  <c r="BL41" i="1"/>
  <c r="DG58" i="1"/>
  <c r="BK126" i="1"/>
  <c r="DG126" i="1"/>
  <c r="BL10" i="1"/>
  <c r="DG10" i="1"/>
  <c r="BL120" i="1"/>
  <c r="DG120" i="1"/>
  <c r="DG123" i="1"/>
  <c r="BL123" i="1"/>
  <c r="DG144" i="1"/>
  <c r="BK144" i="1"/>
  <c r="DG17" i="1"/>
  <c r="BK17" i="1"/>
  <c r="BK27" i="1"/>
  <c r="DG27" i="1"/>
  <c r="BL113" i="1"/>
  <c r="DG113" i="1"/>
  <c r="O132" i="1" l="1"/>
  <c r="O101" i="1"/>
  <c r="O128" i="1"/>
  <c r="O55" i="1"/>
  <c r="O82" i="1"/>
  <c r="O92" i="1"/>
  <c r="O88" i="1"/>
  <c r="O37" i="1"/>
  <c r="O57" i="1"/>
  <c r="O77" i="1"/>
  <c r="O143" i="1"/>
  <c r="O136" i="1"/>
  <c r="O8" i="1"/>
  <c r="O34" i="1"/>
  <c r="O53" i="1"/>
  <c r="O112" i="1"/>
  <c r="O109" i="1"/>
  <c r="O44" i="1"/>
  <c r="O60" i="1"/>
  <c r="O87" i="1"/>
  <c r="O99" i="1"/>
  <c r="O89" i="1"/>
  <c r="O129" i="1"/>
  <c r="O33" i="1"/>
  <c r="O137" i="1"/>
  <c r="AA132" i="1"/>
  <c r="AI20" i="2" s="1"/>
  <c r="AA101" i="1"/>
  <c r="AI39" i="2" s="1"/>
  <c r="AA128" i="1"/>
  <c r="AI23" i="2" s="1"/>
  <c r="AA55" i="1"/>
  <c r="AA82" i="1"/>
  <c r="AI52" i="2" s="1"/>
  <c r="AA92" i="1"/>
  <c r="AI42" i="2" s="1"/>
  <c r="AA88" i="1"/>
  <c r="AI47" i="2" s="1"/>
  <c r="AA37" i="1"/>
  <c r="AI73" i="2" s="1"/>
  <c r="AA57" i="1"/>
  <c r="AA77" i="1"/>
  <c r="AI56" i="2" s="1"/>
  <c r="AA143" i="1"/>
  <c r="AI9" i="2" s="1"/>
  <c r="AA136" i="1"/>
  <c r="AI15" i="2" s="1"/>
  <c r="AA8" i="1"/>
  <c r="AI86" i="2" s="1"/>
  <c r="AA34" i="1"/>
  <c r="AI75" i="2" s="1"/>
  <c r="AA53" i="1"/>
  <c r="AI65" i="2" s="1"/>
  <c r="AA112" i="1"/>
  <c r="AI34" i="2" s="1"/>
  <c r="AA109" i="1"/>
  <c r="AI38" i="2" s="1"/>
  <c r="AA60" i="1"/>
  <c r="AA87" i="1"/>
  <c r="AA99" i="1"/>
  <c r="AI41" i="2" s="1"/>
  <c r="AA89" i="1"/>
  <c r="AA129" i="1"/>
  <c r="AI22" i="2" s="1"/>
  <c r="AA33" i="1"/>
  <c r="AI76" i="2" s="1"/>
  <c r="AA137" i="1"/>
  <c r="AI14" i="2" s="1"/>
  <c r="DA132" i="1"/>
  <c r="DD132" i="1" s="1"/>
  <c r="DA101" i="1"/>
  <c r="DD101" i="1" s="1"/>
  <c r="DA128" i="1"/>
  <c r="DD128" i="1" s="1"/>
  <c r="DA55" i="1"/>
  <c r="DA82" i="1"/>
  <c r="DA92" i="1"/>
  <c r="DA88" i="1"/>
  <c r="DE88" i="1" s="1"/>
  <c r="DA37" i="1"/>
  <c r="DA57" i="1"/>
  <c r="DA77" i="1"/>
  <c r="DC77" i="1" s="1"/>
  <c r="DA143" i="1"/>
  <c r="DA136" i="1"/>
  <c r="DA8" i="1"/>
  <c r="DD8" i="1" s="1"/>
  <c r="DA34" i="1"/>
  <c r="DA53" i="1"/>
  <c r="DA112" i="1"/>
  <c r="DA109" i="1"/>
  <c r="DA44" i="1"/>
  <c r="DD44" i="1" s="1"/>
  <c r="DA60" i="1"/>
  <c r="DA87" i="1"/>
  <c r="DA99" i="1"/>
  <c r="DC99" i="1" s="1"/>
  <c r="DA89" i="1"/>
  <c r="DA129" i="1"/>
  <c r="DA33" i="1"/>
  <c r="DE33" i="1" s="1"/>
  <c r="DA137" i="1"/>
  <c r="AT132" i="1"/>
  <c r="AT101" i="1"/>
  <c r="AT128" i="1"/>
  <c r="AT55" i="1"/>
  <c r="AT82" i="1"/>
  <c r="AT92" i="1"/>
  <c r="AT88" i="1"/>
  <c r="AT37" i="1"/>
  <c r="AT57" i="1"/>
  <c r="AT77" i="1"/>
  <c r="AT143" i="1"/>
  <c r="AT136" i="1"/>
  <c r="AT8" i="1"/>
  <c r="AT34" i="1"/>
  <c r="AT53" i="1"/>
  <c r="AT112" i="1"/>
  <c r="AT109" i="1"/>
  <c r="AT44" i="1"/>
  <c r="AT60" i="1"/>
  <c r="AT87" i="1"/>
  <c r="AT99" i="1"/>
  <c r="AT89" i="1"/>
  <c r="AT129" i="1"/>
  <c r="AT33" i="1"/>
  <c r="AT137" i="1"/>
  <c r="W132" i="1"/>
  <c r="W101" i="1"/>
  <c r="W128" i="1"/>
  <c r="W55" i="1"/>
  <c r="W82" i="1"/>
  <c r="W92" i="1"/>
  <c r="W88" i="1"/>
  <c r="W37" i="1"/>
  <c r="W57" i="1"/>
  <c r="W77" i="1"/>
  <c r="W143" i="1"/>
  <c r="W136" i="1"/>
  <c r="W8" i="1"/>
  <c r="W34" i="1"/>
  <c r="W53" i="1"/>
  <c r="W112" i="1"/>
  <c r="W109" i="1"/>
  <c r="W44" i="1"/>
  <c r="W60" i="1"/>
  <c r="W87" i="1"/>
  <c r="W99" i="1"/>
  <c r="W89" i="1"/>
  <c r="W129" i="1"/>
  <c r="W33" i="1"/>
  <c r="W137" i="1"/>
  <c r="CS132" i="1"/>
  <c r="CS101" i="1"/>
  <c r="CS128" i="1"/>
  <c r="CS55" i="1"/>
  <c r="CS82" i="1"/>
  <c r="CS92" i="1"/>
  <c r="CS88" i="1"/>
  <c r="CS37" i="1"/>
  <c r="CS57" i="1"/>
  <c r="CS77" i="1"/>
  <c r="CS143" i="1"/>
  <c r="CS136" i="1"/>
  <c r="CS8" i="1"/>
  <c r="CS34" i="1"/>
  <c r="CS53" i="1"/>
  <c r="CS112" i="1"/>
  <c r="CS109" i="1"/>
  <c r="CS44" i="1"/>
  <c r="CS60" i="1"/>
  <c r="CS87" i="1"/>
  <c r="CS99" i="1"/>
  <c r="CS89" i="1"/>
  <c r="CS129" i="1"/>
  <c r="CS33" i="1"/>
  <c r="CS137" i="1"/>
  <c r="DB132" i="1"/>
  <c r="DB101" i="1"/>
  <c r="DB128" i="1"/>
  <c r="DB55" i="1"/>
  <c r="DB82" i="1"/>
  <c r="DB92" i="1"/>
  <c r="DB88" i="1"/>
  <c r="DB37" i="1"/>
  <c r="DB57" i="1"/>
  <c r="DB77" i="1"/>
  <c r="DB143" i="1"/>
  <c r="DB136" i="1"/>
  <c r="DB8" i="1"/>
  <c r="DB34" i="1"/>
  <c r="DB53" i="1"/>
  <c r="DB112" i="1"/>
  <c r="DB109" i="1"/>
  <c r="DB44" i="1"/>
  <c r="DB60" i="1"/>
  <c r="DB87" i="1"/>
  <c r="DB99" i="1"/>
  <c r="DB89" i="1"/>
  <c r="DB129" i="1"/>
  <c r="DB33" i="1"/>
  <c r="DB137" i="1"/>
  <c r="AI64" i="2" l="1"/>
  <c r="AI45" i="2"/>
  <c r="AI49" i="2"/>
  <c r="AI58" i="2"/>
  <c r="AI63" i="2"/>
  <c r="AI62" i="2"/>
  <c r="AI46" i="2"/>
  <c r="AB77" i="1"/>
  <c r="AJ56" i="2" s="1"/>
  <c r="AB82" i="1"/>
  <c r="AJ52" i="2" s="1"/>
  <c r="AB137" i="1"/>
  <c r="AJ14" i="2" s="1"/>
  <c r="AB60" i="1"/>
  <c r="AB112" i="1"/>
  <c r="AJ34" i="2" s="1"/>
  <c r="AB53" i="1"/>
  <c r="AJ65" i="2" s="1"/>
  <c r="AB143" i="1"/>
  <c r="AJ9" i="2" s="1"/>
  <c r="AB55" i="1"/>
  <c r="AJ64" i="2" s="1"/>
  <c r="DD77" i="1"/>
  <c r="DC82" i="1"/>
  <c r="DE82" i="1"/>
  <c r="AC109" i="1"/>
  <c r="DE92" i="1"/>
  <c r="DD92" i="1"/>
  <c r="DE44" i="1"/>
  <c r="DC101" i="1"/>
  <c r="DE101" i="1"/>
  <c r="DC44" i="1"/>
  <c r="DE77" i="1"/>
  <c r="DD82" i="1"/>
  <c r="DD129" i="1"/>
  <c r="DE129" i="1"/>
  <c r="DC129" i="1"/>
  <c r="DC89" i="1"/>
  <c r="DE89" i="1"/>
  <c r="DD89" i="1"/>
  <c r="DE87" i="1"/>
  <c r="DD87" i="1"/>
  <c r="DC87" i="1"/>
  <c r="DD109" i="1"/>
  <c r="DE109" i="1"/>
  <c r="DC109" i="1"/>
  <c r="DD136" i="1"/>
  <c r="DE136" i="1"/>
  <c r="DC136" i="1"/>
  <c r="DE60" i="1"/>
  <c r="DC60" i="1"/>
  <c r="DD60" i="1"/>
  <c r="DE112" i="1"/>
  <c r="DD112" i="1"/>
  <c r="DC112" i="1"/>
  <c r="DE143" i="1"/>
  <c r="DC143" i="1"/>
  <c r="DD143" i="1"/>
  <c r="DE137" i="1"/>
  <c r="DC137" i="1"/>
  <c r="DD137" i="1"/>
  <c r="DE53" i="1"/>
  <c r="DC53" i="1"/>
  <c r="DD53" i="1"/>
  <c r="DC57" i="1"/>
  <c r="DD57" i="1"/>
  <c r="DE57" i="1"/>
  <c r="DC55" i="1"/>
  <c r="DD55" i="1"/>
  <c r="DE55" i="1"/>
  <c r="DE34" i="1"/>
  <c r="DD34" i="1"/>
  <c r="DC34" i="1"/>
  <c r="DE99" i="1"/>
  <c r="AC112" i="1"/>
  <c r="AK34" i="2" s="1"/>
  <c r="AC143" i="1"/>
  <c r="DC33" i="1"/>
  <c r="AC77" i="1"/>
  <c r="DD33" i="1"/>
  <c r="DE128" i="1"/>
  <c r="DD88" i="1"/>
  <c r="DC128" i="1"/>
  <c r="DC92" i="1"/>
  <c r="DC88" i="1"/>
  <c r="AB44" i="1"/>
  <c r="DD99" i="1"/>
  <c r="AC34" i="1"/>
  <c r="AC55" i="1"/>
  <c r="DE132" i="1"/>
  <c r="AC82" i="1"/>
  <c r="AK52" i="2" s="1"/>
  <c r="AC137" i="1"/>
  <c r="AK14" i="2" s="1"/>
  <c r="AC60" i="1"/>
  <c r="AC53" i="1"/>
  <c r="AK65" i="2" s="1"/>
  <c r="DC37" i="1"/>
  <c r="DE37" i="1"/>
  <c r="DD37" i="1"/>
  <c r="DC8" i="1"/>
  <c r="DE8" i="1"/>
  <c r="DC132" i="1"/>
  <c r="AB92" i="1"/>
  <c r="AJ42" i="2" s="1"/>
  <c r="AC57" i="1"/>
  <c r="AK62" i="2" s="1"/>
  <c r="AB57" i="1"/>
  <c r="AB37" i="1"/>
  <c r="AJ73" i="2" s="1"/>
  <c r="AB101" i="1"/>
  <c r="AJ39" i="2" s="1"/>
  <c r="AC101" i="1"/>
  <c r="AK39" i="2" s="1"/>
  <c r="AB34" i="1"/>
  <c r="AJ75" i="2" s="1"/>
  <c r="AB33" i="1"/>
  <c r="AJ76" i="2" s="1"/>
  <c r="AC33" i="1"/>
  <c r="AB8" i="1"/>
  <c r="AJ86" i="2" s="1"/>
  <c r="AC8" i="1"/>
  <c r="AK86" i="2" s="1"/>
  <c r="AC92" i="1"/>
  <c r="AK42" i="2" s="1"/>
  <c r="AC129" i="1"/>
  <c r="AK22" i="2" s="1"/>
  <c r="AB129" i="1"/>
  <c r="AJ22" i="2" s="1"/>
  <c r="AC89" i="1"/>
  <c r="AB89" i="1"/>
  <c r="AC87" i="1"/>
  <c r="AB87" i="1"/>
  <c r="AC136" i="1"/>
  <c r="AK15" i="2" s="1"/>
  <c r="AB136" i="1"/>
  <c r="AJ15" i="2" s="1"/>
  <c r="AC99" i="1"/>
  <c r="AK41" i="2" s="1"/>
  <c r="AC88" i="1"/>
  <c r="AK47" i="2" s="1"/>
  <c r="AC132" i="1"/>
  <c r="AK20" i="2" s="1"/>
  <c r="AA44" i="1"/>
  <c r="AC44" i="1"/>
  <c r="AC37" i="1"/>
  <c r="W138" i="1"/>
  <c r="W45" i="1"/>
  <c r="W142" i="1"/>
  <c r="W59" i="1"/>
  <c r="AJ63" i="2" l="1"/>
  <c r="AJ62" i="2"/>
  <c r="AJ58" i="2"/>
  <c r="AJ69" i="2"/>
  <c r="AJ68" i="2"/>
  <c r="AJ45" i="2"/>
  <c r="AJ49" i="2"/>
  <c r="AI69" i="2"/>
  <c r="AI68" i="2"/>
  <c r="AK46" i="2"/>
  <c r="AK69" i="2"/>
  <c r="AK68" i="2"/>
  <c r="AK58" i="2"/>
  <c r="AK45" i="2"/>
  <c r="AK49" i="2"/>
  <c r="BK34" i="1"/>
  <c r="AK75" i="2"/>
  <c r="BK143" i="1"/>
  <c r="AK9" i="2"/>
  <c r="BK57" i="1"/>
  <c r="AK63" i="2"/>
  <c r="BK77" i="1"/>
  <c r="AK56" i="2"/>
  <c r="BK55" i="1"/>
  <c r="AK64" i="2"/>
  <c r="BK109" i="1"/>
  <c r="AK38" i="2"/>
  <c r="BK33" i="1"/>
  <c r="AK76" i="2"/>
  <c r="BK37" i="1"/>
  <c r="AK73" i="2"/>
  <c r="BL82" i="1"/>
  <c r="BL112" i="1"/>
  <c r="DF136" i="1"/>
  <c r="DG136" i="1" s="1"/>
  <c r="DF77" i="1"/>
  <c r="DG77" i="1" s="1"/>
  <c r="DF44" i="1"/>
  <c r="DG44" i="1" s="1"/>
  <c r="DF87" i="1"/>
  <c r="DG87" i="1" s="1"/>
  <c r="DF82" i="1"/>
  <c r="DG82" i="1" s="1"/>
  <c r="DF128" i="1"/>
  <c r="DF99" i="1"/>
  <c r="DG99" i="1" s="1"/>
  <c r="DF34" i="1"/>
  <c r="DG34" i="1" s="1"/>
  <c r="DF57" i="1"/>
  <c r="DG57" i="1" s="1"/>
  <c r="BK112" i="1"/>
  <c r="BL143" i="1"/>
  <c r="DF137" i="1"/>
  <c r="DG137" i="1" s="1"/>
  <c r="AB109" i="1"/>
  <c r="AJ38" i="2" s="1"/>
  <c r="DF132" i="1"/>
  <c r="DG132" i="1" s="1"/>
  <c r="DF53" i="1"/>
  <c r="DG53" i="1" s="1"/>
  <c r="DF143" i="1"/>
  <c r="DG143" i="1" s="1"/>
  <c r="DF101" i="1"/>
  <c r="DG101" i="1" s="1"/>
  <c r="DF92" i="1"/>
  <c r="DG92" i="1" s="1"/>
  <c r="BL101" i="1"/>
  <c r="BL34" i="1"/>
  <c r="DF112" i="1"/>
  <c r="DG112" i="1" s="1"/>
  <c r="DF55" i="1"/>
  <c r="DG55" i="1" s="1"/>
  <c r="DF60" i="1"/>
  <c r="DG60" i="1" s="1"/>
  <c r="DF109" i="1"/>
  <c r="DG109" i="1" s="1"/>
  <c r="DF89" i="1"/>
  <c r="DG89" i="1" s="1"/>
  <c r="DF33" i="1"/>
  <c r="DG33" i="1" s="1"/>
  <c r="BL55" i="1"/>
  <c r="DF129" i="1"/>
  <c r="DG129" i="1" s="1"/>
  <c r="BL77" i="1"/>
  <c r="DF88" i="1"/>
  <c r="DG88" i="1" s="1"/>
  <c r="DF37" i="1"/>
  <c r="DG37" i="1" s="1"/>
  <c r="BK82" i="1"/>
  <c r="BL37" i="1"/>
  <c r="BL60" i="1"/>
  <c r="BK60" i="1"/>
  <c r="BK53" i="1"/>
  <c r="BL53" i="1"/>
  <c r="BK137" i="1"/>
  <c r="BL137" i="1"/>
  <c r="BL88" i="1"/>
  <c r="BL99" i="1"/>
  <c r="BL132" i="1"/>
  <c r="BL87" i="1"/>
  <c r="BK87" i="1"/>
  <c r="BL8" i="1"/>
  <c r="BK8" i="1"/>
  <c r="BK101" i="1"/>
  <c r="DF8" i="1"/>
  <c r="DG8" i="1" s="1"/>
  <c r="BL129" i="1"/>
  <c r="BK129" i="1"/>
  <c r="BL92" i="1"/>
  <c r="BL136" i="1"/>
  <c r="BK136" i="1"/>
  <c r="BK92" i="1"/>
  <c r="BK99" i="1"/>
  <c r="AB99" i="1"/>
  <c r="AJ41" i="2" s="1"/>
  <c r="AB128" i="1"/>
  <c r="AJ23" i="2" s="1"/>
  <c r="BL57" i="1"/>
  <c r="BL33" i="1"/>
  <c r="BL89" i="1"/>
  <c r="BK89" i="1"/>
  <c r="BK132" i="1"/>
  <c r="AB132" i="1"/>
  <c r="AJ20" i="2" s="1"/>
  <c r="BK88" i="1"/>
  <c r="AB88" i="1"/>
  <c r="AJ47" i="2" s="1"/>
  <c r="BL109" i="1"/>
  <c r="BL44" i="1"/>
  <c r="BK44" i="1"/>
  <c r="AC128" i="1"/>
  <c r="AK23" i="2" s="1"/>
  <c r="AJ46" i="2" l="1"/>
  <c r="BL128" i="1"/>
  <c r="DG128" i="1"/>
  <c r="BK128" i="1"/>
  <c r="B3" i="10" l="1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6" i="3"/>
  <c r="B7" i="3"/>
  <c r="G7" i="3" s="1"/>
  <c r="B8" i="3"/>
  <c r="G8" i="3" s="1"/>
  <c r="B9" i="3"/>
  <c r="G9" i="3" s="1"/>
  <c r="B10" i="3"/>
  <c r="G10" i="3" s="1"/>
  <c r="B11" i="3"/>
  <c r="G11" i="3" s="1"/>
  <c r="B12" i="3"/>
  <c r="G12" i="3" s="1"/>
  <c r="B13" i="3"/>
  <c r="G13" i="3" s="1"/>
  <c r="B14" i="3"/>
  <c r="G14" i="3" s="1"/>
  <c r="B15" i="3"/>
  <c r="G15" i="3" s="1"/>
  <c r="B16" i="3"/>
  <c r="G16" i="3" s="1"/>
  <c r="B17" i="3"/>
  <c r="G17" i="3" s="1"/>
  <c r="B18" i="3"/>
  <c r="G18" i="3" s="1"/>
  <c r="B19" i="3"/>
  <c r="G19" i="3" s="1"/>
  <c r="B20" i="3"/>
  <c r="G20" i="3" s="1"/>
  <c r="B21" i="3"/>
  <c r="G21" i="3" s="1"/>
  <c r="B22" i="3"/>
  <c r="G22" i="3" s="1"/>
  <c r="B23" i="3"/>
  <c r="G23" i="3" s="1"/>
  <c r="B24" i="3"/>
  <c r="G24" i="3" s="1"/>
  <c r="B25" i="3"/>
  <c r="G25" i="3" s="1"/>
  <c r="B26" i="3"/>
  <c r="G26" i="3" s="1"/>
  <c r="B27" i="3"/>
  <c r="G27" i="3" s="1"/>
  <c r="B28" i="3"/>
  <c r="G28" i="3" s="1"/>
  <c r="B29" i="3"/>
  <c r="G29" i="3" s="1"/>
  <c r="B30" i="3"/>
  <c r="G30" i="3" s="1"/>
  <c r="B31" i="3"/>
  <c r="G31" i="3" s="1"/>
  <c r="B32" i="3"/>
  <c r="B33" i="3"/>
  <c r="G33" i="3" s="1"/>
  <c r="B34" i="3"/>
  <c r="G34" i="3" s="1"/>
  <c r="B35" i="3"/>
  <c r="G35" i="3" s="1"/>
  <c r="B36" i="3"/>
  <c r="G36" i="3" s="1"/>
  <c r="B37" i="3"/>
  <c r="G37" i="3" s="1"/>
  <c r="B38" i="3"/>
  <c r="G38" i="3" s="1"/>
  <c r="B39" i="3"/>
  <c r="G39" i="3" s="1"/>
  <c r="B40" i="3"/>
  <c r="G40" i="3" s="1"/>
  <c r="B41" i="3"/>
  <c r="G41" i="3" s="1"/>
  <c r="B42" i="3"/>
  <c r="G42" i="3" s="1"/>
  <c r="B43" i="3"/>
  <c r="G43" i="3" s="1"/>
  <c r="B44" i="3"/>
  <c r="G44" i="3" s="1"/>
  <c r="B45" i="3"/>
  <c r="G45" i="3" s="1"/>
  <c r="B46" i="3"/>
  <c r="G46" i="3" s="1"/>
  <c r="B47" i="3"/>
  <c r="G47" i="3" s="1"/>
  <c r="B48" i="3"/>
  <c r="G48" i="3" s="1"/>
  <c r="B49" i="3"/>
  <c r="G49" i="3" s="1"/>
  <c r="B50" i="3"/>
  <c r="G50" i="3" s="1"/>
  <c r="B51" i="3"/>
  <c r="G51" i="3" s="1"/>
  <c r="B52" i="3"/>
  <c r="G52" i="3" s="1"/>
  <c r="B53" i="3"/>
  <c r="G53" i="3" s="1"/>
  <c r="B54" i="3"/>
  <c r="G54" i="3" s="1"/>
  <c r="B55" i="3"/>
  <c r="G55" i="3" s="1"/>
  <c r="B56" i="3"/>
  <c r="G56" i="3" s="1"/>
  <c r="B57" i="3"/>
  <c r="G57" i="3" s="1"/>
  <c r="B58" i="3"/>
  <c r="G58" i="3" s="1"/>
  <c r="B59" i="3"/>
  <c r="G59" i="3" s="1"/>
  <c r="B60" i="3"/>
  <c r="G60" i="3" s="1"/>
  <c r="B61" i="3"/>
  <c r="G61" i="3" s="1"/>
  <c r="B62" i="3"/>
  <c r="G62" i="3" s="1"/>
  <c r="B63" i="3"/>
  <c r="G63" i="3" s="1"/>
  <c r="B64" i="3"/>
  <c r="G64" i="3" s="1"/>
  <c r="B65" i="3"/>
  <c r="G65" i="3" s="1"/>
  <c r="B66" i="3"/>
  <c r="G66" i="3" s="1"/>
  <c r="B67" i="3"/>
  <c r="G67" i="3" s="1"/>
  <c r="B68" i="3"/>
  <c r="G68" i="3" s="1"/>
  <c r="B69" i="3"/>
  <c r="G69" i="3" s="1"/>
  <c r="B70" i="3"/>
  <c r="G70" i="3" s="1"/>
  <c r="B71" i="3"/>
  <c r="G71" i="3" s="1"/>
  <c r="B72" i="3"/>
  <c r="G72" i="3" s="1"/>
  <c r="B73" i="3"/>
  <c r="G73" i="3" s="1"/>
  <c r="B74" i="3"/>
  <c r="G74" i="3" s="1"/>
  <c r="B75" i="3"/>
  <c r="G75" i="3" s="1"/>
  <c r="B76" i="3"/>
  <c r="G76" i="3" s="1"/>
  <c r="B77" i="3"/>
  <c r="G77" i="3" s="1"/>
  <c r="B78" i="3"/>
  <c r="G78" i="3" s="1"/>
  <c r="B79" i="3"/>
  <c r="G79" i="3" s="1"/>
  <c r="B80" i="3"/>
  <c r="G80" i="3" s="1"/>
  <c r="B81" i="3"/>
  <c r="G81" i="3" s="1"/>
  <c r="B82" i="3"/>
  <c r="G82" i="3" s="1"/>
  <c r="B83" i="3"/>
  <c r="G83" i="3" s="1"/>
  <c r="B84" i="3"/>
  <c r="G84" i="3" s="1"/>
  <c r="B85" i="3"/>
  <c r="G85" i="3" s="1"/>
  <c r="B86" i="3"/>
  <c r="G86" i="3" s="1"/>
  <c r="B87" i="3"/>
  <c r="G87" i="3" s="1"/>
  <c r="B88" i="3"/>
  <c r="G88" i="3" s="1"/>
  <c r="B89" i="3"/>
  <c r="G89" i="3" s="1"/>
  <c r="B90" i="3"/>
  <c r="G90" i="3" s="1"/>
  <c r="B91" i="3"/>
  <c r="G91" i="3" s="1"/>
  <c r="B92" i="3"/>
  <c r="G92" i="3" s="1"/>
  <c r="B93" i="3"/>
  <c r="G93" i="3" s="1"/>
  <c r="B94" i="3"/>
  <c r="G94" i="3" s="1"/>
  <c r="B95" i="3"/>
  <c r="G95" i="3" s="1"/>
  <c r="B96" i="3"/>
  <c r="G96" i="3" s="1"/>
  <c r="B97" i="3"/>
  <c r="G97" i="3" s="1"/>
  <c r="B98" i="3"/>
  <c r="G98" i="3" s="1"/>
  <c r="B99" i="3"/>
  <c r="G99" i="3" s="1"/>
  <c r="B100" i="3"/>
  <c r="G100" i="3" s="1"/>
  <c r="B101" i="3"/>
  <c r="G101" i="3" s="1"/>
  <c r="B102" i="3"/>
  <c r="G102" i="3" s="1"/>
  <c r="B103" i="3"/>
  <c r="G103" i="3" s="1"/>
  <c r="B104" i="3"/>
  <c r="G104" i="3" s="1"/>
  <c r="B105" i="3"/>
  <c r="G105" i="3" s="1"/>
  <c r="B106" i="3"/>
  <c r="G106" i="3" s="1"/>
  <c r="B107" i="3"/>
  <c r="G107" i="3" s="1"/>
  <c r="B108" i="3"/>
  <c r="G108" i="3" s="1"/>
  <c r="B109" i="3"/>
  <c r="G109" i="3" s="1"/>
  <c r="B110" i="3"/>
  <c r="G110" i="3" s="1"/>
  <c r="B111" i="3"/>
  <c r="G111" i="3" s="1"/>
  <c r="B112" i="3"/>
  <c r="G112" i="3" s="1"/>
  <c r="B113" i="3"/>
  <c r="G113" i="3" s="1"/>
  <c r="B114" i="3"/>
  <c r="G114" i="3" s="1"/>
  <c r="B115" i="3"/>
  <c r="G115" i="3" s="1"/>
  <c r="B116" i="3"/>
  <c r="G116" i="3" s="1"/>
  <c r="B117" i="3"/>
  <c r="G117" i="3" s="1"/>
  <c r="B118" i="3"/>
  <c r="G118" i="3" s="1"/>
  <c r="B119" i="3"/>
  <c r="G119" i="3" s="1"/>
  <c r="B120" i="3"/>
  <c r="G120" i="3" s="1"/>
  <c r="B121" i="3"/>
  <c r="G121" i="3" s="1"/>
  <c r="B122" i="3"/>
  <c r="G122" i="3" s="1"/>
  <c r="B123" i="3"/>
  <c r="G123" i="3" s="1"/>
  <c r="B124" i="3"/>
  <c r="G124" i="3" s="1"/>
  <c r="B125" i="3"/>
  <c r="G125" i="3" s="1"/>
  <c r="B126" i="3"/>
  <c r="G126" i="3" s="1"/>
  <c r="B127" i="3"/>
  <c r="G127" i="3" s="1"/>
  <c r="B128" i="3"/>
  <c r="G128" i="3" s="1"/>
  <c r="B129" i="3"/>
  <c r="G129" i="3" s="1"/>
  <c r="B130" i="3"/>
  <c r="G130" i="3" s="1"/>
  <c r="B131" i="3"/>
  <c r="G131" i="3" s="1"/>
  <c r="B132" i="3"/>
  <c r="G132" i="3" s="1"/>
  <c r="B133" i="3"/>
  <c r="G133" i="3" s="1"/>
  <c r="B134" i="3"/>
  <c r="G134" i="3" s="1"/>
  <c r="B135" i="3"/>
  <c r="G135" i="3" s="1"/>
  <c r="B136" i="3"/>
  <c r="G136" i="3" s="1"/>
  <c r="B137" i="3"/>
  <c r="G137" i="3" s="1"/>
  <c r="B138" i="3"/>
  <c r="G138" i="3" s="1"/>
  <c r="B139" i="3"/>
  <c r="G139" i="3" s="1"/>
  <c r="B140" i="3"/>
  <c r="G140" i="3" s="1"/>
  <c r="B141" i="3"/>
  <c r="G141" i="3" s="1"/>
  <c r="B142" i="3"/>
  <c r="G142" i="3" s="1"/>
  <c r="B143" i="3"/>
  <c r="G143" i="3" s="1"/>
  <c r="B144" i="3"/>
  <c r="G144" i="3" s="1"/>
  <c r="B145" i="3"/>
  <c r="G145" i="3" s="1"/>
  <c r="B146" i="3"/>
  <c r="G146" i="3" s="1"/>
  <c r="B147" i="3"/>
  <c r="G147" i="3" s="1"/>
  <c r="B148" i="3"/>
  <c r="G148" i="3" s="1"/>
  <c r="B149" i="3"/>
  <c r="G149" i="3" s="1"/>
  <c r="B150" i="3"/>
  <c r="G150" i="3" s="1"/>
  <c r="B151" i="3"/>
  <c r="G151" i="3" s="1"/>
  <c r="B152" i="3"/>
  <c r="G152" i="3" s="1"/>
  <c r="B153" i="3"/>
  <c r="G153" i="3" s="1"/>
  <c r="B154" i="3"/>
  <c r="G154" i="3" s="1"/>
  <c r="B155" i="3"/>
  <c r="G155" i="3" s="1"/>
  <c r="B156" i="3"/>
  <c r="G156" i="3" s="1"/>
  <c r="B157" i="3"/>
  <c r="G157" i="3" s="1"/>
  <c r="B158" i="3"/>
  <c r="G158" i="3" s="1"/>
  <c r="B159" i="3"/>
  <c r="G159" i="3" s="1"/>
  <c r="B160" i="3"/>
  <c r="G160" i="3" s="1"/>
  <c r="B161" i="3"/>
  <c r="G161" i="3" s="1"/>
  <c r="B162" i="3"/>
  <c r="G162" i="3" s="1"/>
  <c r="B163" i="3"/>
  <c r="G163" i="3" s="1"/>
  <c r="B164" i="3"/>
  <c r="G164" i="3" s="1"/>
  <c r="B165" i="3"/>
  <c r="G165" i="3" s="1"/>
  <c r="B166" i="3"/>
  <c r="G166" i="3" s="1"/>
  <c r="B167" i="3"/>
  <c r="G167" i="3" s="1"/>
  <c r="B168" i="3"/>
  <c r="G168" i="3" s="1"/>
  <c r="B169" i="3"/>
  <c r="G169" i="3" s="1"/>
  <c r="B170" i="3"/>
  <c r="G170" i="3" s="1"/>
  <c r="B171" i="3"/>
  <c r="G171" i="3" s="1"/>
  <c r="B172" i="3"/>
  <c r="G172" i="3" s="1"/>
  <c r="B173" i="3"/>
  <c r="G173" i="3" s="1"/>
  <c r="B174" i="3"/>
  <c r="G174" i="3" s="1"/>
  <c r="B175" i="3"/>
  <c r="G175" i="3" s="1"/>
  <c r="B176" i="3"/>
  <c r="G176" i="3" s="1"/>
  <c r="B177" i="3"/>
  <c r="G177" i="3" s="1"/>
  <c r="B178" i="3"/>
  <c r="G178" i="3" s="1"/>
  <c r="B179" i="3"/>
  <c r="G179" i="3" s="1"/>
  <c r="B180" i="3"/>
  <c r="G180" i="3" s="1"/>
  <c r="B181" i="3"/>
  <c r="G181" i="3" s="1"/>
  <c r="B182" i="3"/>
  <c r="G182" i="3" s="1"/>
  <c r="B183" i="3"/>
  <c r="G183" i="3" s="1"/>
  <c r="B184" i="3"/>
  <c r="G184" i="3" s="1"/>
  <c r="B185" i="3"/>
  <c r="G185" i="3" s="1"/>
  <c r="B186" i="3"/>
  <c r="G186" i="3" s="1"/>
  <c r="B187" i="3"/>
  <c r="G187" i="3" s="1"/>
  <c r="B188" i="3"/>
  <c r="G188" i="3" s="1"/>
  <c r="B189" i="3"/>
  <c r="G189" i="3" s="1"/>
  <c r="B190" i="3"/>
  <c r="G190" i="3" s="1"/>
  <c r="B191" i="3"/>
  <c r="G191" i="3" s="1"/>
  <c r="B192" i="3"/>
  <c r="G192" i="3" s="1"/>
  <c r="B193" i="3"/>
  <c r="G193" i="3" s="1"/>
  <c r="B194" i="3"/>
  <c r="G194" i="3" s="1"/>
  <c r="B195" i="3"/>
  <c r="G195" i="3" s="1"/>
  <c r="B196" i="3"/>
  <c r="G196" i="3" s="1"/>
  <c r="B197" i="3"/>
  <c r="G197" i="3" s="1"/>
  <c r="B198" i="3"/>
  <c r="G198" i="3" s="1"/>
  <c r="B199" i="3"/>
  <c r="G199" i="3" s="1"/>
  <c r="B200" i="3"/>
  <c r="G200" i="3" s="1"/>
  <c r="B201" i="3"/>
  <c r="G201" i="3" s="1"/>
  <c r="B202" i="3"/>
  <c r="G202" i="3" s="1"/>
  <c r="B203" i="3"/>
  <c r="G203" i="3" s="1"/>
  <c r="B204" i="3"/>
  <c r="G204" i="3" s="1"/>
  <c r="B205" i="3"/>
  <c r="G205" i="3" s="1"/>
  <c r="B206" i="3"/>
  <c r="G206" i="3" s="1"/>
  <c r="B207" i="3"/>
  <c r="G207" i="3" s="1"/>
  <c r="B208" i="3"/>
  <c r="G208" i="3" s="1"/>
  <c r="B209" i="3"/>
  <c r="G209" i="3" s="1"/>
  <c r="B210" i="3"/>
  <c r="G210" i="3" s="1"/>
  <c r="B211" i="3"/>
  <c r="G211" i="3" s="1"/>
  <c r="B212" i="3"/>
  <c r="G212" i="3" s="1"/>
  <c r="B213" i="3"/>
  <c r="G213" i="3" s="1"/>
  <c r="B214" i="3"/>
  <c r="G214" i="3" s="1"/>
  <c r="B215" i="3"/>
  <c r="G215" i="3" s="1"/>
  <c r="B216" i="3"/>
  <c r="G216" i="3" s="1"/>
  <c r="B217" i="3"/>
  <c r="G217" i="3" s="1"/>
  <c r="B218" i="3"/>
  <c r="G218" i="3" s="1"/>
  <c r="B219" i="3"/>
  <c r="G219" i="3" s="1"/>
  <c r="B220" i="3"/>
  <c r="G220" i="3" s="1"/>
  <c r="B221" i="3"/>
  <c r="G221" i="3" s="1"/>
  <c r="B222" i="3"/>
  <c r="G222" i="3" s="1"/>
  <c r="B223" i="3"/>
  <c r="G223" i="3" s="1"/>
  <c r="B224" i="3"/>
  <c r="G224" i="3" s="1"/>
  <c r="B225" i="3"/>
  <c r="G225" i="3" s="1"/>
  <c r="B226" i="3"/>
  <c r="G226" i="3" s="1"/>
  <c r="B227" i="3"/>
  <c r="G227" i="3" s="1"/>
  <c r="B228" i="3"/>
  <c r="G228" i="3" s="1"/>
  <c r="B229" i="3"/>
  <c r="G229" i="3" s="1"/>
  <c r="B230" i="3"/>
  <c r="G230" i="3" s="1"/>
  <c r="B231" i="3"/>
  <c r="G231" i="3" s="1"/>
  <c r="B232" i="3"/>
  <c r="G232" i="3" s="1"/>
  <c r="B233" i="3"/>
  <c r="G233" i="3" s="1"/>
  <c r="B234" i="3"/>
  <c r="G234" i="3" s="1"/>
  <c r="B235" i="3"/>
  <c r="G235" i="3" s="1"/>
  <c r="B236" i="3"/>
  <c r="G236" i="3" s="1"/>
  <c r="B237" i="3"/>
  <c r="G237" i="3" s="1"/>
  <c r="B238" i="3"/>
  <c r="G238" i="3" s="1"/>
  <c r="B239" i="3"/>
  <c r="G239" i="3" s="1"/>
  <c r="B240" i="3"/>
  <c r="G240" i="3" s="1"/>
  <c r="B241" i="3"/>
  <c r="G241" i="3" s="1"/>
  <c r="B242" i="3"/>
  <c r="G242" i="3" s="1"/>
  <c r="B243" i="3"/>
  <c r="G243" i="3" s="1"/>
  <c r="B244" i="3"/>
  <c r="G244" i="3" s="1"/>
  <c r="B245" i="3"/>
  <c r="G245" i="3" s="1"/>
  <c r="B246" i="3"/>
  <c r="G246" i="3" s="1"/>
  <c r="B247" i="3"/>
  <c r="G247" i="3" s="1"/>
  <c r="B248" i="3"/>
  <c r="G248" i="3" s="1"/>
  <c r="B249" i="3"/>
  <c r="G249" i="3" s="1"/>
  <c r="B250" i="3"/>
  <c r="G250" i="3" s="1"/>
  <c r="B251" i="3"/>
  <c r="G251" i="3" s="1"/>
  <c r="B252" i="3"/>
  <c r="G252" i="3" s="1"/>
  <c r="B253" i="3"/>
  <c r="G253" i="3" s="1"/>
  <c r="B254" i="3"/>
  <c r="G254" i="3" s="1"/>
  <c r="B255" i="3"/>
  <c r="G255" i="3" s="1"/>
  <c r="B256" i="3"/>
  <c r="G256" i="3" s="1"/>
  <c r="B257" i="3"/>
  <c r="G257" i="3" s="1"/>
  <c r="B258" i="3"/>
  <c r="G258" i="3" s="1"/>
  <c r="B259" i="3"/>
  <c r="G259" i="3" s="1"/>
  <c r="B260" i="3"/>
  <c r="G260" i="3" s="1"/>
  <c r="B261" i="3"/>
  <c r="G261" i="3" s="1"/>
  <c r="B262" i="3"/>
  <c r="G262" i="3" s="1"/>
  <c r="B263" i="3"/>
  <c r="G263" i="3" s="1"/>
  <c r="B264" i="3"/>
  <c r="G264" i="3" s="1"/>
  <c r="B265" i="3"/>
  <c r="G265" i="3" s="1"/>
  <c r="B266" i="3"/>
  <c r="G266" i="3" s="1"/>
  <c r="B267" i="3"/>
  <c r="G267" i="3" s="1"/>
  <c r="B268" i="3"/>
  <c r="G268" i="3" s="1"/>
  <c r="B269" i="3"/>
  <c r="G269" i="3" s="1"/>
  <c r="B270" i="3"/>
  <c r="G270" i="3" s="1"/>
  <c r="B271" i="3"/>
  <c r="G271" i="3" s="1"/>
  <c r="B272" i="3"/>
  <c r="G272" i="3" s="1"/>
  <c r="B273" i="3"/>
  <c r="G273" i="3" s="1"/>
  <c r="B274" i="3"/>
  <c r="G274" i="3" s="1"/>
  <c r="B275" i="3"/>
  <c r="G275" i="3" s="1"/>
  <c r="B276" i="3"/>
  <c r="G276" i="3" s="1"/>
  <c r="B277" i="3"/>
  <c r="G277" i="3" s="1"/>
  <c r="B278" i="3"/>
  <c r="G278" i="3" s="1"/>
  <c r="B279" i="3"/>
  <c r="G279" i="3" s="1"/>
  <c r="B280" i="3"/>
  <c r="G280" i="3" s="1"/>
  <c r="B281" i="3"/>
  <c r="G281" i="3" s="1"/>
  <c r="B282" i="3"/>
  <c r="G282" i="3" s="1"/>
  <c r="B283" i="3"/>
  <c r="G283" i="3" s="1"/>
  <c r="B284" i="3"/>
  <c r="G284" i="3" s="1"/>
  <c r="B285" i="3"/>
  <c r="G285" i="3" s="1"/>
  <c r="B286" i="3"/>
  <c r="G286" i="3" s="1"/>
  <c r="B287" i="3"/>
  <c r="G287" i="3" s="1"/>
  <c r="B288" i="3"/>
  <c r="G288" i="3" s="1"/>
  <c r="B289" i="3"/>
  <c r="G289" i="3" s="1"/>
  <c r="B290" i="3"/>
  <c r="G290" i="3" s="1"/>
  <c r="B291" i="3"/>
  <c r="G291" i="3" s="1"/>
  <c r="B292" i="3"/>
  <c r="G292" i="3" s="1"/>
  <c r="B293" i="3"/>
  <c r="G293" i="3" s="1"/>
  <c r="B294" i="3"/>
  <c r="G294" i="3" s="1"/>
  <c r="B295" i="3"/>
  <c r="G295" i="3" s="1"/>
  <c r="B296" i="3"/>
  <c r="G296" i="3" s="1"/>
  <c r="B297" i="3"/>
  <c r="G297" i="3" s="1"/>
  <c r="B298" i="3"/>
  <c r="G298" i="3" s="1"/>
  <c r="B299" i="3"/>
  <c r="G299" i="3" s="1"/>
  <c r="B300" i="3"/>
  <c r="G300" i="3" s="1"/>
  <c r="B301" i="3"/>
  <c r="G301" i="3" s="1"/>
  <c r="B302" i="3"/>
  <c r="G302" i="3" s="1"/>
  <c r="B303" i="3"/>
  <c r="G303" i="3" s="1"/>
  <c r="B304" i="3"/>
  <c r="G304" i="3" s="1"/>
  <c r="B305" i="3"/>
  <c r="G305" i="3" s="1"/>
  <c r="B306" i="3"/>
  <c r="G306" i="3" s="1"/>
  <c r="B307" i="3"/>
  <c r="G307" i="3" s="1"/>
  <c r="B308" i="3"/>
  <c r="G308" i="3" s="1"/>
  <c r="B309" i="3"/>
  <c r="G309" i="3" s="1"/>
  <c r="B310" i="3"/>
  <c r="G310" i="3" s="1"/>
  <c r="B311" i="3"/>
  <c r="G311" i="3" s="1"/>
  <c r="B312" i="3"/>
  <c r="G312" i="3" s="1"/>
  <c r="B313" i="3"/>
  <c r="G313" i="3" s="1"/>
  <c r="B314" i="3"/>
  <c r="G314" i="3" s="1"/>
  <c r="B315" i="3"/>
  <c r="G315" i="3" s="1"/>
  <c r="B316" i="3"/>
  <c r="G316" i="3" s="1"/>
  <c r="B317" i="3"/>
  <c r="G317" i="3" s="1"/>
  <c r="B318" i="3"/>
  <c r="G318" i="3" s="1"/>
  <c r="B319" i="3"/>
  <c r="G319" i="3" s="1"/>
  <c r="B320" i="3"/>
  <c r="G320" i="3" s="1"/>
  <c r="B321" i="3"/>
  <c r="G321" i="3" s="1"/>
  <c r="B322" i="3"/>
  <c r="G322" i="3" s="1"/>
  <c r="B323" i="3"/>
  <c r="G323" i="3" s="1"/>
  <c r="B324" i="3"/>
  <c r="G324" i="3" s="1"/>
  <c r="B325" i="3"/>
  <c r="G325" i="3" s="1"/>
  <c r="B326" i="3"/>
  <c r="G326" i="3" s="1"/>
  <c r="B327" i="3"/>
  <c r="G327" i="3" s="1"/>
  <c r="B328" i="3"/>
  <c r="G328" i="3" s="1"/>
  <c r="B329" i="3"/>
  <c r="G329" i="3" s="1"/>
  <c r="B330" i="3"/>
  <c r="G330" i="3" s="1"/>
  <c r="B331" i="3"/>
  <c r="G331" i="3" s="1"/>
  <c r="B332" i="3"/>
  <c r="G332" i="3" s="1"/>
  <c r="B333" i="3"/>
  <c r="G333" i="3" s="1"/>
  <c r="B334" i="3"/>
  <c r="G334" i="3" s="1"/>
  <c r="B335" i="3"/>
  <c r="G335" i="3" s="1"/>
  <c r="B336" i="3"/>
  <c r="G336" i="3" s="1"/>
  <c r="B337" i="3"/>
  <c r="G337" i="3" s="1"/>
  <c r="B338" i="3"/>
  <c r="G338" i="3" s="1"/>
  <c r="B339" i="3"/>
  <c r="G339" i="3" s="1"/>
  <c r="B340" i="3"/>
  <c r="G340" i="3" s="1"/>
  <c r="B341" i="3"/>
  <c r="G341" i="3" s="1"/>
  <c r="B342" i="3"/>
  <c r="G342" i="3" s="1"/>
  <c r="B343" i="3"/>
  <c r="G343" i="3" s="1"/>
  <c r="B344" i="3"/>
  <c r="G344" i="3" s="1"/>
  <c r="B345" i="3"/>
  <c r="G345" i="3" s="1"/>
  <c r="B346" i="3"/>
  <c r="G346" i="3" s="1"/>
  <c r="B347" i="3"/>
  <c r="G347" i="3" s="1"/>
  <c r="B348" i="3"/>
  <c r="G348" i="3" s="1"/>
  <c r="B349" i="3"/>
  <c r="G349" i="3" s="1"/>
  <c r="B350" i="3"/>
  <c r="G350" i="3" s="1"/>
  <c r="B351" i="3"/>
  <c r="G351" i="3" s="1"/>
  <c r="B352" i="3"/>
  <c r="G352" i="3" s="1"/>
  <c r="B353" i="3"/>
  <c r="G353" i="3" s="1"/>
  <c r="B354" i="3"/>
  <c r="G354" i="3" s="1"/>
  <c r="B355" i="3"/>
  <c r="G355" i="3" s="1"/>
  <c r="B356" i="3"/>
  <c r="G356" i="3" s="1"/>
  <c r="B357" i="3"/>
  <c r="G357" i="3" s="1"/>
  <c r="B358" i="3"/>
  <c r="G358" i="3" s="1"/>
  <c r="B359" i="3"/>
  <c r="G359" i="3" s="1"/>
  <c r="B360" i="3"/>
  <c r="G360" i="3" s="1"/>
  <c r="B361" i="3"/>
  <c r="G361" i="3" s="1"/>
  <c r="B362" i="3"/>
  <c r="G362" i="3" s="1"/>
  <c r="B363" i="3"/>
  <c r="G363" i="3" s="1"/>
  <c r="B364" i="3"/>
  <c r="G364" i="3" s="1"/>
  <c r="B365" i="3"/>
  <c r="G365" i="3" s="1"/>
  <c r="B366" i="3"/>
  <c r="G366" i="3" s="1"/>
  <c r="B367" i="3"/>
  <c r="G367" i="3" s="1"/>
  <c r="B368" i="3"/>
  <c r="G368" i="3" s="1"/>
  <c r="B369" i="3"/>
  <c r="G369" i="3" s="1"/>
  <c r="B370" i="3"/>
  <c r="G370" i="3" s="1"/>
  <c r="B371" i="3"/>
  <c r="G371" i="3" s="1"/>
  <c r="B372" i="3"/>
  <c r="G372" i="3" s="1"/>
  <c r="B373" i="3"/>
  <c r="G373" i="3" s="1"/>
  <c r="B374" i="3"/>
  <c r="G374" i="3" s="1"/>
  <c r="B375" i="3"/>
  <c r="G375" i="3" s="1"/>
  <c r="B376" i="3"/>
  <c r="G376" i="3" s="1"/>
  <c r="B377" i="3"/>
  <c r="G377" i="3" s="1"/>
  <c r="B378" i="3"/>
  <c r="G378" i="3" s="1"/>
  <c r="B379" i="3"/>
  <c r="G379" i="3" s="1"/>
  <c r="B380" i="3"/>
  <c r="G380" i="3" s="1"/>
  <c r="B381" i="3"/>
  <c r="G381" i="3" s="1"/>
  <c r="B382" i="3"/>
  <c r="G382" i="3" s="1"/>
  <c r="B383" i="3"/>
  <c r="G383" i="3" s="1"/>
  <c r="B384" i="3"/>
  <c r="G384" i="3" s="1"/>
  <c r="B385" i="3"/>
  <c r="G385" i="3" s="1"/>
  <c r="B386" i="3"/>
  <c r="G386" i="3" s="1"/>
  <c r="B387" i="3"/>
  <c r="G387" i="3" s="1"/>
  <c r="B388" i="3"/>
  <c r="G388" i="3" s="1"/>
  <c r="B389" i="3"/>
  <c r="G389" i="3" s="1"/>
  <c r="B390" i="3"/>
  <c r="G390" i="3" s="1"/>
  <c r="B391" i="3"/>
  <c r="G391" i="3" s="1"/>
  <c r="B392" i="3"/>
  <c r="G392" i="3" s="1"/>
  <c r="B393" i="3"/>
  <c r="G393" i="3" s="1"/>
  <c r="B394" i="3"/>
  <c r="G394" i="3" s="1"/>
  <c r="B395" i="3"/>
  <c r="G395" i="3" s="1"/>
  <c r="B396" i="3"/>
  <c r="G396" i="3" s="1"/>
  <c r="B397" i="3"/>
  <c r="G397" i="3" s="1"/>
  <c r="B398" i="3"/>
  <c r="G398" i="3" s="1"/>
  <c r="B399" i="3"/>
  <c r="G399" i="3" s="1"/>
  <c r="B400" i="3"/>
  <c r="G400" i="3" s="1"/>
  <c r="B401" i="3"/>
  <c r="G401" i="3" s="1"/>
  <c r="B402" i="3"/>
  <c r="G402" i="3" s="1"/>
  <c r="B403" i="3"/>
  <c r="G403" i="3" s="1"/>
  <c r="B404" i="3"/>
  <c r="G404" i="3" s="1"/>
  <c r="B405" i="3"/>
  <c r="G405" i="3" s="1"/>
  <c r="B406" i="3"/>
  <c r="G406" i="3" s="1"/>
  <c r="B407" i="3"/>
  <c r="G407" i="3" s="1"/>
  <c r="B408" i="3"/>
  <c r="G408" i="3" s="1"/>
  <c r="B409" i="3"/>
  <c r="G409" i="3" s="1"/>
  <c r="B410" i="3"/>
  <c r="G410" i="3" s="1"/>
  <c r="B411" i="3"/>
  <c r="G411" i="3" s="1"/>
  <c r="B412" i="3"/>
  <c r="G412" i="3" s="1"/>
  <c r="B413" i="3"/>
  <c r="G413" i="3" s="1"/>
  <c r="B414" i="3"/>
  <c r="G414" i="3" s="1"/>
  <c r="B415" i="3"/>
  <c r="G415" i="3" s="1"/>
  <c r="B416" i="3"/>
  <c r="G416" i="3" s="1"/>
  <c r="B417" i="3"/>
  <c r="G417" i="3" s="1"/>
  <c r="B418" i="3"/>
  <c r="G418" i="3" s="1"/>
  <c r="B419" i="3"/>
  <c r="G419" i="3" s="1"/>
  <c r="B420" i="3"/>
  <c r="G420" i="3" s="1"/>
  <c r="B421" i="3"/>
  <c r="G421" i="3" s="1"/>
  <c r="B422" i="3"/>
  <c r="G422" i="3" s="1"/>
  <c r="B423" i="3"/>
  <c r="G423" i="3" s="1"/>
  <c r="B424" i="3"/>
  <c r="G424" i="3" s="1"/>
  <c r="B425" i="3"/>
  <c r="G425" i="3" s="1"/>
  <c r="B426" i="3"/>
  <c r="G426" i="3" s="1"/>
  <c r="B427" i="3"/>
  <c r="G427" i="3" s="1"/>
  <c r="B428" i="3"/>
  <c r="G428" i="3" s="1"/>
  <c r="B429" i="3"/>
  <c r="G429" i="3" s="1"/>
  <c r="B430" i="3"/>
  <c r="G430" i="3" s="1"/>
  <c r="B431" i="3"/>
  <c r="G431" i="3" s="1"/>
  <c r="B432" i="3"/>
  <c r="G432" i="3" s="1"/>
  <c r="B433" i="3"/>
  <c r="G433" i="3" s="1"/>
  <c r="B434" i="3"/>
  <c r="G434" i="3" s="1"/>
  <c r="B435" i="3"/>
  <c r="G435" i="3" s="1"/>
  <c r="B436" i="3"/>
  <c r="G436" i="3" s="1"/>
  <c r="B437" i="3"/>
  <c r="G437" i="3" s="1"/>
  <c r="B438" i="3"/>
  <c r="G438" i="3" s="1"/>
  <c r="B439" i="3"/>
  <c r="G439" i="3" s="1"/>
  <c r="B440" i="3"/>
  <c r="G440" i="3" s="1"/>
  <c r="B441" i="3"/>
  <c r="G441" i="3" s="1"/>
  <c r="B442" i="3"/>
  <c r="G442" i="3" s="1"/>
  <c r="B443" i="3"/>
  <c r="G443" i="3" s="1"/>
  <c r="B444" i="3"/>
  <c r="G444" i="3" s="1"/>
  <c r="B445" i="3"/>
  <c r="G445" i="3" s="1"/>
  <c r="B446" i="3"/>
  <c r="G446" i="3" s="1"/>
  <c r="B447" i="3"/>
  <c r="G447" i="3" s="1"/>
  <c r="B448" i="3"/>
  <c r="G448" i="3" s="1"/>
  <c r="B449" i="3"/>
  <c r="G449" i="3" s="1"/>
  <c r="B450" i="3"/>
  <c r="G450" i="3" s="1"/>
  <c r="B451" i="3"/>
  <c r="G451" i="3" s="1"/>
  <c r="B452" i="3"/>
  <c r="G452" i="3" s="1"/>
  <c r="B453" i="3"/>
  <c r="G453" i="3" s="1"/>
  <c r="B454" i="3"/>
  <c r="G454" i="3" s="1"/>
  <c r="B455" i="3"/>
  <c r="G455" i="3" s="1"/>
  <c r="B456" i="3"/>
  <c r="G456" i="3" s="1"/>
  <c r="B457" i="3"/>
  <c r="G457" i="3" s="1"/>
  <c r="B458" i="3"/>
  <c r="G458" i="3" s="1"/>
  <c r="B459" i="3"/>
  <c r="G459" i="3" s="1"/>
  <c r="B460" i="3"/>
  <c r="G460" i="3" s="1"/>
  <c r="B461" i="3"/>
  <c r="G461" i="3" s="1"/>
  <c r="B462" i="3"/>
  <c r="G462" i="3" s="1"/>
  <c r="B463" i="3"/>
  <c r="G463" i="3" s="1"/>
  <c r="B464" i="3"/>
  <c r="G464" i="3" s="1"/>
  <c r="B465" i="3"/>
  <c r="G465" i="3" s="1"/>
  <c r="B466" i="3"/>
  <c r="G466" i="3" s="1"/>
  <c r="B467" i="3"/>
  <c r="G467" i="3" s="1"/>
  <c r="B468" i="3"/>
  <c r="G468" i="3" s="1"/>
  <c r="B469" i="3"/>
  <c r="G469" i="3" s="1"/>
  <c r="B470" i="3"/>
  <c r="G470" i="3" s="1"/>
  <c r="B471" i="3"/>
  <c r="G471" i="3" s="1"/>
  <c r="B472" i="3"/>
  <c r="G472" i="3" s="1"/>
  <c r="B473" i="3"/>
  <c r="G473" i="3" s="1"/>
  <c r="B474" i="3"/>
  <c r="G474" i="3" s="1"/>
  <c r="B475" i="3"/>
  <c r="G475" i="3" s="1"/>
  <c r="B476" i="3"/>
  <c r="G476" i="3" s="1"/>
  <c r="B477" i="3"/>
  <c r="G477" i="3" s="1"/>
  <c r="B478" i="3"/>
  <c r="G478" i="3" s="1"/>
  <c r="B479" i="3"/>
  <c r="G479" i="3" s="1"/>
  <c r="B480" i="3"/>
  <c r="G480" i="3" s="1"/>
  <c r="B481" i="3"/>
  <c r="G481" i="3" s="1"/>
  <c r="B482" i="3"/>
  <c r="G482" i="3" s="1"/>
  <c r="B483" i="3"/>
  <c r="G483" i="3" s="1"/>
  <c r="B484" i="3"/>
  <c r="G484" i="3" s="1"/>
  <c r="B485" i="3"/>
  <c r="G485" i="3" s="1"/>
  <c r="B486" i="3"/>
  <c r="G486" i="3" s="1"/>
  <c r="B487" i="3"/>
  <c r="G487" i="3" s="1"/>
  <c r="B488" i="3"/>
  <c r="G488" i="3" s="1"/>
  <c r="B489" i="3"/>
  <c r="G489" i="3" s="1"/>
  <c r="B490" i="3"/>
  <c r="G490" i="3" s="1"/>
  <c r="B491" i="3"/>
  <c r="G491" i="3" s="1"/>
  <c r="B492" i="3"/>
  <c r="G492" i="3" s="1"/>
  <c r="B493" i="3"/>
  <c r="G493" i="3" s="1"/>
  <c r="B494" i="3"/>
  <c r="G494" i="3" s="1"/>
  <c r="B495" i="3"/>
  <c r="G495" i="3" s="1"/>
  <c r="B496" i="3"/>
  <c r="G496" i="3" s="1"/>
  <c r="B497" i="3"/>
  <c r="G497" i="3" s="1"/>
  <c r="B498" i="3"/>
  <c r="G498" i="3" s="1"/>
  <c r="B499" i="3"/>
  <c r="G499" i="3" s="1"/>
  <c r="B500" i="3"/>
  <c r="G500" i="3" s="1"/>
  <c r="B501" i="3"/>
  <c r="G501" i="3" s="1"/>
  <c r="B502" i="3"/>
  <c r="G502" i="3" s="1"/>
  <c r="B503" i="3"/>
  <c r="G503" i="3" s="1"/>
  <c r="B504" i="3"/>
  <c r="G504" i="3" s="1"/>
  <c r="B505" i="3"/>
  <c r="G505" i="3" s="1"/>
  <c r="B506" i="3"/>
  <c r="G506" i="3" s="1"/>
  <c r="B507" i="3"/>
  <c r="G507" i="3" s="1"/>
  <c r="B508" i="3"/>
  <c r="G508" i="3" s="1"/>
  <c r="B509" i="3"/>
  <c r="G509" i="3" s="1"/>
  <c r="B510" i="3"/>
  <c r="G510" i="3" s="1"/>
  <c r="B511" i="3"/>
  <c r="G511" i="3" s="1"/>
  <c r="B512" i="3"/>
  <c r="G512" i="3" s="1"/>
  <c r="B513" i="3"/>
  <c r="G513" i="3" s="1"/>
  <c r="B514" i="3"/>
  <c r="G514" i="3" s="1"/>
  <c r="B515" i="3"/>
  <c r="G515" i="3" s="1"/>
  <c r="B516" i="3"/>
  <c r="G516" i="3" s="1"/>
  <c r="B517" i="3"/>
  <c r="G517" i="3" s="1"/>
  <c r="B518" i="3"/>
  <c r="G518" i="3" s="1"/>
  <c r="B519" i="3"/>
  <c r="G519" i="3" s="1"/>
  <c r="B520" i="3"/>
  <c r="G520" i="3" s="1"/>
  <c r="B521" i="3"/>
  <c r="G521" i="3" s="1"/>
  <c r="B522" i="3"/>
  <c r="G522" i="3" s="1"/>
  <c r="B523" i="3"/>
  <c r="G523" i="3" s="1"/>
  <c r="B524" i="3"/>
  <c r="G524" i="3" s="1"/>
  <c r="B525" i="3"/>
  <c r="G525" i="3" s="1"/>
  <c r="B526" i="3"/>
  <c r="G526" i="3" s="1"/>
  <c r="B527" i="3"/>
  <c r="G527" i="3" s="1"/>
  <c r="B528" i="3"/>
  <c r="G528" i="3" s="1"/>
  <c r="B529" i="3"/>
  <c r="G529" i="3" s="1"/>
  <c r="B530" i="3"/>
  <c r="G530" i="3" s="1"/>
  <c r="B531" i="3"/>
  <c r="G531" i="3" s="1"/>
  <c r="B532" i="3"/>
  <c r="G532" i="3" s="1"/>
  <c r="B533" i="3"/>
  <c r="G533" i="3" s="1"/>
  <c r="B534" i="3"/>
  <c r="G534" i="3" s="1"/>
  <c r="B535" i="3"/>
  <c r="G535" i="3" s="1"/>
  <c r="B536" i="3"/>
  <c r="G536" i="3" s="1"/>
  <c r="B537" i="3"/>
  <c r="G537" i="3" s="1"/>
  <c r="B538" i="3"/>
  <c r="G538" i="3" s="1"/>
  <c r="B539" i="3"/>
  <c r="G539" i="3" s="1"/>
  <c r="B540" i="3"/>
  <c r="G540" i="3" s="1"/>
  <c r="B541" i="3"/>
  <c r="G541" i="3" s="1"/>
  <c r="B542" i="3"/>
  <c r="G542" i="3" s="1"/>
  <c r="B543" i="3"/>
  <c r="G543" i="3" s="1"/>
  <c r="B544" i="3"/>
  <c r="G544" i="3" s="1"/>
  <c r="B545" i="3"/>
  <c r="G545" i="3" s="1"/>
  <c r="B546" i="3"/>
  <c r="G546" i="3" s="1"/>
  <c r="B547" i="3"/>
  <c r="G547" i="3" s="1"/>
  <c r="B548" i="3"/>
  <c r="G548" i="3" s="1"/>
  <c r="B549" i="3"/>
  <c r="G549" i="3" s="1"/>
  <c r="B550" i="3"/>
  <c r="G550" i="3" s="1"/>
  <c r="B551" i="3"/>
  <c r="G551" i="3" s="1"/>
  <c r="B552" i="3"/>
  <c r="G552" i="3" s="1"/>
  <c r="B553" i="3"/>
  <c r="G553" i="3" s="1"/>
  <c r="B554" i="3"/>
  <c r="G554" i="3" s="1"/>
  <c r="B555" i="3"/>
  <c r="G555" i="3" s="1"/>
  <c r="B556" i="3"/>
  <c r="G556" i="3" s="1"/>
  <c r="B557" i="3"/>
  <c r="G557" i="3" s="1"/>
  <c r="B558" i="3"/>
  <c r="G558" i="3" s="1"/>
  <c r="B559" i="3"/>
  <c r="G559" i="3" s="1"/>
  <c r="B560" i="3"/>
  <c r="G560" i="3" s="1"/>
  <c r="B561" i="3"/>
  <c r="G561" i="3" s="1"/>
  <c r="B562" i="3"/>
  <c r="G562" i="3" s="1"/>
  <c r="B563" i="3"/>
  <c r="G563" i="3" s="1"/>
  <c r="B564" i="3"/>
  <c r="G564" i="3" s="1"/>
  <c r="B565" i="3"/>
  <c r="G565" i="3" s="1"/>
  <c r="B566" i="3"/>
  <c r="G566" i="3" s="1"/>
  <c r="B567" i="3"/>
  <c r="G567" i="3" s="1"/>
  <c r="B568" i="3"/>
  <c r="G568" i="3" s="1"/>
  <c r="B569" i="3"/>
  <c r="G569" i="3" s="1"/>
  <c r="B570" i="3"/>
  <c r="G570" i="3" s="1"/>
  <c r="B571" i="3"/>
  <c r="G571" i="3" s="1"/>
  <c r="B572" i="3"/>
  <c r="G572" i="3" s="1"/>
  <c r="B573" i="3"/>
  <c r="G573" i="3" s="1"/>
  <c r="B574" i="3"/>
  <c r="G574" i="3" s="1"/>
  <c r="B575" i="3"/>
  <c r="G575" i="3" s="1"/>
  <c r="B576" i="3"/>
  <c r="G576" i="3" s="1"/>
  <c r="B577" i="3"/>
  <c r="G577" i="3" s="1"/>
  <c r="B578" i="3"/>
  <c r="G578" i="3" s="1"/>
  <c r="B579" i="3"/>
  <c r="G579" i="3" s="1"/>
  <c r="B580" i="3"/>
  <c r="G580" i="3" s="1"/>
  <c r="B581" i="3"/>
  <c r="G581" i="3" s="1"/>
  <c r="B582" i="3"/>
  <c r="G582" i="3" s="1"/>
  <c r="B583" i="3"/>
  <c r="G583" i="3" s="1"/>
  <c r="B584" i="3"/>
  <c r="G584" i="3" s="1"/>
  <c r="B585" i="3"/>
  <c r="G585" i="3" s="1"/>
  <c r="B586" i="3"/>
  <c r="G586" i="3" s="1"/>
  <c r="B587" i="3"/>
  <c r="G587" i="3" s="1"/>
  <c r="B588" i="3"/>
  <c r="G588" i="3" s="1"/>
  <c r="B589" i="3"/>
  <c r="G589" i="3" s="1"/>
  <c r="B590" i="3"/>
  <c r="G590" i="3" s="1"/>
  <c r="B591" i="3"/>
  <c r="G591" i="3" s="1"/>
  <c r="B592" i="3"/>
  <c r="G592" i="3" s="1"/>
  <c r="B593" i="3"/>
  <c r="G593" i="3" s="1"/>
  <c r="B594" i="3"/>
  <c r="G594" i="3" s="1"/>
  <c r="B595" i="3"/>
  <c r="G595" i="3" s="1"/>
  <c r="B596" i="3"/>
  <c r="G596" i="3" s="1"/>
  <c r="B597" i="3"/>
  <c r="G597" i="3" s="1"/>
  <c r="B598" i="3"/>
  <c r="G598" i="3" s="1"/>
  <c r="B599" i="3"/>
  <c r="G599" i="3" s="1"/>
  <c r="B600" i="3"/>
  <c r="G600" i="3" s="1"/>
  <c r="B601" i="3"/>
  <c r="G601" i="3" s="1"/>
  <c r="B602" i="3"/>
  <c r="G602" i="3" s="1"/>
  <c r="B603" i="3"/>
  <c r="G603" i="3" s="1"/>
  <c r="B604" i="3"/>
  <c r="G604" i="3" s="1"/>
  <c r="B605" i="3"/>
  <c r="G605" i="3" s="1"/>
  <c r="B606" i="3"/>
  <c r="G606" i="3" s="1"/>
  <c r="B607" i="3"/>
  <c r="G607" i="3" s="1"/>
  <c r="B608" i="3"/>
  <c r="G608" i="3" s="1"/>
  <c r="B609" i="3"/>
  <c r="G609" i="3" s="1"/>
  <c r="B610" i="3"/>
  <c r="G610" i="3" s="1"/>
  <c r="B611" i="3"/>
  <c r="G611" i="3" s="1"/>
  <c r="B612" i="3"/>
  <c r="G612" i="3" s="1"/>
  <c r="B613" i="3"/>
  <c r="G613" i="3" s="1"/>
  <c r="B614" i="3"/>
  <c r="G614" i="3" s="1"/>
  <c r="B615" i="3"/>
  <c r="G615" i="3" s="1"/>
  <c r="B616" i="3"/>
  <c r="G616" i="3" s="1"/>
  <c r="B617" i="3"/>
  <c r="G617" i="3" s="1"/>
  <c r="B618" i="3"/>
  <c r="G618" i="3" s="1"/>
  <c r="B619" i="3"/>
  <c r="G619" i="3" s="1"/>
  <c r="B620" i="3"/>
  <c r="G620" i="3" s="1"/>
  <c r="B621" i="3"/>
  <c r="G621" i="3" s="1"/>
  <c r="B622" i="3"/>
  <c r="G622" i="3" s="1"/>
  <c r="B623" i="3"/>
  <c r="G623" i="3" s="1"/>
  <c r="B624" i="3"/>
  <c r="G624" i="3" s="1"/>
  <c r="B625" i="3"/>
  <c r="G625" i="3" s="1"/>
  <c r="B626" i="3"/>
  <c r="G626" i="3" s="1"/>
  <c r="B627" i="3"/>
  <c r="G627" i="3" s="1"/>
  <c r="B628" i="3"/>
  <c r="G628" i="3" s="1"/>
  <c r="B629" i="3"/>
  <c r="G629" i="3" s="1"/>
  <c r="B630" i="3"/>
  <c r="G630" i="3" s="1"/>
  <c r="B631" i="3"/>
  <c r="G631" i="3" s="1"/>
  <c r="B632" i="3"/>
  <c r="G632" i="3" s="1"/>
  <c r="B633" i="3"/>
  <c r="G633" i="3" s="1"/>
  <c r="B634" i="3"/>
  <c r="G634" i="3" s="1"/>
  <c r="B635" i="3"/>
  <c r="G635" i="3" s="1"/>
  <c r="B636" i="3"/>
  <c r="G636" i="3" s="1"/>
  <c r="B637" i="3"/>
  <c r="G637" i="3" s="1"/>
  <c r="B638" i="3"/>
  <c r="G638" i="3" s="1"/>
  <c r="B639" i="3"/>
  <c r="G639" i="3" s="1"/>
  <c r="B640" i="3"/>
  <c r="G640" i="3" s="1"/>
  <c r="B641" i="3"/>
  <c r="G641" i="3" s="1"/>
  <c r="B642" i="3"/>
  <c r="G642" i="3" s="1"/>
  <c r="B643" i="3"/>
  <c r="G643" i="3" s="1"/>
  <c r="B644" i="3"/>
  <c r="G644" i="3" s="1"/>
  <c r="B645" i="3"/>
  <c r="G645" i="3" s="1"/>
  <c r="B646" i="3"/>
  <c r="G646" i="3" s="1"/>
  <c r="B647" i="3"/>
  <c r="G647" i="3" s="1"/>
  <c r="B648" i="3"/>
  <c r="G648" i="3" s="1"/>
  <c r="B649" i="3"/>
  <c r="G649" i="3" s="1"/>
  <c r="B650" i="3"/>
  <c r="G650" i="3" s="1"/>
  <c r="B651" i="3"/>
  <c r="G651" i="3" s="1"/>
  <c r="B652" i="3"/>
  <c r="G652" i="3" s="1"/>
  <c r="B653" i="3"/>
  <c r="G653" i="3" s="1"/>
  <c r="B654" i="3"/>
  <c r="G654" i="3" s="1"/>
  <c r="B655" i="3"/>
  <c r="G655" i="3" s="1"/>
  <c r="B656" i="3"/>
  <c r="G656" i="3" s="1"/>
  <c r="B657" i="3"/>
  <c r="G657" i="3" s="1"/>
  <c r="B658" i="3"/>
  <c r="G658" i="3" s="1"/>
  <c r="B659" i="3"/>
  <c r="G659" i="3" s="1"/>
  <c r="B660" i="3"/>
  <c r="G660" i="3" s="1"/>
  <c r="B661" i="3"/>
  <c r="G661" i="3" s="1"/>
  <c r="B662" i="3"/>
  <c r="G662" i="3" s="1"/>
  <c r="B663" i="3"/>
  <c r="G663" i="3" s="1"/>
  <c r="B664" i="3"/>
  <c r="G664" i="3" s="1"/>
  <c r="B665" i="3"/>
  <c r="G665" i="3" s="1"/>
  <c r="B666" i="3"/>
  <c r="G666" i="3" s="1"/>
  <c r="B667" i="3"/>
  <c r="G667" i="3" s="1"/>
  <c r="B668" i="3"/>
  <c r="G668" i="3" s="1"/>
  <c r="B669" i="3"/>
  <c r="G669" i="3" s="1"/>
  <c r="B670" i="3"/>
  <c r="G670" i="3" s="1"/>
  <c r="B671" i="3"/>
  <c r="G671" i="3" s="1"/>
  <c r="B672" i="3"/>
  <c r="G672" i="3" s="1"/>
  <c r="B673" i="3"/>
  <c r="G673" i="3" s="1"/>
  <c r="B674" i="3"/>
  <c r="G674" i="3" s="1"/>
  <c r="B675" i="3"/>
  <c r="G675" i="3" s="1"/>
  <c r="B676" i="3"/>
  <c r="G676" i="3" s="1"/>
  <c r="B677" i="3"/>
  <c r="G677" i="3" s="1"/>
  <c r="B678" i="3"/>
  <c r="G678" i="3" s="1"/>
  <c r="B679" i="3"/>
  <c r="G679" i="3" s="1"/>
  <c r="B680" i="3"/>
  <c r="G680" i="3" s="1"/>
  <c r="B681" i="3"/>
  <c r="G681" i="3" s="1"/>
  <c r="B682" i="3"/>
  <c r="G682" i="3" s="1"/>
  <c r="B683" i="3"/>
  <c r="G683" i="3" s="1"/>
  <c r="B684" i="3"/>
  <c r="G684" i="3" s="1"/>
  <c r="B685" i="3"/>
  <c r="G685" i="3" s="1"/>
  <c r="B686" i="3"/>
  <c r="G686" i="3" s="1"/>
  <c r="B687" i="3"/>
  <c r="G687" i="3" s="1"/>
  <c r="B688" i="3"/>
  <c r="G688" i="3" s="1"/>
  <c r="B689" i="3"/>
  <c r="G689" i="3" s="1"/>
  <c r="B690" i="3"/>
  <c r="G690" i="3" s="1"/>
  <c r="B691" i="3"/>
  <c r="G691" i="3" s="1"/>
  <c r="B692" i="3"/>
  <c r="G692" i="3" s="1"/>
  <c r="B693" i="3"/>
  <c r="G693" i="3" s="1"/>
  <c r="B694" i="3"/>
  <c r="G694" i="3" s="1"/>
  <c r="B695" i="3"/>
  <c r="G695" i="3" s="1"/>
  <c r="B696" i="3"/>
  <c r="G696" i="3" s="1"/>
  <c r="B697" i="3"/>
  <c r="G697" i="3" s="1"/>
  <c r="B698" i="3"/>
  <c r="G698" i="3" s="1"/>
  <c r="B699" i="3"/>
  <c r="G699" i="3" s="1"/>
  <c r="B700" i="3"/>
  <c r="G700" i="3" s="1"/>
  <c r="B701" i="3"/>
  <c r="G701" i="3" s="1"/>
  <c r="B702" i="3"/>
  <c r="G702" i="3" s="1"/>
  <c r="B703" i="3"/>
  <c r="G703" i="3" s="1"/>
  <c r="B704" i="3"/>
  <c r="G704" i="3" s="1"/>
  <c r="B705" i="3"/>
  <c r="G705" i="3" s="1"/>
  <c r="B706" i="3"/>
  <c r="G706" i="3" s="1"/>
  <c r="B707" i="3"/>
  <c r="G707" i="3" s="1"/>
  <c r="B708" i="3"/>
  <c r="G708" i="3" s="1"/>
  <c r="B709" i="3"/>
  <c r="G709" i="3" s="1"/>
  <c r="B710" i="3"/>
  <c r="G710" i="3" s="1"/>
  <c r="B711" i="3"/>
  <c r="G711" i="3" s="1"/>
  <c r="B712" i="3"/>
  <c r="G712" i="3" s="1"/>
  <c r="B713" i="3"/>
  <c r="G713" i="3" s="1"/>
  <c r="B714" i="3"/>
  <c r="G714" i="3" s="1"/>
  <c r="B715" i="3"/>
  <c r="G715" i="3" s="1"/>
  <c r="B716" i="3"/>
  <c r="G716" i="3" s="1"/>
  <c r="B717" i="3"/>
  <c r="G717" i="3" s="1"/>
  <c r="B718" i="3"/>
  <c r="G718" i="3" s="1"/>
  <c r="B719" i="3"/>
  <c r="G719" i="3" s="1"/>
  <c r="B720" i="3"/>
  <c r="G720" i="3" s="1"/>
  <c r="B721" i="3"/>
  <c r="G721" i="3" s="1"/>
  <c r="B722" i="3"/>
  <c r="G722" i="3" s="1"/>
  <c r="B723" i="3"/>
  <c r="G723" i="3" s="1"/>
  <c r="B724" i="3"/>
  <c r="G724" i="3" s="1"/>
  <c r="B725" i="3"/>
  <c r="G725" i="3" s="1"/>
  <c r="B726" i="3"/>
  <c r="G726" i="3" s="1"/>
  <c r="B727" i="3"/>
  <c r="G727" i="3" s="1"/>
  <c r="B728" i="3"/>
  <c r="G728" i="3" s="1"/>
  <c r="B729" i="3"/>
  <c r="G729" i="3" s="1"/>
  <c r="B730" i="3"/>
  <c r="G730" i="3" s="1"/>
  <c r="B731" i="3"/>
  <c r="G731" i="3" s="1"/>
  <c r="B732" i="3"/>
  <c r="G732" i="3" s="1"/>
  <c r="B733" i="3"/>
  <c r="G733" i="3" s="1"/>
  <c r="B734" i="3"/>
  <c r="G734" i="3" s="1"/>
  <c r="B735" i="3"/>
  <c r="G735" i="3" s="1"/>
  <c r="B736" i="3"/>
  <c r="G736" i="3" s="1"/>
  <c r="B737" i="3"/>
  <c r="G737" i="3" s="1"/>
  <c r="B738" i="3"/>
  <c r="G738" i="3" s="1"/>
  <c r="B739" i="3"/>
  <c r="G739" i="3" s="1"/>
  <c r="B740" i="3"/>
  <c r="G740" i="3" s="1"/>
  <c r="B741" i="3"/>
  <c r="G741" i="3" s="1"/>
  <c r="B742" i="3"/>
  <c r="G742" i="3" s="1"/>
  <c r="B743" i="3"/>
  <c r="G743" i="3" s="1"/>
  <c r="B744" i="3"/>
  <c r="G744" i="3" s="1"/>
  <c r="B745" i="3"/>
  <c r="G745" i="3" s="1"/>
  <c r="B746" i="3"/>
  <c r="G746" i="3" s="1"/>
  <c r="B747" i="3"/>
  <c r="G747" i="3" s="1"/>
  <c r="B748" i="3"/>
  <c r="G748" i="3" s="1"/>
  <c r="B749" i="3"/>
  <c r="G749" i="3" s="1"/>
  <c r="B750" i="3"/>
  <c r="G750" i="3" s="1"/>
  <c r="B751" i="3"/>
  <c r="G751" i="3" s="1"/>
  <c r="B752" i="3"/>
  <c r="G752" i="3" s="1"/>
  <c r="B753" i="3"/>
  <c r="G753" i="3" s="1"/>
  <c r="B754" i="3"/>
  <c r="G754" i="3" s="1"/>
  <c r="B755" i="3"/>
  <c r="G755" i="3" s="1"/>
  <c r="B756" i="3"/>
  <c r="G756" i="3" s="1"/>
  <c r="B757" i="3"/>
  <c r="G757" i="3" s="1"/>
  <c r="B758" i="3"/>
  <c r="G758" i="3" s="1"/>
  <c r="B759" i="3"/>
  <c r="G759" i="3" s="1"/>
  <c r="B760" i="3"/>
  <c r="G760" i="3" s="1"/>
  <c r="B761" i="3"/>
  <c r="G761" i="3" s="1"/>
  <c r="B762" i="3"/>
  <c r="G762" i="3" s="1"/>
  <c r="B763" i="3"/>
  <c r="G763" i="3" s="1"/>
  <c r="B764" i="3"/>
  <c r="G764" i="3" s="1"/>
  <c r="B765" i="3"/>
  <c r="G765" i="3" s="1"/>
  <c r="B766" i="3"/>
  <c r="G766" i="3" s="1"/>
  <c r="B767" i="3"/>
  <c r="G767" i="3" s="1"/>
  <c r="B768" i="3"/>
  <c r="G768" i="3" s="1"/>
  <c r="B769" i="3"/>
  <c r="G769" i="3" s="1"/>
  <c r="B770" i="3"/>
  <c r="G770" i="3" s="1"/>
  <c r="B771" i="3"/>
  <c r="G771" i="3" s="1"/>
  <c r="B772" i="3"/>
  <c r="G772" i="3" s="1"/>
  <c r="B773" i="3"/>
  <c r="G773" i="3" s="1"/>
  <c r="B774" i="3"/>
  <c r="G774" i="3" s="1"/>
  <c r="B775" i="3"/>
  <c r="G775" i="3" s="1"/>
  <c r="B776" i="3"/>
  <c r="G776" i="3" s="1"/>
  <c r="B777" i="3"/>
  <c r="G777" i="3" s="1"/>
  <c r="B778" i="3"/>
  <c r="G778" i="3" s="1"/>
  <c r="B779" i="3"/>
  <c r="G779" i="3" s="1"/>
  <c r="B780" i="3"/>
  <c r="G780" i="3" s="1"/>
  <c r="B781" i="3"/>
  <c r="G781" i="3" s="1"/>
  <c r="B782" i="3"/>
  <c r="G782" i="3" s="1"/>
  <c r="B783" i="3"/>
  <c r="G783" i="3" s="1"/>
  <c r="B784" i="3"/>
  <c r="G784" i="3" s="1"/>
  <c r="B785" i="3"/>
  <c r="G785" i="3" s="1"/>
  <c r="B786" i="3"/>
  <c r="G786" i="3" s="1"/>
  <c r="B787" i="3"/>
  <c r="G787" i="3" s="1"/>
  <c r="B788" i="3"/>
  <c r="G788" i="3" s="1"/>
  <c r="B789" i="3"/>
  <c r="G789" i="3" s="1"/>
  <c r="B790" i="3"/>
  <c r="G790" i="3" s="1"/>
  <c r="B791" i="3"/>
  <c r="G791" i="3" s="1"/>
  <c r="B792" i="3"/>
  <c r="G792" i="3" s="1"/>
  <c r="B793" i="3"/>
  <c r="G793" i="3" s="1"/>
  <c r="B794" i="3"/>
  <c r="G794" i="3" s="1"/>
  <c r="B795" i="3"/>
  <c r="G795" i="3" s="1"/>
  <c r="B796" i="3"/>
  <c r="G796" i="3" s="1"/>
  <c r="B797" i="3"/>
  <c r="G797" i="3" s="1"/>
  <c r="B798" i="3"/>
  <c r="G798" i="3" s="1"/>
  <c r="B799" i="3"/>
  <c r="G799" i="3" s="1"/>
  <c r="B800" i="3"/>
  <c r="G800" i="3" s="1"/>
  <c r="B801" i="3"/>
  <c r="G801" i="3" s="1"/>
  <c r="B802" i="3"/>
  <c r="G802" i="3" s="1"/>
  <c r="B803" i="3"/>
  <c r="G803" i="3" s="1"/>
  <c r="B804" i="3"/>
  <c r="G804" i="3" s="1"/>
  <c r="B805" i="3"/>
  <c r="G805" i="3" s="1"/>
  <c r="B806" i="3"/>
  <c r="G806" i="3" s="1"/>
  <c r="B807" i="3"/>
  <c r="G807" i="3" s="1"/>
  <c r="B808" i="3"/>
  <c r="G808" i="3" s="1"/>
  <c r="B809" i="3"/>
  <c r="G809" i="3" s="1"/>
  <c r="B810" i="3"/>
  <c r="G810" i="3" s="1"/>
  <c r="B811" i="3"/>
  <c r="G811" i="3" s="1"/>
  <c r="B812" i="3"/>
  <c r="G812" i="3" s="1"/>
  <c r="B813" i="3"/>
  <c r="G813" i="3" s="1"/>
  <c r="B814" i="3"/>
  <c r="G814" i="3" s="1"/>
  <c r="B815" i="3"/>
  <c r="G815" i="3" s="1"/>
  <c r="B816" i="3"/>
  <c r="G816" i="3" s="1"/>
  <c r="B817" i="3"/>
  <c r="G817" i="3" s="1"/>
  <c r="B818" i="3"/>
  <c r="G818" i="3" s="1"/>
  <c r="B819" i="3"/>
  <c r="G819" i="3" s="1"/>
  <c r="B820" i="3"/>
  <c r="G820" i="3" s="1"/>
  <c r="B821" i="3"/>
  <c r="G821" i="3" s="1"/>
  <c r="B822" i="3"/>
  <c r="G822" i="3" s="1"/>
  <c r="B823" i="3"/>
  <c r="G823" i="3" s="1"/>
  <c r="B824" i="3"/>
  <c r="G824" i="3" s="1"/>
  <c r="B825" i="3"/>
  <c r="G825" i="3" s="1"/>
  <c r="B826" i="3"/>
  <c r="G826" i="3" s="1"/>
  <c r="B827" i="3"/>
  <c r="G827" i="3" s="1"/>
  <c r="B828" i="3"/>
  <c r="G828" i="3" s="1"/>
  <c r="B829" i="3"/>
  <c r="G829" i="3" s="1"/>
  <c r="B830" i="3"/>
  <c r="G830" i="3" s="1"/>
  <c r="B831" i="3"/>
  <c r="G831" i="3" s="1"/>
  <c r="B832" i="3"/>
  <c r="G832" i="3" s="1"/>
  <c r="B833" i="3"/>
  <c r="G833" i="3" s="1"/>
  <c r="B834" i="3"/>
  <c r="G834" i="3" s="1"/>
  <c r="B835" i="3"/>
  <c r="G835" i="3" s="1"/>
  <c r="B836" i="3"/>
  <c r="G836" i="3" s="1"/>
  <c r="B837" i="3"/>
  <c r="G837" i="3" s="1"/>
  <c r="B838" i="3"/>
  <c r="G838" i="3" s="1"/>
  <c r="B839" i="3"/>
  <c r="G839" i="3" s="1"/>
  <c r="B840" i="3"/>
  <c r="G840" i="3" s="1"/>
  <c r="B841" i="3"/>
  <c r="G841" i="3" s="1"/>
  <c r="B842" i="3"/>
  <c r="G842" i="3" s="1"/>
  <c r="B843" i="3"/>
  <c r="G843" i="3" s="1"/>
  <c r="B844" i="3"/>
  <c r="G844" i="3" s="1"/>
  <c r="B845" i="3"/>
  <c r="G845" i="3" s="1"/>
  <c r="B846" i="3"/>
  <c r="G846" i="3" s="1"/>
  <c r="B847" i="3"/>
  <c r="G847" i="3" s="1"/>
  <c r="B848" i="3"/>
  <c r="G848" i="3" s="1"/>
  <c r="B849" i="3"/>
  <c r="G849" i="3" s="1"/>
  <c r="B850" i="3"/>
  <c r="G850" i="3" s="1"/>
  <c r="B851" i="3"/>
  <c r="G851" i="3" s="1"/>
  <c r="B852" i="3"/>
  <c r="G852" i="3" s="1"/>
  <c r="B853" i="3"/>
  <c r="G853" i="3" s="1"/>
  <c r="B854" i="3"/>
  <c r="G854" i="3" s="1"/>
  <c r="B855" i="3"/>
  <c r="G855" i="3" s="1"/>
  <c r="B856" i="3"/>
  <c r="G856" i="3" s="1"/>
  <c r="B857" i="3"/>
  <c r="G857" i="3" s="1"/>
  <c r="B858" i="3"/>
  <c r="G858" i="3" s="1"/>
  <c r="B859" i="3"/>
  <c r="G859" i="3" s="1"/>
  <c r="B860" i="3"/>
  <c r="G860" i="3" s="1"/>
  <c r="B861" i="3"/>
  <c r="G861" i="3" s="1"/>
  <c r="B862" i="3"/>
  <c r="G862" i="3" s="1"/>
  <c r="B863" i="3"/>
  <c r="G863" i="3" s="1"/>
  <c r="B864" i="3"/>
  <c r="G864" i="3" s="1"/>
  <c r="B865" i="3"/>
  <c r="G865" i="3" s="1"/>
  <c r="B866" i="3"/>
  <c r="G866" i="3" s="1"/>
  <c r="B867" i="3"/>
  <c r="G867" i="3" s="1"/>
  <c r="B868" i="3"/>
  <c r="G868" i="3" s="1"/>
  <c r="B869" i="3"/>
  <c r="G869" i="3" s="1"/>
  <c r="B870" i="3"/>
  <c r="G870" i="3" s="1"/>
  <c r="B871" i="3"/>
  <c r="G871" i="3" s="1"/>
  <c r="B872" i="3"/>
  <c r="G872" i="3" s="1"/>
  <c r="B873" i="3"/>
  <c r="G873" i="3" s="1"/>
  <c r="B874" i="3"/>
  <c r="G874" i="3" s="1"/>
  <c r="B875" i="3"/>
  <c r="G875" i="3" s="1"/>
  <c r="B876" i="3"/>
  <c r="G876" i="3" s="1"/>
  <c r="B877" i="3"/>
  <c r="G877" i="3" s="1"/>
  <c r="B878" i="3"/>
  <c r="G878" i="3" s="1"/>
  <c r="B879" i="3"/>
  <c r="G879" i="3" s="1"/>
  <c r="B880" i="3"/>
  <c r="G880" i="3" s="1"/>
  <c r="B881" i="3"/>
  <c r="G881" i="3" s="1"/>
  <c r="B882" i="3"/>
  <c r="G882" i="3" s="1"/>
  <c r="B883" i="3"/>
  <c r="G883" i="3" s="1"/>
  <c r="B884" i="3"/>
  <c r="G884" i="3" s="1"/>
  <c r="B885" i="3"/>
  <c r="G885" i="3" s="1"/>
  <c r="B886" i="3"/>
  <c r="G886" i="3" s="1"/>
  <c r="B887" i="3"/>
  <c r="G887" i="3" s="1"/>
  <c r="B888" i="3"/>
  <c r="G888" i="3" s="1"/>
  <c r="B889" i="3"/>
  <c r="G889" i="3" s="1"/>
  <c r="B890" i="3"/>
  <c r="G890" i="3" s="1"/>
  <c r="B891" i="3"/>
  <c r="G891" i="3" s="1"/>
  <c r="B892" i="3"/>
  <c r="G892" i="3" s="1"/>
  <c r="B893" i="3"/>
  <c r="G893" i="3" s="1"/>
  <c r="B894" i="3"/>
  <c r="G894" i="3" s="1"/>
  <c r="B895" i="3"/>
  <c r="G895" i="3" s="1"/>
  <c r="B896" i="3"/>
  <c r="G896" i="3" s="1"/>
  <c r="B897" i="3"/>
  <c r="G897" i="3" s="1"/>
  <c r="B898" i="3"/>
  <c r="G898" i="3" s="1"/>
  <c r="B899" i="3"/>
  <c r="G899" i="3" s="1"/>
  <c r="B900" i="3"/>
  <c r="G900" i="3" s="1"/>
  <c r="B901" i="3"/>
  <c r="G901" i="3" s="1"/>
  <c r="B902" i="3"/>
  <c r="G902" i="3" s="1"/>
  <c r="B903" i="3"/>
  <c r="G903" i="3" s="1"/>
  <c r="B904" i="3"/>
  <c r="G904" i="3" s="1"/>
  <c r="B905" i="3"/>
  <c r="G905" i="3" s="1"/>
  <c r="B906" i="3"/>
  <c r="G906" i="3" s="1"/>
  <c r="B907" i="3"/>
  <c r="G907" i="3" s="1"/>
  <c r="B908" i="3"/>
  <c r="G908" i="3" s="1"/>
  <c r="B909" i="3"/>
  <c r="G909" i="3" s="1"/>
  <c r="B910" i="3"/>
  <c r="G910" i="3" s="1"/>
  <c r="B911" i="3"/>
  <c r="G911" i="3" s="1"/>
  <c r="B912" i="3"/>
  <c r="G912" i="3" s="1"/>
  <c r="B913" i="3"/>
  <c r="G913" i="3" s="1"/>
  <c r="B914" i="3"/>
  <c r="G914" i="3" s="1"/>
  <c r="B915" i="3"/>
  <c r="G915" i="3" s="1"/>
  <c r="B916" i="3"/>
  <c r="G916" i="3" s="1"/>
  <c r="B917" i="3"/>
  <c r="G917" i="3" s="1"/>
  <c r="B918" i="3"/>
  <c r="G918" i="3" s="1"/>
  <c r="B919" i="3"/>
  <c r="G919" i="3" s="1"/>
  <c r="B920" i="3"/>
  <c r="G920" i="3" s="1"/>
  <c r="B921" i="3"/>
  <c r="G921" i="3" s="1"/>
  <c r="B922" i="3"/>
  <c r="G922" i="3" s="1"/>
  <c r="B923" i="3"/>
  <c r="G923" i="3" s="1"/>
  <c r="B924" i="3"/>
  <c r="G924" i="3" s="1"/>
  <c r="B925" i="3"/>
  <c r="G925" i="3" s="1"/>
  <c r="B926" i="3"/>
  <c r="G926" i="3" s="1"/>
  <c r="B927" i="3"/>
  <c r="G927" i="3" s="1"/>
  <c r="B928" i="3"/>
  <c r="G928" i="3" s="1"/>
  <c r="B929" i="3"/>
  <c r="G929" i="3" s="1"/>
  <c r="B930" i="3"/>
  <c r="G930" i="3" s="1"/>
  <c r="B931" i="3"/>
  <c r="G931" i="3" s="1"/>
  <c r="B932" i="3"/>
  <c r="G932" i="3" s="1"/>
  <c r="B933" i="3"/>
  <c r="G933" i="3" s="1"/>
  <c r="B934" i="3"/>
  <c r="G934" i="3" s="1"/>
  <c r="B935" i="3"/>
  <c r="G935" i="3" s="1"/>
  <c r="B936" i="3"/>
  <c r="G936" i="3" s="1"/>
  <c r="B937" i="3"/>
  <c r="G937" i="3" s="1"/>
  <c r="B938" i="3"/>
  <c r="G938" i="3" s="1"/>
  <c r="B939" i="3"/>
  <c r="G939" i="3" s="1"/>
  <c r="B940" i="3"/>
  <c r="G940" i="3" s="1"/>
  <c r="B941" i="3"/>
  <c r="G941" i="3" s="1"/>
  <c r="B942" i="3"/>
  <c r="G942" i="3" s="1"/>
  <c r="B943" i="3"/>
  <c r="G943" i="3" s="1"/>
  <c r="B944" i="3"/>
  <c r="G944" i="3" s="1"/>
  <c r="B945" i="3"/>
  <c r="G945" i="3" s="1"/>
  <c r="B946" i="3"/>
  <c r="G946" i="3" s="1"/>
  <c r="B947" i="3"/>
  <c r="G947" i="3" s="1"/>
  <c r="B948" i="3"/>
  <c r="G948" i="3" s="1"/>
  <c r="B949" i="3"/>
  <c r="G949" i="3" s="1"/>
  <c r="B950" i="3"/>
  <c r="G950" i="3" s="1"/>
  <c r="B951" i="3"/>
  <c r="G951" i="3" s="1"/>
  <c r="B952" i="3"/>
  <c r="G952" i="3" s="1"/>
  <c r="B953" i="3"/>
  <c r="G953" i="3" s="1"/>
  <c r="B954" i="3"/>
  <c r="G954" i="3" s="1"/>
  <c r="B955" i="3"/>
  <c r="G955" i="3" s="1"/>
  <c r="B956" i="3"/>
  <c r="G956" i="3" s="1"/>
  <c r="B957" i="3"/>
  <c r="G957" i="3" s="1"/>
  <c r="B958" i="3"/>
  <c r="G958" i="3" s="1"/>
  <c r="B959" i="3"/>
  <c r="G959" i="3" s="1"/>
  <c r="B960" i="3"/>
  <c r="G960" i="3" s="1"/>
  <c r="B961" i="3"/>
  <c r="G961" i="3" s="1"/>
  <c r="B962" i="3"/>
  <c r="G962" i="3" s="1"/>
  <c r="B963" i="3"/>
  <c r="G963" i="3" s="1"/>
  <c r="B964" i="3"/>
  <c r="G964" i="3" s="1"/>
  <c r="B965" i="3"/>
  <c r="G965" i="3" s="1"/>
  <c r="B966" i="3"/>
  <c r="G966" i="3" s="1"/>
  <c r="B967" i="3"/>
  <c r="G967" i="3" s="1"/>
  <c r="B968" i="3"/>
  <c r="G968" i="3" s="1"/>
  <c r="B969" i="3"/>
  <c r="G969" i="3" s="1"/>
  <c r="B970" i="3"/>
  <c r="G970" i="3" s="1"/>
  <c r="B971" i="3"/>
  <c r="G971" i="3" s="1"/>
  <c r="B972" i="3"/>
  <c r="G972" i="3" s="1"/>
  <c r="B973" i="3"/>
  <c r="G973" i="3" s="1"/>
  <c r="B974" i="3"/>
  <c r="G974" i="3" s="1"/>
  <c r="B975" i="3"/>
  <c r="G975" i="3" s="1"/>
  <c r="B976" i="3"/>
  <c r="G976" i="3" s="1"/>
  <c r="B977" i="3"/>
  <c r="G977" i="3" s="1"/>
  <c r="B978" i="3"/>
  <c r="G978" i="3" s="1"/>
  <c r="B979" i="3"/>
  <c r="G979" i="3" s="1"/>
  <c r="B980" i="3"/>
  <c r="G980" i="3" s="1"/>
  <c r="B981" i="3"/>
  <c r="G981" i="3" s="1"/>
  <c r="B982" i="3"/>
  <c r="G982" i="3" s="1"/>
  <c r="B983" i="3"/>
  <c r="G983" i="3" s="1"/>
  <c r="B984" i="3"/>
  <c r="G984" i="3" s="1"/>
  <c r="B985" i="3"/>
  <c r="G985" i="3" s="1"/>
  <c r="B986" i="3"/>
  <c r="G986" i="3" s="1"/>
  <c r="B987" i="3"/>
  <c r="G987" i="3" s="1"/>
  <c r="B988" i="3"/>
  <c r="G988" i="3" s="1"/>
  <c r="B989" i="3"/>
  <c r="G989" i="3" s="1"/>
  <c r="B990" i="3"/>
  <c r="G990" i="3" s="1"/>
  <c r="B991" i="3"/>
  <c r="G991" i="3" s="1"/>
  <c r="B992" i="3"/>
  <c r="G992" i="3" s="1"/>
  <c r="B993" i="3"/>
  <c r="G993" i="3" s="1"/>
  <c r="B994" i="3"/>
  <c r="G994" i="3" s="1"/>
  <c r="B995" i="3"/>
  <c r="G995" i="3" s="1"/>
  <c r="B996" i="3"/>
  <c r="G996" i="3" s="1"/>
  <c r="B997" i="3"/>
  <c r="G997" i="3" s="1"/>
  <c r="B998" i="3"/>
  <c r="G998" i="3" s="1"/>
  <c r="B999" i="3"/>
  <c r="G999" i="3" s="1"/>
  <c r="B1000" i="3"/>
  <c r="G1000" i="3" s="1"/>
  <c r="B1001" i="3"/>
  <c r="G1001" i="3" s="1"/>
  <c r="B1002" i="3"/>
  <c r="G1002" i="3" s="1"/>
  <c r="B1003" i="3"/>
  <c r="G1003" i="3" s="1"/>
  <c r="B1004" i="3"/>
  <c r="G1004" i="3" s="1"/>
  <c r="B1005" i="3"/>
  <c r="G1005" i="3" s="1"/>
  <c r="B1006" i="3"/>
  <c r="G1006" i="3" s="1"/>
  <c r="B1007" i="3"/>
  <c r="G1007" i="3" s="1"/>
  <c r="B1008" i="3"/>
  <c r="G1008" i="3" s="1"/>
  <c r="B1009" i="3"/>
  <c r="G1009" i="3" s="1"/>
  <c r="B1010" i="3"/>
  <c r="G1010" i="3" s="1"/>
  <c r="B1011" i="3"/>
  <c r="G1011" i="3" s="1"/>
  <c r="B1012" i="3"/>
  <c r="G1012" i="3" s="1"/>
  <c r="B1013" i="3"/>
  <c r="G1013" i="3" s="1"/>
  <c r="B1014" i="3"/>
  <c r="G1014" i="3" s="1"/>
  <c r="B1015" i="3"/>
  <c r="G1015" i="3" s="1"/>
  <c r="B1016" i="3"/>
  <c r="G1016" i="3" s="1"/>
  <c r="B1017" i="3"/>
  <c r="G1017" i="3" s="1"/>
  <c r="B1018" i="3"/>
  <c r="G1018" i="3" s="1"/>
  <c r="B1019" i="3"/>
  <c r="G1019" i="3" s="1"/>
  <c r="B1020" i="3"/>
  <c r="G1020" i="3" s="1"/>
  <c r="B1021" i="3"/>
  <c r="G1021" i="3" s="1"/>
  <c r="B1022" i="3"/>
  <c r="G1022" i="3" s="1"/>
  <c r="B1023" i="3"/>
  <c r="G1023" i="3" s="1"/>
  <c r="B1024" i="3"/>
  <c r="G1024" i="3" s="1"/>
  <c r="B1025" i="3"/>
  <c r="G1025" i="3" s="1"/>
  <c r="B1026" i="3"/>
  <c r="G1026" i="3" s="1"/>
  <c r="B1027" i="3"/>
  <c r="G1027" i="3" s="1"/>
  <c r="B1028" i="3"/>
  <c r="G1028" i="3" s="1"/>
  <c r="B1029" i="3"/>
  <c r="G1029" i="3" s="1"/>
  <c r="B1030" i="3"/>
  <c r="G1030" i="3" s="1"/>
  <c r="B1031" i="3"/>
  <c r="G1031" i="3" s="1"/>
  <c r="B1032" i="3"/>
  <c r="G1032" i="3" s="1"/>
  <c r="B1033" i="3"/>
  <c r="G1033" i="3" s="1"/>
  <c r="B1034" i="3"/>
  <c r="G1034" i="3" s="1"/>
  <c r="B1035" i="3"/>
  <c r="G1035" i="3" s="1"/>
  <c r="B1036" i="3"/>
  <c r="G1036" i="3" s="1"/>
  <c r="B1037" i="3"/>
  <c r="G1037" i="3" s="1"/>
  <c r="B1038" i="3"/>
  <c r="G1038" i="3" s="1"/>
  <c r="B1039" i="3"/>
  <c r="G1039" i="3" s="1"/>
  <c r="B1040" i="3"/>
  <c r="G1040" i="3" s="1"/>
  <c r="B1041" i="3"/>
  <c r="G1041" i="3" s="1"/>
  <c r="B1042" i="3"/>
  <c r="G1042" i="3" s="1"/>
  <c r="B1043" i="3"/>
  <c r="G1043" i="3" s="1"/>
  <c r="B1044" i="3"/>
  <c r="G1044" i="3" s="1"/>
  <c r="B1045" i="3"/>
  <c r="G1045" i="3" s="1"/>
  <c r="B1046" i="3"/>
  <c r="G1046" i="3" s="1"/>
  <c r="B1047" i="3"/>
  <c r="G1047" i="3" s="1"/>
  <c r="B1048" i="3"/>
  <c r="G1048" i="3" s="1"/>
  <c r="B1049" i="3"/>
  <c r="G1049" i="3" s="1"/>
  <c r="B1050" i="3"/>
  <c r="G1050" i="3" s="1"/>
  <c r="B1051" i="3"/>
  <c r="G1051" i="3" s="1"/>
  <c r="B1052" i="3"/>
  <c r="G1052" i="3" s="1"/>
  <c r="B1053" i="3"/>
  <c r="G1053" i="3" s="1"/>
  <c r="B1054" i="3"/>
  <c r="G1054" i="3" s="1"/>
  <c r="B1055" i="3"/>
  <c r="G1055" i="3" s="1"/>
  <c r="B1056" i="3"/>
  <c r="G1056" i="3" s="1"/>
  <c r="B1057" i="3"/>
  <c r="G1057" i="3" s="1"/>
  <c r="B1058" i="3"/>
  <c r="G1058" i="3" s="1"/>
  <c r="B1059" i="3"/>
  <c r="G1059" i="3" s="1"/>
  <c r="B1060" i="3"/>
  <c r="G1060" i="3" s="1"/>
  <c r="B1061" i="3"/>
  <c r="G1061" i="3" s="1"/>
  <c r="B1062" i="3"/>
  <c r="G1062" i="3" s="1"/>
  <c r="B1063" i="3"/>
  <c r="G1063" i="3" s="1"/>
  <c r="B1064" i="3"/>
  <c r="G1064" i="3" s="1"/>
  <c r="B1065" i="3"/>
  <c r="G1065" i="3" s="1"/>
  <c r="B1066" i="3"/>
  <c r="G1066" i="3" s="1"/>
  <c r="B1067" i="3"/>
  <c r="G1067" i="3" s="1"/>
  <c r="B1068" i="3"/>
  <c r="G1068" i="3" s="1"/>
  <c r="B1069" i="3"/>
  <c r="G1069" i="3" s="1"/>
  <c r="B1070" i="3"/>
  <c r="G1070" i="3" s="1"/>
  <c r="B1071" i="3"/>
  <c r="G1071" i="3" s="1"/>
  <c r="B1072" i="3"/>
  <c r="G1072" i="3" s="1"/>
  <c r="B1073" i="3"/>
  <c r="G1073" i="3" s="1"/>
  <c r="B1074" i="3"/>
  <c r="G1074" i="3" s="1"/>
  <c r="B1075" i="3"/>
  <c r="G1075" i="3" s="1"/>
  <c r="B1076" i="3"/>
  <c r="G1076" i="3" s="1"/>
  <c r="B1077" i="3"/>
  <c r="G1077" i="3" s="1"/>
  <c r="B1078" i="3"/>
  <c r="G1078" i="3" s="1"/>
  <c r="B1079" i="3"/>
  <c r="G1079" i="3" s="1"/>
  <c r="B1080" i="3"/>
  <c r="G1080" i="3" s="1"/>
  <c r="B1081" i="3"/>
  <c r="G1081" i="3" s="1"/>
  <c r="B1082" i="3"/>
  <c r="G1082" i="3" s="1"/>
  <c r="B1083" i="3"/>
  <c r="G1083" i="3" s="1"/>
  <c r="B1084" i="3"/>
  <c r="G1084" i="3" s="1"/>
  <c r="B1085" i="3"/>
  <c r="G1085" i="3" s="1"/>
  <c r="B1086" i="3"/>
  <c r="G1086" i="3" s="1"/>
  <c r="B1087" i="3"/>
  <c r="G1087" i="3" s="1"/>
  <c r="B1088" i="3"/>
  <c r="G1088" i="3" s="1"/>
  <c r="B1089" i="3"/>
  <c r="G1089" i="3" s="1"/>
  <c r="B1090" i="3"/>
  <c r="G1090" i="3" s="1"/>
  <c r="B1091" i="3"/>
  <c r="G1091" i="3" s="1"/>
  <c r="B1092" i="3"/>
  <c r="G1092" i="3" s="1"/>
  <c r="B1093" i="3"/>
  <c r="G1093" i="3" s="1"/>
  <c r="B1094" i="3"/>
  <c r="G1094" i="3" s="1"/>
  <c r="B1095" i="3"/>
  <c r="G1095" i="3" s="1"/>
  <c r="B1096" i="3"/>
  <c r="G1096" i="3" s="1"/>
  <c r="B1097" i="3"/>
  <c r="G1097" i="3" s="1"/>
  <c r="B1098" i="3"/>
  <c r="G1098" i="3" s="1"/>
  <c r="B1099" i="3"/>
  <c r="G1099" i="3" s="1"/>
  <c r="B1100" i="3"/>
  <c r="G1100" i="3" s="1"/>
  <c r="B1101" i="3"/>
  <c r="G1101" i="3" s="1"/>
  <c r="B1102" i="3"/>
  <c r="G1102" i="3" s="1"/>
  <c r="B1103" i="3"/>
  <c r="G1103" i="3" s="1"/>
  <c r="B1104" i="3"/>
  <c r="G1104" i="3" s="1"/>
  <c r="B1105" i="3"/>
  <c r="G1105" i="3" s="1"/>
  <c r="B1106" i="3"/>
  <c r="G1106" i="3" s="1"/>
  <c r="B1107" i="3"/>
  <c r="G1107" i="3" s="1"/>
  <c r="B1108" i="3"/>
  <c r="G1108" i="3" s="1"/>
  <c r="B1109" i="3"/>
  <c r="G1109" i="3" s="1"/>
  <c r="B1110" i="3"/>
  <c r="G1110" i="3" s="1"/>
  <c r="B1111" i="3"/>
  <c r="G1111" i="3" s="1"/>
  <c r="B1112" i="3"/>
  <c r="G1112" i="3" s="1"/>
  <c r="B1113" i="3"/>
  <c r="G1113" i="3" s="1"/>
  <c r="B1114" i="3"/>
  <c r="G1114" i="3" s="1"/>
  <c r="B1115" i="3"/>
  <c r="G1115" i="3" s="1"/>
  <c r="B1116" i="3"/>
  <c r="G1116" i="3" s="1"/>
  <c r="B1117" i="3"/>
  <c r="G1117" i="3" s="1"/>
  <c r="B1118" i="3"/>
  <c r="G1118" i="3" s="1"/>
  <c r="B1119" i="3"/>
  <c r="G1119" i="3" s="1"/>
  <c r="B1120" i="3"/>
  <c r="G1120" i="3" s="1"/>
  <c r="B1121" i="3"/>
  <c r="G1121" i="3" s="1"/>
  <c r="B1122" i="3"/>
  <c r="G1122" i="3" s="1"/>
  <c r="B1123" i="3"/>
  <c r="G1123" i="3" s="1"/>
  <c r="B1124" i="3"/>
  <c r="G1124" i="3" s="1"/>
  <c r="B1125" i="3"/>
  <c r="G1125" i="3" s="1"/>
  <c r="B1126" i="3"/>
  <c r="G1126" i="3" s="1"/>
  <c r="B1127" i="3"/>
  <c r="G1127" i="3" s="1"/>
  <c r="B1128" i="3"/>
  <c r="G1128" i="3" s="1"/>
  <c r="B1129" i="3"/>
  <c r="G1129" i="3" s="1"/>
  <c r="B1130" i="3"/>
  <c r="G1130" i="3" s="1"/>
  <c r="B1131" i="3"/>
  <c r="G1131" i="3" s="1"/>
  <c r="B1132" i="3"/>
  <c r="G1132" i="3" s="1"/>
  <c r="B1133" i="3"/>
  <c r="G1133" i="3" s="1"/>
  <c r="B1134" i="3"/>
  <c r="G1134" i="3" s="1"/>
  <c r="B1135" i="3"/>
  <c r="G1135" i="3" s="1"/>
  <c r="B1136" i="3"/>
  <c r="G1136" i="3" s="1"/>
  <c r="B1137" i="3"/>
  <c r="G1137" i="3" s="1"/>
  <c r="B1138" i="3"/>
  <c r="G1138" i="3" s="1"/>
  <c r="B1139" i="3"/>
  <c r="G1139" i="3" s="1"/>
  <c r="B1140" i="3"/>
  <c r="G1140" i="3" s="1"/>
  <c r="B1141" i="3"/>
  <c r="G1141" i="3" s="1"/>
  <c r="B1142" i="3"/>
  <c r="G1142" i="3" s="1"/>
  <c r="B1143" i="3"/>
  <c r="G1143" i="3" s="1"/>
  <c r="B1144" i="3"/>
  <c r="G1144" i="3" s="1"/>
  <c r="B1145" i="3"/>
  <c r="G1145" i="3" s="1"/>
  <c r="B1146" i="3"/>
  <c r="G1146" i="3" s="1"/>
  <c r="B1147" i="3"/>
  <c r="G1147" i="3" s="1"/>
  <c r="B1148" i="3"/>
  <c r="G1148" i="3" s="1"/>
  <c r="B1149" i="3"/>
  <c r="G1149" i="3" s="1"/>
  <c r="B1150" i="3"/>
  <c r="G1150" i="3" s="1"/>
  <c r="B1151" i="3"/>
  <c r="G1151" i="3" s="1"/>
  <c r="B1152" i="3"/>
  <c r="G1152" i="3" s="1"/>
  <c r="B1153" i="3"/>
  <c r="G1153" i="3" s="1"/>
  <c r="B1154" i="3"/>
  <c r="G1154" i="3" s="1"/>
  <c r="B1155" i="3"/>
  <c r="G1155" i="3" s="1"/>
  <c r="B1156" i="3"/>
  <c r="G1156" i="3" s="1"/>
  <c r="B1157" i="3"/>
  <c r="G1157" i="3" s="1"/>
  <c r="B1158" i="3"/>
  <c r="G1158" i="3" s="1"/>
  <c r="B1159" i="3"/>
  <c r="G1159" i="3" s="1"/>
  <c r="B1160" i="3"/>
  <c r="G1160" i="3" s="1"/>
  <c r="B1161" i="3"/>
  <c r="G1161" i="3" s="1"/>
  <c r="B1162" i="3"/>
  <c r="G1162" i="3" s="1"/>
  <c r="B1163" i="3"/>
  <c r="G1163" i="3" s="1"/>
  <c r="B1164" i="3"/>
  <c r="G1164" i="3" s="1"/>
  <c r="B1165" i="3"/>
  <c r="G1165" i="3" s="1"/>
  <c r="B1166" i="3"/>
  <c r="G1166" i="3" s="1"/>
  <c r="B1167" i="3"/>
  <c r="G1167" i="3" s="1"/>
  <c r="B1168" i="3"/>
  <c r="G1168" i="3" s="1"/>
  <c r="B1169" i="3"/>
  <c r="G1169" i="3" s="1"/>
  <c r="B1170" i="3"/>
  <c r="G1170" i="3" s="1"/>
  <c r="B1171" i="3"/>
  <c r="G1171" i="3" s="1"/>
  <c r="B1172" i="3"/>
  <c r="G1172" i="3" s="1"/>
  <c r="B1173" i="3"/>
  <c r="G1173" i="3" s="1"/>
  <c r="B1174" i="3"/>
  <c r="G1174" i="3" s="1"/>
  <c r="B1175" i="3"/>
  <c r="G1175" i="3" s="1"/>
  <c r="B1176" i="3"/>
  <c r="G1176" i="3" s="1"/>
  <c r="B1177" i="3"/>
  <c r="G1177" i="3" s="1"/>
  <c r="B1178" i="3"/>
  <c r="G1178" i="3" s="1"/>
  <c r="B1179" i="3"/>
  <c r="G1179" i="3" s="1"/>
  <c r="B1180" i="3"/>
  <c r="G1180" i="3" s="1"/>
  <c r="B1181" i="3"/>
  <c r="G1181" i="3" s="1"/>
  <c r="B1182" i="3"/>
  <c r="G1182" i="3" s="1"/>
  <c r="B1183" i="3"/>
  <c r="G1183" i="3" s="1"/>
  <c r="B1184" i="3"/>
  <c r="G1184" i="3" s="1"/>
  <c r="B1185" i="3"/>
  <c r="G1185" i="3" s="1"/>
  <c r="B1186" i="3"/>
  <c r="G1186" i="3" s="1"/>
  <c r="B1187" i="3"/>
  <c r="G1187" i="3" s="1"/>
  <c r="B1188" i="3"/>
  <c r="G1188" i="3" s="1"/>
  <c r="B1189" i="3"/>
  <c r="G1189" i="3" s="1"/>
  <c r="B1190" i="3"/>
  <c r="G1190" i="3" s="1"/>
  <c r="B1191" i="3"/>
  <c r="G1191" i="3" s="1"/>
  <c r="B1192" i="3"/>
  <c r="G1192" i="3" s="1"/>
  <c r="B1193" i="3"/>
  <c r="G1193" i="3" s="1"/>
  <c r="B1194" i="3"/>
  <c r="G1194" i="3" s="1"/>
  <c r="B1195" i="3"/>
  <c r="G1195" i="3" s="1"/>
  <c r="B1196" i="3"/>
  <c r="G1196" i="3" s="1"/>
  <c r="B1197" i="3"/>
  <c r="G1197" i="3" s="1"/>
  <c r="B1198" i="3"/>
  <c r="G1198" i="3" s="1"/>
  <c r="B1199" i="3"/>
  <c r="G1199" i="3" s="1"/>
  <c r="B1200" i="3"/>
  <c r="G1200" i="3" s="1"/>
  <c r="B1201" i="3"/>
  <c r="G1201" i="3" s="1"/>
  <c r="B1202" i="3"/>
  <c r="G1202" i="3" s="1"/>
  <c r="B1203" i="3"/>
  <c r="G1203" i="3" s="1"/>
  <c r="B1204" i="3"/>
  <c r="G1204" i="3" s="1"/>
  <c r="B1205" i="3"/>
  <c r="G1205" i="3" s="1"/>
  <c r="B1206" i="3"/>
  <c r="G1206" i="3" s="1"/>
  <c r="B1207" i="3"/>
  <c r="G1207" i="3" s="1"/>
  <c r="B1208" i="3"/>
  <c r="G1208" i="3" s="1"/>
  <c r="B1209" i="3"/>
  <c r="G1209" i="3" s="1"/>
  <c r="B1210" i="3"/>
  <c r="G1210" i="3" s="1"/>
  <c r="B1211" i="3"/>
  <c r="G1211" i="3" s="1"/>
  <c r="B1212" i="3"/>
  <c r="G1212" i="3" s="1"/>
  <c r="B1213" i="3"/>
  <c r="G1213" i="3" s="1"/>
  <c r="B1214" i="3"/>
  <c r="G1214" i="3" s="1"/>
  <c r="B1215" i="3"/>
  <c r="G1215" i="3" s="1"/>
  <c r="B1216" i="3"/>
  <c r="G1216" i="3" s="1"/>
  <c r="B1217" i="3"/>
  <c r="G1217" i="3" s="1"/>
  <c r="B1218" i="3"/>
  <c r="G1218" i="3" s="1"/>
  <c r="B1219" i="3"/>
  <c r="G1219" i="3" s="1"/>
  <c r="B1220" i="3"/>
  <c r="G1220" i="3" s="1"/>
  <c r="B1221" i="3"/>
  <c r="G1221" i="3" s="1"/>
  <c r="B1222" i="3"/>
  <c r="G1222" i="3" s="1"/>
  <c r="B1223" i="3"/>
  <c r="G1223" i="3" s="1"/>
  <c r="B1224" i="3"/>
  <c r="G1224" i="3" s="1"/>
  <c r="B1225" i="3"/>
  <c r="G1225" i="3" s="1"/>
  <c r="B1226" i="3"/>
  <c r="G1226" i="3" s="1"/>
  <c r="B1227" i="3"/>
  <c r="G1227" i="3" s="1"/>
  <c r="B1228" i="3"/>
  <c r="G1228" i="3" s="1"/>
  <c r="B1229" i="3"/>
  <c r="G1229" i="3" s="1"/>
  <c r="B1230" i="3"/>
  <c r="G1230" i="3" s="1"/>
  <c r="B1231" i="3"/>
  <c r="G1231" i="3" s="1"/>
  <c r="B1232" i="3"/>
  <c r="G1232" i="3" s="1"/>
  <c r="B1233" i="3"/>
  <c r="G1233" i="3" s="1"/>
  <c r="B1234" i="3"/>
  <c r="G1234" i="3" s="1"/>
  <c r="B1235" i="3"/>
  <c r="G1235" i="3" s="1"/>
  <c r="B1236" i="3"/>
  <c r="G1236" i="3" s="1"/>
  <c r="B1237" i="3"/>
  <c r="G1237" i="3" s="1"/>
  <c r="B1238" i="3"/>
  <c r="G1238" i="3" s="1"/>
  <c r="B1239" i="3"/>
  <c r="G1239" i="3" s="1"/>
  <c r="B1240" i="3"/>
  <c r="G1240" i="3" s="1"/>
  <c r="B1241" i="3"/>
  <c r="G1241" i="3" s="1"/>
  <c r="B1242" i="3"/>
  <c r="G1242" i="3" s="1"/>
  <c r="B1243" i="3"/>
  <c r="G1243" i="3" s="1"/>
  <c r="B1244" i="3"/>
  <c r="G1244" i="3" s="1"/>
  <c r="B1245" i="3"/>
  <c r="G1245" i="3" s="1"/>
  <c r="B1246" i="3"/>
  <c r="G1246" i="3" s="1"/>
  <c r="B1247" i="3"/>
  <c r="G1247" i="3" s="1"/>
  <c r="B1248" i="3"/>
  <c r="G1248" i="3" s="1"/>
  <c r="B1249" i="3"/>
  <c r="G1249" i="3" s="1"/>
  <c r="B1250" i="3"/>
  <c r="G1250" i="3" s="1"/>
  <c r="B1251" i="3"/>
  <c r="G1251" i="3" s="1"/>
  <c r="B1252" i="3"/>
  <c r="G1252" i="3" s="1"/>
  <c r="B1253" i="3"/>
  <c r="G1253" i="3" s="1"/>
  <c r="B1254" i="3"/>
  <c r="G1254" i="3" s="1"/>
  <c r="B1255" i="3"/>
  <c r="G1255" i="3" s="1"/>
  <c r="B1256" i="3"/>
  <c r="G1256" i="3" s="1"/>
  <c r="B1257" i="3"/>
  <c r="G1257" i="3" s="1"/>
  <c r="B1258" i="3"/>
  <c r="G1258" i="3" s="1"/>
  <c r="B1259" i="3"/>
  <c r="G1259" i="3" s="1"/>
  <c r="B1260" i="3"/>
  <c r="G1260" i="3" s="1"/>
  <c r="B1261" i="3"/>
  <c r="G1261" i="3" s="1"/>
  <c r="B1262" i="3"/>
  <c r="G1262" i="3" s="1"/>
  <c r="B1263" i="3"/>
  <c r="G1263" i="3" s="1"/>
  <c r="B1264" i="3"/>
  <c r="G1264" i="3" s="1"/>
  <c r="B1265" i="3"/>
  <c r="G1265" i="3" s="1"/>
  <c r="B1266" i="3"/>
  <c r="G1266" i="3" s="1"/>
  <c r="B1267" i="3"/>
  <c r="G1267" i="3" s="1"/>
  <c r="B1268" i="3"/>
  <c r="G1268" i="3" s="1"/>
  <c r="B1269" i="3"/>
  <c r="G1269" i="3" s="1"/>
  <c r="B1270" i="3"/>
  <c r="G1270" i="3" s="1"/>
  <c r="B1271" i="3"/>
  <c r="G1271" i="3" s="1"/>
  <c r="B1272" i="3"/>
  <c r="G1272" i="3" s="1"/>
  <c r="B1273" i="3"/>
  <c r="G1273" i="3" s="1"/>
  <c r="B1274" i="3"/>
  <c r="G1274" i="3" s="1"/>
  <c r="B1275" i="3"/>
  <c r="G1275" i="3" s="1"/>
  <c r="B1276" i="3"/>
  <c r="G1276" i="3" s="1"/>
  <c r="B1277" i="3"/>
  <c r="G1277" i="3" s="1"/>
  <c r="B1278" i="3"/>
  <c r="G1278" i="3" s="1"/>
  <c r="B1279" i="3"/>
  <c r="G1279" i="3" s="1"/>
  <c r="B1280" i="3"/>
  <c r="G1280" i="3" s="1"/>
  <c r="B1281" i="3"/>
  <c r="G1281" i="3" s="1"/>
  <c r="B1282" i="3"/>
  <c r="G1282" i="3" s="1"/>
  <c r="B1283" i="3"/>
  <c r="G1283" i="3" s="1"/>
  <c r="B1284" i="3"/>
  <c r="G1284" i="3" s="1"/>
  <c r="B1285" i="3"/>
  <c r="G1285" i="3" s="1"/>
  <c r="B1286" i="3"/>
  <c r="G1286" i="3" s="1"/>
  <c r="B1287" i="3"/>
  <c r="G1287" i="3" s="1"/>
  <c r="B1288" i="3"/>
  <c r="G1288" i="3" s="1"/>
  <c r="B1289" i="3"/>
  <c r="G1289" i="3" s="1"/>
  <c r="B1290" i="3"/>
  <c r="G1290" i="3" s="1"/>
  <c r="B1291" i="3"/>
  <c r="G1291" i="3" s="1"/>
  <c r="B1292" i="3"/>
  <c r="G1292" i="3" s="1"/>
  <c r="B1293" i="3"/>
  <c r="G1293" i="3" s="1"/>
  <c r="B1294" i="3"/>
  <c r="G1294" i="3" s="1"/>
  <c r="B1295" i="3"/>
  <c r="G1295" i="3" s="1"/>
  <c r="B1296" i="3"/>
  <c r="G1296" i="3" s="1"/>
  <c r="B1297" i="3"/>
  <c r="G1297" i="3" s="1"/>
  <c r="B1298" i="3"/>
  <c r="G1298" i="3" s="1"/>
  <c r="B1299" i="3"/>
  <c r="G1299" i="3" s="1"/>
  <c r="B1300" i="3"/>
  <c r="G1300" i="3" s="1"/>
  <c r="B1301" i="3"/>
  <c r="G1301" i="3" s="1"/>
  <c r="B1302" i="3"/>
  <c r="G1302" i="3" s="1"/>
  <c r="B1303" i="3"/>
  <c r="G1303" i="3" s="1"/>
  <c r="B1304" i="3"/>
  <c r="G1304" i="3" s="1"/>
  <c r="B1305" i="3"/>
  <c r="G1305" i="3" s="1"/>
  <c r="B1306" i="3"/>
  <c r="G1306" i="3" s="1"/>
  <c r="B1307" i="3"/>
  <c r="G1307" i="3" s="1"/>
  <c r="B1308" i="3"/>
  <c r="G1308" i="3" s="1"/>
  <c r="B1309" i="3"/>
  <c r="G1309" i="3" s="1"/>
  <c r="B1310" i="3"/>
  <c r="G1310" i="3" s="1"/>
  <c r="B1311" i="3"/>
  <c r="G1311" i="3" s="1"/>
  <c r="B1312" i="3"/>
  <c r="G1312" i="3" s="1"/>
  <c r="B1313" i="3"/>
  <c r="G1313" i="3" s="1"/>
  <c r="B1314" i="3"/>
  <c r="G1314" i="3" s="1"/>
  <c r="B1315" i="3"/>
  <c r="G1315" i="3" s="1"/>
  <c r="B1316" i="3"/>
  <c r="G1316" i="3" s="1"/>
  <c r="B1317" i="3"/>
  <c r="G1317" i="3" s="1"/>
  <c r="B1318" i="3"/>
  <c r="G1318" i="3" s="1"/>
  <c r="B1319" i="3"/>
  <c r="G1319" i="3" s="1"/>
  <c r="B1320" i="3"/>
  <c r="G1320" i="3" s="1"/>
  <c r="B1321" i="3"/>
  <c r="G1321" i="3" s="1"/>
  <c r="B1322" i="3"/>
  <c r="G1322" i="3" s="1"/>
  <c r="B1323" i="3"/>
  <c r="G1323" i="3" s="1"/>
  <c r="B1324" i="3"/>
  <c r="G1324" i="3" s="1"/>
  <c r="B1325" i="3"/>
  <c r="G1325" i="3" s="1"/>
  <c r="B1326" i="3"/>
  <c r="G1326" i="3" s="1"/>
  <c r="B1327" i="3"/>
  <c r="G1327" i="3" s="1"/>
  <c r="B1328" i="3"/>
  <c r="G1328" i="3" s="1"/>
  <c r="B1329" i="3"/>
  <c r="G1329" i="3" s="1"/>
  <c r="B1330" i="3"/>
  <c r="G1330" i="3" s="1"/>
  <c r="B1331" i="3"/>
  <c r="G1331" i="3" s="1"/>
  <c r="B1332" i="3"/>
  <c r="G1332" i="3" s="1"/>
  <c r="B1333" i="3"/>
  <c r="G1333" i="3" s="1"/>
  <c r="B1334" i="3"/>
  <c r="G1334" i="3" s="1"/>
  <c r="B1335" i="3"/>
  <c r="G1335" i="3" s="1"/>
  <c r="B1336" i="3"/>
  <c r="G1336" i="3" s="1"/>
  <c r="B1337" i="3"/>
  <c r="G1337" i="3" s="1"/>
  <c r="B1338" i="3"/>
  <c r="G1338" i="3" s="1"/>
  <c r="B1339" i="3"/>
  <c r="G1339" i="3" s="1"/>
  <c r="B1340" i="3"/>
  <c r="G1340" i="3" s="1"/>
  <c r="B1341" i="3"/>
  <c r="G1341" i="3" s="1"/>
  <c r="B1342" i="3"/>
  <c r="G1342" i="3" s="1"/>
  <c r="B1343" i="3"/>
  <c r="G1343" i="3" s="1"/>
  <c r="B1344" i="3"/>
  <c r="G1344" i="3" s="1"/>
  <c r="B1345" i="3"/>
  <c r="G1345" i="3" s="1"/>
  <c r="B1346" i="3"/>
  <c r="G1346" i="3" s="1"/>
  <c r="B1347" i="3"/>
  <c r="G1347" i="3" s="1"/>
  <c r="B1348" i="3"/>
  <c r="G1348" i="3" s="1"/>
  <c r="B1349" i="3"/>
  <c r="G1349" i="3" s="1"/>
  <c r="B1350" i="3"/>
  <c r="G1350" i="3" s="1"/>
  <c r="B1351" i="3"/>
  <c r="G1351" i="3" s="1"/>
  <c r="B1352" i="3"/>
  <c r="G1352" i="3" s="1"/>
  <c r="B1353" i="3"/>
  <c r="G1353" i="3" s="1"/>
  <c r="B1354" i="3"/>
  <c r="G1354" i="3" s="1"/>
  <c r="B1355" i="3"/>
  <c r="G1355" i="3" s="1"/>
  <c r="B1356" i="3"/>
  <c r="G1356" i="3" s="1"/>
  <c r="B1357" i="3"/>
  <c r="G1357" i="3" s="1"/>
  <c r="B1358" i="3"/>
  <c r="G1358" i="3" s="1"/>
  <c r="B1359" i="3"/>
  <c r="G1359" i="3" s="1"/>
  <c r="B1360" i="3"/>
  <c r="G1360" i="3" s="1"/>
  <c r="B1361" i="3"/>
  <c r="G1361" i="3" s="1"/>
  <c r="B1362" i="3"/>
  <c r="G1362" i="3" s="1"/>
  <c r="B1363" i="3"/>
  <c r="G1363" i="3" s="1"/>
  <c r="B1364" i="3"/>
  <c r="G1364" i="3" s="1"/>
  <c r="B1365" i="3"/>
  <c r="G1365" i="3" s="1"/>
  <c r="B1366" i="3"/>
  <c r="G1366" i="3" s="1"/>
  <c r="B1367" i="3"/>
  <c r="G1367" i="3" s="1"/>
  <c r="B1368" i="3"/>
  <c r="G1368" i="3" s="1"/>
  <c r="B1369" i="3"/>
  <c r="G1369" i="3" s="1"/>
  <c r="B1370" i="3"/>
  <c r="G1370" i="3" s="1"/>
  <c r="B1371" i="3"/>
  <c r="G1371" i="3" s="1"/>
  <c r="B1372" i="3"/>
  <c r="G1372" i="3" s="1"/>
  <c r="B1373" i="3"/>
  <c r="G1373" i="3" s="1"/>
  <c r="B1374" i="3"/>
  <c r="G1374" i="3" s="1"/>
  <c r="B1375" i="3"/>
  <c r="G1375" i="3" s="1"/>
  <c r="B1376" i="3"/>
  <c r="G1376" i="3" s="1"/>
  <c r="B1377" i="3"/>
  <c r="G1377" i="3" s="1"/>
  <c r="B1378" i="3"/>
  <c r="G1378" i="3" s="1"/>
  <c r="B1379" i="3"/>
  <c r="G1379" i="3" s="1"/>
  <c r="B1380" i="3"/>
  <c r="G1380" i="3" s="1"/>
  <c r="B1381" i="3"/>
  <c r="G1381" i="3" s="1"/>
  <c r="B1382" i="3"/>
  <c r="G1382" i="3" s="1"/>
  <c r="B1383" i="3"/>
  <c r="G1383" i="3" s="1"/>
  <c r="B1384" i="3"/>
  <c r="G1384" i="3" s="1"/>
  <c r="B1385" i="3"/>
  <c r="G1385" i="3" s="1"/>
  <c r="B1386" i="3"/>
  <c r="G1386" i="3" s="1"/>
  <c r="B1387" i="3"/>
  <c r="G1387" i="3" s="1"/>
  <c r="B1388" i="3"/>
  <c r="G1388" i="3" s="1"/>
  <c r="B1389" i="3"/>
  <c r="G1389" i="3" s="1"/>
  <c r="B1390" i="3"/>
  <c r="G1390" i="3" s="1"/>
  <c r="B1391" i="3"/>
  <c r="G1391" i="3" s="1"/>
  <c r="B1392" i="3"/>
  <c r="G1392" i="3" s="1"/>
  <c r="B1393" i="3"/>
  <c r="G1393" i="3" s="1"/>
  <c r="B1394" i="3"/>
  <c r="G1394" i="3" s="1"/>
  <c r="B1395" i="3"/>
  <c r="G1395" i="3" s="1"/>
  <c r="B1396" i="3"/>
  <c r="G1396" i="3" s="1"/>
  <c r="B1397" i="3"/>
  <c r="G1397" i="3" s="1"/>
  <c r="B1398" i="3"/>
  <c r="G1398" i="3" s="1"/>
  <c r="B1399" i="3"/>
  <c r="G1399" i="3" s="1"/>
  <c r="B1400" i="3"/>
  <c r="G1400" i="3" s="1"/>
  <c r="B1401" i="3"/>
  <c r="G1401" i="3" s="1"/>
  <c r="B1402" i="3"/>
  <c r="G1402" i="3" s="1"/>
  <c r="B1403" i="3"/>
  <c r="G1403" i="3" s="1"/>
  <c r="B1404" i="3"/>
  <c r="G1404" i="3" s="1"/>
  <c r="B1405" i="3"/>
  <c r="G1405" i="3" s="1"/>
  <c r="B1406" i="3"/>
  <c r="G1406" i="3" s="1"/>
  <c r="B1407" i="3"/>
  <c r="G1407" i="3" s="1"/>
  <c r="B1408" i="3"/>
  <c r="G1408" i="3" s="1"/>
  <c r="B1409" i="3"/>
  <c r="G1409" i="3" s="1"/>
  <c r="B1410" i="3"/>
  <c r="G1410" i="3" s="1"/>
  <c r="B1411" i="3"/>
  <c r="G1411" i="3" s="1"/>
  <c r="B1412" i="3"/>
  <c r="G1412" i="3" s="1"/>
  <c r="B1413" i="3"/>
  <c r="G1413" i="3" s="1"/>
  <c r="B1414" i="3"/>
  <c r="G1414" i="3" s="1"/>
  <c r="B1415" i="3"/>
  <c r="G1415" i="3" s="1"/>
  <c r="B1416" i="3"/>
  <c r="G1416" i="3" s="1"/>
  <c r="B1417" i="3"/>
  <c r="G1417" i="3" s="1"/>
  <c r="B1418" i="3"/>
  <c r="G1418" i="3" s="1"/>
  <c r="B1419" i="3"/>
  <c r="G1419" i="3" s="1"/>
  <c r="B1420" i="3"/>
  <c r="G1420" i="3" s="1"/>
  <c r="B1421" i="3"/>
  <c r="G1421" i="3" s="1"/>
  <c r="B1422" i="3"/>
  <c r="G1422" i="3" s="1"/>
  <c r="B1423" i="3"/>
  <c r="G1423" i="3" s="1"/>
  <c r="B1424" i="3"/>
  <c r="G1424" i="3" s="1"/>
  <c r="B1425" i="3"/>
  <c r="G1425" i="3" s="1"/>
  <c r="B1426" i="3"/>
  <c r="G1426" i="3" s="1"/>
  <c r="B1427" i="3"/>
  <c r="G1427" i="3" s="1"/>
  <c r="B1428" i="3"/>
  <c r="G1428" i="3" s="1"/>
  <c r="B1429" i="3"/>
  <c r="G1429" i="3" s="1"/>
  <c r="B1430" i="3"/>
  <c r="G1430" i="3" s="1"/>
  <c r="B1431" i="3"/>
  <c r="G1431" i="3" s="1"/>
  <c r="B1432" i="3"/>
  <c r="G1432" i="3" s="1"/>
  <c r="B1433" i="3"/>
  <c r="G1433" i="3" s="1"/>
  <c r="B1434" i="3"/>
  <c r="G1434" i="3" s="1"/>
  <c r="B1435" i="3"/>
  <c r="G1435" i="3" s="1"/>
  <c r="B1436" i="3"/>
  <c r="G1436" i="3" s="1"/>
  <c r="B1437" i="3"/>
  <c r="G1437" i="3" s="1"/>
  <c r="B1438" i="3"/>
  <c r="G1438" i="3" s="1"/>
  <c r="B1439" i="3"/>
  <c r="G1439" i="3" s="1"/>
  <c r="B1440" i="3"/>
  <c r="G1440" i="3" s="1"/>
  <c r="B1441" i="3"/>
  <c r="G1441" i="3" s="1"/>
  <c r="B1442" i="3"/>
  <c r="G1442" i="3" s="1"/>
  <c r="B1443" i="3"/>
  <c r="G1443" i="3" s="1"/>
  <c r="B1444" i="3"/>
  <c r="G1444" i="3" s="1"/>
  <c r="B1445" i="3"/>
  <c r="G1445" i="3" s="1"/>
  <c r="B1446" i="3"/>
  <c r="G1446" i="3" s="1"/>
  <c r="B1447" i="3"/>
  <c r="G1447" i="3" s="1"/>
  <c r="B1448" i="3"/>
  <c r="G1448" i="3" s="1"/>
  <c r="B1449" i="3"/>
  <c r="G1449" i="3" s="1"/>
  <c r="B1450" i="3"/>
  <c r="G1450" i="3" s="1"/>
  <c r="B1451" i="3"/>
  <c r="G1451" i="3" s="1"/>
  <c r="B1452" i="3"/>
  <c r="G1452" i="3" s="1"/>
  <c r="B1453" i="3"/>
  <c r="G1453" i="3" s="1"/>
  <c r="B1454" i="3"/>
  <c r="G1454" i="3" s="1"/>
  <c r="B1455" i="3"/>
  <c r="G1455" i="3" s="1"/>
  <c r="B1456" i="3"/>
  <c r="G1456" i="3" s="1"/>
  <c r="B1457" i="3"/>
  <c r="G1457" i="3" s="1"/>
  <c r="B1458" i="3"/>
  <c r="G1458" i="3" s="1"/>
  <c r="B1459" i="3"/>
  <c r="G1459" i="3" s="1"/>
  <c r="B1460" i="3"/>
  <c r="G1460" i="3" s="1"/>
  <c r="B1461" i="3"/>
  <c r="G1461" i="3" s="1"/>
  <c r="B1462" i="3"/>
  <c r="G1462" i="3" s="1"/>
  <c r="B1463" i="3"/>
  <c r="G1463" i="3" s="1"/>
  <c r="B1464" i="3"/>
  <c r="G1464" i="3" s="1"/>
  <c r="B1465" i="3"/>
  <c r="G1465" i="3" s="1"/>
  <c r="B1466" i="3"/>
  <c r="G1466" i="3" s="1"/>
  <c r="B1467" i="3"/>
  <c r="G1467" i="3" s="1"/>
  <c r="B1468" i="3"/>
  <c r="G1468" i="3" s="1"/>
  <c r="B1469" i="3"/>
  <c r="G1469" i="3" s="1"/>
  <c r="B1470" i="3"/>
  <c r="G1470" i="3" s="1"/>
  <c r="B1471" i="3"/>
  <c r="G1471" i="3" s="1"/>
  <c r="B1472" i="3"/>
  <c r="G1472" i="3" s="1"/>
  <c r="B1473" i="3"/>
  <c r="G1473" i="3" s="1"/>
  <c r="B1474" i="3"/>
  <c r="G1474" i="3" s="1"/>
  <c r="B1475" i="3"/>
  <c r="G1475" i="3" s="1"/>
  <c r="B1476" i="3"/>
  <c r="G1476" i="3" s="1"/>
  <c r="B1477" i="3"/>
  <c r="G1477" i="3" s="1"/>
  <c r="B1478" i="3"/>
  <c r="G1478" i="3" s="1"/>
  <c r="B1479" i="3"/>
  <c r="G1479" i="3" s="1"/>
  <c r="B1480" i="3"/>
  <c r="G1480" i="3" s="1"/>
  <c r="B1481" i="3"/>
  <c r="G1481" i="3" s="1"/>
  <c r="B1482" i="3"/>
  <c r="G1482" i="3" s="1"/>
  <c r="B1483" i="3"/>
  <c r="G1483" i="3" s="1"/>
  <c r="B1484" i="3"/>
  <c r="G1484" i="3" s="1"/>
  <c r="B1485" i="3"/>
  <c r="G1485" i="3" s="1"/>
  <c r="B1486" i="3"/>
  <c r="G1486" i="3" s="1"/>
  <c r="B1487" i="3"/>
  <c r="G1487" i="3" s="1"/>
  <c r="B1488" i="3"/>
  <c r="G1488" i="3" s="1"/>
  <c r="B1489" i="3"/>
  <c r="G1489" i="3" s="1"/>
  <c r="B1490" i="3"/>
  <c r="G1490" i="3" s="1"/>
  <c r="B1491" i="3"/>
  <c r="G1491" i="3" s="1"/>
  <c r="B1492" i="3"/>
  <c r="G1492" i="3" s="1"/>
  <c r="B1493" i="3"/>
  <c r="G1493" i="3" s="1"/>
  <c r="B1494" i="3"/>
  <c r="G1494" i="3" s="1"/>
  <c r="B1495" i="3"/>
  <c r="G1495" i="3" s="1"/>
  <c r="B1496" i="3"/>
  <c r="G1496" i="3" s="1"/>
  <c r="B1497" i="3"/>
  <c r="G1497" i="3" s="1"/>
  <c r="B1498" i="3"/>
  <c r="G1498" i="3" s="1"/>
  <c r="B1499" i="3"/>
  <c r="G1499" i="3" s="1"/>
  <c r="B1500" i="3"/>
  <c r="G1500" i="3" s="1"/>
  <c r="B1501" i="3"/>
  <c r="G1501" i="3" s="1"/>
  <c r="B1502" i="3"/>
  <c r="G1502" i="3" s="1"/>
  <c r="B1503" i="3"/>
  <c r="G1503" i="3" s="1"/>
  <c r="B1504" i="3"/>
  <c r="G1504" i="3" s="1"/>
  <c r="B1505" i="3"/>
  <c r="G1505" i="3" s="1"/>
  <c r="B1506" i="3"/>
  <c r="G1506" i="3" s="1"/>
  <c r="B1507" i="3"/>
  <c r="G1507" i="3" s="1"/>
  <c r="B1508" i="3"/>
  <c r="G1508" i="3" s="1"/>
  <c r="B1509" i="3"/>
  <c r="G1509" i="3" s="1"/>
  <c r="B1510" i="3"/>
  <c r="G1510" i="3" s="1"/>
  <c r="B1511" i="3"/>
  <c r="G1511" i="3" s="1"/>
  <c r="B1512" i="3"/>
  <c r="G1512" i="3" s="1"/>
  <c r="B1513" i="3"/>
  <c r="G1513" i="3" s="1"/>
  <c r="B1514" i="3"/>
  <c r="G1514" i="3" s="1"/>
  <c r="B1515" i="3"/>
  <c r="G1515" i="3" s="1"/>
  <c r="B1516" i="3"/>
  <c r="G1516" i="3" s="1"/>
  <c r="B1517" i="3"/>
  <c r="G1517" i="3" s="1"/>
  <c r="B1518" i="3"/>
  <c r="G1518" i="3" s="1"/>
  <c r="B1519" i="3"/>
  <c r="G1519" i="3" s="1"/>
  <c r="B1520" i="3"/>
  <c r="G1520" i="3" s="1"/>
  <c r="B1521" i="3"/>
  <c r="G1521" i="3" s="1"/>
  <c r="B1522" i="3"/>
  <c r="G1522" i="3" s="1"/>
  <c r="B1523" i="3"/>
  <c r="G1523" i="3" s="1"/>
  <c r="B1524" i="3"/>
  <c r="G1524" i="3" s="1"/>
  <c r="B1525" i="3"/>
  <c r="G1525" i="3" s="1"/>
  <c r="B1526" i="3"/>
  <c r="G1526" i="3" s="1"/>
  <c r="B1527" i="3"/>
  <c r="G1527" i="3" s="1"/>
  <c r="B1528" i="3"/>
  <c r="G1528" i="3" s="1"/>
  <c r="B1529" i="3"/>
  <c r="G1529" i="3" s="1"/>
  <c r="B1530" i="3"/>
  <c r="G1530" i="3" s="1"/>
  <c r="B1531" i="3"/>
  <c r="G1531" i="3" s="1"/>
  <c r="B1532" i="3"/>
  <c r="G1532" i="3" s="1"/>
  <c r="B1533" i="3"/>
  <c r="G1533" i="3" s="1"/>
  <c r="B1534" i="3"/>
  <c r="G1534" i="3" s="1"/>
  <c r="B1535" i="3"/>
  <c r="G1535" i="3" s="1"/>
  <c r="B1536" i="3"/>
  <c r="G1536" i="3" s="1"/>
  <c r="B1537" i="3"/>
  <c r="G1537" i="3" s="1"/>
  <c r="B1538" i="3"/>
  <c r="G1538" i="3" s="1"/>
  <c r="B1539" i="3"/>
  <c r="G1539" i="3" s="1"/>
  <c r="B1540" i="3"/>
  <c r="G1540" i="3" s="1"/>
  <c r="B1541" i="3"/>
  <c r="G1541" i="3" s="1"/>
  <c r="B1542" i="3"/>
  <c r="G1542" i="3" s="1"/>
  <c r="B1543" i="3"/>
  <c r="G1543" i="3" s="1"/>
  <c r="B1544" i="3"/>
  <c r="G1544" i="3" s="1"/>
  <c r="B1545" i="3"/>
  <c r="G1545" i="3" s="1"/>
  <c r="B1546" i="3"/>
  <c r="G1546" i="3" s="1"/>
  <c r="B1547" i="3"/>
  <c r="G1547" i="3" s="1"/>
  <c r="B1548" i="3"/>
  <c r="G1548" i="3" s="1"/>
  <c r="B1549" i="3"/>
  <c r="G1549" i="3" s="1"/>
  <c r="B1550" i="3"/>
  <c r="G1550" i="3" s="1"/>
  <c r="B1551" i="3"/>
  <c r="G1551" i="3" s="1"/>
  <c r="B1552" i="3"/>
  <c r="G1552" i="3" s="1"/>
  <c r="B1553" i="3"/>
  <c r="G1553" i="3" s="1"/>
  <c r="B1554" i="3"/>
  <c r="G1554" i="3" s="1"/>
  <c r="B1555" i="3"/>
  <c r="G1555" i="3" s="1"/>
  <c r="B1556" i="3"/>
  <c r="G1556" i="3" s="1"/>
  <c r="B1557" i="3"/>
  <c r="G1557" i="3" s="1"/>
  <c r="B1558" i="3"/>
  <c r="G1558" i="3" s="1"/>
  <c r="B1559" i="3"/>
  <c r="G1559" i="3" s="1"/>
  <c r="B1560" i="3"/>
  <c r="G1560" i="3" s="1"/>
  <c r="B1561" i="3"/>
  <c r="G1561" i="3" s="1"/>
  <c r="B1562" i="3"/>
  <c r="G1562" i="3" s="1"/>
  <c r="B1563" i="3"/>
  <c r="G1563" i="3" s="1"/>
  <c r="B1564" i="3"/>
  <c r="G1564" i="3" s="1"/>
  <c r="B1565" i="3"/>
  <c r="G1565" i="3" s="1"/>
  <c r="B1566" i="3"/>
  <c r="G1566" i="3" s="1"/>
  <c r="B1567" i="3"/>
  <c r="G1567" i="3" s="1"/>
  <c r="B1568" i="3"/>
  <c r="G1568" i="3" s="1"/>
  <c r="B1569" i="3"/>
  <c r="G1569" i="3" s="1"/>
  <c r="B1570" i="3"/>
  <c r="G1570" i="3" s="1"/>
  <c r="B1571" i="3"/>
  <c r="G1571" i="3" s="1"/>
  <c r="B1572" i="3"/>
  <c r="G1572" i="3" s="1"/>
  <c r="B1573" i="3"/>
  <c r="G1573" i="3" s="1"/>
  <c r="B1574" i="3"/>
  <c r="G1574" i="3" s="1"/>
  <c r="B1575" i="3"/>
  <c r="G1575" i="3" s="1"/>
  <c r="B1576" i="3"/>
  <c r="G1576" i="3" s="1"/>
  <c r="B1577" i="3"/>
  <c r="G1577" i="3" s="1"/>
  <c r="B1578" i="3"/>
  <c r="G1578" i="3" s="1"/>
  <c r="B1579" i="3"/>
  <c r="G1579" i="3" s="1"/>
  <c r="B1580" i="3"/>
  <c r="G1580" i="3" s="1"/>
  <c r="B1581" i="3"/>
  <c r="G1581" i="3" s="1"/>
  <c r="B1582" i="3"/>
  <c r="G1582" i="3" s="1"/>
  <c r="B1583" i="3"/>
  <c r="G1583" i="3" s="1"/>
  <c r="B1584" i="3"/>
  <c r="G1584" i="3" s="1"/>
  <c r="B1585" i="3"/>
  <c r="G1585" i="3" s="1"/>
  <c r="B1586" i="3"/>
  <c r="G1586" i="3" s="1"/>
  <c r="B1587" i="3"/>
  <c r="G1587" i="3" s="1"/>
  <c r="B1588" i="3"/>
  <c r="G1588" i="3" s="1"/>
  <c r="B1589" i="3"/>
  <c r="G1589" i="3" s="1"/>
  <c r="B1590" i="3"/>
  <c r="G1590" i="3" s="1"/>
  <c r="B1591" i="3"/>
  <c r="G1591" i="3" s="1"/>
  <c r="B1592" i="3"/>
  <c r="G1592" i="3" s="1"/>
  <c r="B1593" i="3"/>
  <c r="G1593" i="3" s="1"/>
  <c r="B1594" i="3"/>
  <c r="G1594" i="3" s="1"/>
  <c r="B1595" i="3"/>
  <c r="G1595" i="3" s="1"/>
  <c r="B1596" i="3"/>
  <c r="G1596" i="3" s="1"/>
  <c r="B1597" i="3"/>
  <c r="G1597" i="3" s="1"/>
  <c r="B1598" i="3"/>
  <c r="G1598" i="3" s="1"/>
  <c r="B1599" i="3"/>
  <c r="G1599" i="3" s="1"/>
  <c r="B1600" i="3"/>
  <c r="G1600" i="3" s="1"/>
  <c r="B1601" i="3"/>
  <c r="G1601" i="3" s="1"/>
  <c r="B1602" i="3"/>
  <c r="G1602" i="3" s="1"/>
  <c r="B1603" i="3"/>
  <c r="G1603" i="3" s="1"/>
  <c r="B1604" i="3"/>
  <c r="G1604" i="3" s="1"/>
  <c r="B1605" i="3"/>
  <c r="G1605" i="3" s="1"/>
  <c r="B1606" i="3"/>
  <c r="G1606" i="3" s="1"/>
  <c r="B1607" i="3"/>
  <c r="G1607" i="3" s="1"/>
  <c r="B1608" i="3"/>
  <c r="G1608" i="3" s="1"/>
  <c r="B1609" i="3"/>
  <c r="G1609" i="3" s="1"/>
  <c r="B1610" i="3"/>
  <c r="G1610" i="3" s="1"/>
  <c r="B1611" i="3"/>
  <c r="G1611" i="3" s="1"/>
  <c r="B1612" i="3"/>
  <c r="G1612" i="3" s="1"/>
  <c r="B1613" i="3"/>
  <c r="G1613" i="3" s="1"/>
  <c r="B1614" i="3"/>
  <c r="G1614" i="3" s="1"/>
  <c r="B1615" i="3"/>
  <c r="G1615" i="3" s="1"/>
  <c r="B1616" i="3"/>
  <c r="G1616" i="3" s="1"/>
  <c r="B1617" i="3"/>
  <c r="G1617" i="3" s="1"/>
  <c r="B1618" i="3"/>
  <c r="G1618" i="3" s="1"/>
  <c r="B1619" i="3"/>
  <c r="G1619" i="3" s="1"/>
  <c r="B1620" i="3"/>
  <c r="G1620" i="3" s="1"/>
  <c r="B1621" i="3"/>
  <c r="G1621" i="3" s="1"/>
  <c r="B1622" i="3"/>
  <c r="G1622" i="3" s="1"/>
  <c r="B1623" i="3"/>
  <c r="G1623" i="3" s="1"/>
  <c r="B1624" i="3"/>
  <c r="G1624" i="3" s="1"/>
  <c r="B1625" i="3"/>
  <c r="G1625" i="3" s="1"/>
  <c r="B1626" i="3"/>
  <c r="G1626" i="3" s="1"/>
  <c r="B1627" i="3"/>
  <c r="G1627" i="3" s="1"/>
  <c r="B1628" i="3"/>
  <c r="G1628" i="3" s="1"/>
  <c r="B1629" i="3"/>
  <c r="G1629" i="3" s="1"/>
  <c r="B1630" i="3"/>
  <c r="G1630" i="3" s="1"/>
  <c r="B1631" i="3"/>
  <c r="G1631" i="3" s="1"/>
  <c r="B1632" i="3"/>
  <c r="G1632" i="3" s="1"/>
  <c r="B1633" i="3"/>
  <c r="G1633" i="3" s="1"/>
  <c r="B1634" i="3"/>
  <c r="G1634" i="3" s="1"/>
  <c r="B1635" i="3"/>
  <c r="G1635" i="3" s="1"/>
  <c r="B1636" i="3"/>
  <c r="G1636" i="3" s="1"/>
  <c r="B1637" i="3"/>
  <c r="G1637" i="3" s="1"/>
  <c r="B1638" i="3"/>
  <c r="G1638" i="3" s="1"/>
  <c r="B1639" i="3"/>
  <c r="G1639" i="3" s="1"/>
  <c r="B1640" i="3"/>
  <c r="G1640" i="3" s="1"/>
  <c r="B1641" i="3"/>
  <c r="G1641" i="3" s="1"/>
  <c r="B1642" i="3"/>
  <c r="G1642" i="3" s="1"/>
  <c r="B1643" i="3"/>
  <c r="G1643" i="3" s="1"/>
  <c r="B1644" i="3"/>
  <c r="G1644" i="3" s="1"/>
  <c r="B1645" i="3"/>
  <c r="G1645" i="3" s="1"/>
  <c r="B1646" i="3"/>
  <c r="G1646" i="3" s="1"/>
  <c r="B1647" i="3"/>
  <c r="G1647" i="3" s="1"/>
  <c r="B1648" i="3"/>
  <c r="G1648" i="3" s="1"/>
  <c r="B1649" i="3"/>
  <c r="G1649" i="3" s="1"/>
  <c r="B1650" i="3"/>
  <c r="G1650" i="3" s="1"/>
  <c r="B1651" i="3"/>
  <c r="G1651" i="3" s="1"/>
  <c r="B1652" i="3"/>
  <c r="G1652" i="3" s="1"/>
  <c r="B1653" i="3"/>
  <c r="G1653" i="3" s="1"/>
  <c r="B1654" i="3"/>
  <c r="G1654" i="3" s="1"/>
  <c r="B1655" i="3"/>
  <c r="G1655" i="3" s="1"/>
  <c r="B1656" i="3"/>
  <c r="G1656" i="3" s="1"/>
  <c r="B1657" i="3"/>
  <c r="G1657" i="3" s="1"/>
  <c r="B1658" i="3"/>
  <c r="G1658" i="3" s="1"/>
  <c r="B1659" i="3"/>
  <c r="G1659" i="3" s="1"/>
  <c r="B1660" i="3"/>
  <c r="G1660" i="3" s="1"/>
  <c r="B1661" i="3"/>
  <c r="G1661" i="3" s="1"/>
  <c r="B1662" i="3"/>
  <c r="G1662" i="3" s="1"/>
  <c r="B1663" i="3"/>
  <c r="G1663" i="3" s="1"/>
  <c r="B1664" i="3"/>
  <c r="G1664" i="3" s="1"/>
  <c r="B1665" i="3"/>
  <c r="G1665" i="3" s="1"/>
  <c r="B1666" i="3"/>
  <c r="G1666" i="3" s="1"/>
  <c r="B1667" i="3"/>
  <c r="G1667" i="3" s="1"/>
  <c r="B1668" i="3"/>
  <c r="G1668" i="3" s="1"/>
  <c r="B1669" i="3"/>
  <c r="G1669" i="3" s="1"/>
  <c r="B1670" i="3"/>
  <c r="G1670" i="3" s="1"/>
  <c r="B1671" i="3"/>
  <c r="G1671" i="3" s="1"/>
  <c r="B1672" i="3"/>
  <c r="G1672" i="3" s="1"/>
  <c r="B1673" i="3"/>
  <c r="G1673" i="3" s="1"/>
  <c r="B1674" i="3"/>
  <c r="G1674" i="3" s="1"/>
  <c r="B1675" i="3"/>
  <c r="G1675" i="3" s="1"/>
  <c r="B1676" i="3"/>
  <c r="G1676" i="3" s="1"/>
  <c r="B1677" i="3"/>
  <c r="G1677" i="3" s="1"/>
  <c r="B1678" i="3"/>
  <c r="G1678" i="3" s="1"/>
  <c r="B1679" i="3"/>
  <c r="G1679" i="3" s="1"/>
  <c r="B1680" i="3"/>
  <c r="G1680" i="3" s="1"/>
  <c r="B1681" i="3"/>
  <c r="G1681" i="3" s="1"/>
  <c r="B1682" i="3"/>
  <c r="G1682" i="3" s="1"/>
  <c r="B1683" i="3"/>
  <c r="G1683" i="3" s="1"/>
  <c r="B1684" i="3"/>
  <c r="G1684" i="3" s="1"/>
  <c r="B1685" i="3"/>
  <c r="G1685" i="3" s="1"/>
  <c r="B1686" i="3"/>
  <c r="G1686" i="3" s="1"/>
  <c r="B1687" i="3"/>
  <c r="G1687" i="3" s="1"/>
  <c r="B1688" i="3"/>
  <c r="G1688" i="3" s="1"/>
  <c r="B1689" i="3"/>
  <c r="G1689" i="3" s="1"/>
  <c r="B1690" i="3"/>
  <c r="G1690" i="3" s="1"/>
  <c r="B1691" i="3"/>
  <c r="G1691" i="3" s="1"/>
  <c r="B1692" i="3"/>
  <c r="G1692" i="3" s="1"/>
  <c r="B1693" i="3"/>
  <c r="G1693" i="3" s="1"/>
  <c r="B1694" i="3"/>
  <c r="G1694" i="3" s="1"/>
  <c r="B1695" i="3"/>
  <c r="G1695" i="3" s="1"/>
  <c r="B1696" i="3"/>
  <c r="G1696" i="3" s="1"/>
  <c r="B1697" i="3"/>
  <c r="G1697" i="3" s="1"/>
  <c r="B1698" i="3"/>
  <c r="G1698" i="3" s="1"/>
  <c r="B1699" i="3"/>
  <c r="G1699" i="3" s="1"/>
  <c r="B1700" i="3"/>
  <c r="G1700" i="3" s="1"/>
  <c r="B1701" i="3"/>
  <c r="G1701" i="3" s="1"/>
  <c r="B1702" i="3"/>
  <c r="G1702" i="3" s="1"/>
  <c r="B1703" i="3"/>
  <c r="G1703" i="3" s="1"/>
  <c r="B1704" i="3"/>
  <c r="G1704" i="3" s="1"/>
  <c r="B1705" i="3"/>
  <c r="G1705" i="3" s="1"/>
  <c r="B1706" i="3"/>
  <c r="G1706" i="3" s="1"/>
  <c r="B1707" i="3"/>
  <c r="G1707" i="3" s="1"/>
  <c r="B1708" i="3"/>
  <c r="G1708" i="3" s="1"/>
  <c r="B1709" i="3"/>
  <c r="G1709" i="3" s="1"/>
  <c r="B1710" i="3"/>
  <c r="G1710" i="3" s="1"/>
  <c r="B1711" i="3"/>
  <c r="G1711" i="3" s="1"/>
  <c r="B1712" i="3"/>
  <c r="G1712" i="3" s="1"/>
  <c r="B1713" i="3"/>
  <c r="G1713" i="3" s="1"/>
  <c r="B1714" i="3"/>
  <c r="G1714" i="3" s="1"/>
  <c r="B1715" i="3"/>
  <c r="G1715" i="3" s="1"/>
  <c r="B1716" i="3"/>
  <c r="G1716" i="3" s="1"/>
  <c r="B1717" i="3"/>
  <c r="G1717" i="3" s="1"/>
  <c r="B1718" i="3"/>
  <c r="G1718" i="3" s="1"/>
  <c r="B1719" i="3"/>
  <c r="G1719" i="3" s="1"/>
  <c r="B1720" i="3"/>
  <c r="G1720" i="3" s="1"/>
  <c r="B1721" i="3"/>
  <c r="G1721" i="3" s="1"/>
  <c r="B1722" i="3"/>
  <c r="G1722" i="3" s="1"/>
  <c r="B1723" i="3"/>
  <c r="G1723" i="3" s="1"/>
  <c r="B1724" i="3"/>
  <c r="G1724" i="3" s="1"/>
  <c r="B1725" i="3"/>
  <c r="G1725" i="3" s="1"/>
  <c r="B1726" i="3"/>
  <c r="G1726" i="3" s="1"/>
  <c r="B1727" i="3"/>
  <c r="G1727" i="3" s="1"/>
  <c r="B1728" i="3"/>
  <c r="G1728" i="3" s="1"/>
  <c r="B1729" i="3"/>
  <c r="G1729" i="3" s="1"/>
  <c r="B1730" i="3"/>
  <c r="G1730" i="3" s="1"/>
  <c r="B1731" i="3"/>
  <c r="G1731" i="3" s="1"/>
  <c r="B1732" i="3"/>
  <c r="G1732" i="3" s="1"/>
  <c r="B1733" i="3"/>
  <c r="G1733" i="3" s="1"/>
  <c r="B1734" i="3"/>
  <c r="G1734" i="3" s="1"/>
  <c r="B1735" i="3"/>
  <c r="G1735" i="3" s="1"/>
  <c r="B1736" i="3"/>
  <c r="G1736" i="3" s="1"/>
  <c r="B1737" i="3"/>
  <c r="G1737" i="3" s="1"/>
  <c r="B1738" i="3"/>
  <c r="G1738" i="3" s="1"/>
  <c r="B1739" i="3"/>
  <c r="G1739" i="3" s="1"/>
  <c r="B1740" i="3"/>
  <c r="G1740" i="3" s="1"/>
  <c r="B1741" i="3"/>
  <c r="G1741" i="3" s="1"/>
  <c r="B1742" i="3"/>
  <c r="G1742" i="3" s="1"/>
  <c r="B1743" i="3"/>
  <c r="G1743" i="3" s="1"/>
  <c r="B1744" i="3"/>
  <c r="G1744" i="3" s="1"/>
  <c r="B1745" i="3"/>
  <c r="G1745" i="3" s="1"/>
  <c r="B1746" i="3"/>
  <c r="G1746" i="3" s="1"/>
  <c r="B1747" i="3"/>
  <c r="G1747" i="3" s="1"/>
  <c r="B1748" i="3"/>
  <c r="G1748" i="3" s="1"/>
  <c r="B1749" i="3"/>
  <c r="G1749" i="3" s="1"/>
  <c r="B1750" i="3"/>
  <c r="G1750" i="3" s="1"/>
  <c r="B1751" i="3"/>
  <c r="G1751" i="3" s="1"/>
  <c r="B1752" i="3"/>
  <c r="G1752" i="3" s="1"/>
  <c r="B1753" i="3"/>
  <c r="G1753" i="3" s="1"/>
  <c r="B1754" i="3"/>
  <c r="G1754" i="3" s="1"/>
  <c r="B1755" i="3"/>
  <c r="G1755" i="3" s="1"/>
  <c r="B1756" i="3"/>
  <c r="G1756" i="3" s="1"/>
  <c r="B1757" i="3"/>
  <c r="G1757" i="3" s="1"/>
  <c r="B1758" i="3"/>
  <c r="G1758" i="3" s="1"/>
  <c r="B1759" i="3"/>
  <c r="G1759" i="3" s="1"/>
  <c r="B1760" i="3"/>
  <c r="G1760" i="3" s="1"/>
  <c r="B1761" i="3"/>
  <c r="G1761" i="3" s="1"/>
  <c r="B1762" i="3"/>
  <c r="G1762" i="3" s="1"/>
  <c r="B1763" i="3"/>
  <c r="G1763" i="3" s="1"/>
  <c r="B1764" i="3"/>
  <c r="G1764" i="3" s="1"/>
  <c r="B1765" i="3"/>
  <c r="G1765" i="3" s="1"/>
  <c r="B1766" i="3"/>
  <c r="G1766" i="3" s="1"/>
  <c r="B1767" i="3"/>
  <c r="G1767" i="3" s="1"/>
  <c r="B1768" i="3"/>
  <c r="G1768" i="3" s="1"/>
  <c r="B1769" i="3"/>
  <c r="G1769" i="3" s="1"/>
  <c r="B1770" i="3"/>
  <c r="G1770" i="3" s="1"/>
  <c r="B1771" i="3"/>
  <c r="G1771" i="3" s="1"/>
  <c r="B1772" i="3"/>
  <c r="G1772" i="3" s="1"/>
  <c r="B1773" i="3"/>
  <c r="G1773" i="3" s="1"/>
  <c r="B1774" i="3"/>
  <c r="G1774" i="3" s="1"/>
  <c r="B1775" i="3"/>
  <c r="G1775" i="3" s="1"/>
  <c r="B1776" i="3"/>
  <c r="G1776" i="3" s="1"/>
  <c r="B1777" i="3"/>
  <c r="G1777" i="3" s="1"/>
  <c r="B1778" i="3"/>
  <c r="G1778" i="3" s="1"/>
  <c r="B1779" i="3"/>
  <c r="G1779" i="3" s="1"/>
  <c r="B1780" i="3"/>
  <c r="G1780" i="3" s="1"/>
  <c r="B1781" i="3"/>
  <c r="G1781" i="3" s="1"/>
  <c r="B1782" i="3"/>
  <c r="G1782" i="3" s="1"/>
  <c r="B1783" i="3"/>
  <c r="G1783" i="3" s="1"/>
  <c r="B1784" i="3"/>
  <c r="G1784" i="3" s="1"/>
  <c r="B1785" i="3"/>
  <c r="G1785" i="3" s="1"/>
  <c r="B1786" i="3"/>
  <c r="G1786" i="3" s="1"/>
  <c r="B1787" i="3"/>
  <c r="G1787" i="3" s="1"/>
  <c r="B1788" i="3"/>
  <c r="G1788" i="3" s="1"/>
  <c r="B1789" i="3"/>
  <c r="G1789" i="3" s="1"/>
  <c r="B1790" i="3"/>
  <c r="G1790" i="3" s="1"/>
  <c r="B1791" i="3"/>
  <c r="G1791" i="3" s="1"/>
  <c r="B1792" i="3"/>
  <c r="G1792" i="3" s="1"/>
  <c r="B1793" i="3"/>
  <c r="G1793" i="3" s="1"/>
  <c r="B1794" i="3"/>
  <c r="G1794" i="3" s="1"/>
  <c r="B1795" i="3"/>
  <c r="G1795" i="3" s="1"/>
  <c r="B1796" i="3"/>
  <c r="G1796" i="3" s="1"/>
  <c r="B1797" i="3"/>
  <c r="G1797" i="3" s="1"/>
  <c r="B1798" i="3"/>
  <c r="G1798" i="3" s="1"/>
  <c r="B1799" i="3"/>
  <c r="G1799" i="3" s="1"/>
  <c r="B1800" i="3"/>
  <c r="G1800" i="3" s="1"/>
  <c r="B1801" i="3"/>
  <c r="G1801" i="3" s="1"/>
  <c r="B1802" i="3"/>
  <c r="G1802" i="3" s="1"/>
  <c r="B1803" i="3"/>
  <c r="G1803" i="3" s="1"/>
  <c r="B1804" i="3"/>
  <c r="G1804" i="3" s="1"/>
  <c r="B1805" i="3"/>
  <c r="G1805" i="3" s="1"/>
  <c r="B1806" i="3"/>
  <c r="G1806" i="3" s="1"/>
  <c r="B1807" i="3"/>
  <c r="G1807" i="3" s="1"/>
  <c r="B1808" i="3"/>
  <c r="G1808" i="3" s="1"/>
  <c r="B1809" i="3"/>
  <c r="G1809" i="3" s="1"/>
  <c r="B1810" i="3"/>
  <c r="G1810" i="3" s="1"/>
  <c r="B1811" i="3"/>
  <c r="G1811" i="3" s="1"/>
  <c r="B1812" i="3"/>
  <c r="G1812" i="3" s="1"/>
  <c r="B1813" i="3"/>
  <c r="G1813" i="3" s="1"/>
  <c r="B1814" i="3"/>
  <c r="G1814" i="3" s="1"/>
  <c r="B1815" i="3"/>
  <c r="G1815" i="3" s="1"/>
  <c r="B1816" i="3"/>
  <c r="G1816" i="3" s="1"/>
  <c r="B1817" i="3"/>
  <c r="G1817" i="3" s="1"/>
  <c r="B1818" i="3"/>
  <c r="G1818" i="3" s="1"/>
  <c r="B1819" i="3"/>
  <c r="G1819" i="3" s="1"/>
  <c r="B1820" i="3"/>
  <c r="G1820" i="3" s="1"/>
  <c r="B1821" i="3"/>
  <c r="G1821" i="3" s="1"/>
  <c r="B1822" i="3"/>
  <c r="G1822" i="3" s="1"/>
  <c r="B1823" i="3"/>
  <c r="G1823" i="3" s="1"/>
  <c r="B1824" i="3"/>
  <c r="G1824" i="3" s="1"/>
  <c r="B1825" i="3"/>
  <c r="G1825" i="3" s="1"/>
  <c r="B1826" i="3"/>
  <c r="G1826" i="3" s="1"/>
  <c r="B1827" i="3"/>
  <c r="G1827" i="3" s="1"/>
  <c r="B1828" i="3"/>
  <c r="G1828" i="3" s="1"/>
  <c r="B1829" i="3"/>
  <c r="G1829" i="3" s="1"/>
  <c r="B1830" i="3"/>
  <c r="G1830" i="3" s="1"/>
  <c r="B1831" i="3"/>
  <c r="G1831" i="3" s="1"/>
  <c r="B1832" i="3"/>
  <c r="G1832" i="3" s="1"/>
  <c r="B1833" i="3"/>
  <c r="G1833" i="3" s="1"/>
  <c r="B1834" i="3"/>
  <c r="G1834" i="3" s="1"/>
  <c r="B1835" i="3"/>
  <c r="G1835" i="3" s="1"/>
  <c r="B1836" i="3"/>
  <c r="G1836" i="3" s="1"/>
  <c r="B1837" i="3"/>
  <c r="G1837" i="3" s="1"/>
  <c r="B1838" i="3"/>
  <c r="G1838" i="3" s="1"/>
  <c r="B1839" i="3"/>
  <c r="G1839" i="3" s="1"/>
  <c r="B1840" i="3"/>
  <c r="G1840" i="3" s="1"/>
  <c r="B1841" i="3"/>
  <c r="G1841" i="3" s="1"/>
  <c r="B1842" i="3"/>
  <c r="G1842" i="3" s="1"/>
  <c r="B1843" i="3"/>
  <c r="G1843" i="3" s="1"/>
  <c r="B1844" i="3"/>
  <c r="G1844" i="3" s="1"/>
  <c r="B1845" i="3"/>
  <c r="G1845" i="3" s="1"/>
  <c r="B1846" i="3"/>
  <c r="G1846" i="3" s="1"/>
  <c r="B1847" i="3"/>
  <c r="G1847" i="3" s="1"/>
  <c r="B1848" i="3"/>
  <c r="G1848" i="3" s="1"/>
  <c r="B1849" i="3"/>
  <c r="G1849" i="3" s="1"/>
  <c r="B1850" i="3"/>
  <c r="G1850" i="3" s="1"/>
  <c r="B1851" i="3"/>
  <c r="G1851" i="3" s="1"/>
  <c r="B1852" i="3"/>
  <c r="G1852" i="3" s="1"/>
  <c r="B1853" i="3"/>
  <c r="G1853" i="3" s="1"/>
  <c r="B1854" i="3"/>
  <c r="G1854" i="3" s="1"/>
  <c r="B1855" i="3"/>
  <c r="G1855" i="3" s="1"/>
  <c r="B1856" i="3"/>
  <c r="G1856" i="3" s="1"/>
  <c r="B1857" i="3"/>
  <c r="G1857" i="3" s="1"/>
  <c r="B1858" i="3"/>
  <c r="G1858" i="3" s="1"/>
  <c r="B1859" i="3"/>
  <c r="G1859" i="3" s="1"/>
  <c r="B1860" i="3"/>
  <c r="G1860" i="3" s="1"/>
  <c r="B1861" i="3"/>
  <c r="G1861" i="3" s="1"/>
  <c r="B1862" i="3"/>
  <c r="G1862" i="3" s="1"/>
  <c r="B1863" i="3"/>
  <c r="G1863" i="3" s="1"/>
  <c r="B1864" i="3"/>
  <c r="G1864" i="3" s="1"/>
  <c r="B1865" i="3"/>
  <c r="G1865" i="3" s="1"/>
  <c r="B1866" i="3"/>
  <c r="G1866" i="3" s="1"/>
  <c r="B1867" i="3"/>
  <c r="G1867" i="3" s="1"/>
  <c r="B1868" i="3"/>
  <c r="G1868" i="3" s="1"/>
  <c r="B1869" i="3"/>
  <c r="G1869" i="3" s="1"/>
  <c r="B1870" i="3"/>
  <c r="G1870" i="3" s="1"/>
  <c r="B1871" i="3"/>
  <c r="G1871" i="3" s="1"/>
  <c r="B1872" i="3"/>
  <c r="G1872" i="3" s="1"/>
  <c r="B1873" i="3"/>
  <c r="G1873" i="3" s="1"/>
  <c r="B1874" i="3"/>
  <c r="G1874" i="3" s="1"/>
  <c r="B1875" i="3"/>
  <c r="G1875" i="3" s="1"/>
  <c r="B1876" i="3"/>
  <c r="G1876" i="3" s="1"/>
  <c r="B1877" i="3"/>
  <c r="G1877" i="3" s="1"/>
  <c r="B1878" i="3"/>
  <c r="G1878" i="3" s="1"/>
  <c r="B1879" i="3"/>
  <c r="G1879" i="3" s="1"/>
  <c r="B1880" i="3"/>
  <c r="G1880" i="3" s="1"/>
  <c r="B1881" i="3"/>
  <c r="G1881" i="3" s="1"/>
  <c r="B1882" i="3"/>
  <c r="G1882" i="3" s="1"/>
  <c r="B1883" i="3"/>
  <c r="G1883" i="3" s="1"/>
  <c r="B1884" i="3"/>
  <c r="G1884" i="3" s="1"/>
  <c r="B1885" i="3"/>
  <c r="G1885" i="3" s="1"/>
  <c r="B1886" i="3"/>
  <c r="G1886" i="3" s="1"/>
  <c r="B1887" i="3"/>
  <c r="G1887" i="3" s="1"/>
  <c r="B1888" i="3"/>
  <c r="G1888" i="3" s="1"/>
  <c r="B1889" i="3"/>
  <c r="G1889" i="3" s="1"/>
  <c r="B1890" i="3"/>
  <c r="G1890" i="3" s="1"/>
  <c r="B1891" i="3"/>
  <c r="G1891" i="3" s="1"/>
  <c r="B1892" i="3"/>
  <c r="G1892" i="3" s="1"/>
  <c r="B1893" i="3"/>
  <c r="G1893" i="3" s="1"/>
  <c r="B1894" i="3"/>
  <c r="G1894" i="3" s="1"/>
  <c r="B1895" i="3"/>
  <c r="G1895" i="3" s="1"/>
  <c r="B1896" i="3"/>
  <c r="G1896" i="3" s="1"/>
  <c r="B1897" i="3"/>
  <c r="G1897" i="3" s="1"/>
  <c r="B1898" i="3"/>
  <c r="G1898" i="3" s="1"/>
  <c r="B1899" i="3"/>
  <c r="G1899" i="3" s="1"/>
  <c r="B1900" i="3"/>
  <c r="G1900" i="3" s="1"/>
  <c r="B1901" i="3"/>
  <c r="G1901" i="3" s="1"/>
  <c r="B1902" i="3"/>
  <c r="G1902" i="3" s="1"/>
  <c r="B1903" i="3"/>
  <c r="G1903" i="3" s="1"/>
  <c r="B1904" i="3"/>
  <c r="G1904" i="3" s="1"/>
  <c r="B1905" i="3"/>
  <c r="G1905" i="3" s="1"/>
  <c r="B1906" i="3"/>
  <c r="G1906" i="3" s="1"/>
  <c r="B1907" i="3"/>
  <c r="G1907" i="3" s="1"/>
  <c r="B1908" i="3"/>
  <c r="G1908" i="3" s="1"/>
  <c r="B1909" i="3"/>
  <c r="G1909" i="3" s="1"/>
  <c r="B1910" i="3"/>
  <c r="G1910" i="3" s="1"/>
  <c r="B1911" i="3"/>
  <c r="G1911" i="3" s="1"/>
  <c r="B1912" i="3"/>
  <c r="G1912" i="3" s="1"/>
  <c r="B1913" i="3"/>
  <c r="G1913" i="3" s="1"/>
  <c r="B1914" i="3"/>
  <c r="G1914" i="3" s="1"/>
  <c r="B1915" i="3"/>
  <c r="G1915" i="3" s="1"/>
  <c r="B1916" i="3"/>
  <c r="G1916" i="3" s="1"/>
  <c r="B1917" i="3"/>
  <c r="G1917" i="3" s="1"/>
  <c r="B1918" i="3"/>
  <c r="G1918" i="3" s="1"/>
  <c r="B1919" i="3"/>
  <c r="G1919" i="3" s="1"/>
  <c r="B1920" i="3"/>
  <c r="G1920" i="3" s="1"/>
  <c r="B1921" i="3"/>
  <c r="G1921" i="3" s="1"/>
  <c r="B1922" i="3"/>
  <c r="G1922" i="3" s="1"/>
  <c r="B1923" i="3"/>
  <c r="G1923" i="3" s="1"/>
  <c r="B1924" i="3"/>
  <c r="G1924" i="3" s="1"/>
  <c r="B1925" i="3"/>
  <c r="G1925" i="3" s="1"/>
  <c r="B1926" i="3"/>
  <c r="G1926" i="3" s="1"/>
  <c r="B1927" i="3"/>
  <c r="G1927" i="3" s="1"/>
  <c r="B1928" i="3"/>
  <c r="G1928" i="3" s="1"/>
  <c r="B1929" i="3"/>
  <c r="G1929" i="3" s="1"/>
  <c r="B1930" i="3"/>
  <c r="G1930" i="3" s="1"/>
  <c r="B1931" i="3"/>
  <c r="G1931" i="3" s="1"/>
  <c r="B1932" i="3"/>
  <c r="G1932" i="3" s="1"/>
  <c r="B1933" i="3"/>
  <c r="G1933" i="3" s="1"/>
  <c r="B1934" i="3"/>
  <c r="G1934" i="3" s="1"/>
  <c r="B1935" i="3"/>
  <c r="G1935" i="3" s="1"/>
  <c r="B1936" i="3"/>
  <c r="G1936" i="3" s="1"/>
  <c r="B1937" i="3"/>
  <c r="G1937" i="3" s="1"/>
  <c r="B1938" i="3"/>
  <c r="G1938" i="3" s="1"/>
  <c r="B1939" i="3"/>
  <c r="G1939" i="3" s="1"/>
  <c r="B1940" i="3"/>
  <c r="G1940" i="3" s="1"/>
  <c r="B1941" i="3"/>
  <c r="G1941" i="3" s="1"/>
  <c r="B1942" i="3"/>
  <c r="G1942" i="3" s="1"/>
  <c r="B1943" i="3"/>
  <c r="G1943" i="3" s="1"/>
  <c r="B1944" i="3"/>
  <c r="G1944" i="3" s="1"/>
  <c r="B1945" i="3"/>
  <c r="G1945" i="3" s="1"/>
  <c r="B1946" i="3"/>
  <c r="G1946" i="3" s="1"/>
  <c r="B1947" i="3"/>
  <c r="G1947" i="3" s="1"/>
  <c r="B1948" i="3"/>
  <c r="G1948" i="3" s="1"/>
  <c r="B1949" i="3"/>
  <c r="G1949" i="3" s="1"/>
  <c r="B1950" i="3"/>
  <c r="G1950" i="3" s="1"/>
  <c r="B1951" i="3"/>
  <c r="G1951" i="3" s="1"/>
  <c r="B1952" i="3"/>
  <c r="G1952" i="3" s="1"/>
  <c r="B1953" i="3"/>
  <c r="G1953" i="3" s="1"/>
  <c r="B1954" i="3"/>
  <c r="G1954" i="3" s="1"/>
  <c r="B1955" i="3"/>
  <c r="G1955" i="3" s="1"/>
  <c r="B1956" i="3"/>
  <c r="G1956" i="3" s="1"/>
  <c r="B1957" i="3"/>
  <c r="G1957" i="3" s="1"/>
  <c r="B1958" i="3"/>
  <c r="G1958" i="3" s="1"/>
  <c r="B1959" i="3"/>
  <c r="G1959" i="3" s="1"/>
  <c r="B1960" i="3"/>
  <c r="G1960" i="3" s="1"/>
  <c r="B1961" i="3"/>
  <c r="G1961" i="3" s="1"/>
  <c r="B1962" i="3"/>
  <c r="G1962" i="3" s="1"/>
  <c r="B1963" i="3"/>
  <c r="G1963" i="3" s="1"/>
  <c r="B1964" i="3"/>
  <c r="G1964" i="3" s="1"/>
  <c r="B1965" i="3"/>
  <c r="G1965" i="3" s="1"/>
  <c r="B1966" i="3"/>
  <c r="G1966" i="3" s="1"/>
  <c r="B1967" i="3"/>
  <c r="G1967" i="3" s="1"/>
  <c r="B1968" i="3"/>
  <c r="G1968" i="3" s="1"/>
  <c r="B1969" i="3"/>
  <c r="G1969" i="3" s="1"/>
  <c r="B1970" i="3"/>
  <c r="G1970" i="3" s="1"/>
  <c r="B1971" i="3"/>
  <c r="G1971" i="3" s="1"/>
  <c r="B1972" i="3"/>
  <c r="G1972" i="3" s="1"/>
  <c r="B1973" i="3"/>
  <c r="G1973" i="3" s="1"/>
  <c r="B1974" i="3"/>
  <c r="G1974" i="3" s="1"/>
  <c r="B1975" i="3"/>
  <c r="G1975" i="3" s="1"/>
  <c r="B1976" i="3"/>
  <c r="G1976" i="3" s="1"/>
  <c r="B1977" i="3"/>
  <c r="G1977" i="3" s="1"/>
  <c r="B1978" i="3"/>
  <c r="G1978" i="3" s="1"/>
  <c r="B1979" i="3"/>
  <c r="G1979" i="3" s="1"/>
  <c r="B1980" i="3"/>
  <c r="G1980" i="3" s="1"/>
  <c r="B1981" i="3"/>
  <c r="G1981" i="3" s="1"/>
  <c r="B1982" i="3"/>
  <c r="G1982" i="3" s="1"/>
  <c r="B1983" i="3"/>
  <c r="G1983" i="3" s="1"/>
  <c r="B1984" i="3"/>
  <c r="G1984" i="3" s="1"/>
  <c r="B1985" i="3"/>
  <c r="G1985" i="3" s="1"/>
  <c r="B1986" i="3"/>
  <c r="G1986" i="3" s="1"/>
  <c r="B1987" i="3"/>
  <c r="G1987" i="3" s="1"/>
  <c r="B1988" i="3"/>
  <c r="G1988" i="3" s="1"/>
  <c r="B1989" i="3"/>
  <c r="G1989" i="3" s="1"/>
  <c r="B1990" i="3"/>
  <c r="G1990" i="3" s="1"/>
  <c r="B1991" i="3"/>
  <c r="G1991" i="3" s="1"/>
  <c r="B1992" i="3"/>
  <c r="G1992" i="3" s="1"/>
  <c r="B1993" i="3"/>
  <c r="G1993" i="3" s="1"/>
  <c r="B1994" i="3"/>
  <c r="G1994" i="3" s="1"/>
  <c r="B1995" i="3"/>
  <c r="G1995" i="3" s="1"/>
  <c r="B1996" i="3"/>
  <c r="G1996" i="3" s="1"/>
  <c r="B1997" i="3"/>
  <c r="G1997" i="3" s="1"/>
  <c r="B1998" i="3"/>
  <c r="G1998" i="3" s="1"/>
  <c r="B1999" i="3"/>
  <c r="G1999" i="3" s="1"/>
  <c r="B2000" i="3"/>
  <c r="G2000" i="3" s="1"/>
  <c r="B2001" i="3"/>
  <c r="G2001" i="3" s="1"/>
  <c r="B2002" i="3"/>
  <c r="G2002" i="3" s="1"/>
  <c r="B2003" i="3"/>
  <c r="G2003" i="3" s="1"/>
  <c r="B2004" i="3"/>
  <c r="G2004" i="3" s="1"/>
  <c r="B2005" i="3"/>
  <c r="G2005" i="3" s="1"/>
  <c r="B2006" i="3"/>
  <c r="G2006" i="3" s="1"/>
  <c r="B2007" i="3"/>
  <c r="G2007" i="3" s="1"/>
  <c r="B2008" i="3"/>
  <c r="G2008" i="3" s="1"/>
  <c r="B2009" i="3"/>
  <c r="G2009" i="3" s="1"/>
  <c r="B2010" i="3"/>
  <c r="G2010" i="3" s="1"/>
  <c r="B2011" i="3"/>
  <c r="G2011" i="3" s="1"/>
  <c r="B2012" i="3"/>
  <c r="G2012" i="3" s="1"/>
  <c r="B2013" i="3"/>
  <c r="G2013" i="3" s="1"/>
  <c r="B2014" i="3"/>
  <c r="G2014" i="3" s="1"/>
  <c r="B2015" i="3"/>
  <c r="G2015" i="3" s="1"/>
  <c r="B2016" i="3"/>
  <c r="G2016" i="3" s="1"/>
  <c r="B2017" i="3"/>
  <c r="G2017" i="3" s="1"/>
  <c r="B2018" i="3"/>
  <c r="G2018" i="3" s="1"/>
  <c r="B2019" i="3"/>
  <c r="G2019" i="3" s="1"/>
  <c r="B2020" i="3"/>
  <c r="G2020" i="3" s="1"/>
  <c r="B2021" i="3"/>
  <c r="G2021" i="3" s="1"/>
  <c r="B2022" i="3"/>
  <c r="G2022" i="3" s="1"/>
  <c r="B2023" i="3"/>
  <c r="G2023" i="3" s="1"/>
  <c r="B2024" i="3"/>
  <c r="G2024" i="3" s="1"/>
  <c r="B2025" i="3"/>
  <c r="G2025" i="3" s="1"/>
  <c r="B2026" i="3"/>
  <c r="G2026" i="3" s="1"/>
  <c r="B2027" i="3"/>
  <c r="G2027" i="3" s="1"/>
  <c r="B2028" i="3"/>
  <c r="G2028" i="3" s="1"/>
  <c r="B2029" i="3"/>
  <c r="G2029" i="3" s="1"/>
  <c r="B2030" i="3"/>
  <c r="G2030" i="3" s="1"/>
  <c r="B2031" i="3"/>
  <c r="G2031" i="3" s="1"/>
  <c r="B2032" i="3"/>
  <c r="G2032" i="3" s="1"/>
  <c r="B2033" i="3"/>
  <c r="G2033" i="3" s="1"/>
  <c r="B2034" i="3"/>
  <c r="G2034" i="3" s="1"/>
  <c r="B2035" i="3"/>
  <c r="G2035" i="3" s="1"/>
  <c r="B2036" i="3"/>
  <c r="G2036" i="3" s="1"/>
  <c r="B2037" i="3"/>
  <c r="G2037" i="3" s="1"/>
  <c r="B2038" i="3"/>
  <c r="G2038" i="3" s="1"/>
  <c r="B2039" i="3"/>
  <c r="G2039" i="3" s="1"/>
  <c r="B2040" i="3"/>
  <c r="G2040" i="3" s="1"/>
  <c r="B2041" i="3"/>
  <c r="G2041" i="3" s="1"/>
  <c r="B2042" i="3"/>
  <c r="G2042" i="3" s="1"/>
  <c r="B2043" i="3"/>
  <c r="G2043" i="3" s="1"/>
  <c r="B2044" i="3"/>
  <c r="G2044" i="3" s="1"/>
  <c r="B2045" i="3"/>
  <c r="G2045" i="3" s="1"/>
  <c r="B2046" i="3"/>
  <c r="G2046" i="3" s="1"/>
  <c r="B2047" i="3"/>
  <c r="G2047" i="3" s="1"/>
  <c r="B2048" i="3"/>
  <c r="G2048" i="3" s="1"/>
  <c r="B2049" i="3"/>
  <c r="G2049" i="3" s="1"/>
  <c r="B2050" i="3"/>
  <c r="G2050" i="3" s="1"/>
  <c r="B2051" i="3"/>
  <c r="G2051" i="3" s="1"/>
  <c r="B2052" i="3"/>
  <c r="G2052" i="3" s="1"/>
  <c r="B2053" i="3"/>
  <c r="G2053" i="3" s="1"/>
  <c r="B2054" i="3"/>
  <c r="G2054" i="3" s="1"/>
  <c r="B2055" i="3"/>
  <c r="G2055" i="3" s="1"/>
  <c r="B2056" i="3"/>
  <c r="G2056" i="3" s="1"/>
  <c r="B2057" i="3"/>
  <c r="G2057" i="3" s="1"/>
  <c r="B2058" i="3"/>
  <c r="G2058" i="3" s="1"/>
  <c r="B2059" i="3"/>
  <c r="G2059" i="3" s="1"/>
  <c r="B2060" i="3"/>
  <c r="G2060" i="3" s="1"/>
  <c r="B2061" i="3"/>
  <c r="G2061" i="3" s="1"/>
  <c r="B2062" i="3"/>
  <c r="G2062" i="3" s="1"/>
  <c r="B2063" i="3"/>
  <c r="G2063" i="3" s="1"/>
  <c r="B2064" i="3"/>
  <c r="G2064" i="3" s="1"/>
  <c r="B2065" i="3"/>
  <c r="G2065" i="3" s="1"/>
  <c r="B2066" i="3"/>
  <c r="G2066" i="3" s="1"/>
  <c r="B2067" i="3"/>
  <c r="G2067" i="3" s="1"/>
  <c r="B2068" i="3"/>
  <c r="G2068" i="3" s="1"/>
  <c r="B2069" i="3"/>
  <c r="G2069" i="3" s="1"/>
  <c r="B2070" i="3"/>
  <c r="G2070" i="3" s="1"/>
  <c r="B2071" i="3"/>
  <c r="G2071" i="3" s="1"/>
  <c r="B2072" i="3"/>
  <c r="G2072" i="3" s="1"/>
  <c r="B2073" i="3"/>
  <c r="G2073" i="3" s="1"/>
  <c r="B2074" i="3"/>
  <c r="G2074" i="3" s="1"/>
  <c r="B2075" i="3"/>
  <c r="G2075" i="3" s="1"/>
  <c r="B2076" i="3"/>
  <c r="G2076" i="3" s="1"/>
  <c r="B2077" i="3"/>
  <c r="G2077" i="3" s="1"/>
  <c r="B2078" i="3"/>
  <c r="G2078" i="3" s="1"/>
  <c r="B2079" i="3"/>
  <c r="G2079" i="3" s="1"/>
  <c r="B2080" i="3"/>
  <c r="G2080" i="3" s="1"/>
  <c r="B2081" i="3"/>
  <c r="G2081" i="3" s="1"/>
  <c r="B2082" i="3"/>
  <c r="G2082" i="3" s="1"/>
  <c r="B2083" i="3"/>
  <c r="G2083" i="3" s="1"/>
  <c r="B2084" i="3"/>
  <c r="G2084" i="3" s="1"/>
  <c r="B2085" i="3"/>
  <c r="G2085" i="3" s="1"/>
  <c r="B2086" i="3"/>
  <c r="G2086" i="3" s="1"/>
  <c r="B2087" i="3"/>
  <c r="G2087" i="3" s="1"/>
  <c r="B2088" i="3"/>
  <c r="G2088" i="3" s="1"/>
  <c r="B2089" i="3"/>
  <c r="G2089" i="3" s="1"/>
  <c r="B2090" i="3"/>
  <c r="G2090" i="3" s="1"/>
  <c r="B2091" i="3"/>
  <c r="G2091" i="3" s="1"/>
  <c r="B2092" i="3"/>
  <c r="G2092" i="3" s="1"/>
  <c r="B2093" i="3"/>
  <c r="G2093" i="3" s="1"/>
  <c r="B2094" i="3"/>
  <c r="G2094" i="3" s="1"/>
  <c r="B2095" i="3"/>
  <c r="G2095" i="3" s="1"/>
  <c r="B2096" i="3"/>
  <c r="G2096" i="3" s="1"/>
  <c r="B2097" i="3"/>
  <c r="G2097" i="3" s="1"/>
  <c r="B2098" i="3"/>
  <c r="G2098" i="3" s="1"/>
  <c r="B2099" i="3"/>
  <c r="G2099" i="3" s="1"/>
  <c r="B2100" i="3"/>
  <c r="G2100" i="3" s="1"/>
  <c r="B2101" i="3"/>
  <c r="G2101" i="3" s="1"/>
  <c r="B2102" i="3"/>
  <c r="G2102" i="3" s="1"/>
  <c r="B2103" i="3"/>
  <c r="G2103" i="3" s="1"/>
  <c r="B2104" i="3"/>
  <c r="G2104" i="3" s="1"/>
  <c r="B2105" i="3"/>
  <c r="G2105" i="3" s="1"/>
  <c r="B2106" i="3"/>
  <c r="G2106" i="3" s="1"/>
  <c r="B2107" i="3"/>
  <c r="G2107" i="3" s="1"/>
  <c r="B2108" i="3"/>
  <c r="G2108" i="3" s="1"/>
  <c r="B2109" i="3"/>
  <c r="G2109" i="3" s="1"/>
  <c r="B2110" i="3"/>
  <c r="G2110" i="3" s="1"/>
  <c r="B2111" i="3"/>
  <c r="G2111" i="3" s="1"/>
  <c r="B2112" i="3"/>
  <c r="G2112" i="3" s="1"/>
  <c r="B2113" i="3"/>
  <c r="G2113" i="3" s="1"/>
  <c r="B2114" i="3"/>
  <c r="G2114" i="3" s="1"/>
  <c r="B2115" i="3"/>
  <c r="G2115" i="3" s="1"/>
  <c r="B2116" i="3"/>
  <c r="G2116" i="3" s="1"/>
  <c r="B2117" i="3"/>
  <c r="G2117" i="3" s="1"/>
  <c r="B2118" i="3"/>
  <c r="G2118" i="3" s="1"/>
  <c r="B2119" i="3"/>
  <c r="G2119" i="3" s="1"/>
  <c r="B2120" i="3"/>
  <c r="G2120" i="3" s="1"/>
  <c r="B2121" i="3"/>
  <c r="G2121" i="3" s="1"/>
  <c r="B2122" i="3"/>
  <c r="G2122" i="3" s="1"/>
  <c r="B2123" i="3"/>
  <c r="G2123" i="3" s="1"/>
  <c r="B2124" i="3"/>
  <c r="G2124" i="3" s="1"/>
  <c r="B2125" i="3"/>
  <c r="G2125" i="3" s="1"/>
  <c r="B2126" i="3"/>
  <c r="G2126" i="3" s="1"/>
  <c r="B2127" i="3"/>
  <c r="G2127" i="3" s="1"/>
  <c r="B2128" i="3"/>
  <c r="G2128" i="3" s="1"/>
  <c r="B2129" i="3"/>
  <c r="G2129" i="3" s="1"/>
  <c r="B2130" i="3"/>
  <c r="G2130" i="3" s="1"/>
  <c r="B2131" i="3"/>
  <c r="G2131" i="3" s="1"/>
  <c r="B2132" i="3"/>
  <c r="G2132" i="3" s="1"/>
  <c r="B2133" i="3"/>
  <c r="G2133" i="3" s="1"/>
  <c r="B2134" i="3"/>
  <c r="G2134" i="3" s="1"/>
  <c r="B2135" i="3"/>
  <c r="G2135" i="3" s="1"/>
  <c r="B2136" i="3"/>
  <c r="G2136" i="3" s="1"/>
  <c r="B2137" i="3"/>
  <c r="G2137" i="3" s="1"/>
  <c r="B2138" i="3"/>
  <c r="G2138" i="3" s="1"/>
  <c r="B2139" i="3"/>
  <c r="G2139" i="3" s="1"/>
  <c r="B2140" i="3"/>
  <c r="G2140" i="3" s="1"/>
  <c r="B2141" i="3"/>
  <c r="G2141" i="3" s="1"/>
  <c r="B2142" i="3"/>
  <c r="G2142" i="3" s="1"/>
  <c r="B2143" i="3"/>
  <c r="G2143" i="3" s="1"/>
  <c r="B2144" i="3"/>
  <c r="G2144" i="3" s="1"/>
  <c r="B2145" i="3"/>
  <c r="G2145" i="3" s="1"/>
  <c r="B2146" i="3"/>
  <c r="G2146" i="3" s="1"/>
  <c r="B2147" i="3"/>
  <c r="G2147" i="3" s="1"/>
  <c r="B2148" i="3"/>
  <c r="G2148" i="3" s="1"/>
  <c r="B2149" i="3"/>
  <c r="G2149" i="3" s="1"/>
  <c r="B2150" i="3"/>
  <c r="G2150" i="3" s="1"/>
  <c r="B2151" i="3"/>
  <c r="G2151" i="3" s="1"/>
  <c r="B2152" i="3"/>
  <c r="G2152" i="3" s="1"/>
  <c r="B2153" i="3"/>
  <c r="G2153" i="3" s="1"/>
  <c r="B2154" i="3"/>
  <c r="G2154" i="3" s="1"/>
  <c r="B2155" i="3"/>
  <c r="G2155" i="3" s="1"/>
  <c r="B2156" i="3"/>
  <c r="G2156" i="3" s="1"/>
  <c r="B2157" i="3"/>
  <c r="G2157" i="3" s="1"/>
  <c r="B2158" i="3"/>
  <c r="G2158" i="3" s="1"/>
  <c r="B2159" i="3"/>
  <c r="G2159" i="3" s="1"/>
  <c r="B2160" i="3"/>
  <c r="G2160" i="3" s="1"/>
  <c r="B2161" i="3"/>
  <c r="G2161" i="3" s="1"/>
  <c r="B2162" i="3"/>
  <c r="G2162" i="3" s="1"/>
  <c r="B2163" i="3"/>
  <c r="B2164" i="3"/>
  <c r="G2164" i="3" s="1"/>
  <c r="B2165" i="3"/>
  <c r="G2165" i="3" s="1"/>
  <c r="B2166" i="3"/>
  <c r="G2166" i="3" s="1"/>
  <c r="B2167" i="3"/>
  <c r="G2167" i="3" s="1"/>
  <c r="B2168" i="3"/>
  <c r="G2168" i="3" s="1"/>
  <c r="B2169" i="3"/>
  <c r="G2169" i="3" s="1"/>
  <c r="B2170" i="3"/>
  <c r="G2170" i="3" s="1"/>
  <c r="B2171" i="3"/>
  <c r="G2171" i="3" s="1"/>
  <c r="B2172" i="3"/>
  <c r="G2172" i="3" s="1"/>
  <c r="B2173" i="3"/>
  <c r="G2173" i="3" s="1"/>
  <c r="B2174" i="3"/>
  <c r="G2174" i="3" s="1"/>
  <c r="B2175" i="3"/>
  <c r="G2175" i="3" s="1"/>
  <c r="B2176" i="3"/>
  <c r="G2176" i="3" s="1"/>
  <c r="B2177" i="3"/>
  <c r="G2177" i="3" s="1"/>
  <c r="B2178" i="3"/>
  <c r="G2178" i="3" s="1"/>
  <c r="B2179" i="3"/>
  <c r="G2179" i="3" s="1"/>
  <c r="B2180" i="3"/>
  <c r="G2180" i="3" s="1"/>
  <c r="B2181" i="3"/>
  <c r="G2181" i="3" s="1"/>
  <c r="B2182" i="3"/>
  <c r="G2182" i="3" s="1"/>
  <c r="B2183" i="3"/>
  <c r="G2183" i="3" s="1"/>
  <c r="B2184" i="3"/>
  <c r="G2184" i="3" s="1"/>
  <c r="B2185" i="3"/>
  <c r="G2185" i="3" s="1"/>
  <c r="B2186" i="3"/>
  <c r="G2186" i="3" s="1"/>
  <c r="B2187" i="3"/>
  <c r="G2187" i="3" s="1"/>
  <c r="B2188" i="3"/>
  <c r="G2188" i="3" s="1"/>
  <c r="B2189" i="3"/>
  <c r="G2189" i="3" s="1"/>
  <c r="B2190" i="3"/>
  <c r="G2190" i="3" s="1"/>
  <c r="B2191" i="3"/>
  <c r="G2191" i="3" s="1"/>
  <c r="B2192" i="3"/>
  <c r="G2192" i="3" s="1"/>
  <c r="B2193" i="3"/>
  <c r="G2193" i="3" s="1"/>
  <c r="B2194" i="3"/>
  <c r="G2194" i="3" s="1"/>
  <c r="B2195" i="3"/>
  <c r="G2195" i="3" s="1"/>
  <c r="B2196" i="3"/>
  <c r="G2196" i="3" s="1"/>
  <c r="B2197" i="3"/>
  <c r="G2197" i="3" s="1"/>
  <c r="B2198" i="3"/>
  <c r="G2198" i="3" s="1"/>
  <c r="B2199" i="3"/>
  <c r="G2199" i="3" s="1"/>
  <c r="B2200" i="3"/>
  <c r="G2200" i="3" s="1"/>
  <c r="B2201" i="3"/>
  <c r="G2201" i="3" s="1"/>
  <c r="B2202" i="3"/>
  <c r="G2202" i="3" s="1"/>
  <c r="B2203" i="3"/>
  <c r="G2203" i="3" s="1"/>
  <c r="B2204" i="3"/>
  <c r="G2204" i="3" s="1"/>
  <c r="B2205" i="3"/>
  <c r="G2205" i="3" s="1"/>
  <c r="B2206" i="3"/>
  <c r="G2206" i="3" s="1"/>
  <c r="B2207" i="3"/>
  <c r="G2207" i="3" s="1"/>
  <c r="B2208" i="3"/>
  <c r="G2208" i="3" s="1"/>
  <c r="B2209" i="3"/>
  <c r="G2209" i="3" s="1"/>
  <c r="B2210" i="3"/>
  <c r="G2210" i="3" s="1"/>
  <c r="B2211" i="3"/>
  <c r="G2211" i="3" s="1"/>
  <c r="B2212" i="3"/>
  <c r="G2212" i="3" s="1"/>
  <c r="B2213" i="3"/>
  <c r="G2213" i="3" s="1"/>
  <c r="B2214" i="3"/>
  <c r="G2214" i="3" s="1"/>
  <c r="B2215" i="3"/>
  <c r="G2215" i="3" s="1"/>
  <c r="B2216" i="3"/>
  <c r="G2216" i="3" s="1"/>
  <c r="B2217" i="3"/>
  <c r="G2217" i="3" s="1"/>
  <c r="B2218" i="3"/>
  <c r="G2218" i="3" s="1"/>
  <c r="B2219" i="3"/>
  <c r="G2219" i="3" s="1"/>
  <c r="B2220" i="3"/>
  <c r="G2220" i="3" s="1"/>
  <c r="B2221" i="3"/>
  <c r="G2221" i="3" s="1"/>
  <c r="B2222" i="3"/>
  <c r="G2222" i="3" s="1"/>
  <c r="B2223" i="3"/>
  <c r="G2223" i="3" s="1"/>
  <c r="B2224" i="3"/>
  <c r="B2225" i="3"/>
  <c r="G2225" i="3" s="1"/>
  <c r="B2226" i="3"/>
  <c r="G2226" i="3" s="1"/>
  <c r="B2227" i="3"/>
  <c r="G2227" i="3" s="1"/>
  <c r="B2228" i="3"/>
  <c r="G2228" i="3" s="1"/>
  <c r="B2229" i="3"/>
  <c r="G2229" i="3" s="1"/>
  <c r="B2230" i="3"/>
  <c r="G2230" i="3" s="1"/>
  <c r="B2231" i="3"/>
  <c r="G2231" i="3" s="1"/>
  <c r="B2232" i="3"/>
  <c r="G2232" i="3" s="1"/>
  <c r="B2233" i="3"/>
  <c r="G2233" i="3" s="1"/>
  <c r="B2234" i="3"/>
  <c r="G2234" i="3" s="1"/>
  <c r="B2235" i="3"/>
  <c r="G2235" i="3" s="1"/>
  <c r="B2236" i="3"/>
  <c r="G2236" i="3" s="1"/>
  <c r="B2237" i="3"/>
  <c r="G2237" i="3" s="1"/>
  <c r="B2238" i="3"/>
  <c r="G2238" i="3" s="1"/>
  <c r="B2239" i="3"/>
  <c r="G2239" i="3" s="1"/>
  <c r="B2240" i="3"/>
  <c r="G2240" i="3" s="1"/>
  <c r="B2241" i="3"/>
  <c r="G2241" i="3" s="1"/>
  <c r="B2242" i="3"/>
  <c r="G2242" i="3" s="1"/>
  <c r="B2243" i="3"/>
  <c r="G2243" i="3" s="1"/>
  <c r="B2244" i="3"/>
  <c r="G2244" i="3" s="1"/>
  <c r="B2245" i="3"/>
  <c r="G2245" i="3" s="1"/>
  <c r="B2246" i="3"/>
  <c r="G2246" i="3" s="1"/>
  <c r="B2247" i="3"/>
  <c r="G2247" i="3" s="1"/>
  <c r="B2248" i="3"/>
  <c r="G2248" i="3" s="1"/>
  <c r="B2249" i="3"/>
  <c r="G2249" i="3" s="1"/>
  <c r="B2250" i="3"/>
  <c r="G2250" i="3" s="1"/>
  <c r="B2251" i="3"/>
  <c r="G2251" i="3" s="1"/>
  <c r="B2252" i="3"/>
  <c r="G2252" i="3" s="1"/>
  <c r="B2253" i="3"/>
  <c r="G2253" i="3" s="1"/>
  <c r="B2254" i="3"/>
  <c r="G2254" i="3" s="1"/>
  <c r="B2255" i="3"/>
  <c r="G2255" i="3" s="1"/>
  <c r="B2256" i="3"/>
  <c r="G2256" i="3" s="1"/>
  <c r="B2257" i="3"/>
  <c r="G2257" i="3" s="1"/>
  <c r="B2258" i="3"/>
  <c r="G2258" i="3" s="1"/>
  <c r="B2259" i="3"/>
  <c r="G2259" i="3" s="1"/>
  <c r="B2260" i="3"/>
  <c r="G2260" i="3" s="1"/>
  <c r="B2261" i="3"/>
  <c r="G2261" i="3" s="1"/>
  <c r="B2262" i="3"/>
  <c r="G2262" i="3" s="1"/>
  <c r="B2263" i="3"/>
  <c r="G2263" i="3" s="1"/>
  <c r="B2264" i="3"/>
  <c r="G2264" i="3" s="1"/>
  <c r="B2265" i="3"/>
  <c r="G2265" i="3" s="1"/>
  <c r="B2266" i="3"/>
  <c r="G2266" i="3" s="1"/>
  <c r="B2267" i="3"/>
  <c r="G2267" i="3" s="1"/>
  <c r="B2268" i="3"/>
  <c r="G2268" i="3" s="1"/>
  <c r="B2269" i="3"/>
  <c r="G2269" i="3" s="1"/>
  <c r="B2270" i="3"/>
  <c r="G2270" i="3" s="1"/>
  <c r="B2271" i="3"/>
  <c r="G2271" i="3" s="1"/>
  <c r="B2272" i="3"/>
  <c r="G2272" i="3" s="1"/>
  <c r="B2273" i="3"/>
  <c r="G2273" i="3" s="1"/>
  <c r="B2274" i="3"/>
  <c r="G2274" i="3" s="1"/>
  <c r="B2275" i="3"/>
  <c r="G2275" i="3" s="1"/>
  <c r="B2276" i="3"/>
  <c r="G2276" i="3" s="1"/>
  <c r="B2277" i="3"/>
  <c r="G2277" i="3" s="1"/>
  <c r="B2278" i="3"/>
  <c r="G2278" i="3" s="1"/>
  <c r="B2279" i="3"/>
  <c r="G2279" i="3" s="1"/>
  <c r="B2280" i="3"/>
  <c r="G2280" i="3" s="1"/>
  <c r="B2281" i="3"/>
  <c r="G2281" i="3" s="1"/>
  <c r="B2282" i="3"/>
  <c r="G2282" i="3" s="1"/>
  <c r="B2283" i="3"/>
  <c r="G2283" i="3" s="1"/>
  <c r="B2284" i="3"/>
  <c r="G2284" i="3" s="1"/>
  <c r="B2285" i="3"/>
  <c r="G2285" i="3" s="1"/>
  <c r="B2286" i="3"/>
  <c r="G2286" i="3" s="1"/>
  <c r="B2287" i="3"/>
  <c r="G2287" i="3" s="1"/>
  <c r="B2288" i="3"/>
  <c r="G2288" i="3" s="1"/>
  <c r="B2289" i="3"/>
  <c r="G2289" i="3" s="1"/>
  <c r="B2290" i="3"/>
  <c r="G2290" i="3" s="1"/>
  <c r="B2291" i="3"/>
  <c r="G2291" i="3" s="1"/>
  <c r="B2292" i="3"/>
  <c r="G2292" i="3" s="1"/>
  <c r="B2293" i="3"/>
  <c r="G2293" i="3" s="1"/>
  <c r="B2294" i="3"/>
  <c r="G2294" i="3" s="1"/>
  <c r="B2295" i="3"/>
  <c r="G2295" i="3" s="1"/>
  <c r="B2296" i="3"/>
  <c r="G2296" i="3" s="1"/>
  <c r="B2297" i="3"/>
  <c r="G2297" i="3" s="1"/>
  <c r="B2298" i="3"/>
  <c r="G2298" i="3" s="1"/>
  <c r="B2299" i="3"/>
  <c r="G2299" i="3" s="1"/>
  <c r="B2300" i="3"/>
  <c r="G2300" i="3" s="1"/>
  <c r="B2301" i="3"/>
  <c r="G2301" i="3" s="1"/>
  <c r="B2302" i="3"/>
  <c r="G2302" i="3" s="1"/>
  <c r="B2303" i="3"/>
  <c r="G2303" i="3" s="1"/>
  <c r="B2304" i="3"/>
  <c r="G2304" i="3" s="1"/>
  <c r="B2305" i="3"/>
  <c r="G2305" i="3" s="1"/>
  <c r="B2306" i="3"/>
  <c r="G2306" i="3" s="1"/>
  <c r="B2307" i="3"/>
  <c r="G2307" i="3" s="1"/>
  <c r="B2308" i="3"/>
  <c r="G2308" i="3" s="1"/>
  <c r="B2309" i="3"/>
  <c r="G2309" i="3" s="1"/>
  <c r="B2310" i="3"/>
  <c r="G2310" i="3" s="1"/>
  <c r="B2311" i="3"/>
  <c r="G2311" i="3" s="1"/>
  <c r="B2312" i="3"/>
  <c r="G2312" i="3" s="1"/>
  <c r="B2313" i="3"/>
  <c r="G2313" i="3" s="1"/>
  <c r="B2314" i="3"/>
  <c r="G2314" i="3" s="1"/>
  <c r="B2315" i="3"/>
  <c r="G2315" i="3" s="1"/>
  <c r="B2316" i="3"/>
  <c r="G2316" i="3" s="1"/>
  <c r="B2317" i="3"/>
  <c r="G2317" i="3" s="1"/>
  <c r="B2318" i="3"/>
  <c r="G2318" i="3" s="1"/>
  <c r="B2319" i="3"/>
  <c r="G2319" i="3" s="1"/>
  <c r="B2320" i="3"/>
  <c r="G2320" i="3" s="1"/>
  <c r="B2321" i="3"/>
  <c r="G2321" i="3" s="1"/>
  <c r="B2322" i="3"/>
  <c r="G2322" i="3" s="1"/>
  <c r="B2323" i="3"/>
  <c r="B2324" i="3"/>
  <c r="G2324" i="3" s="1"/>
  <c r="B2325" i="3"/>
  <c r="G2325" i="3" s="1"/>
  <c r="B2326" i="3"/>
  <c r="G2326" i="3" s="1"/>
  <c r="B2327" i="3"/>
  <c r="G2327" i="3" s="1"/>
  <c r="B2328" i="3"/>
  <c r="G2328" i="3" s="1"/>
  <c r="B2329" i="3"/>
  <c r="G2329" i="3" s="1"/>
  <c r="B2330" i="3"/>
  <c r="G2330" i="3" s="1"/>
  <c r="B2331" i="3"/>
  <c r="G2331" i="3" s="1"/>
  <c r="B2332" i="3"/>
  <c r="G2332" i="3" s="1"/>
  <c r="B2333" i="3"/>
  <c r="G2333" i="3" s="1"/>
  <c r="B2334" i="3"/>
  <c r="G2334" i="3" s="1"/>
  <c r="B2335" i="3"/>
  <c r="G2335" i="3" s="1"/>
  <c r="B2336" i="3"/>
  <c r="G2336" i="3" s="1"/>
  <c r="B2337" i="3"/>
  <c r="G2337" i="3" s="1"/>
  <c r="B2338" i="3"/>
  <c r="G2338" i="3" s="1"/>
  <c r="B2339" i="3"/>
  <c r="G2339" i="3" s="1"/>
  <c r="B2340" i="3"/>
  <c r="G2340" i="3" s="1"/>
  <c r="B2341" i="3"/>
  <c r="G2341" i="3" s="1"/>
  <c r="B2342" i="3"/>
  <c r="G2342" i="3" s="1"/>
  <c r="B2343" i="3"/>
  <c r="G2343" i="3" s="1"/>
  <c r="B2344" i="3"/>
  <c r="G2344" i="3" s="1"/>
  <c r="B2345" i="3"/>
  <c r="G2345" i="3" s="1"/>
  <c r="B2346" i="3"/>
  <c r="G2346" i="3" s="1"/>
  <c r="B2347" i="3"/>
  <c r="G2347" i="3" s="1"/>
  <c r="B2348" i="3"/>
  <c r="G2348" i="3" s="1"/>
  <c r="B2349" i="3"/>
  <c r="G2349" i="3" s="1"/>
  <c r="B2350" i="3"/>
  <c r="G2350" i="3" s="1"/>
  <c r="B2351" i="3"/>
  <c r="G2351" i="3" s="1"/>
  <c r="B2352" i="3"/>
  <c r="G2352" i="3" s="1"/>
  <c r="B2353" i="3"/>
  <c r="G2353" i="3" s="1"/>
  <c r="B2354" i="3"/>
  <c r="G2354" i="3" s="1"/>
  <c r="B2355" i="3"/>
  <c r="G2355" i="3" s="1"/>
  <c r="B2356" i="3"/>
  <c r="G2356" i="3" s="1"/>
  <c r="B2357" i="3"/>
  <c r="G2357" i="3" s="1"/>
  <c r="B2358" i="3"/>
  <c r="G2358" i="3" s="1"/>
  <c r="B2359" i="3"/>
  <c r="G2359" i="3" s="1"/>
  <c r="B2360" i="3"/>
  <c r="G2360" i="3" s="1"/>
  <c r="B2361" i="3"/>
  <c r="G2361" i="3" s="1"/>
  <c r="B2362" i="3"/>
  <c r="G2362" i="3" s="1"/>
  <c r="B2363" i="3"/>
  <c r="B2364" i="3"/>
  <c r="G2364" i="3" s="1"/>
  <c r="B2365" i="3"/>
  <c r="G2365" i="3" s="1"/>
  <c r="B2366" i="3"/>
  <c r="G2366" i="3" s="1"/>
  <c r="B2367" i="3"/>
  <c r="G2367" i="3" s="1"/>
  <c r="B2368" i="3"/>
  <c r="G2368" i="3" s="1"/>
  <c r="B2369" i="3"/>
  <c r="G2369" i="3" s="1"/>
  <c r="B2370" i="3"/>
  <c r="G2370" i="3" s="1"/>
  <c r="B2371" i="3"/>
  <c r="G2371" i="3" s="1"/>
  <c r="B2372" i="3"/>
  <c r="G2372" i="3" s="1"/>
  <c r="B2373" i="3"/>
  <c r="G2373" i="3" s="1"/>
  <c r="B2374" i="3"/>
  <c r="G2374" i="3" s="1"/>
  <c r="B2375" i="3"/>
  <c r="G2375" i="3" s="1"/>
  <c r="B2376" i="3"/>
  <c r="G2376" i="3" s="1"/>
  <c r="B2377" i="3"/>
  <c r="G2377" i="3" s="1"/>
  <c r="B2378" i="3"/>
  <c r="G2378" i="3" s="1"/>
  <c r="B2379" i="3"/>
  <c r="G2379" i="3" s="1"/>
  <c r="B2380" i="3"/>
  <c r="G2380" i="3" s="1"/>
  <c r="B2381" i="3"/>
  <c r="G2381" i="3" s="1"/>
  <c r="B2382" i="3"/>
  <c r="G2382" i="3" s="1"/>
  <c r="B2383" i="3"/>
  <c r="G2383" i="3" s="1"/>
  <c r="B2384" i="3"/>
  <c r="G2384" i="3" s="1"/>
  <c r="B2385" i="3"/>
  <c r="G2385" i="3" s="1"/>
  <c r="B2386" i="3"/>
  <c r="G2386" i="3" s="1"/>
  <c r="B2387" i="3"/>
  <c r="G2387" i="3" s="1"/>
  <c r="B2388" i="3"/>
  <c r="G2388" i="3" s="1"/>
  <c r="B2389" i="3"/>
  <c r="G2389" i="3" s="1"/>
  <c r="B2390" i="3"/>
  <c r="G2390" i="3" s="1"/>
  <c r="B2391" i="3"/>
  <c r="G2391" i="3" s="1"/>
  <c r="B2392" i="3"/>
  <c r="G2392" i="3" s="1"/>
  <c r="B2393" i="3"/>
  <c r="G2393" i="3" s="1"/>
  <c r="B2394" i="3"/>
  <c r="G2394" i="3" s="1"/>
  <c r="B2395" i="3"/>
  <c r="G2395" i="3" s="1"/>
  <c r="B2396" i="3"/>
  <c r="G2396" i="3" s="1"/>
  <c r="B2397" i="3"/>
  <c r="G2397" i="3" s="1"/>
  <c r="B2398" i="3"/>
  <c r="G2398" i="3" s="1"/>
  <c r="B2399" i="3"/>
  <c r="G2399" i="3" s="1"/>
  <c r="B2400" i="3"/>
  <c r="G2400" i="3" s="1"/>
  <c r="B2401" i="3"/>
  <c r="G2401" i="3" s="1"/>
  <c r="B2402" i="3"/>
  <c r="G2402" i="3" s="1"/>
  <c r="B2403" i="3"/>
  <c r="G2403" i="3" s="1"/>
  <c r="B2404" i="3"/>
  <c r="G2404" i="3" s="1"/>
  <c r="B2405" i="3"/>
  <c r="G2405" i="3" s="1"/>
  <c r="B2406" i="3"/>
  <c r="G2406" i="3" s="1"/>
  <c r="B2407" i="3"/>
  <c r="G2407" i="3" s="1"/>
  <c r="B2408" i="3"/>
  <c r="G2408" i="3" s="1"/>
  <c r="B2409" i="3"/>
  <c r="G2409" i="3" s="1"/>
  <c r="B2410" i="3"/>
  <c r="G2410" i="3" s="1"/>
  <c r="B2411" i="3"/>
  <c r="G2411" i="3" s="1"/>
  <c r="B2412" i="3"/>
  <c r="G2412" i="3" s="1"/>
  <c r="B2413" i="3"/>
  <c r="G2413" i="3" s="1"/>
  <c r="B2414" i="3"/>
  <c r="G2414" i="3" s="1"/>
  <c r="B2415" i="3"/>
  <c r="G2415" i="3" s="1"/>
  <c r="B2416" i="3"/>
  <c r="G2416" i="3" s="1"/>
  <c r="B2417" i="3"/>
  <c r="G2417" i="3" s="1"/>
  <c r="B2418" i="3"/>
  <c r="G2418" i="3" s="1"/>
  <c r="B2419" i="3"/>
  <c r="G2419" i="3" s="1"/>
  <c r="B2420" i="3"/>
  <c r="G2420" i="3" s="1"/>
  <c r="B2421" i="3"/>
  <c r="G2421" i="3" s="1"/>
  <c r="B2422" i="3"/>
  <c r="G2422" i="3" s="1"/>
  <c r="B2423" i="3"/>
  <c r="G2423" i="3" s="1"/>
  <c r="B2424" i="3"/>
  <c r="G2424" i="3" s="1"/>
  <c r="B2425" i="3"/>
  <c r="G2425" i="3" s="1"/>
  <c r="B2426" i="3"/>
  <c r="G2426" i="3" s="1"/>
  <c r="B2427" i="3"/>
  <c r="G2427" i="3" s="1"/>
  <c r="B2428" i="3"/>
  <c r="B2429" i="3"/>
  <c r="G2429" i="3" s="1"/>
  <c r="B2430" i="3"/>
  <c r="G2430" i="3" s="1"/>
  <c r="B2431" i="3"/>
  <c r="G2431" i="3" s="1"/>
  <c r="B2432" i="3"/>
  <c r="G2432" i="3" s="1"/>
  <c r="B2433" i="3"/>
  <c r="G2433" i="3" s="1"/>
  <c r="B2434" i="3"/>
  <c r="G2434" i="3" s="1"/>
  <c r="B2435" i="3"/>
  <c r="G2435" i="3" s="1"/>
  <c r="B2436" i="3"/>
  <c r="G2436" i="3" s="1"/>
  <c r="B2437" i="3"/>
  <c r="G2437" i="3" s="1"/>
  <c r="B2438" i="3"/>
  <c r="G2438" i="3" s="1"/>
  <c r="B2439" i="3"/>
  <c r="G2439" i="3" s="1"/>
  <c r="B2440" i="3"/>
  <c r="G2440" i="3" s="1"/>
  <c r="B2441" i="3"/>
  <c r="G2441" i="3" s="1"/>
  <c r="B2442" i="3"/>
  <c r="G2442" i="3" s="1"/>
  <c r="B2443" i="3"/>
  <c r="G2443" i="3" s="1"/>
  <c r="B2444" i="3"/>
  <c r="G2444" i="3" s="1"/>
  <c r="B2445" i="3"/>
  <c r="G2445" i="3" s="1"/>
  <c r="B2446" i="3"/>
  <c r="G2446" i="3" s="1"/>
  <c r="B2447" i="3"/>
  <c r="G2447" i="3" s="1"/>
  <c r="B2448" i="3"/>
  <c r="G2448" i="3" s="1"/>
  <c r="B2449" i="3"/>
  <c r="G2449" i="3" s="1"/>
  <c r="B2450" i="3"/>
  <c r="G2450" i="3" s="1"/>
  <c r="B2451" i="3"/>
  <c r="G2451" i="3" s="1"/>
  <c r="B2452" i="3"/>
  <c r="G2452" i="3" s="1"/>
  <c r="B2453" i="3"/>
  <c r="G2453" i="3" s="1"/>
  <c r="B2454" i="3"/>
  <c r="G2454" i="3" s="1"/>
  <c r="B2455" i="3"/>
  <c r="G2455" i="3" s="1"/>
  <c r="B2456" i="3"/>
  <c r="G2456" i="3" s="1"/>
  <c r="B2457" i="3"/>
  <c r="G2457" i="3" s="1"/>
  <c r="B2458" i="3"/>
  <c r="G2458" i="3" s="1"/>
  <c r="B2459" i="3"/>
  <c r="G2459" i="3" s="1"/>
  <c r="B2460" i="3"/>
  <c r="G2460" i="3" s="1"/>
  <c r="B2461" i="3"/>
  <c r="G2461" i="3" s="1"/>
  <c r="B2462" i="3"/>
  <c r="G2462" i="3" s="1"/>
  <c r="B2463" i="3"/>
  <c r="G2463" i="3" s="1"/>
  <c r="B2464" i="3"/>
  <c r="G2464" i="3" s="1"/>
  <c r="B2465" i="3"/>
  <c r="G2465" i="3" s="1"/>
  <c r="B2466" i="3"/>
  <c r="G2466" i="3" s="1"/>
  <c r="B2467" i="3"/>
  <c r="G2467" i="3" s="1"/>
  <c r="B2468" i="3"/>
  <c r="G2468" i="3" s="1"/>
  <c r="B2469" i="3"/>
  <c r="G2469" i="3" s="1"/>
  <c r="B2470" i="3"/>
  <c r="G2470" i="3" s="1"/>
  <c r="B2471" i="3"/>
  <c r="G2471" i="3" s="1"/>
  <c r="B2472" i="3"/>
  <c r="G2472" i="3" s="1"/>
  <c r="B2473" i="3"/>
  <c r="G2473" i="3" s="1"/>
  <c r="B2474" i="3"/>
  <c r="G2474" i="3" s="1"/>
  <c r="B2475" i="3"/>
  <c r="G2475" i="3" s="1"/>
  <c r="B2476" i="3"/>
  <c r="G2476" i="3" s="1"/>
  <c r="B2477" i="3"/>
  <c r="G2477" i="3" s="1"/>
  <c r="B2478" i="3"/>
  <c r="G2478" i="3" s="1"/>
  <c r="B2479" i="3"/>
  <c r="G2479" i="3" s="1"/>
  <c r="B2480" i="3"/>
  <c r="G2480" i="3" s="1"/>
  <c r="B2481" i="3"/>
  <c r="G2481" i="3" s="1"/>
  <c r="B2482" i="3"/>
  <c r="G2482" i="3" s="1"/>
  <c r="B2483" i="3"/>
  <c r="G2483" i="3" s="1"/>
  <c r="B2484" i="3"/>
  <c r="G2484" i="3" s="1"/>
  <c r="B2485" i="3"/>
  <c r="G2485" i="3" s="1"/>
  <c r="B2486" i="3"/>
  <c r="G2486" i="3" s="1"/>
  <c r="B2487" i="3"/>
  <c r="G2487" i="3" s="1"/>
  <c r="B2488" i="3"/>
  <c r="G2488" i="3" s="1"/>
  <c r="B2489" i="3"/>
  <c r="G2489" i="3" s="1"/>
  <c r="B2490" i="3"/>
  <c r="G2490" i="3" s="1"/>
  <c r="B2491" i="3"/>
  <c r="G2491" i="3" s="1"/>
  <c r="B2492" i="3"/>
  <c r="G2492" i="3" s="1"/>
  <c r="B2493" i="3"/>
  <c r="G2493" i="3" s="1"/>
  <c r="B2494" i="3"/>
  <c r="G2494" i="3" s="1"/>
  <c r="B2495" i="3"/>
  <c r="G2495" i="3" s="1"/>
  <c r="B2496" i="3"/>
  <c r="G2496" i="3" s="1"/>
  <c r="B2497" i="3"/>
  <c r="G2497" i="3" s="1"/>
  <c r="B2498" i="3"/>
  <c r="G2498" i="3" s="1"/>
  <c r="B2499" i="3"/>
  <c r="G2499" i="3" s="1"/>
  <c r="B2500" i="3"/>
  <c r="G2500" i="3" s="1"/>
  <c r="B2501" i="3"/>
  <c r="G2501" i="3" s="1"/>
  <c r="B2502" i="3"/>
  <c r="G2502" i="3" s="1"/>
  <c r="B2503" i="3"/>
  <c r="G2503" i="3" s="1"/>
  <c r="B2504" i="3"/>
  <c r="G2504" i="3" s="1"/>
  <c r="B2505" i="3"/>
  <c r="G2505" i="3" s="1"/>
  <c r="B2506" i="3"/>
  <c r="G2506" i="3" s="1"/>
  <c r="B2507" i="3"/>
  <c r="G2507" i="3" s="1"/>
  <c r="B2508" i="3"/>
  <c r="G2508" i="3" s="1"/>
  <c r="B2509" i="3"/>
  <c r="G2509" i="3" s="1"/>
  <c r="B2510" i="3"/>
  <c r="G2510" i="3" s="1"/>
  <c r="B2511" i="3"/>
  <c r="G2511" i="3" s="1"/>
  <c r="B2512" i="3"/>
  <c r="G2512" i="3" s="1"/>
  <c r="B2513" i="3"/>
  <c r="G2513" i="3" s="1"/>
  <c r="B2514" i="3"/>
  <c r="B2515" i="3"/>
  <c r="G2515" i="3" s="1"/>
  <c r="B2516" i="3"/>
  <c r="G2516" i="3" s="1"/>
  <c r="B2517" i="3"/>
  <c r="G2517" i="3" s="1"/>
  <c r="B2518" i="3"/>
  <c r="G2518" i="3" s="1"/>
  <c r="B2519" i="3"/>
  <c r="G2519" i="3" s="1"/>
  <c r="B2520" i="3"/>
  <c r="G2520" i="3" s="1"/>
  <c r="B2521" i="3"/>
  <c r="G2521" i="3" s="1"/>
  <c r="B2522" i="3"/>
  <c r="G2522" i="3" s="1"/>
  <c r="B2523" i="3"/>
  <c r="G2523" i="3" s="1"/>
  <c r="B2524" i="3"/>
  <c r="G2524" i="3" s="1"/>
  <c r="B2525" i="3"/>
  <c r="G2525" i="3" s="1"/>
  <c r="B2526" i="3"/>
  <c r="G2526" i="3" s="1"/>
  <c r="B2527" i="3"/>
  <c r="G2527" i="3" s="1"/>
  <c r="B2528" i="3"/>
  <c r="G2528" i="3" s="1"/>
  <c r="B2529" i="3"/>
  <c r="G2529" i="3" s="1"/>
  <c r="B2530" i="3"/>
  <c r="G2530" i="3" s="1"/>
  <c r="B2531" i="3"/>
  <c r="G2531" i="3" s="1"/>
  <c r="B2532" i="3"/>
  <c r="G2532" i="3" s="1"/>
  <c r="B2533" i="3"/>
  <c r="G2533" i="3" s="1"/>
  <c r="B2534" i="3"/>
  <c r="G2534" i="3" s="1"/>
  <c r="B2535" i="3"/>
  <c r="G2535" i="3" s="1"/>
  <c r="B2536" i="3"/>
  <c r="G2536" i="3" s="1"/>
  <c r="B2537" i="3"/>
  <c r="G2537" i="3" s="1"/>
  <c r="B2538" i="3"/>
  <c r="G2538" i="3" s="1"/>
  <c r="B2539" i="3"/>
  <c r="G2539" i="3" s="1"/>
  <c r="B2540" i="3"/>
  <c r="G2540" i="3" s="1"/>
  <c r="B2541" i="3"/>
  <c r="G2541" i="3" s="1"/>
  <c r="B2542" i="3"/>
  <c r="G2542" i="3" s="1"/>
  <c r="D2542" i="3" s="1"/>
  <c r="E2542" i="3" s="1"/>
  <c r="C3" i="15"/>
  <c r="C4" i="15" s="1"/>
  <c r="G32" i="3"/>
  <c r="D10" i="49"/>
  <c r="D15" i="57"/>
  <c r="D16" i="57" s="1"/>
  <c r="D17" i="57" s="1"/>
  <c r="L12" i="57"/>
  <c r="L14" i="57"/>
  <c r="D11" i="49"/>
  <c r="D9" i="49"/>
  <c r="D12" i="49"/>
  <c r="H15" i="57"/>
  <c r="H16" i="57" s="1"/>
  <c r="H17" i="57" s="1"/>
  <c r="H18" i="57" s="1"/>
  <c r="H19" i="57" s="1"/>
  <c r="H20" i="57" s="1"/>
  <c r="H21" i="57" s="1"/>
  <c r="L21" i="57"/>
  <c r="L22" i="57"/>
  <c r="L23" i="57"/>
  <c r="O45" i="1"/>
  <c r="DA45" i="1"/>
  <c r="AT45" i="1"/>
  <c r="CS45" i="1"/>
  <c r="DB45" i="1"/>
  <c r="G8" i="57"/>
  <c r="O59" i="1"/>
  <c r="DA59" i="1"/>
  <c r="AT59" i="1"/>
  <c r="CS59" i="1"/>
  <c r="DB59" i="1"/>
  <c r="O142" i="1"/>
  <c r="DA142" i="1"/>
  <c r="DC142" i="1" s="1"/>
  <c r="AT142" i="1"/>
  <c r="CS142" i="1"/>
  <c r="DB142" i="1"/>
  <c r="AT138" i="1"/>
  <c r="O138" i="1"/>
  <c r="CS138" i="1"/>
  <c r="DA138" i="1"/>
  <c r="DE138" i="1" s="1"/>
  <c r="J26" i="80"/>
  <c r="J18" i="80"/>
  <c r="E26" i="80"/>
  <c r="E18" i="80"/>
  <c r="J27" i="80"/>
  <c r="J19" i="80"/>
  <c r="J28" i="80"/>
  <c r="J20" i="80"/>
  <c r="J29" i="80"/>
  <c r="J21" i="80"/>
  <c r="I29" i="80"/>
  <c r="I21" i="80"/>
  <c r="D29" i="80"/>
  <c r="F29" i="80" s="1"/>
  <c r="N29" i="80" s="1"/>
  <c r="D21" i="80"/>
  <c r="F21" i="80" s="1"/>
  <c r="N21" i="80" s="1"/>
  <c r="I27" i="80"/>
  <c r="I19" i="80"/>
  <c r="D27" i="80"/>
  <c r="F27" i="80" s="1"/>
  <c r="N27" i="80" s="1"/>
  <c r="D19" i="80"/>
  <c r="F19" i="80" s="1"/>
  <c r="N19" i="80" s="1"/>
  <c r="I28" i="80"/>
  <c r="I20" i="80"/>
  <c r="D28" i="80"/>
  <c r="F28" i="80" s="1"/>
  <c r="N28" i="80" s="1"/>
  <c r="D20" i="80"/>
  <c r="F20" i="80" s="1"/>
  <c r="N20" i="80" s="1"/>
  <c r="I26" i="80"/>
  <c r="I18" i="80"/>
  <c r="D26" i="80"/>
  <c r="D18" i="80"/>
  <c r="E40" i="50"/>
  <c r="E39" i="50"/>
  <c r="E38" i="50"/>
  <c r="E37" i="50"/>
  <c r="E36" i="50"/>
  <c r="E35" i="50"/>
  <c r="E34" i="50"/>
  <c r="E33" i="50"/>
  <c r="E32" i="50"/>
  <c r="E35" i="47"/>
  <c r="E34" i="47"/>
  <c r="E33" i="47"/>
  <c r="E32" i="47"/>
  <c r="E31" i="47"/>
  <c r="E30" i="47"/>
  <c r="E29" i="47"/>
  <c r="E28" i="47"/>
  <c r="E27" i="47"/>
  <c r="E23" i="50"/>
  <c r="E22" i="50"/>
  <c r="E21" i="50"/>
  <c r="E20" i="50"/>
  <c r="E19" i="50"/>
  <c r="E18" i="50"/>
  <c r="E17" i="50"/>
  <c r="E16" i="50"/>
  <c r="E15" i="50"/>
  <c r="E17" i="47"/>
  <c r="E16" i="47"/>
  <c r="E15" i="47"/>
  <c r="E14" i="47"/>
  <c r="E13" i="47"/>
  <c r="E12" i="47"/>
  <c r="E11" i="47"/>
  <c r="E10" i="47"/>
  <c r="E9" i="47"/>
  <c r="DB138" i="1"/>
  <c r="F4" i="7"/>
  <c r="F5" i="7"/>
  <c r="G6" i="3" l="1"/>
  <c r="J35" i="80"/>
  <c r="F26" i="80"/>
  <c r="N26" i="80" s="1"/>
  <c r="I35" i="80"/>
  <c r="K29" i="80"/>
  <c r="P29" i="80" s="1"/>
  <c r="I36" i="80"/>
  <c r="J36" i="80"/>
  <c r="J33" i="80"/>
  <c r="K18" i="80"/>
  <c r="P18" i="80" s="1"/>
  <c r="F18" i="80"/>
  <c r="N18" i="80" s="1"/>
  <c r="K26" i="80"/>
  <c r="P26" i="80" s="1"/>
  <c r="I33" i="80"/>
  <c r="I34" i="80"/>
  <c r="J34" i="80"/>
  <c r="K21" i="80"/>
  <c r="P21" i="80" s="1"/>
  <c r="K27" i="80"/>
  <c r="P27" i="80" s="1"/>
  <c r="K28" i="80"/>
  <c r="P28" i="80" s="1"/>
  <c r="K19" i="80"/>
  <c r="P19" i="80" s="1"/>
  <c r="K20" i="80"/>
  <c r="P20" i="80" s="1"/>
  <c r="L13" i="57"/>
  <c r="C2542" i="3"/>
  <c r="H2542" i="3" s="1"/>
  <c r="G10" i="57"/>
  <c r="L19" i="57"/>
  <c r="D18" i="57"/>
  <c r="D19" i="57" s="1"/>
  <c r="D20" i="57" s="1"/>
  <c r="D21" i="57" s="1"/>
  <c r="D22" i="57" s="1"/>
  <c r="D23" i="57" s="1"/>
  <c r="D24" i="57" s="1"/>
  <c r="D25" i="57" s="1"/>
  <c r="D26" i="57" s="1"/>
  <c r="D27" i="57" s="1"/>
  <c r="D28" i="57" s="1"/>
  <c r="D29" i="57" s="1"/>
  <c r="L28" i="57"/>
  <c r="D2541" i="3"/>
  <c r="E2541" i="3" s="1"/>
  <c r="AA138" i="1"/>
  <c r="AI13" i="2" s="1"/>
  <c r="DD142" i="1"/>
  <c r="AA142" i="1"/>
  <c r="DE142" i="1"/>
  <c r="AA59" i="1"/>
  <c r="AA45" i="1"/>
  <c r="DC138" i="1"/>
  <c r="DD138" i="1"/>
  <c r="DC59" i="1"/>
  <c r="DD59" i="1"/>
  <c r="DE59" i="1"/>
  <c r="DC45" i="1"/>
  <c r="DD45" i="1"/>
  <c r="DE45" i="1"/>
  <c r="G2428" i="3"/>
  <c r="G2363" i="3"/>
  <c r="G2323" i="3"/>
  <c r="G2163" i="3"/>
  <c r="G2514" i="3"/>
  <c r="G2224" i="3"/>
  <c r="AI67" i="2" l="1"/>
  <c r="AI66" i="2"/>
  <c r="AI61" i="2"/>
  <c r="AI60" i="2"/>
  <c r="AI10" i="2"/>
  <c r="AI11" i="2"/>
  <c r="K33" i="80"/>
  <c r="P33" i="80" s="1"/>
  <c r="K35" i="80"/>
  <c r="P35" i="80" s="1"/>
  <c r="K34" i="80"/>
  <c r="P34" i="80" s="1"/>
  <c r="K36" i="80"/>
  <c r="P36" i="80" s="1"/>
  <c r="O37" i="80" s="1"/>
  <c r="L10" i="57"/>
  <c r="F2542" i="3"/>
  <c r="C2541" i="3"/>
  <c r="F2541" i="3" s="1"/>
  <c r="C10" i="57"/>
  <c r="D2540" i="3"/>
  <c r="AC138" i="1"/>
  <c r="AK13" i="2" s="1"/>
  <c r="AB138" i="1"/>
  <c r="AJ13" i="2" s="1"/>
  <c r="AB142" i="1"/>
  <c r="AC45" i="1"/>
  <c r="DF142" i="1"/>
  <c r="AB45" i="1"/>
  <c r="AC142" i="1"/>
  <c r="AB59" i="1"/>
  <c r="AC59" i="1"/>
  <c r="AK60" i="2" s="1"/>
  <c r="DF138" i="1"/>
  <c r="DF45" i="1"/>
  <c r="DF59" i="1"/>
  <c r="AJ61" i="2" l="1"/>
  <c r="AJ60" i="2"/>
  <c r="AJ67" i="2"/>
  <c r="AJ66" i="2"/>
  <c r="AJ10" i="2"/>
  <c r="AJ11" i="2"/>
  <c r="AK10" i="2"/>
  <c r="AK11" i="2"/>
  <c r="AK67" i="2"/>
  <c r="AK66" i="2"/>
  <c r="BK59" i="1"/>
  <c r="AK61" i="2"/>
  <c r="BL138" i="1"/>
  <c r="C2540" i="3"/>
  <c r="C2539" i="3" s="1"/>
  <c r="H2541" i="3"/>
  <c r="E2540" i="3"/>
  <c r="D2539" i="3"/>
  <c r="BL142" i="1"/>
  <c r="DG142" i="1"/>
  <c r="BK142" i="1"/>
  <c r="BK138" i="1"/>
  <c r="DG138" i="1"/>
  <c r="BK45" i="1"/>
  <c r="BL45" i="1"/>
  <c r="DG45" i="1"/>
  <c r="DG59" i="1"/>
  <c r="BL59" i="1"/>
  <c r="F2540" i="3" l="1"/>
  <c r="H2540" i="3"/>
  <c r="Q31" i="1"/>
  <c r="Q136" i="1"/>
  <c r="Q87" i="1"/>
  <c r="Q125" i="1"/>
  <c r="Q100" i="1"/>
  <c r="Q90" i="1"/>
  <c r="Q141" i="1"/>
  <c r="Q124" i="1"/>
  <c r="Q88" i="1"/>
  <c r="Q66" i="1"/>
  <c r="Q128" i="1"/>
  <c r="Q76" i="1"/>
  <c r="Q133" i="1"/>
  <c r="Q123" i="1"/>
  <c r="Q122" i="1"/>
  <c r="Q139" i="1"/>
  <c r="Q82" i="1"/>
  <c r="Q44" i="1"/>
  <c r="Q84" i="1"/>
  <c r="Q86" i="1"/>
  <c r="Q21" i="1"/>
  <c r="Q58" i="1"/>
  <c r="Q112" i="1"/>
  <c r="Q132" i="1"/>
  <c r="Q81" i="1"/>
  <c r="Q79" i="1"/>
  <c r="Q9" i="1"/>
  <c r="Q55" i="1"/>
  <c r="Q109" i="1"/>
  <c r="Q135" i="1"/>
  <c r="Q131" i="1"/>
  <c r="Q110" i="1"/>
  <c r="Q27" i="1"/>
  <c r="Q64" i="1"/>
  <c r="Q46" i="1"/>
  <c r="Q83" i="1"/>
  <c r="Q35" i="1"/>
  <c r="Q10" i="1"/>
  <c r="Q38" i="1"/>
  <c r="Q142" i="1"/>
  <c r="Q130" i="1"/>
  <c r="Q8" i="1"/>
  <c r="Q111" i="1"/>
  <c r="Q156" i="1"/>
  <c r="Q78" i="1"/>
  <c r="Q120" i="1"/>
  <c r="Q57" i="1"/>
  <c r="Q89" i="1"/>
  <c r="Q77" i="1"/>
  <c r="Q101" i="1"/>
  <c r="Q41" i="1"/>
  <c r="Q20" i="1"/>
  <c r="Q92" i="1"/>
  <c r="Q126" i="1"/>
  <c r="Q114" i="1"/>
  <c r="Q85" i="1"/>
  <c r="Q119" i="1"/>
  <c r="Q53" i="1"/>
  <c r="Q137" i="1"/>
  <c r="Q143" i="1"/>
  <c r="Q138" i="1"/>
  <c r="Q129" i="1"/>
  <c r="Q32" i="1"/>
  <c r="Q17" i="1"/>
  <c r="Q144" i="1"/>
  <c r="Q33" i="1"/>
  <c r="Q91" i="1"/>
  <c r="Q99" i="1"/>
  <c r="Q113" i="1"/>
  <c r="Q121" i="1"/>
  <c r="Q28" i="1"/>
  <c r="Q60" i="1"/>
  <c r="Q45" i="1"/>
  <c r="Q34" i="1"/>
  <c r="Q37" i="1"/>
  <c r="Q59" i="1"/>
  <c r="F2539" i="3"/>
  <c r="H2539" i="3"/>
  <c r="E2539" i="3"/>
  <c r="D2538" i="3"/>
  <c r="D2537" i="3" s="1"/>
  <c r="C2538" i="3"/>
  <c r="C2537" i="3" l="1"/>
  <c r="C2536" i="3" s="1"/>
  <c r="F2538" i="3"/>
  <c r="H2538" i="3"/>
  <c r="D2536" i="3"/>
  <c r="E2538" i="3"/>
  <c r="E2537" i="3" s="1"/>
  <c r="E2536" i="3" l="1"/>
  <c r="D2535" i="3"/>
  <c r="C2535" i="3"/>
  <c r="H2536" i="3"/>
  <c r="F2536" i="3"/>
  <c r="F2537" i="3"/>
  <c r="H2537" i="3"/>
  <c r="F2535" i="3" l="1"/>
  <c r="H2535" i="3"/>
  <c r="E2535" i="3"/>
  <c r="C2534" i="3"/>
  <c r="D2534" i="3"/>
  <c r="F2534" i="3" l="1"/>
  <c r="H2534" i="3"/>
  <c r="E2534" i="3"/>
  <c r="D2533" i="3"/>
  <c r="C2533" i="3"/>
  <c r="C2532" i="3" l="1"/>
  <c r="D2532" i="3"/>
  <c r="E2533" i="3"/>
  <c r="F2533" i="3"/>
  <c r="H2533" i="3"/>
  <c r="E2532" i="3" l="1"/>
  <c r="D2531" i="3"/>
  <c r="C2531" i="3"/>
  <c r="F2532" i="3"/>
  <c r="H2532" i="3"/>
  <c r="H2531" i="3" l="1"/>
  <c r="F2531" i="3"/>
  <c r="E2531" i="3"/>
  <c r="D2530" i="3"/>
  <c r="C2530" i="3"/>
  <c r="F2530" i="3" l="1"/>
  <c r="H2530" i="3"/>
  <c r="C2529" i="3"/>
  <c r="D2529" i="3"/>
  <c r="E2530" i="3"/>
  <c r="E2529" i="3" l="1"/>
  <c r="C2528" i="3"/>
  <c r="D2528" i="3"/>
  <c r="H2529" i="3"/>
  <c r="F2529" i="3"/>
  <c r="D2527" i="3" l="1"/>
  <c r="C2527" i="3"/>
  <c r="F2528" i="3"/>
  <c r="H2528" i="3"/>
  <c r="E2528" i="3"/>
  <c r="E2527" i="3" l="1"/>
  <c r="H2527" i="3"/>
  <c r="F2527" i="3"/>
  <c r="C2526" i="3"/>
  <c r="D2526" i="3"/>
  <c r="C2525" i="3" l="1"/>
  <c r="D2525" i="3"/>
  <c r="F2526" i="3"/>
  <c r="H2526" i="3"/>
  <c r="E2526" i="3"/>
  <c r="E2525" i="3" l="1"/>
  <c r="D2524" i="3"/>
  <c r="C2524" i="3"/>
  <c r="H2525" i="3"/>
  <c r="F2525" i="3"/>
  <c r="H2524" i="3" l="1"/>
  <c r="F2524" i="3"/>
  <c r="C2523" i="3"/>
  <c r="D2523" i="3"/>
  <c r="E2524" i="3"/>
  <c r="E2523" i="3" l="1"/>
  <c r="D2522" i="3"/>
  <c r="C2522" i="3"/>
  <c r="F2523" i="3"/>
  <c r="H2523" i="3"/>
  <c r="F2522" i="3" l="1"/>
  <c r="H2522" i="3"/>
  <c r="D2521" i="3"/>
  <c r="C2521" i="3"/>
  <c r="E2522" i="3"/>
  <c r="E2521" i="3" l="1"/>
  <c r="F2521" i="3"/>
  <c r="H2521" i="3"/>
  <c r="D2520" i="3"/>
  <c r="C2520" i="3"/>
  <c r="H2520" i="3" l="1"/>
  <c r="F2520" i="3"/>
  <c r="D2519" i="3"/>
  <c r="C2519" i="3"/>
  <c r="E2520" i="3"/>
  <c r="E2519" i="3" l="1"/>
  <c r="C2518" i="3"/>
  <c r="D2518" i="3"/>
  <c r="F2519" i="3"/>
  <c r="H2519" i="3"/>
  <c r="E2518" i="3" l="1"/>
  <c r="C2517" i="3"/>
  <c r="D2517" i="3"/>
  <c r="F2518" i="3"/>
  <c r="H2518" i="3"/>
  <c r="H2517" i="3" l="1"/>
  <c r="F2517" i="3"/>
  <c r="D2516" i="3"/>
  <c r="C2516" i="3"/>
  <c r="E2517" i="3"/>
  <c r="F2516" i="3" l="1"/>
  <c r="H2516" i="3"/>
  <c r="C2515" i="3"/>
  <c r="D2515" i="3"/>
  <c r="E2516" i="3"/>
  <c r="E2515" i="3" l="1"/>
  <c r="F2515" i="3"/>
  <c r="H2515" i="3"/>
  <c r="C2514" i="3"/>
  <c r="D2514" i="3"/>
  <c r="H2514" i="3" l="1"/>
  <c r="F2514" i="3"/>
  <c r="C2513" i="3"/>
  <c r="D2513" i="3"/>
  <c r="E2514" i="3"/>
  <c r="E2513" i="3" l="1"/>
  <c r="C2512" i="3"/>
  <c r="D2512" i="3"/>
  <c r="F2513" i="3"/>
  <c r="H2513" i="3"/>
  <c r="D2511" i="3" l="1"/>
  <c r="C2511" i="3"/>
  <c r="H2512" i="3"/>
  <c r="F2512" i="3"/>
  <c r="E2512" i="3"/>
  <c r="F2511" i="3" l="1"/>
  <c r="H2511" i="3"/>
  <c r="E2511" i="3"/>
  <c r="C2510" i="3"/>
  <c r="D2510" i="3"/>
  <c r="E2510" i="3" l="1"/>
  <c r="H2510" i="3"/>
  <c r="F2510" i="3"/>
  <c r="C2509" i="3"/>
  <c r="D2509" i="3"/>
  <c r="H2509" i="3" l="1"/>
  <c r="F2509" i="3"/>
  <c r="D2508" i="3"/>
  <c r="C2508" i="3"/>
  <c r="E2509" i="3"/>
  <c r="E2508" i="3" l="1"/>
  <c r="F2508" i="3"/>
  <c r="H2508" i="3"/>
  <c r="C2507" i="3"/>
  <c r="D2507" i="3"/>
  <c r="D2506" i="3" l="1"/>
  <c r="C2506" i="3"/>
  <c r="H2507" i="3"/>
  <c r="F2507" i="3"/>
  <c r="E2507" i="3"/>
  <c r="E2506" i="3" l="1"/>
  <c r="H2506" i="3"/>
  <c r="F2506" i="3"/>
  <c r="D2505" i="3"/>
  <c r="C2505" i="3"/>
  <c r="F2505" i="3" l="1"/>
  <c r="H2505" i="3"/>
  <c r="C2504" i="3"/>
  <c r="D2504" i="3"/>
  <c r="E2505" i="3"/>
  <c r="E2504" i="3" l="1"/>
  <c r="D2503" i="3"/>
  <c r="C2503" i="3"/>
  <c r="H2504" i="3"/>
  <c r="F2504" i="3"/>
  <c r="F2503" i="3" l="1"/>
  <c r="H2503" i="3"/>
  <c r="D2502" i="3"/>
  <c r="C2502" i="3"/>
  <c r="E2503" i="3"/>
  <c r="E2502" i="3" l="1"/>
  <c r="F2502" i="3"/>
  <c r="H2502" i="3"/>
  <c r="C2501" i="3"/>
  <c r="D2501" i="3"/>
  <c r="D2500" i="3" l="1"/>
  <c r="C2500" i="3"/>
  <c r="H2501" i="3"/>
  <c r="F2501" i="3"/>
  <c r="E2501" i="3"/>
  <c r="E2500" i="3" l="1"/>
  <c r="F2500" i="3"/>
  <c r="H2500" i="3"/>
  <c r="D2499" i="3"/>
  <c r="C2499" i="3"/>
  <c r="H2499" i="3" l="1"/>
  <c r="F2499" i="3"/>
  <c r="D2498" i="3"/>
  <c r="C2498" i="3"/>
  <c r="E2499" i="3"/>
  <c r="E2498" i="3" l="1"/>
  <c r="F2498" i="3"/>
  <c r="H2498" i="3"/>
  <c r="C2497" i="3"/>
  <c r="D2497" i="3"/>
  <c r="D2496" i="3" l="1"/>
  <c r="C2496" i="3"/>
  <c r="F2497" i="3"/>
  <c r="H2497" i="3"/>
  <c r="E2497" i="3"/>
  <c r="E2496" i="3" l="1"/>
  <c r="F2496" i="3"/>
  <c r="H2496" i="3"/>
  <c r="D2495" i="3"/>
  <c r="C2495" i="3"/>
  <c r="F2495" i="3" l="1"/>
  <c r="H2495" i="3"/>
  <c r="D2494" i="3"/>
  <c r="C2494" i="3"/>
  <c r="E2495" i="3"/>
  <c r="E2494" i="3" l="1"/>
  <c r="F2494" i="3"/>
  <c r="H2494" i="3"/>
  <c r="C2493" i="3"/>
  <c r="D2493" i="3"/>
  <c r="D2492" i="3" l="1"/>
  <c r="C2492" i="3"/>
  <c r="H2493" i="3"/>
  <c r="F2493" i="3"/>
  <c r="E2493" i="3"/>
  <c r="E2492" i="3" l="1"/>
  <c r="H2492" i="3"/>
  <c r="F2492" i="3"/>
  <c r="D2491" i="3"/>
  <c r="C2491" i="3"/>
  <c r="F2491" i="3" l="1"/>
  <c r="H2491" i="3"/>
  <c r="D2490" i="3"/>
  <c r="C2490" i="3"/>
  <c r="E2491" i="3"/>
  <c r="AE86" i="2" l="1"/>
  <c r="AG86" i="2" s="1"/>
  <c r="R8" i="1"/>
  <c r="F2490" i="3"/>
  <c r="H2490" i="3"/>
  <c r="E2490" i="3"/>
  <c r="C2489" i="3"/>
  <c r="D2489" i="3"/>
  <c r="AF86" i="2" l="1"/>
  <c r="T8" i="1" s="1"/>
  <c r="AQ86" i="2"/>
  <c r="E2489" i="3"/>
  <c r="D2488" i="3"/>
  <c r="C2488" i="3"/>
  <c r="F2489" i="3"/>
  <c r="H2489" i="3"/>
  <c r="E2488" i="3" l="1"/>
  <c r="H2488" i="3"/>
  <c r="F2488" i="3"/>
  <c r="C2487" i="3"/>
  <c r="D2487" i="3"/>
  <c r="F2487" i="3" l="1"/>
  <c r="H2487" i="3"/>
  <c r="E2487" i="3"/>
  <c r="C2486" i="3"/>
  <c r="D2486" i="3"/>
  <c r="AE85" i="2" l="1"/>
  <c r="AQ85" i="2" s="1"/>
  <c r="R9" i="1"/>
  <c r="D2485" i="3"/>
  <c r="C2485" i="3"/>
  <c r="H2486" i="3"/>
  <c r="F2486" i="3"/>
  <c r="E2486" i="3"/>
  <c r="AF85" i="2" l="1"/>
  <c r="T9" i="1" s="1"/>
  <c r="AG85" i="2"/>
  <c r="E2485" i="3"/>
  <c r="F2485" i="3"/>
  <c r="H2485" i="3"/>
  <c r="C2484" i="3"/>
  <c r="D2484" i="3"/>
  <c r="F2484" i="3" l="1"/>
  <c r="H2484" i="3"/>
  <c r="C2483" i="3"/>
  <c r="D2483" i="3"/>
  <c r="E2484" i="3"/>
  <c r="E2483" i="3" l="1"/>
  <c r="D2482" i="3"/>
  <c r="C2482" i="3"/>
  <c r="F2483" i="3"/>
  <c r="H2483" i="3"/>
  <c r="H2482" i="3" l="1"/>
  <c r="F2482" i="3"/>
  <c r="E2482" i="3"/>
  <c r="C2481" i="3"/>
  <c r="D2481" i="3"/>
  <c r="D2480" i="3" l="1"/>
  <c r="C2480" i="3"/>
  <c r="E2481" i="3"/>
  <c r="F2481" i="3"/>
  <c r="H2481" i="3"/>
  <c r="E2480" i="3" l="1"/>
  <c r="F2480" i="3"/>
  <c r="H2480" i="3"/>
  <c r="D2479" i="3"/>
  <c r="C2479" i="3"/>
  <c r="D2478" i="3" l="1"/>
  <c r="C2478" i="3"/>
  <c r="H2479" i="3"/>
  <c r="F2479" i="3"/>
  <c r="E2479" i="3"/>
  <c r="E2478" i="3" l="1"/>
  <c r="H2478" i="3"/>
  <c r="F2478" i="3"/>
  <c r="C2477" i="3"/>
  <c r="D2477" i="3"/>
  <c r="D2476" i="3" l="1"/>
  <c r="C2476" i="3"/>
  <c r="H2477" i="3"/>
  <c r="F2477" i="3"/>
  <c r="E2477" i="3"/>
  <c r="E2476" i="3" l="1"/>
  <c r="H2476" i="3"/>
  <c r="F2476" i="3"/>
  <c r="D2475" i="3"/>
  <c r="C2475" i="3"/>
  <c r="H2475" i="3" l="1"/>
  <c r="F2475" i="3"/>
  <c r="D2474" i="3"/>
  <c r="C2474" i="3"/>
  <c r="E2475" i="3"/>
  <c r="E2474" i="3" l="1"/>
  <c r="H2474" i="3"/>
  <c r="F2474" i="3"/>
  <c r="C2473" i="3"/>
  <c r="D2473" i="3"/>
  <c r="D2472" i="3" l="1"/>
  <c r="C2472" i="3"/>
  <c r="F2473" i="3"/>
  <c r="H2473" i="3"/>
  <c r="E2473" i="3"/>
  <c r="H2472" i="3" l="1"/>
  <c r="F2472" i="3"/>
  <c r="E2472" i="3"/>
  <c r="D2471" i="3"/>
  <c r="C2471" i="3"/>
  <c r="C2470" i="3" l="1"/>
  <c r="D2470" i="3"/>
  <c r="E2471" i="3"/>
  <c r="H2471" i="3"/>
  <c r="F2471" i="3"/>
  <c r="E2470" i="3" l="1"/>
  <c r="C2469" i="3"/>
  <c r="D2469" i="3"/>
  <c r="H2470" i="3"/>
  <c r="F2470" i="3"/>
  <c r="D2468" i="3" l="1"/>
  <c r="C2468" i="3"/>
  <c r="H2469" i="3"/>
  <c r="F2469" i="3"/>
  <c r="E2469" i="3"/>
  <c r="E2468" i="3" l="1"/>
  <c r="F2468" i="3"/>
  <c r="H2468" i="3"/>
  <c r="D2467" i="3"/>
  <c r="C2467" i="3"/>
  <c r="C2466" i="3" l="1"/>
  <c r="D2466" i="3"/>
  <c r="H2467" i="3"/>
  <c r="F2467" i="3"/>
  <c r="E2467" i="3"/>
  <c r="E2466" i="3" l="1"/>
  <c r="C2465" i="3"/>
  <c r="D2465" i="3"/>
  <c r="H2466" i="3"/>
  <c r="F2466" i="3"/>
  <c r="C2464" i="3" l="1"/>
  <c r="D2464" i="3"/>
  <c r="H2465" i="3"/>
  <c r="F2465" i="3"/>
  <c r="E2465" i="3"/>
  <c r="E2464" i="3" l="1"/>
  <c r="C2463" i="3"/>
  <c r="D2463" i="3"/>
  <c r="H2464" i="3"/>
  <c r="F2464" i="3"/>
  <c r="F2463" i="3" l="1"/>
  <c r="H2463" i="3"/>
  <c r="C2462" i="3"/>
  <c r="D2462" i="3"/>
  <c r="E2463" i="3"/>
  <c r="E2462" i="3" l="1"/>
  <c r="C2461" i="3"/>
  <c r="D2461" i="3"/>
  <c r="F2462" i="3"/>
  <c r="H2462" i="3"/>
  <c r="E2461" i="3" l="1"/>
  <c r="D2460" i="3"/>
  <c r="C2460" i="3"/>
  <c r="F2461" i="3"/>
  <c r="H2461" i="3"/>
  <c r="U11" i="1" l="1"/>
  <c r="U15" i="1"/>
  <c r="U14" i="1"/>
  <c r="U16" i="1"/>
  <c r="U13" i="1"/>
  <c r="U12" i="1"/>
  <c r="AE84" i="2"/>
  <c r="AG84" i="2" s="1"/>
  <c r="R11" i="1"/>
  <c r="R15" i="1"/>
  <c r="R14" i="1"/>
  <c r="R16" i="1"/>
  <c r="R13" i="1"/>
  <c r="R12" i="1"/>
  <c r="R10" i="1"/>
  <c r="AF84" i="2"/>
  <c r="AQ84" i="2"/>
  <c r="D2459" i="3"/>
  <c r="C2459" i="3"/>
  <c r="F2460" i="3"/>
  <c r="H2460" i="3"/>
  <c r="E2460" i="3"/>
  <c r="CK12" i="1" l="1"/>
  <c r="CL12" i="1" s="1"/>
  <c r="DR12" i="1"/>
  <c r="CG12" i="1"/>
  <c r="CH12" i="1" s="1"/>
  <c r="CC12" i="1"/>
  <c r="CD12" i="1" s="1"/>
  <c r="CA12" i="1"/>
  <c r="CB12" i="1" s="1"/>
  <c r="CI12" i="1"/>
  <c r="CJ12" i="1" s="1"/>
  <c r="BU12" i="1"/>
  <c r="BV12" i="1" s="1"/>
  <c r="BY12" i="1"/>
  <c r="BS12" i="1"/>
  <c r="BT12" i="1" s="1"/>
  <c r="BW12" i="1"/>
  <c r="BX12" i="1" s="1"/>
  <c r="BS13" i="1"/>
  <c r="BT13" i="1" s="1"/>
  <c r="BU13" i="1"/>
  <c r="BV13" i="1" s="1"/>
  <c r="DR13" i="1"/>
  <c r="CK13" i="1"/>
  <c r="CL13" i="1" s="1"/>
  <c r="BY13" i="1"/>
  <c r="CC13" i="1"/>
  <c r="CD13" i="1" s="1"/>
  <c r="CA13" i="1"/>
  <c r="CB13" i="1" s="1"/>
  <c r="CI13" i="1"/>
  <c r="CJ13" i="1" s="1"/>
  <c r="BW13" i="1"/>
  <c r="BX13" i="1" s="1"/>
  <c r="CG13" i="1"/>
  <c r="CH13" i="1" s="1"/>
  <c r="BW16" i="1"/>
  <c r="BX16" i="1" s="1"/>
  <c r="CC16" i="1"/>
  <c r="CD16" i="1" s="1"/>
  <c r="BU16" i="1"/>
  <c r="BV16" i="1" s="1"/>
  <c r="BS16" i="1"/>
  <c r="BT16" i="1" s="1"/>
  <c r="CA16" i="1"/>
  <c r="CB16" i="1" s="1"/>
  <c r="CI16" i="1"/>
  <c r="CJ16" i="1" s="1"/>
  <c r="CG16" i="1"/>
  <c r="CH16" i="1" s="1"/>
  <c r="CK16" i="1"/>
  <c r="CL16" i="1" s="1"/>
  <c r="BY16" i="1"/>
  <c r="DR16" i="1"/>
  <c r="BU14" i="1"/>
  <c r="BV14" i="1" s="1"/>
  <c r="CA14" i="1"/>
  <c r="CB14" i="1" s="1"/>
  <c r="DR14" i="1"/>
  <c r="CC14" i="1"/>
  <c r="CD14" i="1" s="1"/>
  <c r="CI14" i="1"/>
  <c r="CJ14" i="1" s="1"/>
  <c r="BW14" i="1"/>
  <c r="BX14" i="1" s="1"/>
  <c r="BY14" i="1"/>
  <c r="CG14" i="1"/>
  <c r="CH14" i="1" s="1"/>
  <c r="BS14" i="1"/>
  <c r="BT14" i="1" s="1"/>
  <c r="CK14" i="1"/>
  <c r="CL14" i="1" s="1"/>
  <c r="CA15" i="1"/>
  <c r="CB15" i="1" s="1"/>
  <c r="CK15" i="1"/>
  <c r="CL15" i="1" s="1"/>
  <c r="BW15" i="1"/>
  <c r="BX15" i="1" s="1"/>
  <c r="BU15" i="1"/>
  <c r="BV15" i="1" s="1"/>
  <c r="BS15" i="1"/>
  <c r="BT15" i="1" s="1"/>
  <c r="CC15" i="1"/>
  <c r="CD15" i="1" s="1"/>
  <c r="BY15" i="1"/>
  <c r="DR15" i="1"/>
  <c r="CI15" i="1"/>
  <c r="CJ15" i="1" s="1"/>
  <c r="CG15" i="1"/>
  <c r="CH15" i="1" s="1"/>
  <c r="CI11" i="1"/>
  <c r="CJ11" i="1" s="1"/>
  <c r="BS11" i="1"/>
  <c r="BT11" i="1" s="1"/>
  <c r="CG11" i="1"/>
  <c r="CH11" i="1" s="1"/>
  <c r="CK11" i="1"/>
  <c r="CL11" i="1" s="1"/>
  <c r="BW11" i="1"/>
  <c r="BX11" i="1" s="1"/>
  <c r="DR11" i="1"/>
  <c r="CA11" i="1"/>
  <c r="CB11" i="1" s="1"/>
  <c r="CC11" i="1"/>
  <c r="CD11" i="1" s="1"/>
  <c r="BU11" i="1"/>
  <c r="BV11" i="1" s="1"/>
  <c r="BY11" i="1"/>
  <c r="S12" i="1"/>
  <c r="S13" i="1"/>
  <c r="S11" i="1"/>
  <c r="S16" i="1"/>
  <c r="S14" i="1"/>
  <c r="S15" i="1"/>
  <c r="T10" i="1"/>
  <c r="T11" i="1"/>
  <c r="T14" i="1"/>
  <c r="T16" i="1"/>
  <c r="T13" i="1"/>
  <c r="T12" i="1"/>
  <c r="T15" i="1"/>
  <c r="E2459" i="3"/>
  <c r="F2459" i="3"/>
  <c r="H2459" i="3"/>
  <c r="C2458" i="3"/>
  <c r="D2458" i="3"/>
  <c r="BZ12" i="1" l="1"/>
  <c r="CE12" i="1"/>
  <c r="CF12" i="1" s="1"/>
  <c r="BZ15" i="1"/>
  <c r="CE15" i="1"/>
  <c r="CF15" i="1" s="1"/>
  <c r="BZ13" i="1"/>
  <c r="CE13" i="1"/>
  <c r="CF13" i="1" s="1"/>
  <c r="BZ16" i="1"/>
  <c r="CE16" i="1"/>
  <c r="CF16" i="1" s="1"/>
  <c r="BZ11" i="1"/>
  <c r="CE11" i="1"/>
  <c r="CF11" i="1" s="1"/>
  <c r="BZ14" i="1"/>
  <c r="CE14" i="1"/>
  <c r="CF14" i="1" s="1"/>
  <c r="CY12" i="1"/>
  <c r="BM12" i="1"/>
  <c r="BN12" i="1" s="1"/>
  <c r="BO12" i="1"/>
  <c r="BP12" i="1" s="1"/>
  <c r="BQ12" i="1"/>
  <c r="BM11" i="1"/>
  <c r="BN11" i="1" s="1"/>
  <c r="CY11" i="1"/>
  <c r="BO11" i="1"/>
  <c r="BP11" i="1" s="1"/>
  <c r="BQ11" i="1"/>
  <c r="BM16" i="1"/>
  <c r="BN16" i="1" s="1"/>
  <c r="CY16" i="1"/>
  <c r="BQ16" i="1"/>
  <c r="BO16" i="1"/>
  <c r="BP16" i="1" s="1"/>
  <c r="CY13" i="1"/>
  <c r="BQ13" i="1"/>
  <c r="BM13" i="1"/>
  <c r="BN13" i="1" s="1"/>
  <c r="BO13" i="1"/>
  <c r="BP13" i="1" s="1"/>
  <c r="BM15" i="1"/>
  <c r="BN15" i="1" s="1"/>
  <c r="CY15" i="1"/>
  <c r="BQ15" i="1"/>
  <c r="BO15" i="1"/>
  <c r="BP15" i="1" s="1"/>
  <c r="BM14" i="1"/>
  <c r="BN14" i="1" s="1"/>
  <c r="CY14" i="1"/>
  <c r="BO14" i="1"/>
  <c r="BP14" i="1" s="1"/>
  <c r="BQ14" i="1"/>
  <c r="H2458" i="3"/>
  <c r="F2458" i="3"/>
  <c r="D2457" i="3"/>
  <c r="C2457" i="3"/>
  <c r="E2458" i="3"/>
  <c r="DT13" i="1" l="1"/>
  <c r="DS13" i="1"/>
  <c r="BR13" i="1"/>
  <c r="DP16" i="1"/>
  <c r="ED16" i="1"/>
  <c r="EC16" i="1" s="1"/>
  <c r="EB16" i="1" s="1"/>
  <c r="CZ16" i="1"/>
  <c r="EE16" i="1" s="1"/>
  <c r="CW16" i="1"/>
  <c r="DY16" i="1"/>
  <c r="DX16" i="1" s="1"/>
  <c r="DW16" i="1" s="1"/>
  <c r="DS11" i="1"/>
  <c r="DT11" i="1"/>
  <c r="BR11" i="1"/>
  <c r="CW11" i="1"/>
  <c r="DY11" i="1"/>
  <c r="DX11" i="1" s="1"/>
  <c r="DW11" i="1" s="1"/>
  <c r="ED11" i="1"/>
  <c r="EC11" i="1" s="1"/>
  <c r="EB11" i="1" s="1"/>
  <c r="CZ11" i="1"/>
  <c r="EE11" i="1" s="1"/>
  <c r="DP11" i="1"/>
  <c r="DT12" i="1"/>
  <c r="DS12" i="1"/>
  <c r="BR12" i="1"/>
  <c r="DS15" i="1"/>
  <c r="DT15" i="1"/>
  <c r="BR15" i="1"/>
  <c r="ED15" i="1"/>
  <c r="EC15" i="1" s="1"/>
  <c r="EB15" i="1" s="1"/>
  <c r="CW15" i="1"/>
  <c r="DY15" i="1"/>
  <c r="DX15" i="1" s="1"/>
  <c r="DW15" i="1" s="1"/>
  <c r="DP15" i="1"/>
  <c r="CZ15" i="1"/>
  <c r="EE15" i="1" s="1"/>
  <c r="CW13" i="1"/>
  <c r="DP13" i="1"/>
  <c r="ED13" i="1"/>
  <c r="EC13" i="1" s="1"/>
  <c r="EB13" i="1" s="1"/>
  <c r="CZ13" i="1"/>
  <c r="EE13" i="1" s="1"/>
  <c r="DY13" i="1"/>
  <c r="DX13" i="1" s="1"/>
  <c r="DW13" i="1" s="1"/>
  <c r="DS16" i="1"/>
  <c r="DT16" i="1"/>
  <c r="BR16" i="1"/>
  <c r="DT14" i="1"/>
  <c r="DS14" i="1"/>
  <c r="BR14" i="1"/>
  <c r="CZ14" i="1"/>
  <c r="EE14" i="1" s="1"/>
  <c r="ED14" i="1"/>
  <c r="EC14" i="1" s="1"/>
  <c r="EB14" i="1" s="1"/>
  <c r="DP14" i="1"/>
  <c r="CW14" i="1"/>
  <c r="DY14" i="1"/>
  <c r="DX14" i="1" s="1"/>
  <c r="DW14" i="1" s="1"/>
  <c r="CW12" i="1"/>
  <c r="DY12" i="1"/>
  <c r="DX12" i="1" s="1"/>
  <c r="DW12" i="1" s="1"/>
  <c r="DP12" i="1"/>
  <c r="CZ12" i="1"/>
  <c r="EE12" i="1" s="1"/>
  <c r="ED12" i="1"/>
  <c r="EC12" i="1" s="1"/>
  <c r="EB12" i="1" s="1"/>
  <c r="E2457" i="3"/>
  <c r="F2457" i="3"/>
  <c r="H2457" i="3"/>
  <c r="C2456" i="3"/>
  <c r="D2456" i="3"/>
  <c r="CU11" i="1" l="1"/>
  <c r="CX11" i="1"/>
  <c r="CU12" i="1"/>
  <c r="CX12" i="1"/>
  <c r="CU14" i="1"/>
  <c r="CX14" i="1"/>
  <c r="DV15" i="1"/>
  <c r="CQ15" i="1" s="1"/>
  <c r="DU15" i="1"/>
  <c r="CM15" i="1" s="1"/>
  <c r="CU15" i="1"/>
  <c r="CX15" i="1"/>
  <c r="EA12" i="1"/>
  <c r="CT12" i="1" s="1"/>
  <c r="DZ12" i="1"/>
  <c r="CP12" i="1" s="1"/>
  <c r="DZ15" i="1"/>
  <c r="CP15" i="1" s="1"/>
  <c r="EA15" i="1"/>
  <c r="CT15" i="1" s="1"/>
  <c r="DV12" i="1"/>
  <c r="CQ12" i="1" s="1"/>
  <c r="DU12" i="1"/>
  <c r="CM12" i="1" s="1"/>
  <c r="DV14" i="1"/>
  <c r="CQ14" i="1" s="1"/>
  <c r="DU14" i="1"/>
  <c r="CM14" i="1" s="1"/>
  <c r="DV16" i="1"/>
  <c r="CQ16" i="1" s="1"/>
  <c r="DU16" i="1"/>
  <c r="CM16" i="1" s="1"/>
  <c r="DU13" i="1"/>
  <c r="CM13" i="1" s="1"/>
  <c r="DV13" i="1"/>
  <c r="CQ13" i="1" s="1"/>
  <c r="EA16" i="1"/>
  <c r="CT16" i="1" s="1"/>
  <c r="DZ16" i="1"/>
  <c r="CP16" i="1" s="1"/>
  <c r="EA13" i="1"/>
  <c r="CT13" i="1" s="1"/>
  <c r="DZ13" i="1"/>
  <c r="CP13" i="1" s="1"/>
  <c r="CU13" i="1"/>
  <c r="CX13" i="1"/>
  <c r="DV11" i="1"/>
  <c r="CQ11" i="1" s="1"/>
  <c r="DU11" i="1"/>
  <c r="CM11" i="1" s="1"/>
  <c r="CU16" i="1"/>
  <c r="CX16" i="1"/>
  <c r="EA14" i="1"/>
  <c r="CT14" i="1" s="1"/>
  <c r="DZ14" i="1"/>
  <c r="CP14" i="1" s="1"/>
  <c r="DZ11" i="1"/>
  <c r="CP11" i="1" s="1"/>
  <c r="EA11" i="1"/>
  <c r="CT11" i="1" s="1"/>
  <c r="U8" i="1"/>
  <c r="D2455" i="3"/>
  <c r="C2455" i="3"/>
  <c r="F2456" i="3"/>
  <c r="H2456" i="3"/>
  <c r="E2456" i="3"/>
  <c r="CN13" i="1" l="1"/>
  <c r="CR13" i="1"/>
  <c r="CV13" i="1"/>
  <c r="CN15" i="1"/>
  <c r="CR15" i="1"/>
  <c r="CV15" i="1"/>
  <c r="CN14" i="1"/>
  <c r="CR14" i="1"/>
  <c r="CV14" i="1"/>
  <c r="CV12" i="1"/>
  <c r="CN12" i="1"/>
  <c r="CR12" i="1"/>
  <c r="CN16" i="1"/>
  <c r="CR16" i="1"/>
  <c r="CV16" i="1"/>
  <c r="CV11" i="1"/>
  <c r="CR11" i="1"/>
  <c r="CN11" i="1"/>
  <c r="CY8" i="1"/>
  <c r="CW8" i="1" s="1"/>
  <c r="CK8" i="1"/>
  <c r="CG8" i="1"/>
  <c r="CH8" i="1" s="1"/>
  <c r="CI8" i="1"/>
  <c r="CJ8" i="1" s="1"/>
  <c r="CC8" i="1"/>
  <c r="BY8" i="1"/>
  <c r="BU8" i="1"/>
  <c r="BV8" i="1" s="1"/>
  <c r="CA8" i="1"/>
  <c r="CB8" i="1" s="1"/>
  <c r="BW8" i="1"/>
  <c r="BS8" i="1"/>
  <c r="BT8" i="1" s="1"/>
  <c r="DR8" i="1"/>
  <c r="BM8" i="1"/>
  <c r="BN8" i="1" s="1"/>
  <c r="BO8" i="1"/>
  <c r="BP8" i="1" s="1"/>
  <c r="BQ8" i="1"/>
  <c r="E2455" i="3"/>
  <c r="F2455" i="3"/>
  <c r="H2455" i="3"/>
  <c r="D2454" i="3"/>
  <c r="C2454" i="3"/>
  <c r="BZ8" i="1" l="1"/>
  <c r="CE8" i="1"/>
  <c r="CF8" i="1" s="1"/>
  <c r="CO16" i="1"/>
  <c r="DI16" i="1"/>
  <c r="DH16" i="1"/>
  <c r="DL16" i="1" s="1"/>
  <c r="DH12" i="1"/>
  <c r="DL12" i="1" s="1"/>
  <c r="CO12" i="1"/>
  <c r="DI12" i="1"/>
  <c r="DI14" i="1"/>
  <c r="DH14" i="1"/>
  <c r="DL14" i="1" s="1"/>
  <c r="CO14" i="1"/>
  <c r="DH15" i="1"/>
  <c r="DL15" i="1" s="1"/>
  <c r="CO15" i="1"/>
  <c r="DI15" i="1"/>
  <c r="DI11" i="1"/>
  <c r="DH11" i="1"/>
  <c r="DL11" i="1" s="1"/>
  <c r="CO11" i="1"/>
  <c r="DI13" i="1"/>
  <c r="DH13" i="1"/>
  <c r="DL13" i="1" s="1"/>
  <c r="CO13" i="1"/>
  <c r="DY8" i="1"/>
  <c r="CU8" i="1"/>
  <c r="ED8" i="1"/>
  <c r="CL8" i="1"/>
  <c r="DS8" i="1"/>
  <c r="DT8" i="1"/>
  <c r="BR8" i="1"/>
  <c r="BX8" i="1"/>
  <c r="CD8" i="1"/>
  <c r="DP8" i="1"/>
  <c r="CZ8" i="1"/>
  <c r="EE8" i="1" s="1"/>
  <c r="D2453" i="3"/>
  <c r="C2453" i="3"/>
  <c r="H2454" i="3"/>
  <c r="F2454" i="3"/>
  <c r="E2454" i="3"/>
  <c r="DJ13" i="1" l="1"/>
  <c r="DK13" i="1"/>
  <c r="DJ16" i="1"/>
  <c r="DK16" i="1"/>
  <c r="DK14" i="1"/>
  <c r="DJ14" i="1"/>
  <c r="DK11" i="1"/>
  <c r="DJ11" i="1"/>
  <c r="DJ15" i="1"/>
  <c r="DK15" i="1"/>
  <c r="DK12" i="1"/>
  <c r="DJ12" i="1"/>
  <c r="CX8" i="1"/>
  <c r="CR8" i="1"/>
  <c r="DX8" i="1"/>
  <c r="EC8" i="1"/>
  <c r="E2453" i="3"/>
  <c r="H2453" i="3"/>
  <c r="F2453" i="3"/>
  <c r="D2452" i="3"/>
  <c r="C2452" i="3"/>
  <c r="DM14" i="1" l="1"/>
  <c r="DM13" i="1"/>
  <c r="DM11" i="1"/>
  <c r="DM16" i="1"/>
  <c r="DM15" i="1"/>
  <c r="DM12" i="1"/>
  <c r="DW8" i="1"/>
  <c r="EB8" i="1"/>
  <c r="EA8" i="1" s="1"/>
  <c r="CT8" i="1" s="1"/>
  <c r="D2451" i="3"/>
  <c r="C2451" i="3"/>
  <c r="H2452" i="3"/>
  <c r="F2452" i="3"/>
  <c r="E2452" i="3"/>
  <c r="DN12" i="1" l="1"/>
  <c r="DO12" i="1" s="1"/>
  <c r="DQ12" i="1"/>
  <c r="DN11" i="1"/>
  <c r="DO11" i="1" s="1"/>
  <c r="DQ11" i="1"/>
  <c r="DN15" i="1"/>
  <c r="DO15" i="1" s="1"/>
  <c r="DQ15" i="1"/>
  <c r="DN16" i="1"/>
  <c r="DO16" i="1" s="1"/>
  <c r="DQ16" i="1"/>
  <c r="DN13" i="1"/>
  <c r="DO13" i="1" s="1"/>
  <c r="DQ13" i="1"/>
  <c r="DN14" i="1"/>
  <c r="DO14" i="1" s="1"/>
  <c r="DQ14" i="1"/>
  <c r="DV8" i="1"/>
  <c r="CQ8" i="1" s="1"/>
  <c r="DZ8" i="1"/>
  <c r="DU8" i="1"/>
  <c r="E2451" i="3"/>
  <c r="F2451" i="3"/>
  <c r="H2451" i="3"/>
  <c r="C2450" i="3"/>
  <c r="D2450" i="3"/>
  <c r="CP8" i="1" l="1"/>
  <c r="CM8" i="1"/>
  <c r="C2449" i="3"/>
  <c r="D2449" i="3"/>
  <c r="F2450" i="3"/>
  <c r="H2450" i="3"/>
  <c r="E2450" i="3"/>
  <c r="E2449" i="3" l="1"/>
  <c r="D2448" i="3"/>
  <c r="C2448" i="3"/>
  <c r="F2449" i="3"/>
  <c r="H2449" i="3"/>
  <c r="H2448" i="3" l="1"/>
  <c r="F2448" i="3"/>
  <c r="C2447" i="3"/>
  <c r="D2447" i="3"/>
  <c r="E2448" i="3"/>
  <c r="E2447" i="3" l="1"/>
  <c r="D2446" i="3"/>
  <c r="C2446" i="3"/>
  <c r="H2447" i="3"/>
  <c r="F2447" i="3"/>
  <c r="F2446" i="3" l="1"/>
  <c r="H2446" i="3"/>
  <c r="C2445" i="3"/>
  <c r="D2445" i="3"/>
  <c r="E2446" i="3"/>
  <c r="C2444" i="3" l="1"/>
  <c r="D2444" i="3"/>
  <c r="H2445" i="3"/>
  <c r="F2445" i="3"/>
  <c r="E2445" i="3"/>
  <c r="E2444" i="3" l="1"/>
  <c r="D2443" i="3"/>
  <c r="C2443" i="3"/>
  <c r="H2444" i="3"/>
  <c r="F2444" i="3"/>
  <c r="H2443" i="3" l="1"/>
  <c r="F2443" i="3"/>
  <c r="C2442" i="3"/>
  <c r="D2442" i="3"/>
  <c r="E2443" i="3"/>
  <c r="E2442" i="3" l="1"/>
  <c r="C2441" i="3"/>
  <c r="D2441" i="3"/>
  <c r="H2442" i="3"/>
  <c r="F2442" i="3"/>
  <c r="D2440" i="3" l="1"/>
  <c r="C2440" i="3"/>
  <c r="H2441" i="3"/>
  <c r="F2441" i="3"/>
  <c r="E2441" i="3"/>
  <c r="E2440" i="3" l="1"/>
  <c r="F2440" i="3"/>
  <c r="H2440" i="3"/>
  <c r="C2439" i="3"/>
  <c r="D2439" i="3"/>
  <c r="E2439" i="3" l="1"/>
  <c r="C2438" i="3"/>
  <c r="D2438" i="3"/>
  <c r="F2439" i="3"/>
  <c r="H2439" i="3"/>
  <c r="E2438" i="3" l="1"/>
  <c r="D2437" i="3"/>
  <c r="C2437" i="3"/>
  <c r="H2438" i="3"/>
  <c r="F2438" i="3"/>
  <c r="F2437" i="3" l="1"/>
  <c r="H2437" i="3"/>
  <c r="D2436" i="3"/>
  <c r="C2436" i="3"/>
  <c r="E2437" i="3"/>
  <c r="AE83" i="2" l="1"/>
  <c r="AQ83" i="2" s="1"/>
  <c r="R18" i="1"/>
  <c r="R19" i="1"/>
  <c r="R17" i="1"/>
  <c r="U18" i="1"/>
  <c r="U19" i="1"/>
  <c r="U17" i="1"/>
  <c r="E2436" i="3"/>
  <c r="F2436" i="3"/>
  <c r="U20" i="1" s="1"/>
  <c r="H2436" i="3"/>
  <c r="D2435" i="3"/>
  <c r="C2435" i="3"/>
  <c r="AG83" i="2" l="1"/>
  <c r="AF83" i="2"/>
  <c r="AE82" i="2"/>
  <c r="AQ82" i="2" s="1"/>
  <c r="R20" i="1"/>
  <c r="CK17" i="1"/>
  <c r="CL17" i="1" s="1"/>
  <c r="CA17" i="1"/>
  <c r="CB17" i="1" s="1"/>
  <c r="BY17" i="1"/>
  <c r="CG17" i="1"/>
  <c r="CH17" i="1" s="1"/>
  <c r="BW17" i="1"/>
  <c r="BX17" i="1" s="1"/>
  <c r="CI17" i="1"/>
  <c r="CJ17" i="1" s="1"/>
  <c r="CC17" i="1"/>
  <c r="CD17" i="1" s="1"/>
  <c r="BS17" i="1"/>
  <c r="BT17" i="1" s="1"/>
  <c r="BU17" i="1"/>
  <c r="BV17" i="1" s="1"/>
  <c r="DR17" i="1"/>
  <c r="BS19" i="1"/>
  <c r="BT19" i="1" s="1"/>
  <c r="CG19" i="1"/>
  <c r="CH19" i="1" s="1"/>
  <c r="DR19" i="1"/>
  <c r="CI19" i="1"/>
  <c r="CJ19" i="1" s="1"/>
  <c r="CC19" i="1"/>
  <c r="CD19" i="1" s="1"/>
  <c r="CA19" i="1"/>
  <c r="CB19" i="1" s="1"/>
  <c r="BY19" i="1"/>
  <c r="BW19" i="1"/>
  <c r="BX19" i="1" s="1"/>
  <c r="BU19" i="1"/>
  <c r="BV19" i="1" s="1"/>
  <c r="CK19" i="1"/>
  <c r="CL19" i="1" s="1"/>
  <c r="CC18" i="1"/>
  <c r="CD18" i="1" s="1"/>
  <c r="CG18" i="1"/>
  <c r="CH18" i="1" s="1"/>
  <c r="BY18" i="1"/>
  <c r="CI18" i="1"/>
  <c r="CJ18" i="1" s="1"/>
  <c r="BU18" i="1"/>
  <c r="BV18" i="1" s="1"/>
  <c r="BS18" i="1"/>
  <c r="BT18" i="1" s="1"/>
  <c r="DR18" i="1"/>
  <c r="CA18" i="1"/>
  <c r="CB18" i="1" s="1"/>
  <c r="CK18" i="1"/>
  <c r="CL18" i="1" s="1"/>
  <c r="BW18" i="1"/>
  <c r="BX18" i="1" s="1"/>
  <c r="T17" i="1"/>
  <c r="CY17" i="1" s="1"/>
  <c r="T18" i="1"/>
  <c r="T19" i="1"/>
  <c r="S18" i="1"/>
  <c r="S19" i="1"/>
  <c r="H2435" i="3"/>
  <c r="F2435" i="3"/>
  <c r="E2435" i="3"/>
  <c r="D2434" i="3"/>
  <c r="C2434" i="3"/>
  <c r="BZ18" i="1" l="1"/>
  <c r="CE18" i="1"/>
  <c r="CF18" i="1" s="1"/>
  <c r="BZ17" i="1"/>
  <c r="CE17" i="1"/>
  <c r="CF17" i="1" s="1"/>
  <c r="BZ19" i="1"/>
  <c r="CE19" i="1"/>
  <c r="CF19" i="1" s="1"/>
  <c r="AG82" i="2"/>
  <c r="AF82" i="2"/>
  <c r="T20" i="1" s="1"/>
  <c r="CY20" i="1" s="1"/>
  <c r="CK20" i="1"/>
  <c r="CL20" i="1" s="1"/>
  <c r="CI20" i="1"/>
  <c r="CJ20" i="1" s="1"/>
  <c r="CG20" i="1"/>
  <c r="CH20" i="1" s="1"/>
  <c r="CA20" i="1"/>
  <c r="CB20" i="1" s="1"/>
  <c r="CC20" i="1"/>
  <c r="CD20" i="1" s="1"/>
  <c r="BS20" i="1"/>
  <c r="BT20" i="1" s="1"/>
  <c r="BY20" i="1"/>
  <c r="BW20" i="1"/>
  <c r="BX20" i="1" s="1"/>
  <c r="BU20" i="1"/>
  <c r="BV20" i="1" s="1"/>
  <c r="DR20" i="1"/>
  <c r="BQ17" i="1"/>
  <c r="BR17" i="1" s="1"/>
  <c r="BM17" i="1"/>
  <c r="BN17" i="1" s="1"/>
  <c r="BO17" i="1"/>
  <c r="BP17" i="1" s="1"/>
  <c r="BQ19" i="1"/>
  <c r="BM19" i="1"/>
  <c r="BN19" i="1" s="1"/>
  <c r="BO19" i="1"/>
  <c r="BP19" i="1" s="1"/>
  <c r="CY19" i="1"/>
  <c r="BQ18" i="1"/>
  <c r="CY18" i="1"/>
  <c r="BO18" i="1"/>
  <c r="BP18" i="1" s="1"/>
  <c r="BM18" i="1"/>
  <c r="BN18" i="1" s="1"/>
  <c r="CZ17" i="1"/>
  <c r="EE17" i="1" s="1"/>
  <c r="DP17" i="1"/>
  <c r="ED17" i="1"/>
  <c r="EC17" i="1" s="1"/>
  <c r="EB17" i="1" s="1"/>
  <c r="CW17" i="1"/>
  <c r="DY17" i="1"/>
  <c r="DX17" i="1" s="1"/>
  <c r="DW17" i="1" s="1"/>
  <c r="D2433" i="3"/>
  <c r="C2433" i="3"/>
  <c r="E2434" i="3"/>
  <c r="H2434" i="3"/>
  <c r="F2434" i="3"/>
  <c r="BQ20" i="1" l="1"/>
  <c r="DT20" i="1" s="1"/>
  <c r="BO20" i="1"/>
  <c r="BP20" i="1" s="1"/>
  <c r="BM20" i="1"/>
  <c r="BN20" i="1" s="1"/>
  <c r="BZ20" i="1"/>
  <c r="CE20" i="1"/>
  <c r="CF20" i="1" s="1"/>
  <c r="DT17" i="1"/>
  <c r="DS17" i="1"/>
  <c r="DS18" i="1"/>
  <c r="DT18" i="1"/>
  <c r="BR18" i="1"/>
  <c r="ED19" i="1"/>
  <c r="EC19" i="1" s="1"/>
  <c r="EB19" i="1" s="1"/>
  <c r="DY19" i="1"/>
  <c r="DX19" i="1" s="1"/>
  <c r="DW19" i="1" s="1"/>
  <c r="CW19" i="1"/>
  <c r="DP19" i="1"/>
  <c r="CZ19" i="1"/>
  <c r="EE19" i="1" s="1"/>
  <c r="ED18" i="1"/>
  <c r="EC18" i="1" s="1"/>
  <c r="EB18" i="1" s="1"/>
  <c r="DY18" i="1"/>
  <c r="DX18" i="1" s="1"/>
  <c r="DW18" i="1" s="1"/>
  <c r="CW18" i="1"/>
  <c r="CZ18" i="1"/>
  <c r="EE18" i="1" s="1"/>
  <c r="DP18" i="1"/>
  <c r="DT19" i="1"/>
  <c r="DS19" i="1"/>
  <c r="BR19" i="1"/>
  <c r="CU17" i="1"/>
  <c r="CR17" i="1" s="1"/>
  <c r="CX17" i="1"/>
  <c r="EA17" i="1"/>
  <c r="CT17" i="1" s="1"/>
  <c r="DZ17" i="1"/>
  <c r="CP17" i="1" s="1"/>
  <c r="DU17" i="1"/>
  <c r="CM17" i="1" s="1"/>
  <c r="DV17" i="1"/>
  <c r="CQ17" i="1" s="1"/>
  <c r="CW20" i="1"/>
  <c r="DY20" i="1"/>
  <c r="DX20" i="1" s="1"/>
  <c r="DW20" i="1" s="1"/>
  <c r="ED20" i="1"/>
  <c r="EC20" i="1" s="1"/>
  <c r="EB20" i="1" s="1"/>
  <c r="CZ20" i="1"/>
  <c r="DP20" i="1"/>
  <c r="E2433" i="3"/>
  <c r="F2433" i="3"/>
  <c r="H2433" i="3"/>
  <c r="D2432" i="3"/>
  <c r="C2432" i="3"/>
  <c r="BR20" i="1" l="1"/>
  <c r="DS20" i="1"/>
  <c r="CU19" i="1"/>
  <c r="CX19" i="1"/>
  <c r="EA19" i="1"/>
  <c r="CT19" i="1" s="1"/>
  <c r="DZ19" i="1"/>
  <c r="CP19" i="1" s="1"/>
  <c r="DV18" i="1"/>
  <c r="CQ18" i="1" s="1"/>
  <c r="DU18" i="1"/>
  <c r="CM18" i="1" s="1"/>
  <c r="EA18" i="1"/>
  <c r="CT18" i="1" s="1"/>
  <c r="DZ18" i="1"/>
  <c r="CP18" i="1" s="1"/>
  <c r="DU19" i="1"/>
  <c r="CM19" i="1" s="1"/>
  <c r="DV19" i="1"/>
  <c r="CQ19" i="1" s="1"/>
  <c r="CU18" i="1"/>
  <c r="CX18" i="1"/>
  <c r="EA20" i="1"/>
  <c r="CT20" i="1" s="1"/>
  <c r="DZ20" i="1"/>
  <c r="CP20" i="1" s="1"/>
  <c r="CU20" i="1"/>
  <c r="CR20" i="1" s="1"/>
  <c r="CX20" i="1"/>
  <c r="DU20" i="1"/>
  <c r="CM20" i="1" s="1"/>
  <c r="DV20" i="1"/>
  <c r="CQ20" i="1" s="1"/>
  <c r="F2432" i="3"/>
  <c r="H2432" i="3"/>
  <c r="C2431" i="3"/>
  <c r="D2431" i="3"/>
  <c r="E2432" i="3"/>
  <c r="CR18" i="1" l="1"/>
  <c r="CN18" i="1"/>
  <c r="CV18" i="1"/>
  <c r="CV19" i="1"/>
  <c r="CR19" i="1"/>
  <c r="CN19" i="1"/>
  <c r="E2431" i="3"/>
  <c r="C2430" i="3"/>
  <c r="D2430" i="3"/>
  <c r="H2431" i="3"/>
  <c r="F2431" i="3"/>
  <c r="DI18" i="1" l="1"/>
  <c r="DH18" i="1"/>
  <c r="DL18" i="1" s="1"/>
  <c r="CO18" i="1"/>
  <c r="DH19" i="1"/>
  <c r="DL19" i="1" s="1"/>
  <c r="DI19" i="1"/>
  <c r="CO19" i="1"/>
  <c r="E2430" i="3"/>
  <c r="C2429" i="3"/>
  <c r="D2429" i="3"/>
  <c r="F2430" i="3"/>
  <c r="H2430" i="3"/>
  <c r="U22" i="1" l="1"/>
  <c r="U25" i="1"/>
  <c r="U26" i="1"/>
  <c r="U24" i="1"/>
  <c r="U23" i="1"/>
  <c r="U21" i="1"/>
  <c r="AE81" i="2"/>
  <c r="AQ81" i="2" s="1"/>
  <c r="R22" i="1"/>
  <c r="R25" i="1"/>
  <c r="R26" i="1"/>
  <c r="R24" i="1"/>
  <c r="R23" i="1"/>
  <c r="R21" i="1"/>
  <c r="DK19" i="1"/>
  <c r="DJ19" i="1"/>
  <c r="DK18" i="1"/>
  <c r="DJ18" i="1"/>
  <c r="D2428" i="3"/>
  <c r="C2428" i="3"/>
  <c r="H2429" i="3"/>
  <c r="F2429" i="3"/>
  <c r="U27" i="1" s="1"/>
  <c r="E2429" i="3"/>
  <c r="AF81" i="2" l="1"/>
  <c r="AG81" i="2"/>
  <c r="AE80" i="2"/>
  <c r="R27" i="1"/>
  <c r="CK21" i="1"/>
  <c r="CL21" i="1" s="1"/>
  <c r="CA21" i="1"/>
  <c r="CB21" i="1" s="1"/>
  <c r="CI21" i="1"/>
  <c r="CJ21" i="1" s="1"/>
  <c r="BW21" i="1"/>
  <c r="BX21" i="1" s="1"/>
  <c r="BY21" i="1"/>
  <c r="CG21" i="1"/>
  <c r="CH21" i="1" s="1"/>
  <c r="BS21" i="1"/>
  <c r="BT21" i="1" s="1"/>
  <c r="BU21" i="1"/>
  <c r="BV21" i="1" s="1"/>
  <c r="CC21" i="1"/>
  <c r="CD21" i="1" s="1"/>
  <c r="DR21" i="1"/>
  <c r="CG23" i="1"/>
  <c r="CH23" i="1" s="1"/>
  <c r="CC23" i="1"/>
  <c r="CD23" i="1" s="1"/>
  <c r="BY23" i="1"/>
  <c r="BS23" i="1"/>
  <c r="BT23" i="1" s="1"/>
  <c r="CI23" i="1"/>
  <c r="CJ23" i="1" s="1"/>
  <c r="CK23" i="1"/>
  <c r="CL23" i="1" s="1"/>
  <c r="BW23" i="1"/>
  <c r="BX23" i="1" s="1"/>
  <c r="CA23" i="1"/>
  <c r="CB23" i="1" s="1"/>
  <c r="DR23" i="1"/>
  <c r="BU23" i="1"/>
  <c r="BV23" i="1" s="1"/>
  <c r="CI24" i="1"/>
  <c r="CJ24" i="1" s="1"/>
  <c r="DR24" i="1"/>
  <c r="BS24" i="1"/>
  <c r="BT24" i="1" s="1"/>
  <c r="BU24" i="1"/>
  <c r="BV24" i="1" s="1"/>
  <c r="CC24" i="1"/>
  <c r="CD24" i="1" s="1"/>
  <c r="BW24" i="1"/>
  <c r="BX24" i="1" s="1"/>
  <c r="CK24" i="1"/>
  <c r="CL24" i="1" s="1"/>
  <c r="CG24" i="1"/>
  <c r="CH24" i="1" s="1"/>
  <c r="CA24" i="1"/>
  <c r="CB24" i="1" s="1"/>
  <c r="BY24" i="1"/>
  <c r="BW26" i="1"/>
  <c r="BX26" i="1" s="1"/>
  <c r="CC26" i="1"/>
  <c r="CD26" i="1" s="1"/>
  <c r="BS26" i="1"/>
  <c r="BT26" i="1" s="1"/>
  <c r="DR26" i="1"/>
  <c r="CI26" i="1"/>
  <c r="CJ26" i="1" s="1"/>
  <c r="CA26" i="1"/>
  <c r="CB26" i="1" s="1"/>
  <c r="BU26" i="1"/>
  <c r="BV26" i="1" s="1"/>
  <c r="CG26" i="1"/>
  <c r="CH26" i="1" s="1"/>
  <c r="CK26" i="1"/>
  <c r="CL26" i="1" s="1"/>
  <c r="BY26" i="1"/>
  <c r="CA25" i="1"/>
  <c r="CB25" i="1" s="1"/>
  <c r="CC25" i="1"/>
  <c r="CD25" i="1" s="1"/>
  <c r="DR25" i="1"/>
  <c r="CG25" i="1"/>
  <c r="CH25" i="1" s="1"/>
  <c r="BU25" i="1"/>
  <c r="BV25" i="1" s="1"/>
  <c r="BS25" i="1"/>
  <c r="BT25" i="1" s="1"/>
  <c r="CK25" i="1"/>
  <c r="CL25" i="1" s="1"/>
  <c r="CI25" i="1"/>
  <c r="CJ25" i="1" s="1"/>
  <c r="BW25" i="1"/>
  <c r="BX25" i="1" s="1"/>
  <c r="BY25" i="1"/>
  <c r="CC22" i="1"/>
  <c r="CD22" i="1" s="1"/>
  <c r="CK22" i="1"/>
  <c r="CL22" i="1" s="1"/>
  <c r="BS22" i="1"/>
  <c r="BT22" i="1" s="1"/>
  <c r="CG22" i="1"/>
  <c r="CH22" i="1" s="1"/>
  <c r="BW22" i="1"/>
  <c r="BX22" i="1" s="1"/>
  <c r="BY22" i="1"/>
  <c r="CI22" i="1"/>
  <c r="CJ22" i="1" s="1"/>
  <c r="CA22" i="1"/>
  <c r="CB22" i="1" s="1"/>
  <c r="DR22" i="1"/>
  <c r="BU22" i="1"/>
  <c r="BV22" i="1" s="1"/>
  <c r="DM18" i="1"/>
  <c r="S22" i="1"/>
  <c r="S23" i="1"/>
  <c r="S26" i="1"/>
  <c r="S25" i="1"/>
  <c r="S24" i="1"/>
  <c r="T21" i="1"/>
  <c r="CY21" i="1" s="1"/>
  <c r="T22" i="1"/>
  <c r="T25" i="1"/>
  <c r="T26" i="1"/>
  <c r="T23" i="1"/>
  <c r="T24" i="1"/>
  <c r="DM19" i="1"/>
  <c r="AG80" i="2"/>
  <c r="AQ80" i="2"/>
  <c r="AF80" i="2"/>
  <c r="T27" i="1" s="1"/>
  <c r="E2428" i="3"/>
  <c r="F2428" i="3"/>
  <c r="H2428" i="3"/>
  <c r="C2427" i="3"/>
  <c r="D2427" i="3"/>
  <c r="BZ21" i="1" l="1"/>
  <c r="CE21" i="1"/>
  <c r="CF21" i="1" s="1"/>
  <c r="BZ25" i="1"/>
  <c r="CE25" i="1"/>
  <c r="CF25" i="1" s="1"/>
  <c r="BZ26" i="1"/>
  <c r="CE26" i="1"/>
  <c r="CF26" i="1" s="1"/>
  <c r="BZ24" i="1"/>
  <c r="CE24" i="1"/>
  <c r="CF24" i="1" s="1"/>
  <c r="BZ22" i="1"/>
  <c r="CE22" i="1"/>
  <c r="CF22" i="1" s="1"/>
  <c r="BZ23" i="1"/>
  <c r="CE23" i="1"/>
  <c r="CF23" i="1" s="1"/>
  <c r="CA27" i="1"/>
  <c r="CB27" i="1" s="1"/>
  <c r="CI27" i="1"/>
  <c r="CJ27" i="1" s="1"/>
  <c r="BY27" i="1"/>
  <c r="CC27" i="1"/>
  <c r="CD27" i="1" s="1"/>
  <c r="BS27" i="1"/>
  <c r="BT27" i="1" s="1"/>
  <c r="BU27" i="1"/>
  <c r="BV27" i="1" s="1"/>
  <c r="CG27" i="1"/>
  <c r="CH27" i="1" s="1"/>
  <c r="CK27" i="1"/>
  <c r="CL27" i="1" s="1"/>
  <c r="BW27" i="1"/>
  <c r="BX27" i="1" s="1"/>
  <c r="DR27" i="1"/>
  <c r="DN18" i="1"/>
  <c r="DO18" i="1" s="1"/>
  <c r="DQ18" i="1"/>
  <c r="DN19" i="1"/>
  <c r="DO19" i="1" s="1"/>
  <c r="DQ19" i="1"/>
  <c r="BM21" i="1"/>
  <c r="BN21" i="1" s="1"/>
  <c r="BQ21" i="1"/>
  <c r="DS21" i="1" s="1"/>
  <c r="BO21" i="1"/>
  <c r="BP21" i="1" s="1"/>
  <c r="BM22" i="1"/>
  <c r="BN22" i="1" s="1"/>
  <c r="BO22" i="1"/>
  <c r="BP22" i="1" s="1"/>
  <c r="BQ22" i="1"/>
  <c r="CY22" i="1"/>
  <c r="BQ23" i="1"/>
  <c r="BM23" i="1"/>
  <c r="BN23" i="1" s="1"/>
  <c r="BO23" i="1"/>
  <c r="BP23" i="1" s="1"/>
  <c r="CY23" i="1"/>
  <c r="BO26" i="1"/>
  <c r="BP26" i="1" s="1"/>
  <c r="BM26" i="1"/>
  <c r="BN26" i="1" s="1"/>
  <c r="BQ26" i="1"/>
  <c r="CY26" i="1"/>
  <c r="BO24" i="1"/>
  <c r="BP24" i="1" s="1"/>
  <c r="BM24" i="1"/>
  <c r="BN24" i="1" s="1"/>
  <c r="BQ24" i="1"/>
  <c r="CY24" i="1"/>
  <c r="BO25" i="1"/>
  <c r="BP25" i="1" s="1"/>
  <c r="BM25" i="1"/>
  <c r="BN25" i="1" s="1"/>
  <c r="BQ25" i="1"/>
  <c r="CY25" i="1"/>
  <c r="BO27" i="1"/>
  <c r="BP27" i="1" s="1"/>
  <c r="CY27" i="1"/>
  <c r="BQ27" i="1"/>
  <c r="BM27" i="1"/>
  <c r="BN27" i="1" s="1"/>
  <c r="ED21" i="1"/>
  <c r="EC21" i="1" s="1"/>
  <c r="EB21" i="1" s="1"/>
  <c r="CW21" i="1"/>
  <c r="CZ21" i="1"/>
  <c r="DY21" i="1"/>
  <c r="DX21" i="1" s="1"/>
  <c r="DW21" i="1" s="1"/>
  <c r="DP21" i="1"/>
  <c r="C2426" i="3"/>
  <c r="D2426" i="3"/>
  <c r="H2427" i="3"/>
  <c r="F2427" i="3"/>
  <c r="E2427" i="3"/>
  <c r="BZ27" i="1" l="1"/>
  <c r="CE27" i="1"/>
  <c r="CF27" i="1" s="1"/>
  <c r="BR21" i="1"/>
  <c r="DT21" i="1"/>
  <c r="DS23" i="1"/>
  <c r="DT23" i="1"/>
  <c r="BR23" i="1"/>
  <c r="DS26" i="1"/>
  <c r="DT26" i="1"/>
  <c r="BR26" i="1"/>
  <c r="DY22" i="1"/>
  <c r="DX22" i="1" s="1"/>
  <c r="DW22" i="1" s="1"/>
  <c r="CW22" i="1"/>
  <c r="CZ22" i="1"/>
  <c r="DP22" i="1"/>
  <c r="ED22" i="1"/>
  <c r="EC22" i="1" s="1"/>
  <c r="EB22" i="1" s="1"/>
  <c r="DT25" i="1"/>
  <c r="DS25" i="1"/>
  <c r="BR25" i="1"/>
  <c r="DS22" i="1"/>
  <c r="DT22" i="1"/>
  <c r="BR22" i="1"/>
  <c r="DP24" i="1"/>
  <c r="DY24" i="1"/>
  <c r="DX24" i="1" s="1"/>
  <c r="DW24" i="1" s="1"/>
  <c r="ED24" i="1"/>
  <c r="EC24" i="1" s="1"/>
  <c r="EB24" i="1" s="1"/>
  <c r="CW24" i="1"/>
  <c r="CZ24" i="1"/>
  <c r="CW23" i="1"/>
  <c r="DP23" i="1"/>
  <c r="ED23" i="1"/>
  <c r="EC23" i="1" s="1"/>
  <c r="EB23" i="1" s="1"/>
  <c r="DY23" i="1"/>
  <c r="DX23" i="1" s="1"/>
  <c r="DW23" i="1" s="1"/>
  <c r="CZ23" i="1"/>
  <c r="DY25" i="1"/>
  <c r="DX25" i="1" s="1"/>
  <c r="DW25" i="1" s="1"/>
  <c r="CW25" i="1"/>
  <c r="ED25" i="1"/>
  <c r="EC25" i="1" s="1"/>
  <c r="EB25" i="1" s="1"/>
  <c r="CZ25" i="1"/>
  <c r="DP25" i="1"/>
  <c r="DS24" i="1"/>
  <c r="DT24" i="1"/>
  <c r="BR24" i="1"/>
  <c r="DP26" i="1"/>
  <c r="CW26" i="1"/>
  <c r="DY26" i="1"/>
  <c r="DX26" i="1" s="1"/>
  <c r="DW26" i="1" s="1"/>
  <c r="ED26" i="1"/>
  <c r="EC26" i="1" s="1"/>
  <c r="EB26" i="1" s="1"/>
  <c r="CZ26" i="1"/>
  <c r="CU21" i="1"/>
  <c r="CR21" i="1" s="1"/>
  <c r="CX21" i="1"/>
  <c r="BR27" i="1"/>
  <c r="DS27" i="1"/>
  <c r="DT27" i="1"/>
  <c r="DU21" i="1"/>
  <c r="CM21" i="1" s="1"/>
  <c r="DV21" i="1"/>
  <c r="CQ21" i="1" s="1"/>
  <c r="DY27" i="1"/>
  <c r="DX27" i="1" s="1"/>
  <c r="DW27" i="1" s="1"/>
  <c r="CW27" i="1"/>
  <c r="DP27" i="1"/>
  <c r="CZ27" i="1"/>
  <c r="EE27" i="1" s="1"/>
  <c r="ED27" i="1"/>
  <c r="EC27" i="1" s="1"/>
  <c r="EB27" i="1" s="1"/>
  <c r="EA21" i="1"/>
  <c r="CT21" i="1" s="1"/>
  <c r="DZ21" i="1"/>
  <c r="CP21" i="1" s="1"/>
  <c r="E2426" i="3"/>
  <c r="D2425" i="3"/>
  <c r="C2425" i="3"/>
  <c r="F2426" i="3"/>
  <c r="H2426" i="3"/>
  <c r="DV26" i="1" l="1"/>
  <c r="CQ26" i="1" s="1"/>
  <c r="DU26" i="1"/>
  <c r="CM26" i="1" s="1"/>
  <c r="CU24" i="1"/>
  <c r="CX24" i="1"/>
  <c r="CU22" i="1"/>
  <c r="CX22" i="1"/>
  <c r="EA23" i="1"/>
  <c r="CT23" i="1" s="1"/>
  <c r="DZ23" i="1"/>
  <c r="CP23" i="1" s="1"/>
  <c r="DZ22" i="1"/>
  <c r="CP22" i="1" s="1"/>
  <c r="EA22" i="1"/>
  <c r="CT22" i="1" s="1"/>
  <c r="CU23" i="1"/>
  <c r="CX23" i="1"/>
  <c r="EA24" i="1"/>
  <c r="CT24" i="1" s="1"/>
  <c r="DZ24" i="1"/>
  <c r="CP24" i="1" s="1"/>
  <c r="CU25" i="1"/>
  <c r="CX25" i="1"/>
  <c r="DU22" i="1"/>
  <c r="CM22" i="1" s="1"/>
  <c r="DV22" i="1"/>
  <c r="CQ22" i="1" s="1"/>
  <c r="DU24" i="1"/>
  <c r="CM24" i="1" s="1"/>
  <c r="DV24" i="1"/>
  <c r="CQ24" i="1" s="1"/>
  <c r="DZ25" i="1"/>
  <c r="CP25" i="1" s="1"/>
  <c r="EA25" i="1"/>
  <c r="CT25" i="1" s="1"/>
  <c r="DV25" i="1"/>
  <c r="CQ25" i="1" s="1"/>
  <c r="DU25" i="1"/>
  <c r="CM25" i="1" s="1"/>
  <c r="DV23" i="1"/>
  <c r="CQ23" i="1" s="1"/>
  <c r="DU23" i="1"/>
  <c r="CM23" i="1" s="1"/>
  <c r="CU26" i="1"/>
  <c r="CX26" i="1"/>
  <c r="EA26" i="1"/>
  <c r="CT26" i="1" s="1"/>
  <c r="DZ26" i="1"/>
  <c r="CP26" i="1" s="1"/>
  <c r="CU27" i="1"/>
  <c r="CR27" i="1" s="1"/>
  <c r="CX27" i="1"/>
  <c r="EA27" i="1"/>
  <c r="CT27" i="1" s="1"/>
  <c r="DZ27" i="1"/>
  <c r="CP27" i="1" s="1"/>
  <c r="DV27" i="1"/>
  <c r="CQ27" i="1" s="1"/>
  <c r="DU27" i="1"/>
  <c r="CM27" i="1" s="1"/>
  <c r="U10" i="1"/>
  <c r="H2425" i="3"/>
  <c r="F2425" i="3"/>
  <c r="C2424" i="3"/>
  <c r="D2424" i="3"/>
  <c r="E2425" i="3"/>
  <c r="R29" i="1" l="1"/>
  <c r="R30" i="1"/>
  <c r="R28" i="1"/>
  <c r="R31" i="1"/>
  <c r="U29" i="1"/>
  <c r="U30" i="1"/>
  <c r="U28" i="1"/>
  <c r="U31" i="1"/>
  <c r="CR26" i="1"/>
  <c r="CN26" i="1"/>
  <c r="CV26" i="1"/>
  <c r="CR24" i="1"/>
  <c r="CN24" i="1"/>
  <c r="CV24" i="1"/>
  <c r="CR25" i="1"/>
  <c r="CN25" i="1"/>
  <c r="CV25" i="1"/>
  <c r="CN23" i="1"/>
  <c r="CR23" i="1"/>
  <c r="CV23" i="1"/>
  <c r="CR22" i="1"/>
  <c r="CN22" i="1"/>
  <c r="CV22" i="1"/>
  <c r="AE79" i="2"/>
  <c r="AE78" i="2"/>
  <c r="CY10" i="1"/>
  <c r="CC10" i="1"/>
  <c r="CA10" i="1"/>
  <c r="CB10" i="1" s="1"/>
  <c r="CK10" i="1"/>
  <c r="BW10" i="1"/>
  <c r="CI10" i="1"/>
  <c r="CJ10" i="1" s="1"/>
  <c r="BY10" i="1"/>
  <c r="BS10" i="1"/>
  <c r="BT10" i="1" s="1"/>
  <c r="BU10" i="1"/>
  <c r="BV10" i="1" s="1"/>
  <c r="CG10" i="1"/>
  <c r="CH10" i="1" s="1"/>
  <c r="BM10" i="1"/>
  <c r="BN10" i="1" s="1"/>
  <c r="BO10" i="1"/>
  <c r="BP10" i="1" s="1"/>
  <c r="BQ10" i="1"/>
  <c r="DR10" i="1"/>
  <c r="E2424" i="3"/>
  <c r="D2423" i="3"/>
  <c r="C2423" i="3"/>
  <c r="F2424" i="3"/>
  <c r="H2424" i="3"/>
  <c r="BZ10" i="1" l="1"/>
  <c r="CE10" i="1"/>
  <c r="CF10" i="1" s="1"/>
  <c r="CG31" i="1"/>
  <c r="CH31" i="1" s="1"/>
  <c r="CC31" i="1"/>
  <c r="CD31" i="1" s="1"/>
  <c r="CA31" i="1"/>
  <c r="CB31" i="1" s="1"/>
  <c r="BW31" i="1"/>
  <c r="BX31" i="1" s="1"/>
  <c r="CI31" i="1"/>
  <c r="CJ31" i="1" s="1"/>
  <c r="BS31" i="1"/>
  <c r="BT31" i="1" s="1"/>
  <c r="CK31" i="1"/>
  <c r="CL31" i="1" s="1"/>
  <c r="BU31" i="1"/>
  <c r="BV31" i="1" s="1"/>
  <c r="BY31" i="1"/>
  <c r="DR31" i="1"/>
  <c r="CI28" i="1"/>
  <c r="CJ28" i="1" s="1"/>
  <c r="CG28" i="1"/>
  <c r="CH28" i="1" s="1"/>
  <c r="CA28" i="1"/>
  <c r="CB28" i="1" s="1"/>
  <c r="BY28" i="1"/>
  <c r="CK28" i="1"/>
  <c r="CL28" i="1" s="1"/>
  <c r="BU28" i="1"/>
  <c r="BV28" i="1" s="1"/>
  <c r="CC28" i="1"/>
  <c r="CD28" i="1" s="1"/>
  <c r="BS28" i="1"/>
  <c r="BT28" i="1" s="1"/>
  <c r="BW28" i="1"/>
  <c r="BX28" i="1" s="1"/>
  <c r="DR28" i="1"/>
  <c r="CG30" i="1"/>
  <c r="CH30" i="1" s="1"/>
  <c r="BY30" i="1"/>
  <c r="CA30" i="1"/>
  <c r="CB30" i="1" s="1"/>
  <c r="DR30" i="1"/>
  <c r="BS30" i="1"/>
  <c r="BT30" i="1" s="1"/>
  <c r="CK30" i="1"/>
  <c r="CL30" i="1" s="1"/>
  <c r="CI30" i="1"/>
  <c r="CJ30" i="1" s="1"/>
  <c r="BW30" i="1"/>
  <c r="BX30" i="1" s="1"/>
  <c r="BU30" i="1"/>
  <c r="BV30" i="1" s="1"/>
  <c r="CC30" i="1"/>
  <c r="CD30" i="1" s="1"/>
  <c r="CC29" i="1"/>
  <c r="CD29" i="1" s="1"/>
  <c r="BU29" i="1"/>
  <c r="BV29" i="1" s="1"/>
  <c r="CK29" i="1"/>
  <c r="CL29" i="1" s="1"/>
  <c r="CA29" i="1"/>
  <c r="CB29" i="1" s="1"/>
  <c r="BY29" i="1"/>
  <c r="BW29" i="1"/>
  <c r="BX29" i="1" s="1"/>
  <c r="BS29" i="1"/>
  <c r="BT29" i="1" s="1"/>
  <c r="CI29" i="1"/>
  <c r="CJ29" i="1" s="1"/>
  <c r="CG29" i="1"/>
  <c r="CH29" i="1" s="1"/>
  <c r="DR29" i="1"/>
  <c r="DI24" i="1"/>
  <c r="DH24" i="1"/>
  <c r="DL24" i="1" s="1"/>
  <c r="CO24" i="1"/>
  <c r="DH25" i="1"/>
  <c r="DL25" i="1" s="1"/>
  <c r="CO25" i="1"/>
  <c r="DI25" i="1"/>
  <c r="DH22" i="1"/>
  <c r="DL22" i="1" s="1"/>
  <c r="DI22" i="1"/>
  <c r="CO22" i="1"/>
  <c r="DI26" i="1"/>
  <c r="DH26" i="1"/>
  <c r="DL26" i="1" s="1"/>
  <c r="CO26" i="1"/>
  <c r="DI23" i="1"/>
  <c r="DH23" i="1"/>
  <c r="DL23" i="1" s="1"/>
  <c r="CO23" i="1"/>
  <c r="AF78" i="2"/>
  <c r="AG78" i="2"/>
  <c r="AQ78" i="2"/>
  <c r="AF79" i="2"/>
  <c r="T31" i="1" s="1"/>
  <c r="AQ79" i="2"/>
  <c r="AG79" i="2"/>
  <c r="DY10" i="1"/>
  <c r="CW10" i="1"/>
  <c r="ED10" i="1"/>
  <c r="CL10" i="1"/>
  <c r="BX10" i="1"/>
  <c r="DP10" i="1"/>
  <c r="CZ10" i="1"/>
  <c r="DT10" i="1"/>
  <c r="BR10" i="1"/>
  <c r="DS10" i="1"/>
  <c r="CD10" i="1"/>
  <c r="F2423" i="3"/>
  <c r="H2423" i="3"/>
  <c r="D2422" i="3"/>
  <c r="C2422" i="3"/>
  <c r="E2423" i="3"/>
  <c r="BZ31" i="1" l="1"/>
  <c r="CE31" i="1"/>
  <c r="CF31" i="1" s="1"/>
  <c r="BZ29" i="1"/>
  <c r="CE29" i="1"/>
  <c r="CF29" i="1" s="1"/>
  <c r="BZ28" i="1"/>
  <c r="CE28" i="1"/>
  <c r="CF28" i="1" s="1"/>
  <c r="BZ30" i="1"/>
  <c r="CE30" i="1"/>
  <c r="CF30" i="1" s="1"/>
  <c r="DK26" i="1"/>
  <c r="DJ26" i="1"/>
  <c r="DK23" i="1"/>
  <c r="DJ23" i="1"/>
  <c r="DJ24" i="1"/>
  <c r="DK24" i="1"/>
  <c r="DJ25" i="1"/>
  <c r="DK25" i="1"/>
  <c r="DJ22" i="1"/>
  <c r="DK22" i="1"/>
  <c r="S30" i="1"/>
  <c r="S29" i="1"/>
  <c r="T28" i="1"/>
  <c r="BO28" i="1" s="1"/>
  <c r="BP28" i="1" s="1"/>
  <c r="T29" i="1"/>
  <c r="T30" i="1"/>
  <c r="BM31" i="1"/>
  <c r="BN31" i="1" s="1"/>
  <c r="CY31" i="1"/>
  <c r="BQ31" i="1"/>
  <c r="BO31" i="1"/>
  <c r="BP31" i="1" s="1"/>
  <c r="CU10" i="1"/>
  <c r="CR10" i="1" s="1"/>
  <c r="EC10" i="1"/>
  <c r="CX10" i="1"/>
  <c r="DX10" i="1"/>
  <c r="E2422" i="3"/>
  <c r="F2422" i="3"/>
  <c r="H2422" i="3"/>
  <c r="C2421" i="3"/>
  <c r="D2421" i="3"/>
  <c r="DM23" i="1" l="1"/>
  <c r="DM26" i="1"/>
  <c r="DM25" i="1"/>
  <c r="DM22" i="1"/>
  <c r="DM24" i="1"/>
  <c r="CY28" i="1"/>
  <c r="DP28" i="1" s="1"/>
  <c r="BM28" i="1"/>
  <c r="BN28" i="1" s="1"/>
  <c r="CY30" i="1"/>
  <c r="BQ30" i="1"/>
  <c r="BO30" i="1"/>
  <c r="BP30" i="1" s="1"/>
  <c r="BM30" i="1"/>
  <c r="BN30" i="1" s="1"/>
  <c r="BO29" i="1"/>
  <c r="BP29" i="1" s="1"/>
  <c r="CY29" i="1"/>
  <c r="BM29" i="1"/>
  <c r="BN29" i="1" s="1"/>
  <c r="BQ29" i="1"/>
  <c r="BQ28" i="1"/>
  <c r="BR28" i="1" s="1"/>
  <c r="DP31" i="1"/>
  <c r="DY31" i="1"/>
  <c r="DX31" i="1" s="1"/>
  <c r="DW31" i="1" s="1"/>
  <c r="ED31" i="1"/>
  <c r="EC31" i="1" s="1"/>
  <c r="EB31" i="1" s="1"/>
  <c r="CZ31" i="1"/>
  <c r="EE31" i="1" s="1"/>
  <c r="CW31" i="1"/>
  <c r="DS31" i="1"/>
  <c r="DT31" i="1"/>
  <c r="BR31" i="1"/>
  <c r="DW10" i="1"/>
  <c r="DV10" i="1" s="1"/>
  <c r="EB10" i="1"/>
  <c r="H2421" i="3"/>
  <c r="F2421" i="3"/>
  <c r="D2420" i="3"/>
  <c r="C2420" i="3"/>
  <c r="E2421" i="3"/>
  <c r="DN25" i="1" l="1"/>
  <c r="DQ25" i="1"/>
  <c r="DN24" i="1"/>
  <c r="DQ24" i="1"/>
  <c r="DN22" i="1"/>
  <c r="DQ22" i="1"/>
  <c r="DN26" i="1"/>
  <c r="DQ26" i="1"/>
  <c r="DN23" i="1"/>
  <c r="DQ23" i="1"/>
  <c r="AE77" i="2"/>
  <c r="AF77" i="2" s="1"/>
  <c r="T32" i="1" s="1"/>
  <c r="R68" i="1"/>
  <c r="R72" i="1"/>
  <c r="R67" i="1"/>
  <c r="R73" i="1"/>
  <c r="R71" i="1"/>
  <c r="R75" i="1"/>
  <c r="R69" i="1"/>
  <c r="R70" i="1"/>
  <c r="R74" i="1"/>
  <c r="R32" i="1"/>
  <c r="R66" i="1"/>
  <c r="U68" i="1"/>
  <c r="U72" i="1"/>
  <c r="U67" i="1"/>
  <c r="U73" i="1"/>
  <c r="U71" i="1"/>
  <c r="U75" i="1"/>
  <c r="U69" i="1"/>
  <c r="U70" i="1"/>
  <c r="U74" i="1"/>
  <c r="U32" i="1"/>
  <c r="CZ28" i="1"/>
  <c r="EE28" i="1" s="1"/>
  <c r="ED28" i="1"/>
  <c r="EC28" i="1" s="1"/>
  <c r="EB28" i="1" s="1"/>
  <c r="EA28" i="1" s="1"/>
  <c r="CT28" i="1" s="1"/>
  <c r="CW28" i="1"/>
  <c r="CU28" i="1" s="1"/>
  <c r="CR28" i="1" s="1"/>
  <c r="DY28" i="1"/>
  <c r="DX28" i="1" s="1"/>
  <c r="DW28" i="1" s="1"/>
  <c r="DV28" i="1" s="1"/>
  <c r="CQ28" i="1" s="1"/>
  <c r="DY29" i="1"/>
  <c r="DX29" i="1" s="1"/>
  <c r="DW29" i="1" s="1"/>
  <c r="ED29" i="1"/>
  <c r="EC29" i="1" s="1"/>
  <c r="EB29" i="1" s="1"/>
  <c r="CW29" i="1"/>
  <c r="DP29" i="1"/>
  <c r="CZ29" i="1"/>
  <c r="EE29" i="1" s="1"/>
  <c r="DS28" i="1"/>
  <c r="DS29" i="1"/>
  <c r="DT29" i="1"/>
  <c r="BR29" i="1"/>
  <c r="DT30" i="1"/>
  <c r="DS30" i="1"/>
  <c r="BR30" i="1"/>
  <c r="CZ30" i="1"/>
  <c r="EE30" i="1" s="1"/>
  <c r="DP30" i="1"/>
  <c r="ED30" i="1"/>
  <c r="EC30" i="1" s="1"/>
  <c r="EB30" i="1" s="1"/>
  <c r="CW30" i="1"/>
  <c r="DY30" i="1"/>
  <c r="DX30" i="1" s="1"/>
  <c r="DW30" i="1" s="1"/>
  <c r="DT28" i="1"/>
  <c r="CU31" i="1"/>
  <c r="CR31" i="1" s="1"/>
  <c r="CX31" i="1"/>
  <c r="EA31" i="1"/>
  <c r="CT31" i="1" s="1"/>
  <c r="DZ31" i="1"/>
  <c r="CP31" i="1" s="1"/>
  <c r="DV31" i="1"/>
  <c r="CQ31" i="1" s="1"/>
  <c r="DU31" i="1"/>
  <c r="CM31" i="1" s="1"/>
  <c r="AQ77" i="2"/>
  <c r="AG77" i="2"/>
  <c r="DZ10" i="1"/>
  <c r="EA10" i="1"/>
  <c r="CT10" i="1" s="1"/>
  <c r="DU10" i="1"/>
  <c r="CQ10" i="1"/>
  <c r="E2420" i="3"/>
  <c r="F2420" i="3"/>
  <c r="U33" i="1" s="1"/>
  <c r="H2420" i="3"/>
  <c r="D2419" i="3"/>
  <c r="C2419" i="3"/>
  <c r="EE23" i="1" l="1"/>
  <c r="DO23" i="1"/>
  <c r="EE26" i="1"/>
  <c r="DO26" i="1"/>
  <c r="EE22" i="1"/>
  <c r="DO22" i="1"/>
  <c r="EE24" i="1"/>
  <c r="DO24" i="1"/>
  <c r="EE25" i="1"/>
  <c r="DO25" i="1"/>
  <c r="AE76" i="2"/>
  <c r="AF76" i="2" s="1"/>
  <c r="T33" i="1" s="1"/>
  <c r="R33" i="1"/>
  <c r="CK32" i="1"/>
  <c r="CL32" i="1" s="1"/>
  <c r="BY32" i="1"/>
  <c r="CC32" i="1"/>
  <c r="CD32" i="1" s="1"/>
  <c r="CG32" i="1"/>
  <c r="CH32" i="1" s="1"/>
  <c r="CA32" i="1"/>
  <c r="CB32" i="1" s="1"/>
  <c r="BU32" i="1"/>
  <c r="BV32" i="1" s="1"/>
  <c r="CI32" i="1"/>
  <c r="CJ32" i="1" s="1"/>
  <c r="BW32" i="1"/>
  <c r="BX32" i="1" s="1"/>
  <c r="BS32" i="1"/>
  <c r="BT32" i="1" s="1"/>
  <c r="DR32" i="1"/>
  <c r="BY74" i="1"/>
  <c r="CG74" i="1"/>
  <c r="CH74" i="1" s="1"/>
  <c r="CI74" i="1"/>
  <c r="CJ74" i="1" s="1"/>
  <c r="BW74" i="1"/>
  <c r="BX74" i="1" s="1"/>
  <c r="CK74" i="1"/>
  <c r="CL74" i="1" s="1"/>
  <c r="BS74" i="1"/>
  <c r="BT74" i="1" s="1"/>
  <c r="DR74" i="1"/>
  <c r="CC74" i="1"/>
  <c r="CD74" i="1" s="1"/>
  <c r="CA74" i="1"/>
  <c r="CB74" i="1" s="1"/>
  <c r="BU74" i="1"/>
  <c r="BV74" i="1" s="1"/>
  <c r="CI70" i="1"/>
  <c r="CJ70" i="1" s="1"/>
  <c r="BU70" i="1"/>
  <c r="BV70" i="1" s="1"/>
  <c r="CA70" i="1"/>
  <c r="CB70" i="1" s="1"/>
  <c r="CG70" i="1"/>
  <c r="CH70" i="1" s="1"/>
  <c r="BS70" i="1"/>
  <c r="BT70" i="1" s="1"/>
  <c r="CC70" i="1"/>
  <c r="CD70" i="1" s="1"/>
  <c r="DR70" i="1"/>
  <c r="BY70" i="1"/>
  <c r="CK70" i="1"/>
  <c r="CL70" i="1" s="1"/>
  <c r="BW70" i="1"/>
  <c r="BX70" i="1" s="1"/>
  <c r="CI69" i="1"/>
  <c r="CJ69" i="1" s="1"/>
  <c r="CG69" i="1"/>
  <c r="CH69" i="1" s="1"/>
  <c r="BW69" i="1"/>
  <c r="BX69" i="1" s="1"/>
  <c r="CA69" i="1"/>
  <c r="CB69" i="1" s="1"/>
  <c r="CK69" i="1"/>
  <c r="CL69" i="1" s="1"/>
  <c r="BY69" i="1"/>
  <c r="BU69" i="1"/>
  <c r="BV69" i="1" s="1"/>
  <c r="BS69" i="1"/>
  <c r="BT69" i="1" s="1"/>
  <c r="CC69" i="1"/>
  <c r="CD69" i="1" s="1"/>
  <c r="DR69" i="1"/>
  <c r="CI75" i="1"/>
  <c r="CJ75" i="1" s="1"/>
  <c r="BU75" i="1"/>
  <c r="BV75" i="1" s="1"/>
  <c r="BS75" i="1"/>
  <c r="BT75" i="1" s="1"/>
  <c r="CC75" i="1"/>
  <c r="CD75" i="1" s="1"/>
  <c r="DR75" i="1"/>
  <c r="CG75" i="1"/>
  <c r="CH75" i="1" s="1"/>
  <c r="CK75" i="1"/>
  <c r="CL75" i="1" s="1"/>
  <c r="CA75" i="1"/>
  <c r="CB75" i="1" s="1"/>
  <c r="BW75" i="1"/>
  <c r="BX75" i="1" s="1"/>
  <c r="BY75" i="1"/>
  <c r="CI71" i="1"/>
  <c r="CJ71" i="1" s="1"/>
  <c r="CG71" i="1"/>
  <c r="CH71" i="1" s="1"/>
  <c r="BY71" i="1"/>
  <c r="CA71" i="1"/>
  <c r="CB71" i="1" s="1"/>
  <c r="BS71" i="1"/>
  <c r="BT71" i="1" s="1"/>
  <c r="DR71" i="1"/>
  <c r="CC71" i="1"/>
  <c r="CD71" i="1" s="1"/>
  <c r="BW71" i="1"/>
  <c r="BX71" i="1" s="1"/>
  <c r="CK71" i="1"/>
  <c r="CL71" i="1" s="1"/>
  <c r="BU71" i="1"/>
  <c r="BV71" i="1" s="1"/>
  <c r="CI73" i="1"/>
  <c r="CJ73" i="1" s="1"/>
  <c r="CG73" i="1"/>
  <c r="CH73" i="1" s="1"/>
  <c r="BW73" i="1"/>
  <c r="BX73" i="1" s="1"/>
  <c r="BU73" i="1"/>
  <c r="BV73" i="1" s="1"/>
  <c r="CA73" i="1"/>
  <c r="CB73" i="1" s="1"/>
  <c r="BY73" i="1"/>
  <c r="CK73" i="1"/>
  <c r="CL73" i="1" s="1"/>
  <c r="BS73" i="1"/>
  <c r="BT73" i="1" s="1"/>
  <c r="CC73" i="1"/>
  <c r="CD73" i="1" s="1"/>
  <c r="DR73" i="1"/>
  <c r="BU67" i="1"/>
  <c r="BV67" i="1" s="1"/>
  <c r="CK67" i="1"/>
  <c r="CL67" i="1" s="1"/>
  <c r="BY67" i="1"/>
  <c r="BW67" i="1"/>
  <c r="BX67" i="1" s="1"/>
  <c r="CG67" i="1"/>
  <c r="CH67" i="1" s="1"/>
  <c r="CI67" i="1"/>
  <c r="CJ67" i="1" s="1"/>
  <c r="BS67" i="1"/>
  <c r="BT67" i="1" s="1"/>
  <c r="CC67" i="1"/>
  <c r="CD67" i="1" s="1"/>
  <c r="DR67" i="1"/>
  <c r="CA67" i="1"/>
  <c r="CB67" i="1" s="1"/>
  <c r="CG72" i="1"/>
  <c r="CH72" i="1" s="1"/>
  <c r="CK72" i="1"/>
  <c r="CL72" i="1" s="1"/>
  <c r="BW72" i="1"/>
  <c r="BX72" i="1" s="1"/>
  <c r="CA72" i="1"/>
  <c r="CB72" i="1" s="1"/>
  <c r="BY72" i="1"/>
  <c r="BS72" i="1"/>
  <c r="BT72" i="1" s="1"/>
  <c r="CC72" i="1"/>
  <c r="CD72" i="1" s="1"/>
  <c r="DR72" i="1"/>
  <c r="BU72" i="1"/>
  <c r="BV72" i="1" s="1"/>
  <c r="CI72" i="1"/>
  <c r="CJ72" i="1" s="1"/>
  <c r="CI68" i="1"/>
  <c r="CJ68" i="1" s="1"/>
  <c r="CK68" i="1"/>
  <c r="CL68" i="1" s="1"/>
  <c r="BW68" i="1"/>
  <c r="BX68" i="1" s="1"/>
  <c r="CG68" i="1"/>
  <c r="CH68" i="1" s="1"/>
  <c r="BY68" i="1"/>
  <c r="CA68" i="1"/>
  <c r="CB68" i="1" s="1"/>
  <c r="BU68" i="1"/>
  <c r="BV68" i="1" s="1"/>
  <c r="BS68" i="1"/>
  <c r="BT68" i="1" s="1"/>
  <c r="DR68" i="1"/>
  <c r="CC68" i="1"/>
  <c r="CD68" i="1" s="1"/>
  <c r="CX28" i="1"/>
  <c r="DU28" i="1"/>
  <c r="CM28" i="1" s="1"/>
  <c r="DZ28" i="1"/>
  <c r="CP28" i="1" s="1"/>
  <c r="DV30" i="1"/>
  <c r="CQ30" i="1" s="1"/>
  <c r="DU30" i="1"/>
  <c r="CM30" i="1" s="1"/>
  <c r="CU30" i="1"/>
  <c r="CX30" i="1"/>
  <c r="CU29" i="1"/>
  <c r="CX29" i="1"/>
  <c r="EA30" i="1"/>
  <c r="CT30" i="1" s="1"/>
  <c r="DZ30" i="1"/>
  <c r="CP30" i="1" s="1"/>
  <c r="DZ29" i="1"/>
  <c r="CP29" i="1" s="1"/>
  <c r="EA29" i="1"/>
  <c r="CT29" i="1" s="1"/>
  <c r="DV29" i="1"/>
  <c r="CQ29" i="1" s="1"/>
  <c r="DU29" i="1"/>
  <c r="CM29" i="1" s="1"/>
  <c r="BQ32" i="1"/>
  <c r="CY32" i="1"/>
  <c r="BM32" i="1"/>
  <c r="BN32" i="1" s="1"/>
  <c r="BO32" i="1"/>
  <c r="BP32" i="1" s="1"/>
  <c r="CP10" i="1"/>
  <c r="CM10" i="1"/>
  <c r="H2419" i="3"/>
  <c r="F2419" i="3"/>
  <c r="C2418" i="3"/>
  <c r="D2418" i="3"/>
  <c r="E2419" i="3"/>
  <c r="AG76" i="2" l="1"/>
  <c r="AQ76" i="2"/>
  <c r="BZ70" i="1"/>
  <c r="CE70" i="1"/>
  <c r="CF70" i="1" s="1"/>
  <c r="BZ74" i="1"/>
  <c r="CE74" i="1"/>
  <c r="CF74" i="1" s="1"/>
  <c r="BZ72" i="1"/>
  <c r="CE72" i="1"/>
  <c r="CF72" i="1" s="1"/>
  <c r="BZ71" i="1"/>
  <c r="CE71" i="1"/>
  <c r="CF71" i="1" s="1"/>
  <c r="BZ69" i="1"/>
  <c r="CE69" i="1"/>
  <c r="CF69" i="1" s="1"/>
  <c r="BZ73" i="1"/>
  <c r="CE73" i="1"/>
  <c r="CF73" i="1" s="1"/>
  <c r="BZ32" i="1"/>
  <c r="CE32" i="1"/>
  <c r="CF32" i="1" s="1"/>
  <c r="BZ67" i="1"/>
  <c r="CE67" i="1"/>
  <c r="CF67" i="1" s="1"/>
  <c r="BZ75" i="1"/>
  <c r="CE75" i="1"/>
  <c r="CF75" i="1" s="1"/>
  <c r="BZ68" i="1"/>
  <c r="CE68" i="1"/>
  <c r="CF68" i="1" s="1"/>
  <c r="CC33" i="1"/>
  <c r="CD33" i="1" s="1"/>
  <c r="BY33" i="1"/>
  <c r="CG33" i="1"/>
  <c r="CH33" i="1" s="1"/>
  <c r="BU33" i="1"/>
  <c r="BV33" i="1" s="1"/>
  <c r="CI33" i="1"/>
  <c r="CJ33" i="1" s="1"/>
  <c r="CA33" i="1"/>
  <c r="CB33" i="1" s="1"/>
  <c r="BW33" i="1"/>
  <c r="BX33" i="1" s="1"/>
  <c r="BS33" i="1"/>
  <c r="BT33" i="1" s="1"/>
  <c r="CK33" i="1"/>
  <c r="CL33" i="1" s="1"/>
  <c r="DR33" i="1"/>
  <c r="CR29" i="1"/>
  <c r="CN29" i="1"/>
  <c r="CV29" i="1"/>
  <c r="CR30" i="1"/>
  <c r="CN30" i="1"/>
  <c r="CV30" i="1"/>
  <c r="CY33" i="1"/>
  <c r="BO33" i="1"/>
  <c r="BP33" i="1" s="1"/>
  <c r="BM33" i="1"/>
  <c r="BN33" i="1" s="1"/>
  <c r="BQ33" i="1"/>
  <c r="CZ32" i="1"/>
  <c r="EE32" i="1" s="1"/>
  <c r="ED32" i="1"/>
  <c r="EC32" i="1" s="1"/>
  <c r="EB32" i="1" s="1"/>
  <c r="DP32" i="1"/>
  <c r="DY32" i="1"/>
  <c r="DX32" i="1" s="1"/>
  <c r="DW32" i="1" s="1"/>
  <c r="CW32" i="1"/>
  <c r="BR32" i="1"/>
  <c r="DS32" i="1"/>
  <c r="DT32" i="1"/>
  <c r="D2417" i="3"/>
  <c r="C2417" i="3"/>
  <c r="E2418" i="3"/>
  <c r="H2418" i="3"/>
  <c r="F2418" i="3"/>
  <c r="U34" i="1" s="1"/>
  <c r="BZ33" i="1" l="1"/>
  <c r="CE33" i="1"/>
  <c r="CF33" i="1" s="1"/>
  <c r="AE75" i="2"/>
  <c r="AQ75" i="2" s="1"/>
  <c r="R34" i="1"/>
  <c r="DI30" i="1"/>
  <c r="DH30" i="1"/>
  <c r="DL30" i="1" s="1"/>
  <c r="CO30" i="1"/>
  <c r="DH29" i="1"/>
  <c r="DL29" i="1" s="1"/>
  <c r="CO29" i="1"/>
  <c r="DI29" i="1"/>
  <c r="DS33" i="1"/>
  <c r="BR33" i="1"/>
  <c r="DT33" i="1"/>
  <c r="CU32" i="1"/>
  <c r="CR32" i="1" s="1"/>
  <c r="CX32" i="1"/>
  <c r="DU32" i="1"/>
  <c r="CM32" i="1" s="1"/>
  <c r="DV32" i="1"/>
  <c r="CQ32" i="1" s="1"/>
  <c r="EA32" i="1"/>
  <c r="CT32" i="1" s="1"/>
  <c r="DZ32" i="1"/>
  <c r="CP32" i="1" s="1"/>
  <c r="DY33" i="1"/>
  <c r="DX33" i="1" s="1"/>
  <c r="DW33" i="1" s="1"/>
  <c r="CZ33" i="1"/>
  <c r="EE33" i="1" s="1"/>
  <c r="CW33" i="1"/>
  <c r="DP33" i="1"/>
  <c r="ED33" i="1"/>
  <c r="EC33" i="1" s="1"/>
  <c r="EB33" i="1" s="1"/>
  <c r="C2416" i="3"/>
  <c r="D2416" i="3"/>
  <c r="E2417" i="3"/>
  <c r="F2417" i="3"/>
  <c r="H2417" i="3"/>
  <c r="AG75" i="2" l="1"/>
  <c r="AF75" i="2"/>
  <c r="T34" i="1" s="1"/>
  <c r="CY34" i="1" s="1"/>
  <c r="U36" i="1"/>
  <c r="U35" i="1"/>
  <c r="AE74" i="2"/>
  <c r="AF74" i="2" s="1"/>
  <c r="R36" i="1"/>
  <c r="R35" i="1"/>
  <c r="BW34" i="1"/>
  <c r="BX34" i="1" s="1"/>
  <c r="BY34" i="1"/>
  <c r="CI34" i="1"/>
  <c r="CJ34" i="1" s="1"/>
  <c r="CK34" i="1"/>
  <c r="CL34" i="1" s="1"/>
  <c r="CA34" i="1"/>
  <c r="CB34" i="1" s="1"/>
  <c r="CG34" i="1"/>
  <c r="CH34" i="1" s="1"/>
  <c r="CC34" i="1"/>
  <c r="CD34" i="1" s="1"/>
  <c r="BS34" i="1"/>
  <c r="BT34" i="1" s="1"/>
  <c r="BU34" i="1"/>
  <c r="BV34" i="1" s="1"/>
  <c r="DR34" i="1"/>
  <c r="DK30" i="1"/>
  <c r="DJ30" i="1"/>
  <c r="DJ29" i="1"/>
  <c r="DK29" i="1"/>
  <c r="EA33" i="1"/>
  <c r="CT33" i="1" s="1"/>
  <c r="DZ33" i="1"/>
  <c r="CP33" i="1" s="1"/>
  <c r="CU33" i="1"/>
  <c r="CR33" i="1" s="1"/>
  <c r="CX33" i="1"/>
  <c r="DV33" i="1"/>
  <c r="CQ33" i="1" s="1"/>
  <c r="DU33" i="1"/>
  <c r="CM33" i="1" s="1"/>
  <c r="E2416" i="3"/>
  <c r="D2415" i="3"/>
  <c r="C2415" i="3"/>
  <c r="H2416" i="3"/>
  <c r="F2416" i="3"/>
  <c r="U37" i="1" s="1"/>
  <c r="BZ34" i="1" l="1"/>
  <c r="CE34" i="1"/>
  <c r="CF34" i="1" s="1"/>
  <c r="BO34" i="1"/>
  <c r="BP34" i="1" s="1"/>
  <c r="BM34" i="1"/>
  <c r="BN34" i="1" s="1"/>
  <c r="BQ34" i="1"/>
  <c r="DT34" i="1" s="1"/>
  <c r="AQ74" i="2"/>
  <c r="S36" i="1" s="1"/>
  <c r="AG74" i="2"/>
  <c r="AE73" i="2"/>
  <c r="AQ73" i="2" s="1"/>
  <c r="R37" i="1"/>
  <c r="CA35" i="1"/>
  <c r="CB35" i="1" s="1"/>
  <c r="BY35" i="1"/>
  <c r="CK35" i="1"/>
  <c r="CL35" i="1" s="1"/>
  <c r="CG35" i="1"/>
  <c r="CH35" i="1" s="1"/>
  <c r="BS35" i="1"/>
  <c r="BT35" i="1" s="1"/>
  <c r="CC35" i="1"/>
  <c r="CD35" i="1" s="1"/>
  <c r="BW35" i="1"/>
  <c r="BX35" i="1" s="1"/>
  <c r="CI35" i="1"/>
  <c r="CJ35" i="1" s="1"/>
  <c r="BU35" i="1"/>
  <c r="BV35" i="1" s="1"/>
  <c r="DR35" i="1"/>
  <c r="BU36" i="1"/>
  <c r="BV36" i="1" s="1"/>
  <c r="DR36" i="1"/>
  <c r="CI36" i="1"/>
  <c r="CJ36" i="1" s="1"/>
  <c r="BY36" i="1"/>
  <c r="CG36" i="1"/>
  <c r="CH36" i="1" s="1"/>
  <c r="CC36" i="1"/>
  <c r="CD36" i="1" s="1"/>
  <c r="BW36" i="1"/>
  <c r="BX36" i="1" s="1"/>
  <c r="CA36" i="1"/>
  <c r="CB36" i="1" s="1"/>
  <c r="CK36" i="1"/>
  <c r="CL36" i="1" s="1"/>
  <c r="BS36" i="1"/>
  <c r="BT36" i="1" s="1"/>
  <c r="DM30" i="1"/>
  <c r="DM29" i="1"/>
  <c r="T35" i="1"/>
  <c r="BO35" i="1" s="1"/>
  <c r="BP35" i="1" s="1"/>
  <c r="T36" i="1"/>
  <c r="DY34" i="1"/>
  <c r="DX34" i="1" s="1"/>
  <c r="DW34" i="1" s="1"/>
  <c r="CW34" i="1"/>
  <c r="ED34" i="1"/>
  <c r="EC34" i="1" s="1"/>
  <c r="EB34" i="1" s="1"/>
  <c r="DP34" i="1"/>
  <c r="CZ34" i="1"/>
  <c r="EE34" i="1" s="1"/>
  <c r="H2415" i="3"/>
  <c r="F2415" i="3"/>
  <c r="C2414" i="3"/>
  <c r="D2414" i="3"/>
  <c r="E2415" i="3"/>
  <c r="BR34" i="1" l="1"/>
  <c r="DS34" i="1"/>
  <c r="BZ35" i="1"/>
  <c r="CE35" i="1"/>
  <c r="CF35" i="1" s="1"/>
  <c r="BZ36" i="1"/>
  <c r="CE36" i="1"/>
  <c r="CF36" i="1" s="1"/>
  <c r="AF73" i="2"/>
  <c r="T37" i="1" s="1"/>
  <c r="BO37" i="1" s="1"/>
  <c r="BP37" i="1" s="1"/>
  <c r="AG73" i="2"/>
  <c r="CG37" i="1"/>
  <c r="CH37" i="1" s="1"/>
  <c r="CI37" i="1"/>
  <c r="CJ37" i="1" s="1"/>
  <c r="CC37" i="1"/>
  <c r="CD37" i="1" s="1"/>
  <c r="CK37" i="1"/>
  <c r="CL37" i="1" s="1"/>
  <c r="BU37" i="1"/>
  <c r="BV37" i="1" s="1"/>
  <c r="BW37" i="1"/>
  <c r="BX37" i="1" s="1"/>
  <c r="BS37" i="1"/>
  <c r="BT37" i="1" s="1"/>
  <c r="BY37" i="1"/>
  <c r="CA37" i="1"/>
  <c r="CB37" i="1" s="1"/>
  <c r="DR37" i="1"/>
  <c r="DN29" i="1"/>
  <c r="DO29" i="1" s="1"/>
  <c r="DQ29" i="1"/>
  <c r="DN30" i="1"/>
  <c r="DO30" i="1" s="1"/>
  <c r="DQ30" i="1"/>
  <c r="BQ35" i="1"/>
  <c r="DT35" i="1" s="1"/>
  <c r="BM35" i="1"/>
  <c r="BN35" i="1" s="1"/>
  <c r="CY35" i="1"/>
  <c r="CZ35" i="1" s="1"/>
  <c r="EE35" i="1" s="1"/>
  <c r="CY36" i="1"/>
  <c r="BQ36" i="1"/>
  <c r="BO36" i="1"/>
  <c r="BP36" i="1" s="1"/>
  <c r="BM36" i="1"/>
  <c r="BN36" i="1" s="1"/>
  <c r="EA34" i="1"/>
  <c r="CT34" i="1" s="1"/>
  <c r="DZ34" i="1"/>
  <c r="CP34" i="1" s="1"/>
  <c r="CU34" i="1"/>
  <c r="CR34" i="1" s="1"/>
  <c r="CX34" i="1"/>
  <c r="DV34" i="1"/>
  <c r="CQ34" i="1" s="1"/>
  <c r="DU34" i="1"/>
  <c r="CM34" i="1" s="1"/>
  <c r="E2414" i="3"/>
  <c r="H2414" i="3"/>
  <c r="F2414" i="3"/>
  <c r="D2413" i="3"/>
  <c r="C2413" i="3"/>
  <c r="CY37" i="1" l="1"/>
  <c r="ED37" i="1" s="1"/>
  <c r="EC37" i="1" s="1"/>
  <c r="EB37" i="1" s="1"/>
  <c r="BM37" i="1"/>
  <c r="BN37" i="1" s="1"/>
  <c r="BQ37" i="1"/>
  <c r="DT37" i="1" s="1"/>
  <c r="BZ37" i="1"/>
  <c r="CE37" i="1"/>
  <c r="CF37" i="1" s="1"/>
  <c r="BR35" i="1"/>
  <c r="DS35" i="1"/>
  <c r="DY35" i="1"/>
  <c r="DX35" i="1" s="1"/>
  <c r="DW35" i="1" s="1"/>
  <c r="DV35" i="1" s="1"/>
  <c r="CQ35" i="1" s="1"/>
  <c r="CW35" i="1"/>
  <c r="CU35" i="1" s="1"/>
  <c r="CR35" i="1" s="1"/>
  <c r="DP35" i="1"/>
  <c r="ED35" i="1"/>
  <c r="EC35" i="1" s="1"/>
  <c r="EB35" i="1" s="1"/>
  <c r="DZ35" i="1" s="1"/>
  <c r="CP35" i="1" s="1"/>
  <c r="BR36" i="1"/>
  <c r="DT36" i="1"/>
  <c r="DS36" i="1"/>
  <c r="CZ36" i="1"/>
  <c r="EE36" i="1" s="1"/>
  <c r="ED36" i="1"/>
  <c r="EC36" i="1" s="1"/>
  <c r="EB36" i="1" s="1"/>
  <c r="CW36" i="1"/>
  <c r="DY36" i="1"/>
  <c r="DX36" i="1" s="1"/>
  <c r="DW36" i="1" s="1"/>
  <c r="DP36" i="1"/>
  <c r="F2413" i="3"/>
  <c r="H2413" i="3"/>
  <c r="D2412" i="3"/>
  <c r="C2412" i="3"/>
  <c r="E2413" i="3"/>
  <c r="DY37" i="1" l="1"/>
  <c r="DX37" i="1" s="1"/>
  <c r="DW37" i="1" s="1"/>
  <c r="CZ37" i="1"/>
  <c r="EE37" i="1" s="1"/>
  <c r="DP37" i="1"/>
  <c r="CW37" i="1"/>
  <c r="CU37" i="1" s="1"/>
  <c r="CR37" i="1" s="1"/>
  <c r="DS37" i="1"/>
  <c r="BR37" i="1"/>
  <c r="CX35" i="1"/>
  <c r="DU35" i="1"/>
  <c r="CM35" i="1" s="1"/>
  <c r="EA35" i="1"/>
  <c r="CT35" i="1" s="1"/>
  <c r="EA36" i="1"/>
  <c r="CT36" i="1" s="1"/>
  <c r="DZ36" i="1"/>
  <c r="CP36" i="1" s="1"/>
  <c r="CU36" i="1"/>
  <c r="CX36" i="1"/>
  <c r="DU36" i="1"/>
  <c r="CM36" i="1" s="1"/>
  <c r="DV36" i="1"/>
  <c r="CQ36" i="1" s="1"/>
  <c r="DV37" i="1"/>
  <c r="CQ37" i="1" s="1"/>
  <c r="DU37" i="1"/>
  <c r="CM37" i="1" s="1"/>
  <c r="EA37" i="1"/>
  <c r="CT37" i="1" s="1"/>
  <c r="DZ37" i="1"/>
  <c r="CP37" i="1" s="1"/>
  <c r="H2412" i="3"/>
  <c r="F2412" i="3"/>
  <c r="C2411" i="3"/>
  <c r="D2411" i="3"/>
  <c r="E2412" i="3"/>
  <c r="CX37" i="1" l="1"/>
  <c r="R39" i="1"/>
  <c r="R40" i="1"/>
  <c r="R38" i="1"/>
  <c r="U39" i="1"/>
  <c r="U40" i="1"/>
  <c r="U38" i="1"/>
  <c r="CR36" i="1"/>
  <c r="CN36" i="1"/>
  <c r="CV36" i="1"/>
  <c r="AE72" i="2"/>
  <c r="AE70" i="2"/>
  <c r="AE71" i="2"/>
  <c r="E2411" i="3"/>
  <c r="C2410" i="3"/>
  <c r="D2410" i="3"/>
  <c r="H2411" i="3"/>
  <c r="F2411" i="3"/>
  <c r="CG38" i="1" l="1"/>
  <c r="CH38" i="1" s="1"/>
  <c r="CI38" i="1"/>
  <c r="CJ38" i="1" s="1"/>
  <c r="BY38" i="1"/>
  <c r="CA38" i="1"/>
  <c r="CB38" i="1" s="1"/>
  <c r="BS38" i="1"/>
  <c r="BT38" i="1" s="1"/>
  <c r="BW38" i="1"/>
  <c r="BX38" i="1" s="1"/>
  <c r="CC38" i="1"/>
  <c r="CD38" i="1" s="1"/>
  <c r="BU38" i="1"/>
  <c r="BV38" i="1" s="1"/>
  <c r="CK38" i="1"/>
  <c r="CL38" i="1" s="1"/>
  <c r="DR38" i="1"/>
  <c r="CC40" i="1"/>
  <c r="CD40" i="1" s="1"/>
  <c r="BS40" i="1"/>
  <c r="BT40" i="1" s="1"/>
  <c r="CK40" i="1"/>
  <c r="CL40" i="1" s="1"/>
  <c r="CG40" i="1"/>
  <c r="CH40" i="1" s="1"/>
  <c r="CI40" i="1"/>
  <c r="CJ40" i="1" s="1"/>
  <c r="DR40" i="1"/>
  <c r="BU40" i="1"/>
  <c r="BV40" i="1" s="1"/>
  <c r="BW40" i="1"/>
  <c r="BX40" i="1" s="1"/>
  <c r="BY40" i="1"/>
  <c r="CA40" i="1"/>
  <c r="CB40" i="1" s="1"/>
  <c r="CC39" i="1"/>
  <c r="CD39" i="1" s="1"/>
  <c r="CG39" i="1"/>
  <c r="CH39" i="1" s="1"/>
  <c r="CI39" i="1"/>
  <c r="CJ39" i="1" s="1"/>
  <c r="CK39" i="1"/>
  <c r="CL39" i="1" s="1"/>
  <c r="DR39" i="1"/>
  <c r="CA39" i="1"/>
  <c r="CB39" i="1" s="1"/>
  <c r="BW39" i="1"/>
  <c r="BX39" i="1" s="1"/>
  <c r="BY39" i="1"/>
  <c r="BU39" i="1"/>
  <c r="BV39" i="1" s="1"/>
  <c r="BS39" i="1"/>
  <c r="BT39" i="1" s="1"/>
  <c r="DH36" i="1"/>
  <c r="DL36" i="1" s="1"/>
  <c r="CO36" i="1"/>
  <c r="DI36" i="1"/>
  <c r="AQ71" i="2"/>
  <c r="AF71" i="2"/>
  <c r="AG71" i="2"/>
  <c r="AQ70" i="2"/>
  <c r="AF70" i="2"/>
  <c r="T38" i="1" s="1"/>
  <c r="AG70" i="2"/>
  <c r="AG72" i="2"/>
  <c r="AQ72" i="2"/>
  <c r="S39" i="1" s="1"/>
  <c r="AF72" i="2"/>
  <c r="T39" i="1" s="1"/>
  <c r="E2410" i="3"/>
  <c r="C2409" i="3"/>
  <c r="D2409" i="3"/>
  <c r="H2410" i="3"/>
  <c r="F2410" i="3"/>
  <c r="BZ39" i="1" l="1"/>
  <c r="CE39" i="1"/>
  <c r="CF39" i="1" s="1"/>
  <c r="BZ40" i="1"/>
  <c r="CE40" i="1"/>
  <c r="CF40" i="1" s="1"/>
  <c r="BZ38" i="1"/>
  <c r="CE38" i="1"/>
  <c r="CF38" i="1" s="1"/>
  <c r="T40" i="1"/>
  <c r="CY40" i="1" s="1"/>
  <c r="S40" i="1"/>
  <c r="DK36" i="1"/>
  <c r="DJ36" i="1"/>
  <c r="BO39" i="1"/>
  <c r="BP39" i="1" s="1"/>
  <c r="BM39" i="1"/>
  <c r="BN39" i="1" s="1"/>
  <c r="BQ39" i="1"/>
  <c r="CY39" i="1"/>
  <c r="BM38" i="1"/>
  <c r="BN38" i="1" s="1"/>
  <c r="BQ38" i="1"/>
  <c r="CY38" i="1"/>
  <c r="BO38" i="1"/>
  <c r="BP38" i="1" s="1"/>
  <c r="C2408" i="3"/>
  <c r="D2408" i="3"/>
  <c r="F2409" i="3"/>
  <c r="H2409" i="3"/>
  <c r="E2409" i="3"/>
  <c r="BM40" i="1" l="1"/>
  <c r="BN40" i="1" s="1"/>
  <c r="BO40" i="1"/>
  <c r="BP40" i="1" s="1"/>
  <c r="BQ40" i="1"/>
  <c r="DS40" i="1" s="1"/>
  <c r="DM36" i="1"/>
  <c r="DP40" i="1"/>
  <c r="DY40" i="1"/>
  <c r="DX40" i="1" s="1"/>
  <c r="DW40" i="1" s="1"/>
  <c r="CZ40" i="1"/>
  <c r="EE40" i="1" s="1"/>
  <c r="CW40" i="1"/>
  <c r="ED40" i="1"/>
  <c r="EC40" i="1" s="1"/>
  <c r="EB40" i="1" s="1"/>
  <c r="DY38" i="1"/>
  <c r="DX38" i="1" s="1"/>
  <c r="DW38" i="1" s="1"/>
  <c r="ED38" i="1"/>
  <c r="EC38" i="1" s="1"/>
  <c r="EB38" i="1" s="1"/>
  <c r="DP38" i="1"/>
  <c r="CW38" i="1"/>
  <c r="CZ38" i="1"/>
  <c r="DY39" i="1"/>
  <c r="DX39" i="1" s="1"/>
  <c r="DW39" i="1" s="1"/>
  <c r="CW39" i="1"/>
  <c r="ED39" i="1"/>
  <c r="EC39" i="1" s="1"/>
  <c r="EB39" i="1" s="1"/>
  <c r="CZ39" i="1"/>
  <c r="EE39" i="1" s="1"/>
  <c r="DP39" i="1"/>
  <c r="BR38" i="1"/>
  <c r="DS38" i="1"/>
  <c r="DT38" i="1"/>
  <c r="DT39" i="1"/>
  <c r="DS39" i="1"/>
  <c r="BR39" i="1"/>
  <c r="E2408" i="3"/>
  <c r="D2407" i="3"/>
  <c r="C2407" i="3"/>
  <c r="F2408" i="3"/>
  <c r="H2408" i="3"/>
  <c r="BR40" i="1" l="1"/>
  <c r="DT40" i="1"/>
  <c r="DN36" i="1"/>
  <c r="DO36" i="1" s="1"/>
  <c r="DQ36" i="1"/>
  <c r="EA38" i="1"/>
  <c r="CT38" i="1" s="1"/>
  <c r="DZ38" i="1"/>
  <c r="CP38" i="1" s="1"/>
  <c r="DZ39" i="1"/>
  <c r="CP39" i="1" s="1"/>
  <c r="EA39" i="1"/>
  <c r="CT39" i="1" s="1"/>
  <c r="DZ40" i="1"/>
  <c r="CP40" i="1" s="1"/>
  <c r="EA40" i="1"/>
  <c r="CT40" i="1" s="1"/>
  <c r="CU40" i="1"/>
  <c r="CX40" i="1"/>
  <c r="DU39" i="1"/>
  <c r="CM39" i="1" s="1"/>
  <c r="DV39" i="1"/>
  <c r="CQ39" i="1" s="1"/>
  <c r="CU38" i="1"/>
  <c r="CR38" i="1" s="1"/>
  <c r="CX38" i="1"/>
  <c r="DV38" i="1"/>
  <c r="CQ38" i="1" s="1"/>
  <c r="DU38" i="1"/>
  <c r="CM38" i="1" s="1"/>
  <c r="DU40" i="1"/>
  <c r="CM40" i="1" s="1"/>
  <c r="DV40" i="1"/>
  <c r="CQ40" i="1" s="1"/>
  <c r="CU39" i="1"/>
  <c r="CX39" i="1"/>
  <c r="H2407" i="3"/>
  <c r="F2407" i="3"/>
  <c r="E2407" i="3"/>
  <c r="D2406" i="3"/>
  <c r="C2406" i="3"/>
  <c r="CR40" i="1" l="1"/>
  <c r="CN40" i="1"/>
  <c r="CV40" i="1"/>
  <c r="CN39" i="1"/>
  <c r="CR39" i="1"/>
  <c r="CV39" i="1"/>
  <c r="S33" i="1"/>
  <c r="F2406" i="3"/>
  <c r="H2406" i="3"/>
  <c r="E2406" i="3"/>
  <c r="C2405" i="3"/>
  <c r="D2405" i="3"/>
  <c r="CO40" i="1" l="1"/>
  <c r="DH40" i="1"/>
  <c r="DL40" i="1" s="1"/>
  <c r="DI40" i="1"/>
  <c r="CO39" i="1"/>
  <c r="DH39" i="1"/>
  <c r="DL39" i="1" s="1"/>
  <c r="DI39" i="1"/>
  <c r="E2405" i="3"/>
  <c r="C2404" i="3"/>
  <c r="D2404" i="3"/>
  <c r="F2405" i="3"/>
  <c r="H2405" i="3"/>
  <c r="U43" i="1" l="1"/>
  <c r="U42" i="1"/>
  <c r="U41" i="1"/>
  <c r="U44" i="1"/>
  <c r="R43" i="1"/>
  <c r="R42" i="1"/>
  <c r="R41" i="1"/>
  <c r="R44" i="1"/>
  <c r="DJ40" i="1"/>
  <c r="DK40" i="1"/>
  <c r="DK39" i="1"/>
  <c r="DJ39" i="1"/>
  <c r="AE69" i="2"/>
  <c r="AE68" i="2"/>
  <c r="E2404" i="3"/>
  <c r="C2403" i="3"/>
  <c r="D2403" i="3"/>
  <c r="H2404" i="3"/>
  <c r="F2404" i="3"/>
  <c r="CC44" i="1" l="1"/>
  <c r="CD44" i="1" s="1"/>
  <c r="BY44" i="1"/>
  <c r="CK44" i="1"/>
  <c r="CL44" i="1" s="1"/>
  <c r="CA44" i="1"/>
  <c r="CB44" i="1" s="1"/>
  <c r="CI44" i="1"/>
  <c r="CJ44" i="1" s="1"/>
  <c r="BU44" i="1"/>
  <c r="BV44" i="1" s="1"/>
  <c r="BW44" i="1"/>
  <c r="BX44" i="1" s="1"/>
  <c r="CG44" i="1"/>
  <c r="CH44" i="1" s="1"/>
  <c r="BS44" i="1"/>
  <c r="BT44" i="1" s="1"/>
  <c r="DR44" i="1"/>
  <c r="BW41" i="1"/>
  <c r="BX41" i="1" s="1"/>
  <c r="BY41" i="1"/>
  <c r="CK41" i="1"/>
  <c r="CL41" i="1" s="1"/>
  <c r="CG41" i="1"/>
  <c r="CH41" i="1" s="1"/>
  <c r="CI41" i="1"/>
  <c r="CJ41" i="1" s="1"/>
  <c r="CA41" i="1"/>
  <c r="CB41" i="1" s="1"/>
  <c r="BS41" i="1"/>
  <c r="BT41" i="1" s="1"/>
  <c r="CC41" i="1"/>
  <c r="CD41" i="1" s="1"/>
  <c r="BU41" i="1"/>
  <c r="BV41" i="1" s="1"/>
  <c r="DR41" i="1"/>
  <c r="BW42" i="1"/>
  <c r="BX42" i="1" s="1"/>
  <c r="BY42" i="1"/>
  <c r="CK42" i="1"/>
  <c r="CL42" i="1" s="1"/>
  <c r="CI42" i="1"/>
  <c r="CJ42" i="1" s="1"/>
  <c r="DR42" i="1"/>
  <c r="BU42" i="1"/>
  <c r="BV42" i="1" s="1"/>
  <c r="BS42" i="1"/>
  <c r="BT42" i="1" s="1"/>
  <c r="CC42" i="1"/>
  <c r="CD42" i="1" s="1"/>
  <c r="CA42" i="1"/>
  <c r="CB42" i="1" s="1"/>
  <c r="CG42" i="1"/>
  <c r="CH42" i="1" s="1"/>
  <c r="CI43" i="1"/>
  <c r="CJ43" i="1" s="1"/>
  <c r="DR43" i="1"/>
  <c r="CK43" i="1"/>
  <c r="CL43" i="1" s="1"/>
  <c r="BW43" i="1"/>
  <c r="BX43" i="1" s="1"/>
  <c r="BY43" i="1"/>
  <c r="CC43" i="1"/>
  <c r="CD43" i="1" s="1"/>
  <c r="BU43" i="1"/>
  <c r="BV43" i="1" s="1"/>
  <c r="BS43" i="1"/>
  <c r="BT43" i="1" s="1"/>
  <c r="CG43" i="1"/>
  <c r="CH43" i="1" s="1"/>
  <c r="CA43" i="1"/>
  <c r="CB43" i="1" s="1"/>
  <c r="DM40" i="1"/>
  <c r="DM39" i="1"/>
  <c r="AF68" i="2"/>
  <c r="AG68" i="2"/>
  <c r="AQ68" i="2"/>
  <c r="AQ69" i="2"/>
  <c r="AF69" i="2"/>
  <c r="T44" i="1" s="1"/>
  <c r="AG69" i="2"/>
  <c r="E2403" i="3"/>
  <c r="D2402" i="3"/>
  <c r="C2402" i="3"/>
  <c r="H2403" i="3"/>
  <c r="F2403" i="3"/>
  <c r="BZ41" i="1" l="1"/>
  <c r="CE41" i="1"/>
  <c r="CF41" i="1" s="1"/>
  <c r="BZ42" i="1"/>
  <c r="CE42" i="1"/>
  <c r="CF42" i="1" s="1"/>
  <c r="BZ43" i="1"/>
  <c r="CE43" i="1"/>
  <c r="CF43" i="1" s="1"/>
  <c r="BZ44" i="1"/>
  <c r="CE44" i="1"/>
  <c r="CF44" i="1" s="1"/>
  <c r="DN39" i="1"/>
  <c r="DO39" i="1" s="1"/>
  <c r="DQ39" i="1"/>
  <c r="DN40" i="1"/>
  <c r="DO40" i="1" s="1"/>
  <c r="DQ40" i="1"/>
  <c r="BO44" i="1"/>
  <c r="BP44" i="1" s="1"/>
  <c r="BQ44" i="1"/>
  <c r="CY44" i="1"/>
  <c r="BM44" i="1"/>
  <c r="BN44" i="1" s="1"/>
  <c r="H2402" i="3"/>
  <c r="F2402" i="3"/>
  <c r="D2401" i="3"/>
  <c r="C2401" i="3"/>
  <c r="E2402" i="3"/>
  <c r="AE67" i="2" l="1"/>
  <c r="AF67" i="2" s="1"/>
  <c r="R45" i="1"/>
  <c r="BR44" i="1"/>
  <c r="DS44" i="1"/>
  <c r="DT44" i="1"/>
  <c r="DP44" i="1"/>
  <c r="DY44" i="1"/>
  <c r="DX44" i="1" s="1"/>
  <c r="DW44" i="1" s="1"/>
  <c r="ED44" i="1"/>
  <c r="EC44" i="1" s="1"/>
  <c r="EB44" i="1" s="1"/>
  <c r="CW44" i="1"/>
  <c r="CZ44" i="1"/>
  <c r="EE44" i="1" s="1"/>
  <c r="E2401" i="3"/>
  <c r="H2401" i="3"/>
  <c r="F2401" i="3"/>
  <c r="C2400" i="3"/>
  <c r="D2400" i="3"/>
  <c r="AG67" i="2" l="1"/>
  <c r="AQ67" i="2"/>
  <c r="T43" i="1"/>
  <c r="T41" i="1"/>
  <c r="T42" i="1"/>
  <c r="S42" i="1"/>
  <c r="S43" i="1"/>
  <c r="DZ44" i="1"/>
  <c r="CP44" i="1" s="1"/>
  <c r="EA44" i="1"/>
  <c r="CT44" i="1" s="1"/>
  <c r="DV44" i="1"/>
  <c r="CQ44" i="1" s="1"/>
  <c r="DU44" i="1"/>
  <c r="CM44" i="1" s="1"/>
  <c r="CX44" i="1"/>
  <c r="CU44" i="1"/>
  <c r="CR44" i="1" s="1"/>
  <c r="D2399" i="3"/>
  <c r="C2399" i="3"/>
  <c r="H2400" i="3"/>
  <c r="F2400" i="3"/>
  <c r="E2400" i="3"/>
  <c r="CY42" i="1" l="1"/>
  <c r="BQ42" i="1"/>
  <c r="BM42" i="1"/>
  <c r="BN42" i="1" s="1"/>
  <c r="BO42" i="1"/>
  <c r="BP42" i="1" s="1"/>
  <c r="BQ41" i="1"/>
  <c r="CY41" i="1"/>
  <c r="BO41" i="1"/>
  <c r="BP41" i="1" s="1"/>
  <c r="BM41" i="1"/>
  <c r="BN41" i="1" s="1"/>
  <c r="BM43" i="1"/>
  <c r="BN43" i="1" s="1"/>
  <c r="CY43" i="1"/>
  <c r="BO43" i="1"/>
  <c r="BP43" i="1" s="1"/>
  <c r="BQ43" i="1"/>
  <c r="E2399" i="3"/>
  <c r="F2399" i="3"/>
  <c r="H2399" i="3"/>
  <c r="D2398" i="3"/>
  <c r="C2398" i="3"/>
  <c r="DP43" i="1" l="1"/>
  <c r="CW43" i="1"/>
  <c r="CZ43" i="1"/>
  <c r="EE43" i="1" s="1"/>
  <c r="DY43" i="1"/>
  <c r="DX43" i="1" s="1"/>
  <c r="DW43" i="1" s="1"/>
  <c r="ED43" i="1"/>
  <c r="EC43" i="1" s="1"/>
  <c r="EB43" i="1" s="1"/>
  <c r="DT41" i="1"/>
  <c r="BR41" i="1"/>
  <c r="DS41" i="1"/>
  <c r="DS42" i="1"/>
  <c r="BR42" i="1"/>
  <c r="DT42" i="1"/>
  <c r="BR43" i="1"/>
  <c r="DT43" i="1"/>
  <c r="DS43" i="1"/>
  <c r="DP41" i="1"/>
  <c r="CW41" i="1"/>
  <c r="ED41" i="1"/>
  <c r="EC41" i="1" s="1"/>
  <c r="EB41" i="1" s="1"/>
  <c r="DY41" i="1"/>
  <c r="DX41" i="1" s="1"/>
  <c r="DW41" i="1" s="1"/>
  <c r="CZ41" i="1"/>
  <c r="EE41" i="1" s="1"/>
  <c r="DP42" i="1"/>
  <c r="CZ42" i="1"/>
  <c r="EE42" i="1" s="1"/>
  <c r="DY42" i="1"/>
  <c r="DX42" i="1" s="1"/>
  <c r="DW42" i="1" s="1"/>
  <c r="CW42" i="1"/>
  <c r="ED42" i="1"/>
  <c r="EC42" i="1" s="1"/>
  <c r="EB42" i="1" s="1"/>
  <c r="F2398" i="3"/>
  <c r="H2398" i="3"/>
  <c r="D2397" i="3"/>
  <c r="C2397" i="3"/>
  <c r="E2398" i="3"/>
  <c r="AE66" i="2" l="1"/>
  <c r="AF66" i="2" s="1"/>
  <c r="T45" i="1" s="1"/>
  <c r="R49" i="1"/>
  <c r="R52" i="1"/>
  <c r="R50" i="1"/>
  <c r="R51" i="1"/>
  <c r="R47" i="1"/>
  <c r="R48" i="1"/>
  <c r="R46" i="1"/>
  <c r="U49" i="1"/>
  <c r="U52" i="1"/>
  <c r="U50" i="1"/>
  <c r="U51" i="1"/>
  <c r="U47" i="1"/>
  <c r="U48" i="1"/>
  <c r="U46" i="1"/>
  <c r="CU42" i="1"/>
  <c r="CX42" i="1"/>
  <c r="DV43" i="1"/>
  <c r="CQ43" i="1" s="1"/>
  <c r="DU43" i="1"/>
  <c r="CM43" i="1" s="1"/>
  <c r="DV41" i="1"/>
  <c r="CQ41" i="1" s="1"/>
  <c r="DU41" i="1"/>
  <c r="CM41" i="1" s="1"/>
  <c r="CU43" i="1"/>
  <c r="CX43" i="1"/>
  <c r="CX41" i="1"/>
  <c r="CU41" i="1"/>
  <c r="CR41" i="1" s="1"/>
  <c r="EA42" i="1"/>
  <c r="CT42" i="1" s="1"/>
  <c r="DZ42" i="1"/>
  <c r="CP42" i="1" s="1"/>
  <c r="DU42" i="1"/>
  <c r="CM42" i="1" s="1"/>
  <c r="DV42" i="1"/>
  <c r="CQ42" i="1" s="1"/>
  <c r="EA43" i="1"/>
  <c r="CT43" i="1" s="1"/>
  <c r="DZ43" i="1"/>
  <c r="CP43" i="1" s="1"/>
  <c r="DZ41" i="1"/>
  <c r="CP41" i="1" s="1"/>
  <c r="EA41" i="1"/>
  <c r="CT41" i="1" s="1"/>
  <c r="E2397" i="3"/>
  <c r="H2397" i="3"/>
  <c r="F2397" i="3"/>
  <c r="C2396" i="3"/>
  <c r="D2396" i="3"/>
  <c r="AQ66" i="2" l="1"/>
  <c r="AG66" i="2"/>
  <c r="CK46" i="1"/>
  <c r="CL46" i="1" s="1"/>
  <c r="CI46" i="1"/>
  <c r="CJ46" i="1" s="1"/>
  <c r="CG46" i="1"/>
  <c r="CH46" i="1" s="1"/>
  <c r="BY46" i="1"/>
  <c r="CC46" i="1"/>
  <c r="CD46" i="1" s="1"/>
  <c r="BS46" i="1"/>
  <c r="BT46" i="1" s="1"/>
  <c r="CA46" i="1"/>
  <c r="CB46" i="1" s="1"/>
  <c r="BW46" i="1"/>
  <c r="BX46" i="1" s="1"/>
  <c r="BU46" i="1"/>
  <c r="BV46" i="1" s="1"/>
  <c r="DR46" i="1"/>
  <c r="BU48" i="1"/>
  <c r="BV48" i="1" s="1"/>
  <c r="BS48" i="1"/>
  <c r="BT48" i="1" s="1"/>
  <c r="CI48" i="1"/>
  <c r="CJ48" i="1" s="1"/>
  <c r="CK48" i="1"/>
  <c r="CL48" i="1" s="1"/>
  <c r="BY48" i="1"/>
  <c r="CA48" i="1"/>
  <c r="CB48" i="1" s="1"/>
  <c r="BW48" i="1"/>
  <c r="BX48" i="1" s="1"/>
  <c r="DR48" i="1"/>
  <c r="CC48" i="1"/>
  <c r="CD48" i="1" s="1"/>
  <c r="CG48" i="1"/>
  <c r="CH48" i="1" s="1"/>
  <c r="CI47" i="1"/>
  <c r="CJ47" i="1" s="1"/>
  <c r="CC47" i="1"/>
  <c r="CD47" i="1" s="1"/>
  <c r="CA47" i="1"/>
  <c r="CB47" i="1" s="1"/>
  <c r="BY47" i="1"/>
  <c r="CG47" i="1"/>
  <c r="CH47" i="1" s="1"/>
  <c r="BU47" i="1"/>
  <c r="BV47" i="1" s="1"/>
  <c r="BW47" i="1"/>
  <c r="BX47" i="1" s="1"/>
  <c r="DR47" i="1"/>
  <c r="CK47" i="1"/>
  <c r="CL47" i="1" s="1"/>
  <c r="BS47" i="1"/>
  <c r="BT47" i="1" s="1"/>
  <c r="DR51" i="1"/>
  <c r="BS51" i="1"/>
  <c r="BT51" i="1" s="1"/>
  <c r="CG51" i="1"/>
  <c r="CH51" i="1" s="1"/>
  <c r="CC51" i="1"/>
  <c r="CD51" i="1" s="1"/>
  <c r="BY51" i="1"/>
  <c r="CA51" i="1"/>
  <c r="CB51" i="1" s="1"/>
  <c r="CI51" i="1"/>
  <c r="CJ51" i="1" s="1"/>
  <c r="CK51" i="1"/>
  <c r="CL51" i="1" s="1"/>
  <c r="BW51" i="1"/>
  <c r="BX51" i="1" s="1"/>
  <c r="BU51" i="1"/>
  <c r="BV51" i="1" s="1"/>
  <c r="CG50" i="1"/>
  <c r="CH50" i="1" s="1"/>
  <c r="CC50" i="1"/>
  <c r="CD50" i="1" s="1"/>
  <c r="CA50" i="1"/>
  <c r="CB50" i="1" s="1"/>
  <c r="CK50" i="1"/>
  <c r="CL50" i="1" s="1"/>
  <c r="BU50" i="1"/>
  <c r="BV50" i="1" s="1"/>
  <c r="DR50" i="1"/>
  <c r="CI50" i="1"/>
  <c r="CJ50" i="1" s="1"/>
  <c r="BW50" i="1"/>
  <c r="BX50" i="1" s="1"/>
  <c r="BS50" i="1"/>
  <c r="BT50" i="1" s="1"/>
  <c r="BY50" i="1"/>
  <c r="CI52" i="1"/>
  <c r="CJ52" i="1" s="1"/>
  <c r="CC52" i="1"/>
  <c r="CD52" i="1" s="1"/>
  <c r="CG52" i="1"/>
  <c r="CH52" i="1" s="1"/>
  <c r="BY52" i="1"/>
  <c r="BS52" i="1"/>
  <c r="BT52" i="1" s="1"/>
  <c r="BU52" i="1"/>
  <c r="BV52" i="1" s="1"/>
  <c r="CK52" i="1"/>
  <c r="CL52" i="1" s="1"/>
  <c r="BW52" i="1"/>
  <c r="BX52" i="1" s="1"/>
  <c r="CA52" i="1"/>
  <c r="CB52" i="1" s="1"/>
  <c r="DR52" i="1"/>
  <c r="CG49" i="1"/>
  <c r="CH49" i="1" s="1"/>
  <c r="BS49" i="1"/>
  <c r="BT49" i="1" s="1"/>
  <c r="CA49" i="1"/>
  <c r="CB49" i="1" s="1"/>
  <c r="BY49" i="1"/>
  <c r="CI49" i="1"/>
  <c r="CJ49" i="1" s="1"/>
  <c r="DR49" i="1"/>
  <c r="BW49" i="1"/>
  <c r="BX49" i="1" s="1"/>
  <c r="BU49" i="1"/>
  <c r="BV49" i="1" s="1"/>
  <c r="CC49" i="1"/>
  <c r="CD49" i="1" s="1"/>
  <c r="CK49" i="1"/>
  <c r="CL49" i="1" s="1"/>
  <c r="CR43" i="1"/>
  <c r="CV43" i="1"/>
  <c r="CN43" i="1"/>
  <c r="CR42" i="1"/>
  <c r="CV42" i="1"/>
  <c r="CN42" i="1"/>
  <c r="H2396" i="3"/>
  <c r="F2396" i="3"/>
  <c r="E2396" i="3"/>
  <c r="D2395" i="3"/>
  <c r="C2395" i="3"/>
  <c r="BZ47" i="1" l="1"/>
  <c r="CE47" i="1"/>
  <c r="CF47" i="1" s="1"/>
  <c r="BZ52" i="1"/>
  <c r="CE52" i="1"/>
  <c r="CF52" i="1" s="1"/>
  <c r="BZ46" i="1"/>
  <c r="CE46" i="1"/>
  <c r="CF46" i="1" s="1"/>
  <c r="BZ51" i="1"/>
  <c r="CE51" i="1"/>
  <c r="CF51" i="1" s="1"/>
  <c r="BZ49" i="1"/>
  <c r="CE49" i="1"/>
  <c r="CF49" i="1" s="1"/>
  <c r="BZ48" i="1"/>
  <c r="CE48" i="1"/>
  <c r="CF48" i="1" s="1"/>
  <c r="BZ50" i="1"/>
  <c r="CE50" i="1"/>
  <c r="CF50" i="1" s="1"/>
  <c r="DH42" i="1"/>
  <c r="DI42" i="1"/>
  <c r="CO42" i="1"/>
  <c r="DH43" i="1"/>
  <c r="DL43" i="1" s="1"/>
  <c r="DI43" i="1"/>
  <c r="CO43" i="1"/>
  <c r="D2394" i="3"/>
  <c r="C2394" i="3"/>
  <c r="H2395" i="3"/>
  <c r="F2395" i="3"/>
  <c r="E2395" i="3"/>
  <c r="DK43" i="1" l="1"/>
  <c r="DJ43" i="1"/>
  <c r="DL42" i="1"/>
  <c r="DK42" i="1"/>
  <c r="DJ42" i="1"/>
  <c r="E2394" i="3"/>
  <c r="H2394" i="3"/>
  <c r="F2394" i="3"/>
  <c r="C2393" i="3"/>
  <c r="D2393" i="3"/>
  <c r="DM43" i="1" l="1"/>
  <c r="DN43" i="1" s="1"/>
  <c r="DO43" i="1" s="1"/>
  <c r="DM42" i="1"/>
  <c r="C2392" i="3"/>
  <c r="D2392" i="3"/>
  <c r="H2393" i="3"/>
  <c r="F2393" i="3"/>
  <c r="E2393" i="3"/>
  <c r="R56" i="1" l="1"/>
  <c r="R54" i="1"/>
  <c r="R53" i="1"/>
  <c r="R55" i="1"/>
  <c r="U56" i="1"/>
  <c r="U54" i="1"/>
  <c r="U53" i="1"/>
  <c r="U55" i="1"/>
  <c r="DQ43" i="1"/>
  <c r="DN42" i="1"/>
  <c r="DO42" i="1" s="1"/>
  <c r="DQ42" i="1"/>
  <c r="AE65" i="2"/>
  <c r="AE64" i="2"/>
  <c r="E2392" i="3"/>
  <c r="D2391" i="3"/>
  <c r="C2391" i="3"/>
  <c r="H2392" i="3"/>
  <c r="F2392" i="3"/>
  <c r="CI55" i="1" l="1"/>
  <c r="CJ55" i="1" s="1"/>
  <c r="CA55" i="1"/>
  <c r="CB55" i="1" s="1"/>
  <c r="CG55" i="1"/>
  <c r="CH55" i="1" s="1"/>
  <c r="CC55" i="1"/>
  <c r="CD55" i="1" s="1"/>
  <c r="BS55" i="1"/>
  <c r="BT55" i="1" s="1"/>
  <c r="BY55" i="1"/>
  <c r="BU55" i="1"/>
  <c r="BV55" i="1" s="1"/>
  <c r="BW55" i="1"/>
  <c r="BX55" i="1" s="1"/>
  <c r="CK55" i="1"/>
  <c r="CL55" i="1" s="1"/>
  <c r="DR55" i="1"/>
  <c r="BY53" i="1"/>
  <c r="CI53" i="1"/>
  <c r="CJ53" i="1" s="1"/>
  <c r="BW53" i="1"/>
  <c r="BX53" i="1" s="1"/>
  <c r="CK53" i="1"/>
  <c r="CL53" i="1" s="1"/>
  <c r="CA53" i="1"/>
  <c r="CB53" i="1" s="1"/>
  <c r="CG53" i="1"/>
  <c r="CH53" i="1" s="1"/>
  <c r="BS53" i="1"/>
  <c r="BT53" i="1" s="1"/>
  <c r="CC53" i="1"/>
  <c r="CD53" i="1" s="1"/>
  <c r="BU53" i="1"/>
  <c r="BV53" i="1" s="1"/>
  <c r="DR53" i="1"/>
  <c r="CC54" i="1"/>
  <c r="CD54" i="1" s="1"/>
  <c r="CI54" i="1"/>
  <c r="CJ54" i="1" s="1"/>
  <c r="BU54" i="1"/>
  <c r="BV54" i="1" s="1"/>
  <c r="CK54" i="1"/>
  <c r="CL54" i="1" s="1"/>
  <c r="BS54" i="1"/>
  <c r="BT54" i="1" s="1"/>
  <c r="CG54" i="1"/>
  <c r="CH54" i="1" s="1"/>
  <c r="CA54" i="1"/>
  <c r="CB54" i="1" s="1"/>
  <c r="BY54" i="1"/>
  <c r="DR54" i="1"/>
  <c r="BW54" i="1"/>
  <c r="BX54" i="1" s="1"/>
  <c r="BS56" i="1"/>
  <c r="BT56" i="1" s="1"/>
  <c r="CA56" i="1"/>
  <c r="CB56" i="1" s="1"/>
  <c r="BW56" i="1"/>
  <c r="BX56" i="1" s="1"/>
  <c r="CG56" i="1"/>
  <c r="CH56" i="1" s="1"/>
  <c r="CK56" i="1"/>
  <c r="CL56" i="1" s="1"/>
  <c r="CI56" i="1"/>
  <c r="CJ56" i="1" s="1"/>
  <c r="CC56" i="1"/>
  <c r="CD56" i="1" s="1"/>
  <c r="BY56" i="1"/>
  <c r="DR56" i="1"/>
  <c r="BU56" i="1"/>
  <c r="BV56" i="1" s="1"/>
  <c r="AQ64" i="2"/>
  <c r="AF64" i="2"/>
  <c r="AG64" i="2"/>
  <c r="AF65" i="2"/>
  <c r="AG65" i="2"/>
  <c r="AQ65" i="2"/>
  <c r="E2391" i="3"/>
  <c r="H2391" i="3"/>
  <c r="F2391" i="3"/>
  <c r="D2390" i="3"/>
  <c r="C2390" i="3"/>
  <c r="BZ53" i="1" l="1"/>
  <c r="CE53" i="1"/>
  <c r="CF53" i="1" s="1"/>
  <c r="BZ54" i="1"/>
  <c r="CE54" i="1"/>
  <c r="CF54" i="1" s="1"/>
  <c r="BZ56" i="1"/>
  <c r="CE56" i="1"/>
  <c r="CF56" i="1" s="1"/>
  <c r="BZ55" i="1"/>
  <c r="CE55" i="1"/>
  <c r="CF55" i="1" s="1"/>
  <c r="T52" i="1"/>
  <c r="T51" i="1"/>
  <c r="T48" i="1"/>
  <c r="T50" i="1"/>
  <c r="T49" i="1"/>
  <c r="T46" i="1"/>
  <c r="T47" i="1"/>
  <c r="S54" i="1"/>
  <c r="S47" i="1"/>
  <c r="S51" i="1"/>
  <c r="S52" i="1"/>
  <c r="S49" i="1"/>
  <c r="S50" i="1"/>
  <c r="S48" i="1"/>
  <c r="T53" i="1"/>
  <c r="CY53" i="1" s="1"/>
  <c r="T54" i="1"/>
  <c r="H2390" i="3"/>
  <c r="F2390" i="3"/>
  <c r="C2389" i="3"/>
  <c r="D2389" i="3"/>
  <c r="E2390" i="3"/>
  <c r="BQ50" i="1" l="1"/>
  <c r="CY50" i="1"/>
  <c r="BO50" i="1"/>
  <c r="BP50" i="1" s="1"/>
  <c r="BM50" i="1"/>
  <c r="BN50" i="1" s="1"/>
  <c r="CY46" i="1"/>
  <c r="BO46" i="1"/>
  <c r="BP46" i="1" s="1"/>
  <c r="BM46" i="1"/>
  <c r="BN46" i="1" s="1"/>
  <c r="BQ46" i="1"/>
  <c r="BO48" i="1"/>
  <c r="BP48" i="1" s="1"/>
  <c r="CY48" i="1"/>
  <c r="BM48" i="1"/>
  <c r="BN48" i="1" s="1"/>
  <c r="BQ48" i="1"/>
  <c r="BO49" i="1"/>
  <c r="BP49" i="1" s="1"/>
  <c r="BM49" i="1"/>
  <c r="BN49" i="1" s="1"/>
  <c r="CY49" i="1"/>
  <c r="BQ49" i="1"/>
  <c r="CY51" i="1"/>
  <c r="BO51" i="1"/>
  <c r="BP51" i="1" s="1"/>
  <c r="BQ51" i="1"/>
  <c r="BM51" i="1"/>
  <c r="BN51" i="1" s="1"/>
  <c r="BO47" i="1"/>
  <c r="BP47" i="1" s="1"/>
  <c r="BM47" i="1"/>
  <c r="BN47" i="1" s="1"/>
  <c r="CY47" i="1"/>
  <c r="BQ47" i="1"/>
  <c r="BM52" i="1"/>
  <c r="BN52" i="1" s="1"/>
  <c r="CY52" i="1"/>
  <c r="BO52" i="1"/>
  <c r="BP52" i="1" s="1"/>
  <c r="BQ52" i="1"/>
  <c r="BQ53" i="1"/>
  <c r="DT53" i="1" s="1"/>
  <c r="BO53" i="1"/>
  <c r="BP53" i="1" s="1"/>
  <c r="BM53" i="1"/>
  <c r="BN53" i="1" s="1"/>
  <c r="BM54" i="1"/>
  <c r="BN54" i="1" s="1"/>
  <c r="BQ54" i="1"/>
  <c r="BO54" i="1"/>
  <c r="BP54" i="1" s="1"/>
  <c r="CY54" i="1"/>
  <c r="CZ53" i="1"/>
  <c r="EE53" i="1" s="1"/>
  <c r="DP53" i="1"/>
  <c r="DY53" i="1"/>
  <c r="DX53" i="1" s="1"/>
  <c r="DW53" i="1" s="1"/>
  <c r="ED53" i="1"/>
  <c r="EC53" i="1" s="1"/>
  <c r="EB53" i="1" s="1"/>
  <c r="CW53" i="1"/>
  <c r="C2388" i="3"/>
  <c r="D2388" i="3"/>
  <c r="E2389" i="3"/>
  <c r="F2389" i="3"/>
  <c r="H2389" i="3"/>
  <c r="CZ52" i="1" l="1"/>
  <c r="DY52" i="1"/>
  <c r="DX52" i="1" s="1"/>
  <c r="DW52" i="1" s="1"/>
  <c r="ED52" i="1"/>
  <c r="EC52" i="1" s="1"/>
  <c r="EB52" i="1" s="1"/>
  <c r="CW52" i="1"/>
  <c r="DP52" i="1"/>
  <c r="CW47" i="1"/>
  <c r="DP47" i="1"/>
  <c r="ED47" i="1"/>
  <c r="EC47" i="1" s="1"/>
  <c r="EB47" i="1" s="1"/>
  <c r="DY47" i="1"/>
  <c r="DX47" i="1" s="1"/>
  <c r="DW47" i="1" s="1"/>
  <c r="CZ47" i="1"/>
  <c r="DT49" i="1"/>
  <c r="BR49" i="1"/>
  <c r="DS49" i="1"/>
  <c r="DY48" i="1"/>
  <c r="DX48" i="1" s="1"/>
  <c r="DW48" i="1" s="1"/>
  <c r="DP48" i="1"/>
  <c r="CW48" i="1"/>
  <c r="CZ48" i="1"/>
  <c r="ED48" i="1"/>
  <c r="EC48" i="1" s="1"/>
  <c r="EB48" i="1" s="1"/>
  <c r="BR46" i="1"/>
  <c r="DT46" i="1"/>
  <c r="DS46" i="1"/>
  <c r="DY46" i="1"/>
  <c r="DX46" i="1" s="1"/>
  <c r="DW46" i="1" s="1"/>
  <c r="CW46" i="1"/>
  <c r="ED46" i="1"/>
  <c r="EC46" i="1" s="1"/>
  <c r="EB46" i="1" s="1"/>
  <c r="DP46" i="1"/>
  <c r="CZ46" i="1"/>
  <c r="BR51" i="1"/>
  <c r="DS51" i="1"/>
  <c r="DT51" i="1"/>
  <c r="DY49" i="1"/>
  <c r="DX49" i="1" s="1"/>
  <c r="DW49" i="1" s="1"/>
  <c r="CW49" i="1"/>
  <c r="CZ49" i="1"/>
  <c r="DP49" i="1"/>
  <c r="ED49" i="1"/>
  <c r="EC49" i="1" s="1"/>
  <c r="EB49" i="1" s="1"/>
  <c r="DT52" i="1"/>
  <c r="DS52" i="1"/>
  <c r="BR52" i="1"/>
  <c r="DY50" i="1"/>
  <c r="DX50" i="1" s="1"/>
  <c r="DW50" i="1" s="1"/>
  <c r="DP50" i="1"/>
  <c r="CZ50" i="1"/>
  <c r="ED50" i="1"/>
  <c r="EC50" i="1" s="1"/>
  <c r="EB50" i="1" s="1"/>
  <c r="CW50" i="1"/>
  <c r="DS48" i="1"/>
  <c r="BR48" i="1"/>
  <c r="DT48" i="1"/>
  <c r="BR47" i="1"/>
  <c r="DT47" i="1"/>
  <c r="DS47" i="1"/>
  <c r="DY51" i="1"/>
  <c r="DX51" i="1" s="1"/>
  <c r="DW51" i="1" s="1"/>
  <c r="ED51" i="1"/>
  <c r="EC51" i="1" s="1"/>
  <c r="EB51" i="1" s="1"/>
  <c r="DP51" i="1"/>
  <c r="CZ51" i="1"/>
  <c r="CW51" i="1"/>
  <c r="DS50" i="1"/>
  <c r="BR50" i="1"/>
  <c r="DT50" i="1"/>
  <c r="BR53" i="1"/>
  <c r="DS53" i="1"/>
  <c r="BR54" i="1"/>
  <c r="DT54" i="1"/>
  <c r="DS54" i="1"/>
  <c r="CW54" i="1"/>
  <c r="ED54" i="1"/>
  <c r="EC54" i="1" s="1"/>
  <c r="EB54" i="1" s="1"/>
  <c r="DY54" i="1"/>
  <c r="DX54" i="1" s="1"/>
  <c r="DW54" i="1" s="1"/>
  <c r="DP54" i="1"/>
  <c r="CZ54" i="1"/>
  <c r="EE54" i="1" s="1"/>
  <c r="CU53" i="1"/>
  <c r="CR53" i="1" s="1"/>
  <c r="CX53" i="1"/>
  <c r="DV53" i="1"/>
  <c r="CQ53" i="1" s="1"/>
  <c r="DU53" i="1"/>
  <c r="CM53" i="1" s="1"/>
  <c r="EA53" i="1"/>
  <c r="CT53" i="1" s="1"/>
  <c r="DZ53" i="1"/>
  <c r="CP53" i="1" s="1"/>
  <c r="E2388" i="3"/>
  <c r="C2387" i="3"/>
  <c r="D2387" i="3"/>
  <c r="H2388" i="3"/>
  <c r="F2388" i="3"/>
  <c r="DZ46" i="1" l="1"/>
  <c r="CP46" i="1" s="1"/>
  <c r="EA46" i="1"/>
  <c r="CT46" i="1" s="1"/>
  <c r="DU50" i="1"/>
  <c r="CM50" i="1" s="1"/>
  <c r="DV50" i="1"/>
  <c r="CQ50" i="1" s="1"/>
  <c r="CU47" i="1"/>
  <c r="CX47" i="1"/>
  <c r="CU49" i="1"/>
  <c r="CX49" i="1"/>
  <c r="DV48" i="1"/>
  <c r="CQ48" i="1" s="1"/>
  <c r="DU48" i="1"/>
  <c r="CM48" i="1" s="1"/>
  <c r="CX46" i="1"/>
  <c r="CU46" i="1"/>
  <c r="CR46" i="1" s="1"/>
  <c r="EA52" i="1"/>
  <c r="CT52" i="1" s="1"/>
  <c r="DZ52" i="1"/>
  <c r="CP52" i="1" s="1"/>
  <c r="CU50" i="1"/>
  <c r="CX50" i="1"/>
  <c r="DZ50" i="1"/>
  <c r="CP50" i="1" s="1"/>
  <c r="EA50" i="1"/>
  <c r="CT50" i="1" s="1"/>
  <c r="DU47" i="1"/>
  <c r="CM47" i="1" s="1"/>
  <c r="DV47" i="1"/>
  <c r="CQ47" i="1" s="1"/>
  <c r="DZ47" i="1"/>
  <c r="CP47" i="1" s="1"/>
  <c r="EA47" i="1"/>
  <c r="CT47" i="1" s="1"/>
  <c r="DV46" i="1"/>
  <c r="CQ46" i="1" s="1"/>
  <c r="DU46" i="1"/>
  <c r="CM46" i="1" s="1"/>
  <c r="CX52" i="1"/>
  <c r="CU52" i="1"/>
  <c r="DZ51" i="1"/>
  <c r="CP51" i="1" s="1"/>
  <c r="EA51" i="1"/>
  <c r="CT51" i="1" s="1"/>
  <c r="EA49" i="1"/>
  <c r="CT49" i="1" s="1"/>
  <c r="DZ49" i="1"/>
  <c r="CP49" i="1" s="1"/>
  <c r="DZ48" i="1"/>
  <c r="CP48" i="1" s="1"/>
  <c r="EA48" i="1"/>
  <c r="CT48" i="1" s="1"/>
  <c r="DV52" i="1"/>
  <c r="CQ52" i="1" s="1"/>
  <c r="DU52" i="1"/>
  <c r="CM52" i="1" s="1"/>
  <c r="CU48" i="1"/>
  <c r="CX48" i="1"/>
  <c r="DU49" i="1"/>
  <c r="CM49" i="1" s="1"/>
  <c r="DV49" i="1"/>
  <c r="CQ49" i="1" s="1"/>
  <c r="CU51" i="1"/>
  <c r="CX51" i="1"/>
  <c r="DV51" i="1"/>
  <c r="CQ51" i="1" s="1"/>
  <c r="DU51" i="1"/>
  <c r="CM51" i="1" s="1"/>
  <c r="DU54" i="1"/>
  <c r="CM54" i="1" s="1"/>
  <c r="DV54" i="1"/>
  <c r="CQ54" i="1" s="1"/>
  <c r="DZ54" i="1"/>
  <c r="CP54" i="1" s="1"/>
  <c r="EA54" i="1"/>
  <c r="CT54" i="1" s="1"/>
  <c r="CU54" i="1"/>
  <c r="CX54" i="1"/>
  <c r="E2387" i="3"/>
  <c r="D2386" i="3"/>
  <c r="C2386" i="3"/>
  <c r="F2387" i="3"/>
  <c r="H2387" i="3"/>
  <c r="CV50" i="1" l="1"/>
  <c r="CN50" i="1"/>
  <c r="CR50" i="1"/>
  <c r="CR49" i="1"/>
  <c r="CV49" i="1"/>
  <c r="CN49" i="1"/>
  <c r="CV51" i="1"/>
  <c r="CR51" i="1"/>
  <c r="CN51" i="1"/>
  <c r="CV52" i="1"/>
  <c r="CR52" i="1"/>
  <c r="CN52" i="1"/>
  <c r="CN47" i="1"/>
  <c r="CV47" i="1"/>
  <c r="CR47" i="1"/>
  <c r="CN48" i="1"/>
  <c r="CV48" i="1"/>
  <c r="CR48" i="1"/>
  <c r="CV54" i="1"/>
  <c r="CR54" i="1"/>
  <c r="CN54" i="1"/>
  <c r="E2386" i="3"/>
  <c r="F2386" i="3"/>
  <c r="H2386" i="3"/>
  <c r="D2385" i="3"/>
  <c r="C2385" i="3"/>
  <c r="DH48" i="1" l="1"/>
  <c r="CO48" i="1"/>
  <c r="DI48" i="1"/>
  <c r="DH50" i="1"/>
  <c r="CO50" i="1"/>
  <c r="DI50" i="1"/>
  <c r="DH47" i="1"/>
  <c r="DI47" i="1"/>
  <c r="CO47" i="1"/>
  <c r="DI52" i="1"/>
  <c r="CO52" i="1"/>
  <c r="DH52" i="1"/>
  <c r="DI51" i="1"/>
  <c r="DH51" i="1"/>
  <c r="CO51" i="1"/>
  <c r="CO49" i="1"/>
  <c r="DI49" i="1"/>
  <c r="DH49" i="1"/>
  <c r="DH54" i="1"/>
  <c r="DL54" i="1" s="1"/>
  <c r="DI54" i="1"/>
  <c r="CO54" i="1"/>
  <c r="H2385" i="3"/>
  <c r="F2385" i="3"/>
  <c r="D2384" i="3"/>
  <c r="C2384" i="3"/>
  <c r="E2385" i="3"/>
  <c r="DL51" i="1" l="1"/>
  <c r="DJ51" i="1"/>
  <c r="DK51" i="1"/>
  <c r="DL52" i="1"/>
  <c r="DK52" i="1"/>
  <c r="DJ52" i="1"/>
  <c r="DL49" i="1"/>
  <c r="DJ49" i="1"/>
  <c r="DK49" i="1"/>
  <c r="DL47" i="1"/>
  <c r="DK47" i="1"/>
  <c r="DJ47" i="1"/>
  <c r="DL50" i="1"/>
  <c r="DJ50" i="1"/>
  <c r="DK50" i="1"/>
  <c r="DL48" i="1"/>
  <c r="DJ48" i="1"/>
  <c r="DK48" i="1"/>
  <c r="DK54" i="1"/>
  <c r="DJ54" i="1"/>
  <c r="E2384" i="3"/>
  <c r="F2384" i="3"/>
  <c r="H2384" i="3"/>
  <c r="C2383" i="3"/>
  <c r="D2383" i="3"/>
  <c r="DM52" i="1" l="1"/>
  <c r="DQ52" i="1" s="1"/>
  <c r="DM51" i="1"/>
  <c r="DN51" i="1" s="1"/>
  <c r="DO51" i="1" s="1"/>
  <c r="DM47" i="1"/>
  <c r="EE47" i="1"/>
  <c r="EE51" i="1"/>
  <c r="DM50" i="1"/>
  <c r="EE52" i="1"/>
  <c r="DM49" i="1"/>
  <c r="DM48" i="1"/>
  <c r="DM54" i="1"/>
  <c r="E2383" i="3"/>
  <c r="D2382" i="3"/>
  <c r="C2382" i="3"/>
  <c r="F2383" i="3"/>
  <c r="H2383" i="3"/>
  <c r="DN52" i="1" l="1"/>
  <c r="DO52" i="1" s="1"/>
  <c r="DQ51" i="1"/>
  <c r="U57" i="1"/>
  <c r="U58" i="1"/>
  <c r="R57" i="1"/>
  <c r="R58" i="1"/>
  <c r="DN48" i="1"/>
  <c r="DQ48" i="1"/>
  <c r="DN50" i="1"/>
  <c r="DO50" i="1" s="1"/>
  <c r="DQ50" i="1"/>
  <c r="DN49" i="1"/>
  <c r="DO49" i="1" s="1"/>
  <c r="DQ49" i="1"/>
  <c r="DN47" i="1"/>
  <c r="DO47" i="1" s="1"/>
  <c r="DQ47" i="1"/>
  <c r="DO48" i="1"/>
  <c r="EE48" i="1"/>
  <c r="EE49" i="1"/>
  <c r="EE50" i="1"/>
  <c r="DN54" i="1"/>
  <c r="DO54" i="1" s="1"/>
  <c r="DQ54" i="1"/>
  <c r="AE63" i="2"/>
  <c r="AE62" i="2"/>
  <c r="F2382" i="3"/>
  <c r="H2382" i="3"/>
  <c r="E2382" i="3"/>
  <c r="D2381" i="3"/>
  <c r="C2381" i="3"/>
  <c r="CG58" i="1" l="1"/>
  <c r="CH58" i="1" s="1"/>
  <c r="CC58" i="1"/>
  <c r="CD58" i="1" s="1"/>
  <c r="BW58" i="1"/>
  <c r="BX58" i="1" s="1"/>
  <c r="CK58" i="1"/>
  <c r="CL58" i="1" s="1"/>
  <c r="CI58" i="1"/>
  <c r="CJ58" i="1" s="1"/>
  <c r="BS58" i="1"/>
  <c r="BT58" i="1" s="1"/>
  <c r="BU58" i="1"/>
  <c r="BV58" i="1" s="1"/>
  <c r="CA58" i="1"/>
  <c r="CB58" i="1" s="1"/>
  <c r="BY58" i="1"/>
  <c r="DR58" i="1"/>
  <c r="CG57" i="1"/>
  <c r="CH57" i="1" s="1"/>
  <c r="CA57" i="1"/>
  <c r="CB57" i="1" s="1"/>
  <c r="CI57" i="1"/>
  <c r="CJ57" i="1" s="1"/>
  <c r="CK57" i="1"/>
  <c r="CL57" i="1" s="1"/>
  <c r="BW57" i="1"/>
  <c r="BX57" i="1" s="1"/>
  <c r="BY57" i="1"/>
  <c r="CC57" i="1"/>
  <c r="CD57" i="1" s="1"/>
  <c r="BS57" i="1"/>
  <c r="BT57" i="1" s="1"/>
  <c r="BU57" i="1"/>
  <c r="BV57" i="1" s="1"/>
  <c r="DR57" i="1"/>
  <c r="AG62" i="2"/>
  <c r="AQ62" i="2"/>
  <c r="AF62" i="2"/>
  <c r="AF63" i="2"/>
  <c r="AG63" i="2"/>
  <c r="AQ63" i="2"/>
  <c r="S56" i="1" s="1"/>
  <c r="F2381" i="3"/>
  <c r="U76" i="1" s="1"/>
  <c r="H2381" i="3"/>
  <c r="E2381" i="3"/>
  <c r="D2380" i="3"/>
  <c r="C2380" i="3"/>
  <c r="BZ57" i="1" l="1"/>
  <c r="CE57" i="1"/>
  <c r="CF57" i="1" s="1"/>
  <c r="BZ58" i="1"/>
  <c r="CE58" i="1"/>
  <c r="CF58" i="1" s="1"/>
  <c r="AE61" i="2"/>
  <c r="R59" i="1"/>
  <c r="R76" i="1"/>
  <c r="T57" i="1"/>
  <c r="BM57" i="1" s="1"/>
  <c r="BN57" i="1" s="1"/>
  <c r="T56" i="1"/>
  <c r="T55" i="1"/>
  <c r="AF61" i="2"/>
  <c r="AQ61" i="2"/>
  <c r="AG61" i="2"/>
  <c r="H2380" i="3"/>
  <c r="F2380" i="3"/>
  <c r="C2379" i="3"/>
  <c r="D2379" i="3"/>
  <c r="E2380" i="3"/>
  <c r="CC76" i="1" l="1"/>
  <c r="CD76" i="1" s="1"/>
  <c r="CA76" i="1"/>
  <c r="CB76" i="1" s="1"/>
  <c r="CG76" i="1"/>
  <c r="CH76" i="1" s="1"/>
  <c r="CI76" i="1"/>
  <c r="CJ76" i="1" s="1"/>
  <c r="BW76" i="1"/>
  <c r="BX76" i="1" s="1"/>
  <c r="BY76" i="1"/>
  <c r="CK76" i="1"/>
  <c r="CL76" i="1" s="1"/>
  <c r="BS76" i="1"/>
  <c r="BT76" i="1" s="1"/>
  <c r="BU76" i="1"/>
  <c r="BV76" i="1" s="1"/>
  <c r="DR76" i="1"/>
  <c r="BQ57" i="1"/>
  <c r="DT57" i="1" s="1"/>
  <c r="CY57" i="1"/>
  <c r="ED57" i="1" s="1"/>
  <c r="EC57" i="1" s="1"/>
  <c r="EB57" i="1" s="1"/>
  <c r="BO57" i="1"/>
  <c r="BP57" i="1" s="1"/>
  <c r="BQ55" i="1"/>
  <c r="BM55" i="1"/>
  <c r="BN55" i="1" s="1"/>
  <c r="BO55" i="1"/>
  <c r="BP55" i="1" s="1"/>
  <c r="CY55" i="1"/>
  <c r="BQ56" i="1"/>
  <c r="BM56" i="1"/>
  <c r="BN56" i="1" s="1"/>
  <c r="CY56" i="1"/>
  <c r="BO56" i="1"/>
  <c r="BP56" i="1" s="1"/>
  <c r="T58" i="1"/>
  <c r="D2378" i="3"/>
  <c r="C2378" i="3"/>
  <c r="E2379" i="3"/>
  <c r="H2379" i="3"/>
  <c r="F2379" i="3"/>
  <c r="BZ76" i="1" l="1"/>
  <c r="CE76" i="1"/>
  <c r="CF76" i="1" s="1"/>
  <c r="BR57" i="1"/>
  <c r="DS57" i="1"/>
  <c r="DP57" i="1"/>
  <c r="DY57" i="1"/>
  <c r="DX57" i="1" s="1"/>
  <c r="DW57" i="1" s="1"/>
  <c r="DV57" i="1" s="1"/>
  <c r="CQ57" i="1" s="1"/>
  <c r="CW57" i="1"/>
  <c r="CZ57" i="1"/>
  <c r="EE57" i="1" s="1"/>
  <c r="CW55" i="1"/>
  <c r="DY55" i="1"/>
  <c r="DX55" i="1" s="1"/>
  <c r="DW55" i="1" s="1"/>
  <c r="CZ55" i="1"/>
  <c r="EE55" i="1" s="1"/>
  <c r="ED55" i="1"/>
  <c r="EC55" i="1" s="1"/>
  <c r="EB55" i="1" s="1"/>
  <c r="DP55" i="1"/>
  <c r="BQ58" i="1"/>
  <c r="CY58" i="1"/>
  <c r="BM58" i="1"/>
  <c r="BN58" i="1" s="1"/>
  <c r="BO58" i="1"/>
  <c r="BP58" i="1" s="1"/>
  <c r="BR55" i="1"/>
  <c r="DS55" i="1"/>
  <c r="DT55" i="1"/>
  <c r="DY56" i="1"/>
  <c r="DX56" i="1" s="1"/>
  <c r="DW56" i="1" s="1"/>
  <c r="CZ56" i="1"/>
  <c r="EE56" i="1" s="1"/>
  <c r="DP56" i="1"/>
  <c r="ED56" i="1"/>
  <c r="EC56" i="1" s="1"/>
  <c r="EB56" i="1" s="1"/>
  <c r="CW56" i="1"/>
  <c r="DT56" i="1"/>
  <c r="DS56" i="1"/>
  <c r="BR56" i="1"/>
  <c r="CU57" i="1"/>
  <c r="CR57" i="1" s="1"/>
  <c r="CX57" i="1"/>
  <c r="EA57" i="1"/>
  <c r="CT57" i="1" s="1"/>
  <c r="DZ57" i="1"/>
  <c r="CP57" i="1" s="1"/>
  <c r="E2378" i="3"/>
  <c r="H2378" i="3"/>
  <c r="F2378" i="3"/>
  <c r="C2377" i="3"/>
  <c r="D2377" i="3"/>
  <c r="DU57" i="1" l="1"/>
  <c r="CM57" i="1" s="1"/>
  <c r="EA56" i="1"/>
  <c r="CT56" i="1" s="1"/>
  <c r="DZ56" i="1"/>
  <c r="CP56" i="1" s="1"/>
  <c r="DT58" i="1"/>
  <c r="BR58" i="1"/>
  <c r="DS58" i="1"/>
  <c r="EA55" i="1"/>
  <c r="CT55" i="1" s="1"/>
  <c r="DZ55" i="1"/>
  <c r="CP55" i="1" s="1"/>
  <c r="DV56" i="1"/>
  <c r="CQ56" i="1" s="1"/>
  <c r="DU56" i="1"/>
  <c r="CM56" i="1" s="1"/>
  <c r="DV55" i="1"/>
  <c r="CQ55" i="1" s="1"/>
  <c r="DU55" i="1"/>
  <c r="CM55" i="1" s="1"/>
  <c r="CZ58" i="1"/>
  <c r="CW58" i="1"/>
  <c r="ED58" i="1"/>
  <c r="EC58" i="1" s="1"/>
  <c r="EB58" i="1" s="1"/>
  <c r="DP58" i="1"/>
  <c r="DY58" i="1"/>
  <c r="DX58" i="1" s="1"/>
  <c r="DW58" i="1" s="1"/>
  <c r="CU56" i="1"/>
  <c r="CX56" i="1"/>
  <c r="CU55" i="1"/>
  <c r="CR55" i="1" s="1"/>
  <c r="CX55" i="1"/>
  <c r="H2377" i="3"/>
  <c r="F2377" i="3"/>
  <c r="D2376" i="3"/>
  <c r="C2376" i="3"/>
  <c r="E2377" i="3"/>
  <c r="CU58" i="1" l="1"/>
  <c r="CR58" i="1" s="1"/>
  <c r="CX58" i="1"/>
  <c r="DV58" i="1"/>
  <c r="CQ58" i="1" s="1"/>
  <c r="DU58" i="1"/>
  <c r="CM58" i="1" s="1"/>
  <c r="DZ58" i="1"/>
  <c r="CP58" i="1" s="1"/>
  <c r="EA58" i="1"/>
  <c r="CT58" i="1" s="1"/>
  <c r="CN56" i="1"/>
  <c r="CV56" i="1"/>
  <c r="CR56" i="1"/>
  <c r="E2376" i="3"/>
  <c r="F2376" i="3"/>
  <c r="H2376" i="3"/>
  <c r="C2375" i="3"/>
  <c r="D2375" i="3"/>
  <c r="DI56" i="1" l="1"/>
  <c r="DH56" i="1"/>
  <c r="CO56" i="1"/>
  <c r="E2375" i="3"/>
  <c r="D2374" i="3"/>
  <c r="C2374" i="3"/>
  <c r="H2375" i="3"/>
  <c r="F2375" i="3"/>
  <c r="DL56" i="1" l="1"/>
  <c r="DK56" i="1"/>
  <c r="DJ56" i="1"/>
  <c r="F2374" i="3"/>
  <c r="H2374" i="3"/>
  <c r="E2374" i="3"/>
  <c r="C2373" i="3"/>
  <c r="D2373" i="3"/>
  <c r="DM56" i="1" l="1"/>
  <c r="DN56" i="1" s="1"/>
  <c r="DO56" i="1" s="1"/>
  <c r="H2373" i="3"/>
  <c r="F2373" i="3"/>
  <c r="E2373" i="3"/>
  <c r="C2372" i="3"/>
  <c r="D2372" i="3"/>
  <c r="DQ56" i="1" l="1"/>
  <c r="C2371" i="3"/>
  <c r="D2371" i="3"/>
  <c r="F2372" i="3"/>
  <c r="H2372" i="3"/>
  <c r="E2372" i="3"/>
  <c r="S28" i="1" l="1"/>
  <c r="E2371" i="3"/>
  <c r="C2370" i="3"/>
  <c r="D2370" i="3"/>
  <c r="H2371" i="3"/>
  <c r="F2371" i="3"/>
  <c r="E2370" i="3" l="1"/>
  <c r="D2369" i="3"/>
  <c r="C2369" i="3"/>
  <c r="H2370" i="3"/>
  <c r="F2370" i="3"/>
  <c r="E2369" i="3" l="1"/>
  <c r="C2368" i="3"/>
  <c r="D2368" i="3"/>
  <c r="H2369" i="3"/>
  <c r="F2369" i="3"/>
  <c r="C2367" i="3" l="1"/>
  <c r="D2367" i="3"/>
  <c r="H2368" i="3"/>
  <c r="F2368" i="3"/>
  <c r="E2368" i="3"/>
  <c r="E2367" i="3" l="1"/>
  <c r="C2366" i="3"/>
  <c r="D2366" i="3"/>
  <c r="H2367" i="3"/>
  <c r="F2367" i="3"/>
  <c r="U61" i="1" l="1"/>
  <c r="U63" i="1"/>
  <c r="U62" i="1"/>
  <c r="U60" i="1"/>
  <c r="AE60" i="2"/>
  <c r="R61" i="1"/>
  <c r="R63" i="1"/>
  <c r="R62" i="1"/>
  <c r="R60" i="1"/>
  <c r="AQ60" i="2"/>
  <c r="AF60" i="2"/>
  <c r="T59" i="1" s="1"/>
  <c r="AG60" i="2"/>
  <c r="D2365" i="3"/>
  <c r="C2365" i="3"/>
  <c r="E2366" i="3"/>
  <c r="F2366" i="3"/>
  <c r="H2366" i="3"/>
  <c r="BW60" i="1" l="1"/>
  <c r="BX60" i="1" s="1"/>
  <c r="CG60" i="1"/>
  <c r="CH60" i="1" s="1"/>
  <c r="CC60" i="1"/>
  <c r="CD60" i="1" s="1"/>
  <c r="CK60" i="1"/>
  <c r="CL60" i="1" s="1"/>
  <c r="BU60" i="1"/>
  <c r="BV60" i="1" s="1"/>
  <c r="BY60" i="1"/>
  <c r="CA60" i="1"/>
  <c r="CB60" i="1" s="1"/>
  <c r="CI60" i="1"/>
  <c r="CJ60" i="1" s="1"/>
  <c r="BS60" i="1"/>
  <c r="BT60" i="1" s="1"/>
  <c r="DR60" i="1"/>
  <c r="CI62" i="1"/>
  <c r="CJ62" i="1" s="1"/>
  <c r="BS62" i="1"/>
  <c r="BT62" i="1" s="1"/>
  <c r="CC62" i="1"/>
  <c r="CD62" i="1" s="1"/>
  <c r="CG62" i="1"/>
  <c r="CH62" i="1" s="1"/>
  <c r="DR62" i="1"/>
  <c r="CA62" i="1"/>
  <c r="CB62" i="1" s="1"/>
  <c r="BU62" i="1"/>
  <c r="BV62" i="1" s="1"/>
  <c r="CK62" i="1"/>
  <c r="CL62" i="1" s="1"/>
  <c r="BY62" i="1"/>
  <c r="BW62" i="1"/>
  <c r="BX62" i="1" s="1"/>
  <c r="CA63" i="1"/>
  <c r="CB63" i="1" s="1"/>
  <c r="CI63" i="1"/>
  <c r="CJ63" i="1" s="1"/>
  <c r="CG63" i="1"/>
  <c r="CH63" i="1" s="1"/>
  <c r="CC63" i="1"/>
  <c r="CD63" i="1" s="1"/>
  <c r="BY63" i="1"/>
  <c r="CK63" i="1"/>
  <c r="CL63" i="1" s="1"/>
  <c r="BS63" i="1"/>
  <c r="BT63" i="1" s="1"/>
  <c r="DR63" i="1"/>
  <c r="BW63" i="1"/>
  <c r="BX63" i="1" s="1"/>
  <c r="BU63" i="1"/>
  <c r="BV63" i="1" s="1"/>
  <c r="CI61" i="1"/>
  <c r="CJ61" i="1" s="1"/>
  <c r="BU61" i="1"/>
  <c r="BV61" i="1" s="1"/>
  <c r="DR61" i="1"/>
  <c r="CG61" i="1"/>
  <c r="CH61" i="1" s="1"/>
  <c r="CC61" i="1"/>
  <c r="CD61" i="1" s="1"/>
  <c r="BY61" i="1"/>
  <c r="BW61" i="1"/>
  <c r="BX61" i="1" s="1"/>
  <c r="CK61" i="1"/>
  <c r="CL61" i="1" s="1"/>
  <c r="BS61" i="1"/>
  <c r="BT61" i="1" s="1"/>
  <c r="CA61" i="1"/>
  <c r="CB61" i="1" s="1"/>
  <c r="E2365" i="3"/>
  <c r="H2365" i="3"/>
  <c r="F2365" i="3"/>
  <c r="C2364" i="3"/>
  <c r="D2364" i="3"/>
  <c r="BZ61" i="1" l="1"/>
  <c r="CE61" i="1"/>
  <c r="CF61" i="1" s="1"/>
  <c r="BZ62" i="1"/>
  <c r="CE62" i="1"/>
  <c r="CF62" i="1" s="1"/>
  <c r="BZ63" i="1"/>
  <c r="CE63" i="1"/>
  <c r="CF63" i="1" s="1"/>
  <c r="BZ60" i="1"/>
  <c r="CE60" i="1"/>
  <c r="CF60" i="1" s="1"/>
  <c r="H2364" i="3"/>
  <c r="F2364" i="3"/>
  <c r="D2363" i="3"/>
  <c r="C2363" i="3"/>
  <c r="E2364" i="3"/>
  <c r="H2363" i="3" l="1"/>
  <c r="F2363" i="3"/>
  <c r="C2362" i="3"/>
  <c r="D2362" i="3"/>
  <c r="E2363" i="3"/>
  <c r="F2362" i="3" l="1"/>
  <c r="H2362" i="3"/>
  <c r="E2362" i="3"/>
  <c r="D2361" i="3"/>
  <c r="C2361" i="3"/>
  <c r="D2360" i="3" l="1"/>
  <c r="C2360" i="3"/>
  <c r="E2361" i="3"/>
  <c r="H2361" i="3"/>
  <c r="F2361" i="3"/>
  <c r="U65" i="1" l="1"/>
  <c r="U64" i="1"/>
  <c r="AE59" i="2"/>
  <c r="AQ59" i="2" s="1"/>
  <c r="R65" i="1"/>
  <c r="R64" i="1"/>
  <c r="E2360" i="3"/>
  <c r="F2360" i="3"/>
  <c r="H2360" i="3"/>
  <c r="C2359" i="3"/>
  <c r="D2359" i="3"/>
  <c r="AG59" i="2" l="1"/>
  <c r="AF59" i="2"/>
  <c r="CA64" i="1"/>
  <c r="CB64" i="1" s="1"/>
  <c r="CK64" i="1"/>
  <c r="CL64" i="1" s="1"/>
  <c r="CG64" i="1"/>
  <c r="CH64" i="1" s="1"/>
  <c r="BY64" i="1"/>
  <c r="BS64" i="1"/>
  <c r="BT64" i="1" s="1"/>
  <c r="BW64" i="1"/>
  <c r="BX64" i="1" s="1"/>
  <c r="BU64" i="1"/>
  <c r="BV64" i="1" s="1"/>
  <c r="CC64" i="1"/>
  <c r="CD64" i="1" s="1"/>
  <c r="CI64" i="1"/>
  <c r="CJ64" i="1" s="1"/>
  <c r="DR64" i="1"/>
  <c r="BU65" i="1"/>
  <c r="BV65" i="1" s="1"/>
  <c r="DR65" i="1"/>
  <c r="CI65" i="1"/>
  <c r="CJ65" i="1" s="1"/>
  <c r="CK65" i="1"/>
  <c r="CL65" i="1" s="1"/>
  <c r="CG65" i="1"/>
  <c r="CH65" i="1" s="1"/>
  <c r="CC65" i="1"/>
  <c r="CD65" i="1" s="1"/>
  <c r="CA65" i="1"/>
  <c r="CB65" i="1" s="1"/>
  <c r="BW65" i="1"/>
  <c r="BX65" i="1" s="1"/>
  <c r="BS65" i="1"/>
  <c r="BT65" i="1" s="1"/>
  <c r="BY65" i="1"/>
  <c r="H2359" i="3"/>
  <c r="F2359" i="3"/>
  <c r="D2358" i="3"/>
  <c r="C2358" i="3"/>
  <c r="E2359" i="3"/>
  <c r="BZ65" i="1" l="1"/>
  <c r="CE65" i="1"/>
  <c r="CF65" i="1" s="1"/>
  <c r="BZ64" i="1"/>
  <c r="CE64" i="1"/>
  <c r="CF64" i="1" s="1"/>
  <c r="F2358" i="3"/>
  <c r="H2358" i="3"/>
  <c r="C2357" i="3"/>
  <c r="D2357" i="3"/>
  <c r="E2358" i="3"/>
  <c r="E2357" i="3" l="1"/>
  <c r="C2356" i="3"/>
  <c r="D2356" i="3"/>
  <c r="H2357" i="3"/>
  <c r="F2357" i="3"/>
  <c r="D2355" i="3" l="1"/>
  <c r="C2355" i="3"/>
  <c r="H2356" i="3"/>
  <c r="F2356" i="3"/>
  <c r="E2356" i="3"/>
  <c r="AE58" i="2" s="1"/>
  <c r="AF58" i="2" l="1"/>
  <c r="AQ58" i="2"/>
  <c r="AG58" i="2"/>
  <c r="E2355" i="3"/>
  <c r="F2355" i="3"/>
  <c r="H2355" i="3"/>
  <c r="C2354" i="3"/>
  <c r="D2354" i="3"/>
  <c r="S60" i="1" l="1"/>
  <c r="S62" i="1"/>
  <c r="S63" i="1"/>
  <c r="S61" i="1"/>
  <c r="T60" i="1"/>
  <c r="T61" i="1"/>
  <c r="T63" i="1"/>
  <c r="T62" i="1"/>
  <c r="T66" i="1"/>
  <c r="T69" i="1"/>
  <c r="T70" i="1"/>
  <c r="T68" i="1"/>
  <c r="T71" i="1"/>
  <c r="T75" i="1"/>
  <c r="T72" i="1"/>
  <c r="T73" i="1"/>
  <c r="T74" i="1"/>
  <c r="T67" i="1"/>
  <c r="S70" i="1"/>
  <c r="S71" i="1"/>
  <c r="S67" i="1"/>
  <c r="S68" i="1"/>
  <c r="S69" i="1"/>
  <c r="S72" i="1"/>
  <c r="S75" i="1"/>
  <c r="S73" i="1"/>
  <c r="S74" i="1"/>
  <c r="F2354" i="3"/>
  <c r="H2354" i="3"/>
  <c r="C2353" i="3"/>
  <c r="D2353" i="3"/>
  <c r="E2354" i="3"/>
  <c r="CY63" i="1" l="1"/>
  <c r="BO63" i="1"/>
  <c r="BP63" i="1" s="1"/>
  <c r="BQ63" i="1"/>
  <c r="BM63" i="1"/>
  <c r="BN63" i="1" s="1"/>
  <c r="BQ60" i="1"/>
  <c r="BO60" i="1"/>
  <c r="BP60" i="1" s="1"/>
  <c r="BM60" i="1"/>
  <c r="BN60" i="1" s="1"/>
  <c r="CY60" i="1"/>
  <c r="CY62" i="1"/>
  <c r="BM62" i="1"/>
  <c r="BN62" i="1" s="1"/>
  <c r="BO62" i="1"/>
  <c r="BP62" i="1" s="1"/>
  <c r="BQ62" i="1"/>
  <c r="CY61" i="1"/>
  <c r="BM61" i="1"/>
  <c r="BN61" i="1" s="1"/>
  <c r="BO61" i="1"/>
  <c r="BP61" i="1" s="1"/>
  <c r="BQ61" i="1"/>
  <c r="BO67" i="1"/>
  <c r="BP67" i="1" s="1"/>
  <c r="CY67" i="1"/>
  <c r="BQ67" i="1"/>
  <c r="BM67" i="1"/>
  <c r="BN67" i="1" s="1"/>
  <c r="BM73" i="1"/>
  <c r="BN73" i="1" s="1"/>
  <c r="BO73" i="1"/>
  <c r="BP73" i="1" s="1"/>
  <c r="BQ73" i="1"/>
  <c r="CY73" i="1"/>
  <c r="BQ75" i="1"/>
  <c r="BM75" i="1"/>
  <c r="BN75" i="1" s="1"/>
  <c r="CY75" i="1"/>
  <c r="BO75" i="1"/>
  <c r="BP75" i="1" s="1"/>
  <c r="BQ71" i="1"/>
  <c r="BO71" i="1"/>
  <c r="BP71" i="1" s="1"/>
  <c r="BM71" i="1"/>
  <c r="BN71" i="1" s="1"/>
  <c r="CY71" i="1"/>
  <c r="BO70" i="1"/>
  <c r="BP70" i="1" s="1"/>
  <c r="BM70" i="1"/>
  <c r="BN70" i="1" s="1"/>
  <c r="CY70" i="1"/>
  <c r="BQ70" i="1"/>
  <c r="BQ74" i="1"/>
  <c r="CY74" i="1"/>
  <c r="BM74" i="1"/>
  <c r="BN74" i="1" s="1"/>
  <c r="BO74" i="1"/>
  <c r="BP74" i="1" s="1"/>
  <c r="CY72" i="1"/>
  <c r="BQ72" i="1"/>
  <c r="BM72" i="1"/>
  <c r="BN72" i="1" s="1"/>
  <c r="BO72" i="1"/>
  <c r="BP72" i="1" s="1"/>
  <c r="BM68" i="1"/>
  <c r="BN68" i="1" s="1"/>
  <c r="CY68" i="1"/>
  <c r="BQ68" i="1"/>
  <c r="BO68" i="1"/>
  <c r="BP68" i="1" s="1"/>
  <c r="BO69" i="1"/>
  <c r="BP69" i="1" s="1"/>
  <c r="CY69" i="1"/>
  <c r="BQ69" i="1"/>
  <c r="BM69" i="1"/>
  <c r="BN69" i="1" s="1"/>
  <c r="E2353" i="3"/>
  <c r="F2353" i="3"/>
  <c r="H2353" i="3"/>
  <c r="C2352" i="3"/>
  <c r="D2352" i="3"/>
  <c r="DP60" i="1" l="1"/>
  <c r="CW60" i="1"/>
  <c r="ED60" i="1"/>
  <c r="EC60" i="1" s="1"/>
  <c r="EB60" i="1" s="1"/>
  <c r="CZ60" i="1"/>
  <c r="EE60" i="1" s="1"/>
  <c r="DY60" i="1"/>
  <c r="DX60" i="1" s="1"/>
  <c r="DW60" i="1" s="1"/>
  <c r="BR60" i="1"/>
  <c r="DS60" i="1"/>
  <c r="DT60" i="1"/>
  <c r="DT63" i="1"/>
  <c r="BR63" i="1"/>
  <c r="DS63" i="1"/>
  <c r="DS61" i="1"/>
  <c r="DT61" i="1"/>
  <c r="BR61" i="1"/>
  <c r="CW61" i="1"/>
  <c r="DY61" i="1"/>
  <c r="DX61" i="1" s="1"/>
  <c r="DW61" i="1" s="1"/>
  <c r="CZ61" i="1"/>
  <c r="EE61" i="1" s="1"/>
  <c r="ED61" i="1"/>
  <c r="EC61" i="1" s="1"/>
  <c r="EB61" i="1" s="1"/>
  <c r="DP61" i="1"/>
  <c r="BR62" i="1"/>
  <c r="DS62" i="1"/>
  <c r="DT62" i="1"/>
  <c r="CZ62" i="1"/>
  <c r="EE62" i="1" s="1"/>
  <c r="DY62" i="1"/>
  <c r="DX62" i="1" s="1"/>
  <c r="DW62" i="1" s="1"/>
  <c r="ED62" i="1"/>
  <c r="EC62" i="1" s="1"/>
  <c r="EB62" i="1" s="1"/>
  <c r="CW62" i="1"/>
  <c r="DP62" i="1"/>
  <c r="ED63" i="1"/>
  <c r="EC63" i="1" s="1"/>
  <c r="EB63" i="1" s="1"/>
  <c r="CZ63" i="1"/>
  <c r="EE63" i="1" s="1"/>
  <c r="CW63" i="1"/>
  <c r="DY63" i="1"/>
  <c r="DX63" i="1" s="1"/>
  <c r="DW63" i="1" s="1"/>
  <c r="DP63" i="1"/>
  <c r="DP71" i="1"/>
  <c r="ED71" i="1"/>
  <c r="EC71" i="1" s="1"/>
  <c r="EB71" i="1" s="1"/>
  <c r="CW71" i="1"/>
  <c r="CZ71" i="1"/>
  <c r="EE71" i="1" s="1"/>
  <c r="DY71" i="1"/>
  <c r="DX71" i="1" s="1"/>
  <c r="DW71" i="1" s="1"/>
  <c r="CW75" i="1"/>
  <c r="ED75" i="1"/>
  <c r="EC75" i="1" s="1"/>
  <c r="EB75" i="1" s="1"/>
  <c r="DY75" i="1"/>
  <c r="DX75" i="1" s="1"/>
  <c r="DW75" i="1" s="1"/>
  <c r="CZ75" i="1"/>
  <c r="EE75" i="1" s="1"/>
  <c r="DP75" i="1"/>
  <c r="CW73" i="1"/>
  <c r="CZ73" i="1"/>
  <c r="EE73" i="1" s="1"/>
  <c r="ED73" i="1"/>
  <c r="EC73" i="1" s="1"/>
  <c r="EB73" i="1" s="1"/>
  <c r="DP73" i="1"/>
  <c r="DY73" i="1"/>
  <c r="DX73" i="1" s="1"/>
  <c r="DW73" i="1" s="1"/>
  <c r="BR70" i="1"/>
  <c r="DT70" i="1"/>
  <c r="DS70" i="1"/>
  <c r="DY74" i="1"/>
  <c r="DX74" i="1" s="1"/>
  <c r="DW74" i="1" s="1"/>
  <c r="CZ74" i="1"/>
  <c r="EE74" i="1" s="1"/>
  <c r="ED74" i="1"/>
  <c r="EC74" i="1" s="1"/>
  <c r="EB74" i="1" s="1"/>
  <c r="CW74" i="1"/>
  <c r="DP74" i="1"/>
  <c r="DT67" i="1"/>
  <c r="DS67" i="1"/>
  <c r="BR67" i="1"/>
  <c r="DT68" i="1"/>
  <c r="DS68" i="1"/>
  <c r="BR68" i="1"/>
  <c r="DT75" i="1"/>
  <c r="DS75" i="1"/>
  <c r="BR75" i="1"/>
  <c r="BR74" i="1"/>
  <c r="DS74" i="1"/>
  <c r="DT74" i="1"/>
  <c r="ED70" i="1"/>
  <c r="EC70" i="1" s="1"/>
  <c r="EB70" i="1" s="1"/>
  <c r="DY70" i="1"/>
  <c r="DX70" i="1" s="1"/>
  <c r="DW70" i="1" s="1"/>
  <c r="CW70" i="1"/>
  <c r="DP70" i="1"/>
  <c r="CZ70" i="1"/>
  <c r="EE70" i="1" s="1"/>
  <c r="ED67" i="1"/>
  <c r="EC67" i="1" s="1"/>
  <c r="EB67" i="1" s="1"/>
  <c r="DY67" i="1"/>
  <c r="DX67" i="1" s="1"/>
  <c r="DW67" i="1" s="1"/>
  <c r="CW67" i="1"/>
  <c r="DP67" i="1"/>
  <c r="CZ67" i="1"/>
  <c r="EE67" i="1" s="1"/>
  <c r="CZ68" i="1"/>
  <c r="EE68" i="1" s="1"/>
  <c r="DY68" i="1"/>
  <c r="DX68" i="1" s="1"/>
  <c r="DW68" i="1" s="1"/>
  <c r="ED68" i="1"/>
  <c r="EC68" i="1" s="1"/>
  <c r="EB68" i="1" s="1"/>
  <c r="CW68" i="1"/>
  <c r="DP68" i="1"/>
  <c r="DT71" i="1"/>
  <c r="DS71" i="1"/>
  <c r="BR71" i="1"/>
  <c r="DS72" i="1"/>
  <c r="DT72" i="1"/>
  <c r="BR72" i="1"/>
  <c r="CZ72" i="1"/>
  <c r="EE72" i="1" s="1"/>
  <c r="DP72" i="1"/>
  <c r="ED72" i="1"/>
  <c r="EC72" i="1" s="1"/>
  <c r="EB72" i="1" s="1"/>
  <c r="CW72" i="1"/>
  <c r="DY72" i="1"/>
  <c r="DX72" i="1" s="1"/>
  <c r="DW72" i="1" s="1"/>
  <c r="DT73" i="1"/>
  <c r="DS73" i="1"/>
  <c r="BR73" i="1"/>
  <c r="DS69" i="1"/>
  <c r="DT69" i="1"/>
  <c r="BR69" i="1"/>
  <c r="ED69" i="1"/>
  <c r="EC69" i="1" s="1"/>
  <c r="EB69" i="1" s="1"/>
  <c r="DP69" i="1"/>
  <c r="CW69" i="1"/>
  <c r="CZ69" i="1"/>
  <c r="EE69" i="1" s="1"/>
  <c r="DY69" i="1"/>
  <c r="DX69" i="1" s="1"/>
  <c r="DW69" i="1" s="1"/>
  <c r="D2351" i="3"/>
  <c r="C2351" i="3"/>
  <c r="H2352" i="3"/>
  <c r="F2352" i="3"/>
  <c r="E2352" i="3"/>
  <c r="EA63" i="1" l="1"/>
  <c r="CT63" i="1" s="1"/>
  <c r="DZ63" i="1"/>
  <c r="CP63" i="1" s="1"/>
  <c r="CX62" i="1"/>
  <c r="CU62" i="1"/>
  <c r="DZ60" i="1"/>
  <c r="CP60" i="1" s="1"/>
  <c r="EA60" i="1"/>
  <c r="CT60" i="1" s="1"/>
  <c r="CU63" i="1"/>
  <c r="CX63" i="1"/>
  <c r="CX61" i="1"/>
  <c r="CU61" i="1"/>
  <c r="EA61" i="1"/>
  <c r="CT61" i="1" s="1"/>
  <c r="DZ61" i="1"/>
  <c r="CP61" i="1" s="1"/>
  <c r="CU60" i="1"/>
  <c r="CR60" i="1" s="1"/>
  <c r="CX60" i="1"/>
  <c r="DV61" i="1"/>
  <c r="CQ61" i="1" s="1"/>
  <c r="DU61" i="1"/>
  <c r="CM61" i="1" s="1"/>
  <c r="EA62" i="1"/>
  <c r="CT62" i="1" s="1"/>
  <c r="DZ62" i="1"/>
  <c r="CP62" i="1" s="1"/>
  <c r="DV62" i="1"/>
  <c r="CQ62" i="1" s="1"/>
  <c r="DU62" i="1"/>
  <c r="CM62" i="1" s="1"/>
  <c r="DV60" i="1"/>
  <c r="CQ60" i="1" s="1"/>
  <c r="DU60" i="1"/>
  <c r="CM60" i="1" s="1"/>
  <c r="DU63" i="1"/>
  <c r="CM63" i="1" s="1"/>
  <c r="DV63" i="1"/>
  <c r="CQ63" i="1" s="1"/>
  <c r="EA73" i="1"/>
  <c r="CT73" i="1" s="1"/>
  <c r="DZ73" i="1"/>
  <c r="CP73" i="1" s="1"/>
  <c r="DV75" i="1"/>
  <c r="CQ75" i="1" s="1"/>
  <c r="DU75" i="1"/>
  <c r="CM75" i="1" s="1"/>
  <c r="DZ74" i="1"/>
  <c r="CP74" i="1" s="1"/>
  <c r="EA74" i="1"/>
  <c r="CT74" i="1" s="1"/>
  <c r="DU74" i="1"/>
  <c r="CM74" i="1" s="1"/>
  <c r="DV74" i="1"/>
  <c r="CQ74" i="1" s="1"/>
  <c r="DZ69" i="1"/>
  <c r="CP69" i="1" s="1"/>
  <c r="EA69" i="1"/>
  <c r="CT69" i="1" s="1"/>
  <c r="CU74" i="1"/>
  <c r="CX74" i="1"/>
  <c r="DV70" i="1"/>
  <c r="CQ70" i="1" s="1"/>
  <c r="DU70" i="1"/>
  <c r="CM70" i="1" s="1"/>
  <c r="DU71" i="1"/>
  <c r="CM71" i="1" s="1"/>
  <c r="DV71" i="1"/>
  <c r="CQ71" i="1" s="1"/>
  <c r="CX71" i="1"/>
  <c r="CU71" i="1"/>
  <c r="DU69" i="1"/>
  <c r="CM69" i="1" s="1"/>
  <c r="DV69" i="1"/>
  <c r="CQ69" i="1" s="1"/>
  <c r="CU67" i="1"/>
  <c r="CX67" i="1"/>
  <c r="DU67" i="1"/>
  <c r="CM67" i="1" s="1"/>
  <c r="DV67" i="1"/>
  <c r="CQ67" i="1" s="1"/>
  <c r="EA67" i="1"/>
  <c r="CT67" i="1" s="1"/>
  <c r="DZ67" i="1"/>
  <c r="CP67" i="1" s="1"/>
  <c r="CU73" i="1"/>
  <c r="CX73" i="1"/>
  <c r="CU70" i="1"/>
  <c r="CX70" i="1"/>
  <c r="EA75" i="1"/>
  <c r="CT75" i="1" s="1"/>
  <c r="DZ75" i="1"/>
  <c r="CP75" i="1" s="1"/>
  <c r="EA70" i="1"/>
  <c r="CT70" i="1" s="1"/>
  <c r="DZ70" i="1"/>
  <c r="CP70" i="1" s="1"/>
  <c r="CX75" i="1"/>
  <c r="CU75" i="1"/>
  <c r="CU68" i="1"/>
  <c r="CX68" i="1"/>
  <c r="EA68" i="1"/>
  <c r="CT68" i="1" s="1"/>
  <c r="DZ68" i="1"/>
  <c r="CP68" i="1" s="1"/>
  <c r="CU72" i="1"/>
  <c r="CX72" i="1"/>
  <c r="EA71" i="1"/>
  <c r="CT71" i="1" s="1"/>
  <c r="DZ71" i="1"/>
  <c r="CP71" i="1" s="1"/>
  <c r="CU69" i="1"/>
  <c r="CX69" i="1"/>
  <c r="DU68" i="1"/>
  <c r="CM68" i="1" s="1"/>
  <c r="DV68" i="1"/>
  <c r="CQ68" i="1" s="1"/>
  <c r="DV72" i="1"/>
  <c r="CQ72" i="1" s="1"/>
  <c r="DU72" i="1"/>
  <c r="CM72" i="1" s="1"/>
  <c r="EA72" i="1"/>
  <c r="CT72" i="1" s="1"/>
  <c r="DZ72" i="1"/>
  <c r="CP72" i="1" s="1"/>
  <c r="DU73" i="1"/>
  <c r="CM73" i="1" s="1"/>
  <c r="DV73" i="1"/>
  <c r="CQ73" i="1" s="1"/>
  <c r="E2351" i="3"/>
  <c r="H2351" i="3"/>
  <c r="F2351" i="3"/>
  <c r="C2350" i="3"/>
  <c r="D2350" i="3"/>
  <c r="CN61" i="1" l="1"/>
  <c r="CV61" i="1"/>
  <c r="CR61" i="1"/>
  <c r="CV63" i="1"/>
  <c r="CN63" i="1"/>
  <c r="CR63" i="1"/>
  <c r="CR62" i="1"/>
  <c r="CN62" i="1"/>
  <c r="CV62" i="1"/>
  <c r="CN69" i="1"/>
  <c r="CR69" i="1"/>
  <c r="CV69" i="1"/>
  <c r="CN70" i="1"/>
  <c r="CR70" i="1"/>
  <c r="CV70" i="1"/>
  <c r="CN73" i="1"/>
  <c r="CV73" i="1"/>
  <c r="CR73" i="1"/>
  <c r="CN74" i="1"/>
  <c r="CV74" i="1"/>
  <c r="CR74" i="1"/>
  <c r="CR75" i="1"/>
  <c r="CV75" i="1"/>
  <c r="CN75" i="1"/>
  <c r="CN68" i="1"/>
  <c r="CV68" i="1"/>
  <c r="CR68" i="1"/>
  <c r="CV67" i="1"/>
  <c r="CR67" i="1"/>
  <c r="CN67" i="1"/>
  <c r="CR71" i="1"/>
  <c r="CV71" i="1"/>
  <c r="CN71" i="1"/>
  <c r="CR72" i="1"/>
  <c r="CN72" i="1"/>
  <c r="CV72" i="1"/>
  <c r="F2350" i="3"/>
  <c r="H2350" i="3"/>
  <c r="C2349" i="3"/>
  <c r="D2349" i="3"/>
  <c r="E2350" i="3"/>
  <c r="DI62" i="1" l="1"/>
  <c r="DH62" i="1"/>
  <c r="CO62" i="1"/>
  <c r="DI63" i="1"/>
  <c r="DH63" i="1"/>
  <c r="CO63" i="1"/>
  <c r="DI61" i="1"/>
  <c r="CO61" i="1"/>
  <c r="DH61" i="1"/>
  <c r="DI75" i="1"/>
  <c r="CO75" i="1"/>
  <c r="DH75" i="1"/>
  <c r="DI74" i="1"/>
  <c r="CO74" i="1"/>
  <c r="DH74" i="1"/>
  <c r="DL74" i="1" s="1"/>
  <c r="DI73" i="1"/>
  <c r="DH73" i="1"/>
  <c r="CO73" i="1"/>
  <c r="CO67" i="1"/>
  <c r="DH67" i="1"/>
  <c r="DL67" i="1" s="1"/>
  <c r="DI67" i="1"/>
  <c r="DI70" i="1"/>
  <c r="CO70" i="1"/>
  <c r="DH70" i="1"/>
  <c r="CO68" i="1"/>
  <c r="DI68" i="1"/>
  <c r="DH68" i="1"/>
  <c r="DL68" i="1" s="1"/>
  <c r="DI72" i="1"/>
  <c r="CO72" i="1"/>
  <c r="DH72" i="1"/>
  <c r="DL72" i="1" s="1"/>
  <c r="CO71" i="1"/>
  <c r="DI71" i="1"/>
  <c r="DH71" i="1"/>
  <c r="DL71" i="1" s="1"/>
  <c r="DH69" i="1"/>
  <c r="DI69" i="1"/>
  <c r="CO69" i="1"/>
  <c r="E2349" i="3"/>
  <c r="H2349" i="3"/>
  <c r="F2349" i="3"/>
  <c r="D2348" i="3"/>
  <c r="C2348" i="3"/>
  <c r="DL61" i="1" l="1"/>
  <c r="DJ61" i="1"/>
  <c r="DK61" i="1"/>
  <c r="DL62" i="1"/>
  <c r="DJ62" i="1"/>
  <c r="DK62" i="1"/>
  <c r="DL63" i="1"/>
  <c r="DK63" i="1"/>
  <c r="DJ63" i="1"/>
  <c r="DL73" i="1"/>
  <c r="DK73" i="1"/>
  <c r="DJ73" i="1"/>
  <c r="DK72" i="1"/>
  <c r="DJ72" i="1"/>
  <c r="DK74" i="1"/>
  <c r="DJ74" i="1"/>
  <c r="DK68" i="1"/>
  <c r="DJ68" i="1"/>
  <c r="DL69" i="1"/>
  <c r="DJ69" i="1"/>
  <c r="DK69" i="1"/>
  <c r="DJ71" i="1"/>
  <c r="DK71" i="1"/>
  <c r="DJ67" i="1"/>
  <c r="DK67" i="1"/>
  <c r="DL75" i="1"/>
  <c r="DJ75" i="1"/>
  <c r="DK75" i="1"/>
  <c r="DL70" i="1"/>
  <c r="DJ70" i="1"/>
  <c r="DK70" i="1"/>
  <c r="H2348" i="3"/>
  <c r="F2348" i="3"/>
  <c r="D2347" i="3"/>
  <c r="C2347" i="3"/>
  <c r="E2348" i="3"/>
  <c r="DM62" i="1" l="1"/>
  <c r="DN62" i="1" s="1"/>
  <c r="DO62" i="1" s="1"/>
  <c r="DM74" i="1"/>
  <c r="DN74" i="1" s="1"/>
  <c r="DO74" i="1" s="1"/>
  <c r="DM71" i="1"/>
  <c r="DN71" i="1" s="1"/>
  <c r="DO71" i="1" s="1"/>
  <c r="DM68" i="1"/>
  <c r="DN68" i="1" s="1"/>
  <c r="DO68" i="1" s="1"/>
  <c r="DM63" i="1"/>
  <c r="DM73" i="1"/>
  <c r="DN73" i="1" s="1"/>
  <c r="DO73" i="1" s="1"/>
  <c r="DM75" i="1"/>
  <c r="DN75" i="1" s="1"/>
  <c r="DO75" i="1" s="1"/>
  <c r="DM61" i="1"/>
  <c r="DN61" i="1" s="1"/>
  <c r="DO61" i="1" s="1"/>
  <c r="DN63" i="1"/>
  <c r="DO63" i="1" s="1"/>
  <c r="DQ63" i="1"/>
  <c r="DM67" i="1"/>
  <c r="DN67" i="1" s="1"/>
  <c r="DO67" i="1" s="1"/>
  <c r="DM72" i="1"/>
  <c r="DN72" i="1" s="1"/>
  <c r="DO72" i="1" s="1"/>
  <c r="DM70" i="1"/>
  <c r="DN70" i="1" s="1"/>
  <c r="DO70" i="1" s="1"/>
  <c r="DM69" i="1"/>
  <c r="DN69" i="1" s="1"/>
  <c r="DO69" i="1" s="1"/>
  <c r="DQ67" i="1"/>
  <c r="DQ71" i="1"/>
  <c r="H2347" i="3"/>
  <c r="F2347" i="3"/>
  <c r="C2346" i="3"/>
  <c r="D2346" i="3"/>
  <c r="E2347" i="3"/>
  <c r="DQ74" i="1" l="1"/>
  <c r="DQ73" i="1"/>
  <c r="DQ75" i="1"/>
  <c r="DQ68" i="1"/>
  <c r="DQ72" i="1"/>
  <c r="DQ70" i="1"/>
  <c r="DQ69" i="1"/>
  <c r="DQ62" i="1"/>
  <c r="DQ61" i="1"/>
  <c r="E2346" i="3"/>
  <c r="C2345" i="3"/>
  <c r="D2345" i="3"/>
  <c r="F2346" i="3"/>
  <c r="H2346" i="3"/>
  <c r="C2344" i="3" l="1"/>
  <c r="D2344" i="3"/>
  <c r="H2345" i="3"/>
  <c r="F2345" i="3"/>
  <c r="E2345" i="3"/>
  <c r="E2344" i="3" l="1"/>
  <c r="C2343" i="3"/>
  <c r="D2343" i="3"/>
  <c r="F2344" i="3"/>
  <c r="H2344" i="3"/>
  <c r="D2342" i="3" l="1"/>
  <c r="E2343" i="3"/>
  <c r="C2342" i="3"/>
  <c r="F2343" i="3"/>
  <c r="H2343" i="3"/>
  <c r="H2342" i="3" l="1"/>
  <c r="F2342" i="3"/>
  <c r="E2342" i="3"/>
  <c r="C2341" i="3"/>
  <c r="D2341" i="3"/>
  <c r="F2341" i="3" l="1"/>
  <c r="H2341" i="3"/>
  <c r="E2341" i="3"/>
  <c r="AE57" i="2" s="1"/>
  <c r="C2340" i="3"/>
  <c r="D2340" i="3"/>
  <c r="AF57" i="2" l="1"/>
  <c r="AG57" i="2"/>
  <c r="AQ57" i="2"/>
  <c r="S65" i="1" s="1"/>
  <c r="H2340" i="3"/>
  <c r="F2340" i="3"/>
  <c r="E2340" i="3"/>
  <c r="C2339" i="3"/>
  <c r="D2339" i="3"/>
  <c r="T76" i="1" l="1"/>
  <c r="CY76" i="1" s="1"/>
  <c r="T64" i="1"/>
  <c r="T65" i="1"/>
  <c r="H2339" i="3"/>
  <c r="F2339" i="3"/>
  <c r="C2338" i="3"/>
  <c r="D2338" i="3"/>
  <c r="E2339" i="3"/>
  <c r="BQ76" i="1" l="1"/>
  <c r="BR76" i="1" s="1"/>
  <c r="BM76" i="1"/>
  <c r="BN76" i="1" s="1"/>
  <c r="BO76" i="1"/>
  <c r="BP76" i="1" s="1"/>
  <c r="BQ65" i="1"/>
  <c r="CY65" i="1"/>
  <c r="BO65" i="1"/>
  <c r="BP65" i="1" s="1"/>
  <c r="BM65" i="1"/>
  <c r="BN65" i="1" s="1"/>
  <c r="BM64" i="1"/>
  <c r="BN64" i="1" s="1"/>
  <c r="BO64" i="1"/>
  <c r="BP64" i="1" s="1"/>
  <c r="BQ64" i="1"/>
  <c r="CY64" i="1"/>
  <c r="ED76" i="1"/>
  <c r="EC76" i="1" s="1"/>
  <c r="EB76" i="1" s="1"/>
  <c r="CW76" i="1"/>
  <c r="DP76" i="1"/>
  <c r="CZ76" i="1"/>
  <c r="EE76" i="1" s="1"/>
  <c r="DY76" i="1"/>
  <c r="DX76" i="1" s="1"/>
  <c r="DW76" i="1" s="1"/>
  <c r="D2337" i="3"/>
  <c r="C2337" i="3"/>
  <c r="F2338" i="3"/>
  <c r="H2338" i="3"/>
  <c r="E2338" i="3"/>
  <c r="DS76" i="1" l="1"/>
  <c r="DT76" i="1"/>
  <c r="DT64" i="1"/>
  <c r="BR64" i="1"/>
  <c r="DS64" i="1"/>
  <c r="DY64" i="1"/>
  <c r="DX64" i="1" s="1"/>
  <c r="DW64" i="1" s="1"/>
  <c r="DP64" i="1"/>
  <c r="CZ64" i="1"/>
  <c r="CW64" i="1"/>
  <c r="ED64" i="1"/>
  <c r="EC64" i="1" s="1"/>
  <c r="EB64" i="1" s="1"/>
  <c r="CZ65" i="1"/>
  <c r="EE65" i="1" s="1"/>
  <c r="DY65" i="1"/>
  <c r="DX65" i="1" s="1"/>
  <c r="DW65" i="1" s="1"/>
  <c r="ED65" i="1"/>
  <c r="EC65" i="1" s="1"/>
  <c r="EB65" i="1" s="1"/>
  <c r="DP65" i="1"/>
  <c r="CW65" i="1"/>
  <c r="DS65" i="1"/>
  <c r="BR65" i="1"/>
  <c r="DT65" i="1"/>
  <c r="CU76" i="1"/>
  <c r="CR76" i="1" s="1"/>
  <c r="CX76" i="1"/>
  <c r="DV76" i="1"/>
  <c r="CQ76" i="1" s="1"/>
  <c r="DU76" i="1"/>
  <c r="CM76" i="1" s="1"/>
  <c r="EA76" i="1"/>
  <c r="CT76" i="1" s="1"/>
  <c r="DZ76" i="1"/>
  <c r="CP76" i="1" s="1"/>
  <c r="E2337" i="3"/>
  <c r="H2337" i="3"/>
  <c r="F2337" i="3"/>
  <c r="D2336" i="3"/>
  <c r="C2336" i="3"/>
  <c r="DV65" i="1" l="1"/>
  <c r="CQ65" i="1" s="1"/>
  <c r="DU65" i="1"/>
  <c r="CM65" i="1" s="1"/>
  <c r="CU65" i="1"/>
  <c r="CX65" i="1"/>
  <c r="DZ65" i="1"/>
  <c r="CP65" i="1" s="1"/>
  <c r="EA65" i="1"/>
  <c r="CT65" i="1" s="1"/>
  <c r="EA64" i="1"/>
  <c r="CT64" i="1" s="1"/>
  <c r="DZ64" i="1"/>
  <c r="CP64" i="1" s="1"/>
  <c r="CX64" i="1"/>
  <c r="CU64" i="1"/>
  <c r="CR64" i="1" s="1"/>
  <c r="DV64" i="1"/>
  <c r="CQ64" i="1" s="1"/>
  <c r="DU64" i="1"/>
  <c r="CM64" i="1" s="1"/>
  <c r="F2336" i="3"/>
  <c r="H2336" i="3"/>
  <c r="E2336" i="3"/>
  <c r="C2335" i="3"/>
  <c r="D2335" i="3"/>
  <c r="CR65" i="1" l="1"/>
  <c r="CV65" i="1"/>
  <c r="CN65" i="1"/>
  <c r="H2335" i="3"/>
  <c r="F2335" i="3"/>
  <c r="E2335" i="3"/>
  <c r="D2334" i="3"/>
  <c r="C2334" i="3"/>
  <c r="DI65" i="1" l="1"/>
  <c r="DH65" i="1"/>
  <c r="CO65" i="1"/>
  <c r="F2334" i="3"/>
  <c r="H2334" i="3"/>
  <c r="D2333" i="3"/>
  <c r="C2333" i="3"/>
  <c r="E2334" i="3"/>
  <c r="DL65" i="1" l="1"/>
  <c r="DK65" i="1"/>
  <c r="DJ65" i="1"/>
  <c r="F2333" i="3"/>
  <c r="H2333" i="3"/>
  <c r="D2332" i="3"/>
  <c r="C2332" i="3"/>
  <c r="E2333" i="3"/>
  <c r="DM65" i="1" l="1"/>
  <c r="DN65" i="1" s="1"/>
  <c r="DO65" i="1" s="1"/>
  <c r="F2332" i="3"/>
  <c r="H2332" i="3"/>
  <c r="C2331" i="3"/>
  <c r="D2331" i="3"/>
  <c r="E2332" i="3"/>
  <c r="DQ65" i="1" l="1"/>
  <c r="E2331" i="3"/>
  <c r="C2330" i="3"/>
  <c r="D2330" i="3"/>
  <c r="F2331" i="3"/>
  <c r="H2331" i="3"/>
  <c r="C2329" i="3" l="1"/>
  <c r="D2329" i="3"/>
  <c r="H2330" i="3"/>
  <c r="F2330" i="3"/>
  <c r="E2330" i="3"/>
  <c r="E2329" i="3" l="1"/>
  <c r="D2328" i="3"/>
  <c r="C2328" i="3"/>
  <c r="F2329" i="3"/>
  <c r="U77" i="1" s="1"/>
  <c r="H2329" i="3"/>
  <c r="AE56" i="2" l="1"/>
  <c r="AF56" i="2" s="1"/>
  <c r="T77" i="1" s="1"/>
  <c r="R77" i="1"/>
  <c r="F2328" i="3"/>
  <c r="U78" i="1" s="1"/>
  <c r="H2328" i="3"/>
  <c r="C2327" i="3"/>
  <c r="D2327" i="3"/>
  <c r="E2328" i="3"/>
  <c r="AQ56" i="2" l="1"/>
  <c r="AG56" i="2"/>
  <c r="AE55" i="2"/>
  <c r="R78" i="1"/>
  <c r="BY77" i="1"/>
  <c r="CC77" i="1"/>
  <c r="CD77" i="1" s="1"/>
  <c r="BW77" i="1"/>
  <c r="BX77" i="1" s="1"/>
  <c r="CI77" i="1"/>
  <c r="CJ77" i="1" s="1"/>
  <c r="CK77" i="1"/>
  <c r="CL77" i="1" s="1"/>
  <c r="BU77" i="1"/>
  <c r="BV77" i="1" s="1"/>
  <c r="CG77" i="1"/>
  <c r="CH77" i="1" s="1"/>
  <c r="CA77" i="1"/>
  <c r="CB77" i="1" s="1"/>
  <c r="BS77" i="1"/>
  <c r="BT77" i="1" s="1"/>
  <c r="DR77" i="1"/>
  <c r="CY77" i="1"/>
  <c r="BM77" i="1"/>
  <c r="BN77" i="1" s="1"/>
  <c r="BQ77" i="1"/>
  <c r="BO77" i="1"/>
  <c r="BP77" i="1" s="1"/>
  <c r="AG55" i="2"/>
  <c r="AQ55" i="2"/>
  <c r="AF55" i="2"/>
  <c r="T78" i="1" s="1"/>
  <c r="E2327" i="3"/>
  <c r="C2326" i="3"/>
  <c r="D2326" i="3"/>
  <c r="H2327" i="3"/>
  <c r="F2327" i="3"/>
  <c r="BZ77" i="1" l="1"/>
  <c r="CE77" i="1"/>
  <c r="CF77" i="1" s="1"/>
  <c r="CK78" i="1"/>
  <c r="CL78" i="1" s="1"/>
  <c r="CI78" i="1"/>
  <c r="CJ78" i="1" s="1"/>
  <c r="CG78" i="1"/>
  <c r="CH78" i="1" s="1"/>
  <c r="CC78" i="1"/>
  <c r="CD78" i="1" s="1"/>
  <c r="BY78" i="1"/>
  <c r="BW78" i="1"/>
  <c r="BX78" i="1" s="1"/>
  <c r="BS78" i="1"/>
  <c r="BT78" i="1" s="1"/>
  <c r="CA78" i="1"/>
  <c r="CB78" i="1" s="1"/>
  <c r="BU78" i="1"/>
  <c r="BV78" i="1" s="1"/>
  <c r="DR78" i="1"/>
  <c r="DT77" i="1"/>
  <c r="BR77" i="1"/>
  <c r="DS77" i="1"/>
  <c r="BQ78" i="1"/>
  <c r="BO78" i="1"/>
  <c r="BP78" i="1" s="1"/>
  <c r="CY78" i="1"/>
  <c r="BM78" i="1"/>
  <c r="BN78" i="1" s="1"/>
  <c r="DP77" i="1"/>
  <c r="ED77" i="1"/>
  <c r="EC77" i="1" s="1"/>
  <c r="EB77" i="1" s="1"/>
  <c r="CW77" i="1"/>
  <c r="DY77" i="1"/>
  <c r="DX77" i="1" s="1"/>
  <c r="DW77" i="1" s="1"/>
  <c r="CZ77" i="1"/>
  <c r="DQ77" i="1"/>
  <c r="DO77" i="1"/>
  <c r="E2326" i="3"/>
  <c r="C2325" i="3"/>
  <c r="D2325" i="3"/>
  <c r="F2326" i="3"/>
  <c r="H2326" i="3"/>
  <c r="BZ78" i="1" l="1"/>
  <c r="CE78" i="1"/>
  <c r="CF78" i="1" s="1"/>
  <c r="DY78" i="1"/>
  <c r="DX78" i="1" s="1"/>
  <c r="DW78" i="1" s="1"/>
  <c r="CZ78" i="1"/>
  <c r="CW78" i="1"/>
  <c r="DP78" i="1"/>
  <c r="ED78" i="1"/>
  <c r="EC78" i="1" s="1"/>
  <c r="EB78" i="1" s="1"/>
  <c r="DZ77" i="1"/>
  <c r="CP77" i="1" s="1"/>
  <c r="EA77" i="1"/>
  <c r="CT77" i="1" s="1"/>
  <c r="BR78" i="1"/>
  <c r="DS78" i="1"/>
  <c r="DT78" i="1"/>
  <c r="CX77" i="1"/>
  <c r="CU77" i="1"/>
  <c r="CR77" i="1" s="1"/>
  <c r="DV77" i="1"/>
  <c r="CQ77" i="1" s="1"/>
  <c r="DU77" i="1"/>
  <c r="CM77" i="1" s="1"/>
  <c r="D2324" i="3"/>
  <c r="C2324" i="3"/>
  <c r="H2325" i="3"/>
  <c r="F2325" i="3"/>
  <c r="E2325" i="3"/>
  <c r="AE54" i="2" l="1"/>
  <c r="R80" i="1"/>
  <c r="R79" i="1"/>
  <c r="U80" i="1"/>
  <c r="U79" i="1"/>
  <c r="EA78" i="1"/>
  <c r="CT78" i="1" s="1"/>
  <c r="DZ78" i="1"/>
  <c r="CP78" i="1" s="1"/>
  <c r="CU78" i="1"/>
  <c r="CR78" i="1" s="1"/>
  <c r="CX78" i="1"/>
  <c r="DU78" i="1"/>
  <c r="CM78" i="1" s="1"/>
  <c r="DV78" i="1"/>
  <c r="CQ78" i="1" s="1"/>
  <c r="AQ54" i="2"/>
  <c r="S80" i="1" s="1"/>
  <c r="AG54" i="2"/>
  <c r="AF54" i="2"/>
  <c r="E2324" i="3"/>
  <c r="H2324" i="3"/>
  <c r="F2324" i="3"/>
  <c r="C2323" i="3"/>
  <c r="D2323" i="3"/>
  <c r="CK79" i="1" l="1"/>
  <c r="CL79" i="1" s="1"/>
  <c r="CI79" i="1"/>
  <c r="CJ79" i="1" s="1"/>
  <c r="CA79" i="1"/>
  <c r="CB79" i="1" s="1"/>
  <c r="CG79" i="1"/>
  <c r="CH79" i="1" s="1"/>
  <c r="CC79" i="1"/>
  <c r="CD79" i="1" s="1"/>
  <c r="BW79" i="1"/>
  <c r="BX79" i="1" s="1"/>
  <c r="BS79" i="1"/>
  <c r="BT79" i="1" s="1"/>
  <c r="BU79" i="1"/>
  <c r="BV79" i="1" s="1"/>
  <c r="BY79" i="1"/>
  <c r="DR79" i="1"/>
  <c r="CI80" i="1"/>
  <c r="CJ80" i="1" s="1"/>
  <c r="CG80" i="1"/>
  <c r="CH80" i="1" s="1"/>
  <c r="CC80" i="1"/>
  <c r="CD80" i="1" s="1"/>
  <c r="CA80" i="1"/>
  <c r="CB80" i="1" s="1"/>
  <c r="BY80" i="1"/>
  <c r="BW80" i="1"/>
  <c r="BX80" i="1" s="1"/>
  <c r="BU80" i="1"/>
  <c r="BV80" i="1" s="1"/>
  <c r="DR80" i="1"/>
  <c r="CK80" i="1"/>
  <c r="CL80" i="1" s="1"/>
  <c r="BS80" i="1"/>
  <c r="BT80" i="1" s="1"/>
  <c r="T79" i="1"/>
  <c r="BQ79" i="1" s="1"/>
  <c r="T80" i="1"/>
  <c r="S34" i="1"/>
  <c r="D2322" i="3"/>
  <c r="C2322" i="3"/>
  <c r="H2323" i="3"/>
  <c r="F2323" i="3"/>
  <c r="E2323" i="3"/>
  <c r="BZ79" i="1" l="1"/>
  <c r="CE79" i="1"/>
  <c r="CF79" i="1" s="1"/>
  <c r="BZ80" i="1"/>
  <c r="CE80" i="1"/>
  <c r="CF80" i="1" s="1"/>
  <c r="CY79" i="1"/>
  <c r="DY79" i="1" s="1"/>
  <c r="DX79" i="1" s="1"/>
  <c r="DW79" i="1" s="1"/>
  <c r="BM79" i="1"/>
  <c r="BN79" i="1" s="1"/>
  <c r="BO79" i="1"/>
  <c r="BP79" i="1" s="1"/>
  <c r="CY80" i="1"/>
  <c r="BM80" i="1"/>
  <c r="BN80" i="1" s="1"/>
  <c r="BQ80" i="1"/>
  <c r="BO80" i="1"/>
  <c r="BP80" i="1" s="1"/>
  <c r="DT79" i="1"/>
  <c r="BR79" i="1"/>
  <c r="DS79" i="1"/>
  <c r="C2321" i="3"/>
  <c r="D2321" i="3"/>
  <c r="E2322" i="3"/>
  <c r="H2322" i="3"/>
  <c r="F2322" i="3"/>
  <c r="ED79" i="1" l="1"/>
  <c r="EC79" i="1" s="1"/>
  <c r="EB79" i="1" s="1"/>
  <c r="DZ79" i="1" s="1"/>
  <c r="CP79" i="1" s="1"/>
  <c r="CZ79" i="1"/>
  <c r="EE79" i="1" s="1"/>
  <c r="DP79" i="1"/>
  <c r="CW79" i="1"/>
  <c r="CX79" i="1" s="1"/>
  <c r="DT80" i="1"/>
  <c r="DS80" i="1"/>
  <c r="BR80" i="1"/>
  <c r="ED80" i="1"/>
  <c r="EC80" i="1" s="1"/>
  <c r="EB80" i="1" s="1"/>
  <c r="CW80" i="1"/>
  <c r="DY80" i="1"/>
  <c r="DX80" i="1" s="1"/>
  <c r="DW80" i="1" s="1"/>
  <c r="DP80" i="1"/>
  <c r="CZ80" i="1"/>
  <c r="EE80" i="1" s="1"/>
  <c r="DV79" i="1"/>
  <c r="CQ79" i="1" s="1"/>
  <c r="DU79" i="1"/>
  <c r="CM79" i="1" s="1"/>
  <c r="E2321" i="3"/>
  <c r="C2320" i="3"/>
  <c r="D2320" i="3"/>
  <c r="F2321" i="3"/>
  <c r="H2321" i="3"/>
  <c r="EA79" i="1" l="1"/>
  <c r="CT79" i="1" s="1"/>
  <c r="CU79" i="1"/>
  <c r="CR79" i="1" s="1"/>
  <c r="EA80" i="1"/>
  <c r="CT80" i="1" s="1"/>
  <c r="DZ80" i="1"/>
  <c r="CP80" i="1" s="1"/>
  <c r="DV80" i="1"/>
  <c r="CQ80" i="1" s="1"/>
  <c r="DU80" i="1"/>
  <c r="CM80" i="1" s="1"/>
  <c r="CU80" i="1"/>
  <c r="CX80" i="1"/>
  <c r="H2320" i="3"/>
  <c r="F2320" i="3"/>
  <c r="C2319" i="3"/>
  <c r="D2319" i="3"/>
  <c r="E2320" i="3"/>
  <c r="CR80" i="1" l="1"/>
  <c r="CN80" i="1"/>
  <c r="CV80" i="1"/>
  <c r="E2319" i="3"/>
  <c r="F2319" i="3"/>
  <c r="H2319" i="3"/>
  <c r="C2318" i="3"/>
  <c r="D2318" i="3"/>
  <c r="DI80" i="1" l="1"/>
  <c r="DH80" i="1"/>
  <c r="DL80" i="1" s="1"/>
  <c r="CO80" i="1"/>
  <c r="C2317" i="3"/>
  <c r="D2317" i="3"/>
  <c r="F2318" i="3"/>
  <c r="H2318" i="3"/>
  <c r="E2318" i="3"/>
  <c r="DK80" i="1" l="1"/>
  <c r="DJ80" i="1"/>
  <c r="E2317" i="3"/>
  <c r="D2316" i="3"/>
  <c r="C2316" i="3"/>
  <c r="F2317" i="3"/>
  <c r="H2317" i="3"/>
  <c r="DM80" i="1" l="1"/>
  <c r="D2315" i="3"/>
  <c r="C2315" i="3"/>
  <c r="F2316" i="3"/>
  <c r="H2316" i="3"/>
  <c r="E2316" i="3"/>
  <c r="DN80" i="1" l="1"/>
  <c r="DO80" i="1" s="1"/>
  <c r="DQ80" i="1"/>
  <c r="E2315" i="3"/>
  <c r="H2315" i="3"/>
  <c r="F2315" i="3"/>
  <c r="C2314" i="3"/>
  <c r="D2314" i="3"/>
  <c r="D2313" i="3" l="1"/>
  <c r="E2314" i="3"/>
  <c r="C2313" i="3"/>
  <c r="H2314" i="3"/>
  <c r="F2314" i="3"/>
  <c r="H2313" i="3" l="1"/>
  <c r="F2313" i="3"/>
  <c r="E2313" i="3"/>
  <c r="C2312" i="3"/>
  <c r="D2312" i="3"/>
  <c r="F2312" i="3" l="1"/>
  <c r="H2312" i="3"/>
  <c r="C2311" i="3"/>
  <c r="D2311" i="3"/>
  <c r="E2312" i="3"/>
  <c r="E2311" i="3" l="1"/>
  <c r="D2310" i="3"/>
  <c r="C2310" i="3"/>
  <c r="F2311" i="3"/>
  <c r="U66" i="1" s="1"/>
  <c r="H2311" i="3"/>
  <c r="BM66" i="1" l="1"/>
  <c r="BN66" i="1" s="1"/>
  <c r="BO66" i="1"/>
  <c r="BP66" i="1" s="1"/>
  <c r="BQ66" i="1"/>
  <c r="F2310" i="3"/>
  <c r="H2310" i="3"/>
  <c r="D2309" i="3"/>
  <c r="C2309" i="3"/>
  <c r="E2310" i="3"/>
  <c r="CY66" i="1" l="1"/>
  <c r="CG66" i="1"/>
  <c r="CH66" i="1" s="1"/>
  <c r="CC66" i="1"/>
  <c r="CA66" i="1"/>
  <c r="CB66" i="1" s="1"/>
  <c r="CI66" i="1"/>
  <c r="CJ66" i="1" s="1"/>
  <c r="CK66" i="1"/>
  <c r="BS66" i="1"/>
  <c r="BT66" i="1" s="1"/>
  <c r="BU66" i="1"/>
  <c r="BV66" i="1" s="1"/>
  <c r="BY66" i="1"/>
  <c r="BW66" i="1"/>
  <c r="DR66" i="1"/>
  <c r="DS66" i="1"/>
  <c r="DT66" i="1"/>
  <c r="BR66" i="1"/>
  <c r="E2309" i="3"/>
  <c r="F2309" i="3"/>
  <c r="H2309" i="3"/>
  <c r="D2308" i="3"/>
  <c r="C2308" i="3"/>
  <c r="BZ66" i="1" l="1"/>
  <c r="CE66" i="1"/>
  <c r="CF66" i="1" s="1"/>
  <c r="DY66" i="1"/>
  <c r="CW66" i="1"/>
  <c r="CU66" i="1" s="1"/>
  <c r="ED66" i="1"/>
  <c r="DP66" i="1"/>
  <c r="CZ66" i="1"/>
  <c r="CL66" i="1"/>
  <c r="BX66" i="1"/>
  <c r="CD66" i="1"/>
  <c r="C2307" i="3"/>
  <c r="D2307" i="3"/>
  <c r="H2308" i="3"/>
  <c r="F2308" i="3"/>
  <c r="E2308" i="3"/>
  <c r="CX66" i="1" l="1"/>
  <c r="CR66" i="1"/>
  <c r="EC66" i="1"/>
  <c r="DX66" i="1"/>
  <c r="E2307" i="3"/>
  <c r="D2306" i="3"/>
  <c r="C2306" i="3"/>
  <c r="F2307" i="3"/>
  <c r="H2307" i="3"/>
  <c r="DW66" i="1" l="1"/>
  <c r="EB66" i="1"/>
  <c r="EA66" i="1" s="1"/>
  <c r="CT66" i="1" s="1"/>
  <c r="F2306" i="3"/>
  <c r="H2306" i="3"/>
  <c r="D2305" i="3"/>
  <c r="C2305" i="3"/>
  <c r="E2306" i="3"/>
  <c r="DV66" i="1" l="1"/>
  <c r="CQ66" i="1" s="1"/>
  <c r="CY45" i="1"/>
  <c r="CI45" i="1"/>
  <c r="CJ45" i="1" s="1"/>
  <c r="BY45" i="1"/>
  <c r="CE45" i="1" s="1"/>
  <c r="CF45" i="1" s="1"/>
  <c r="CK45" i="1"/>
  <c r="CG45" i="1"/>
  <c r="CC45" i="1"/>
  <c r="CA45" i="1"/>
  <c r="CB45" i="1" s="1"/>
  <c r="BW45" i="1"/>
  <c r="BS45" i="1"/>
  <c r="BU45" i="1"/>
  <c r="BV45" i="1" s="1"/>
  <c r="DZ66" i="1"/>
  <c r="DU66" i="1"/>
  <c r="E2305" i="3"/>
  <c r="F2305" i="3"/>
  <c r="H2305" i="3"/>
  <c r="D2304" i="3"/>
  <c r="C2304" i="3"/>
  <c r="DR45" i="1"/>
  <c r="ED45" i="1" l="1"/>
  <c r="CW45" i="1"/>
  <c r="CU45" i="1" s="1"/>
  <c r="CR45" i="1" s="1"/>
  <c r="DY45" i="1"/>
  <c r="CP66" i="1"/>
  <c r="CM66" i="1"/>
  <c r="U45" i="1"/>
  <c r="BQ45" i="1" s="1"/>
  <c r="CL45" i="1"/>
  <c r="BX45" i="1"/>
  <c r="CD45" i="1"/>
  <c r="CH45" i="1"/>
  <c r="BZ45" i="1"/>
  <c r="BT45" i="1"/>
  <c r="F2304" i="3"/>
  <c r="H2304" i="3"/>
  <c r="D2303" i="3"/>
  <c r="C2303" i="3"/>
  <c r="E2304" i="3"/>
  <c r="DP45" i="1"/>
  <c r="CZ45" i="1"/>
  <c r="BM45" i="1" l="1"/>
  <c r="BN45" i="1" s="1"/>
  <c r="BO45" i="1"/>
  <c r="BP45" i="1" s="1"/>
  <c r="EC45" i="1"/>
  <c r="EB45" i="1" s="1"/>
  <c r="DX45" i="1"/>
  <c r="DW45" i="1" s="1"/>
  <c r="DV45" i="1" s="1"/>
  <c r="E2303" i="3"/>
  <c r="DS45" i="1"/>
  <c r="BR45" i="1"/>
  <c r="DT45" i="1"/>
  <c r="F2303" i="3"/>
  <c r="H2303" i="3"/>
  <c r="C2302" i="3"/>
  <c r="D2302" i="3"/>
  <c r="CX45" i="1"/>
  <c r="DZ45" i="1" l="1"/>
  <c r="EA45" i="1"/>
  <c r="DU45" i="1"/>
  <c r="D2301" i="3"/>
  <c r="C2301" i="3"/>
  <c r="F2302" i="3"/>
  <c r="H2302" i="3"/>
  <c r="E2302" i="3"/>
  <c r="E2301" i="3" l="1"/>
  <c r="F2301" i="3"/>
  <c r="H2301" i="3"/>
  <c r="D2300" i="3"/>
  <c r="C2300" i="3"/>
  <c r="CQ45" i="1"/>
  <c r="CT45" i="1"/>
  <c r="F2300" i="3" l="1"/>
  <c r="H2300" i="3"/>
  <c r="C2299" i="3"/>
  <c r="D2299" i="3"/>
  <c r="E2300" i="3"/>
  <c r="CP45" i="1"/>
  <c r="CM45" i="1"/>
  <c r="E2299" i="3" l="1"/>
  <c r="D2298" i="3"/>
  <c r="C2298" i="3"/>
  <c r="F2299" i="3"/>
  <c r="H2299" i="3"/>
  <c r="F2298" i="3" l="1"/>
  <c r="H2298" i="3"/>
  <c r="C2297" i="3"/>
  <c r="D2297" i="3"/>
  <c r="E2298" i="3"/>
  <c r="EE45" i="1" l="1"/>
  <c r="E2297" i="3"/>
  <c r="D2296" i="3"/>
  <c r="C2296" i="3"/>
  <c r="F2297" i="3"/>
  <c r="H2297" i="3"/>
  <c r="S79" i="1" l="1"/>
  <c r="D2295" i="3"/>
  <c r="C2295" i="3"/>
  <c r="F2296" i="3"/>
  <c r="H2296" i="3"/>
  <c r="E2296" i="3"/>
  <c r="E2295" i="3" l="1"/>
  <c r="F2295" i="3"/>
  <c r="H2295" i="3"/>
  <c r="C2294" i="3"/>
  <c r="D2294" i="3"/>
  <c r="C2293" i="3" l="1"/>
  <c r="E2294" i="3"/>
  <c r="D2293" i="3"/>
  <c r="F2294" i="3"/>
  <c r="H2294" i="3"/>
  <c r="D2292" i="3" l="1"/>
  <c r="C2292" i="3"/>
  <c r="E2293" i="3"/>
  <c r="F2293" i="3"/>
  <c r="H2293" i="3"/>
  <c r="E2292" i="3" l="1"/>
  <c r="F2292" i="3"/>
  <c r="H2292" i="3"/>
  <c r="D2291" i="3"/>
  <c r="C2291" i="3"/>
  <c r="H2291" i="3" l="1"/>
  <c r="F2291" i="3"/>
  <c r="E2291" i="3"/>
  <c r="D2290" i="3"/>
  <c r="C2290" i="3"/>
  <c r="H2290" i="3" l="1"/>
  <c r="F2290" i="3"/>
  <c r="U81" i="1" s="1"/>
  <c r="C2289" i="3"/>
  <c r="D2289" i="3"/>
  <c r="E2290" i="3"/>
  <c r="AE53" i="2" l="1"/>
  <c r="AQ53" i="2" s="1"/>
  <c r="S81" i="1" s="1"/>
  <c r="R81" i="1"/>
  <c r="AF53" i="2"/>
  <c r="T81" i="1" s="1"/>
  <c r="AG53" i="2"/>
  <c r="D2288" i="3"/>
  <c r="C2288" i="3"/>
  <c r="F2289" i="3"/>
  <c r="H2289" i="3"/>
  <c r="E2289" i="3"/>
  <c r="CK81" i="1" l="1"/>
  <c r="CL81" i="1" s="1"/>
  <c r="CG81" i="1"/>
  <c r="CH81" i="1" s="1"/>
  <c r="CA81" i="1"/>
  <c r="CB81" i="1" s="1"/>
  <c r="CI81" i="1"/>
  <c r="CJ81" i="1" s="1"/>
  <c r="CC81" i="1"/>
  <c r="CD81" i="1" s="1"/>
  <c r="BW81" i="1"/>
  <c r="BX81" i="1" s="1"/>
  <c r="BY81" i="1"/>
  <c r="BS81" i="1"/>
  <c r="BT81" i="1" s="1"/>
  <c r="BU81" i="1"/>
  <c r="BV81" i="1" s="1"/>
  <c r="DR81" i="1"/>
  <c r="CY81" i="1"/>
  <c r="BO81" i="1"/>
  <c r="BP81" i="1" s="1"/>
  <c r="BM81" i="1"/>
  <c r="BN81" i="1" s="1"/>
  <c r="BQ81" i="1"/>
  <c r="E2288" i="3"/>
  <c r="F2288" i="3"/>
  <c r="H2288" i="3"/>
  <c r="D2287" i="3"/>
  <c r="C2287" i="3"/>
  <c r="BZ81" i="1" l="1"/>
  <c r="CE81" i="1"/>
  <c r="CF81" i="1" s="1"/>
  <c r="DS81" i="1"/>
  <c r="BR81" i="1"/>
  <c r="DT81" i="1"/>
  <c r="DP81" i="1"/>
  <c r="DY81" i="1"/>
  <c r="DX81" i="1" s="1"/>
  <c r="DW81" i="1" s="1"/>
  <c r="CW81" i="1"/>
  <c r="ED81" i="1"/>
  <c r="EC81" i="1" s="1"/>
  <c r="EB81" i="1" s="1"/>
  <c r="CZ81" i="1"/>
  <c r="F2287" i="3"/>
  <c r="H2287" i="3"/>
  <c r="C2286" i="3"/>
  <c r="D2286" i="3"/>
  <c r="E2287" i="3"/>
  <c r="EA81" i="1" l="1"/>
  <c r="CT81" i="1" s="1"/>
  <c r="DZ81" i="1"/>
  <c r="CP81" i="1" s="1"/>
  <c r="CU81" i="1"/>
  <c r="CR81" i="1" s="1"/>
  <c r="CX81" i="1"/>
  <c r="DU81" i="1"/>
  <c r="CM81" i="1" s="1"/>
  <c r="DV81" i="1"/>
  <c r="CQ81" i="1" s="1"/>
  <c r="E2286" i="3"/>
  <c r="D2285" i="3"/>
  <c r="C2285" i="3"/>
  <c r="F2286" i="3"/>
  <c r="H2286" i="3"/>
  <c r="D2284" i="3" l="1"/>
  <c r="C2284" i="3"/>
  <c r="H2285" i="3"/>
  <c r="F2285" i="3"/>
  <c r="E2285" i="3"/>
  <c r="E2284" i="3" l="1"/>
  <c r="H2284" i="3"/>
  <c r="F2284" i="3"/>
  <c r="C2283" i="3"/>
  <c r="D2283" i="3"/>
  <c r="H2283" i="3" l="1"/>
  <c r="F2283" i="3"/>
  <c r="C2282" i="3"/>
  <c r="D2282" i="3"/>
  <c r="E2283" i="3"/>
  <c r="D2281" i="3" l="1"/>
  <c r="C2281" i="3"/>
  <c r="F2282" i="3"/>
  <c r="H2282" i="3"/>
  <c r="E2282" i="3"/>
  <c r="H2281" i="3" l="1"/>
  <c r="F2281" i="3"/>
  <c r="E2281" i="3"/>
  <c r="C2280" i="3"/>
  <c r="D2280" i="3"/>
  <c r="F2280" i="3" l="1"/>
  <c r="H2280" i="3"/>
  <c r="E2280" i="3"/>
  <c r="C2279" i="3"/>
  <c r="D2279" i="3"/>
  <c r="C2278" i="3" l="1"/>
  <c r="D2278" i="3"/>
  <c r="H2279" i="3"/>
  <c r="F2279" i="3"/>
  <c r="E2279" i="3"/>
  <c r="E2278" i="3" l="1"/>
  <c r="C2277" i="3"/>
  <c r="D2277" i="3"/>
  <c r="F2278" i="3"/>
  <c r="U82" i="1" s="1"/>
  <c r="H2278" i="3"/>
  <c r="AE52" i="2" l="1"/>
  <c r="R82" i="1"/>
  <c r="AQ52" i="2"/>
  <c r="AG52" i="2"/>
  <c r="AF52" i="2"/>
  <c r="T82" i="1" s="1"/>
  <c r="C2276" i="3"/>
  <c r="D2276" i="3"/>
  <c r="H2277" i="3"/>
  <c r="F2277" i="3"/>
  <c r="E2277" i="3"/>
  <c r="CG82" i="1" l="1"/>
  <c r="CH82" i="1" s="1"/>
  <c r="CC82" i="1"/>
  <c r="CD82" i="1" s="1"/>
  <c r="CK82" i="1"/>
  <c r="CL82" i="1" s="1"/>
  <c r="BU82" i="1"/>
  <c r="BV82" i="1" s="1"/>
  <c r="BY82" i="1"/>
  <c r="BW82" i="1"/>
  <c r="BX82" i="1" s="1"/>
  <c r="CI82" i="1"/>
  <c r="CJ82" i="1" s="1"/>
  <c r="CA82" i="1"/>
  <c r="CB82" i="1" s="1"/>
  <c r="BS82" i="1"/>
  <c r="BT82" i="1" s="1"/>
  <c r="DR82" i="1"/>
  <c r="BQ82" i="1"/>
  <c r="BO82" i="1"/>
  <c r="BP82" i="1" s="1"/>
  <c r="BM82" i="1"/>
  <c r="BN82" i="1" s="1"/>
  <c r="CY82" i="1"/>
  <c r="S66" i="1"/>
  <c r="E2276" i="3"/>
  <c r="C2275" i="3"/>
  <c r="D2275" i="3"/>
  <c r="H2276" i="3"/>
  <c r="F2276" i="3"/>
  <c r="BZ82" i="1" l="1"/>
  <c r="CE82" i="1"/>
  <c r="CF82" i="1" s="1"/>
  <c r="ED82" i="1"/>
  <c r="EC82" i="1" s="1"/>
  <c r="EB82" i="1" s="1"/>
  <c r="CZ82" i="1"/>
  <c r="EE82" i="1" s="1"/>
  <c r="CW82" i="1"/>
  <c r="DP82" i="1"/>
  <c r="DY82" i="1"/>
  <c r="DX82" i="1" s="1"/>
  <c r="DW82" i="1" s="1"/>
  <c r="BR82" i="1"/>
  <c r="DS82" i="1"/>
  <c r="DT82" i="1"/>
  <c r="D2274" i="3"/>
  <c r="C2274" i="3"/>
  <c r="H2275" i="3"/>
  <c r="F2275" i="3"/>
  <c r="E2275" i="3"/>
  <c r="DV82" i="1" l="1"/>
  <c r="CQ82" i="1" s="1"/>
  <c r="DU82" i="1"/>
  <c r="CM82" i="1" s="1"/>
  <c r="CU82" i="1"/>
  <c r="CR82" i="1" s="1"/>
  <c r="CX82" i="1"/>
  <c r="EA82" i="1"/>
  <c r="CT82" i="1" s="1"/>
  <c r="DZ82" i="1"/>
  <c r="CP82" i="1" s="1"/>
  <c r="E2274" i="3"/>
  <c r="F2274" i="3"/>
  <c r="H2274" i="3"/>
  <c r="C2273" i="3"/>
  <c r="D2273" i="3"/>
  <c r="D2272" i="3" l="1"/>
  <c r="C2272" i="3"/>
  <c r="F2273" i="3"/>
  <c r="H2273" i="3"/>
  <c r="E2273" i="3"/>
  <c r="E2272" i="3" l="1"/>
  <c r="H2272" i="3"/>
  <c r="F2272" i="3"/>
  <c r="U83" i="1" s="1"/>
  <c r="C2271" i="3"/>
  <c r="D2271" i="3"/>
  <c r="AE51" i="2" l="1"/>
  <c r="AF51" i="2" s="1"/>
  <c r="T83" i="1" s="1"/>
  <c r="R83" i="1"/>
  <c r="E2271" i="3"/>
  <c r="C2270" i="3"/>
  <c r="D2270" i="3"/>
  <c r="H2271" i="3"/>
  <c r="F2271" i="3"/>
  <c r="AQ51" i="2" l="1"/>
  <c r="AG51" i="2"/>
  <c r="CI83" i="1"/>
  <c r="CJ83" i="1" s="1"/>
  <c r="CK83" i="1"/>
  <c r="CL83" i="1" s="1"/>
  <c r="BY83" i="1"/>
  <c r="CA83" i="1"/>
  <c r="CB83" i="1" s="1"/>
  <c r="BW83" i="1"/>
  <c r="BX83" i="1" s="1"/>
  <c r="CC83" i="1"/>
  <c r="CD83" i="1" s="1"/>
  <c r="CG83" i="1"/>
  <c r="CH83" i="1" s="1"/>
  <c r="BS83" i="1"/>
  <c r="BT83" i="1" s="1"/>
  <c r="BU83" i="1"/>
  <c r="BV83" i="1" s="1"/>
  <c r="DR83" i="1"/>
  <c r="CY83" i="1"/>
  <c r="BQ83" i="1"/>
  <c r="BM83" i="1"/>
  <c r="BN83" i="1" s="1"/>
  <c r="BO83" i="1"/>
  <c r="BP83" i="1" s="1"/>
  <c r="C2269" i="3"/>
  <c r="D2269" i="3"/>
  <c r="H2270" i="3"/>
  <c r="F2270" i="3"/>
  <c r="E2270" i="3"/>
  <c r="BZ83" i="1" l="1"/>
  <c r="CE83" i="1"/>
  <c r="CF83" i="1" s="1"/>
  <c r="BR83" i="1"/>
  <c r="DT83" i="1"/>
  <c r="DS83" i="1"/>
  <c r="DY83" i="1"/>
  <c r="DX83" i="1" s="1"/>
  <c r="DW83" i="1" s="1"/>
  <c r="CZ83" i="1"/>
  <c r="CW83" i="1"/>
  <c r="DP83" i="1"/>
  <c r="ED83" i="1"/>
  <c r="EC83" i="1" s="1"/>
  <c r="EB83" i="1" s="1"/>
  <c r="S44" i="1"/>
  <c r="E2269" i="3"/>
  <c r="D2268" i="3"/>
  <c r="C2268" i="3"/>
  <c r="H2269" i="3"/>
  <c r="F2269" i="3"/>
  <c r="EA83" i="1" l="1"/>
  <c r="CT83" i="1" s="1"/>
  <c r="DZ83" i="1"/>
  <c r="CP83" i="1" s="1"/>
  <c r="CU83" i="1"/>
  <c r="CR83" i="1" s="1"/>
  <c r="CX83" i="1"/>
  <c r="DU83" i="1"/>
  <c r="CM83" i="1" s="1"/>
  <c r="DV83" i="1"/>
  <c r="CQ83" i="1" s="1"/>
  <c r="S32" i="1"/>
  <c r="F2268" i="3"/>
  <c r="H2268" i="3"/>
  <c r="E2268" i="3"/>
  <c r="D2267" i="3"/>
  <c r="C2267" i="3"/>
  <c r="C2266" i="3" l="1"/>
  <c r="D2266" i="3"/>
  <c r="H2267" i="3"/>
  <c r="F2267" i="3"/>
  <c r="U84" i="1" s="1"/>
  <c r="E2267" i="3"/>
  <c r="AE50" i="2" l="1"/>
  <c r="AG50" i="2" s="1"/>
  <c r="R84" i="1"/>
  <c r="AF50" i="2"/>
  <c r="AQ50" i="2"/>
  <c r="E2266" i="3"/>
  <c r="C2265" i="3"/>
  <c r="D2265" i="3"/>
  <c r="H2266" i="3"/>
  <c r="F2266" i="3"/>
  <c r="CG84" i="1" l="1"/>
  <c r="CH84" i="1" s="1"/>
  <c r="CA84" i="1"/>
  <c r="CB84" i="1" s="1"/>
  <c r="CC84" i="1"/>
  <c r="CD84" i="1" s="1"/>
  <c r="CI84" i="1"/>
  <c r="CJ84" i="1" s="1"/>
  <c r="BW84" i="1"/>
  <c r="BX84" i="1" s="1"/>
  <c r="BY84" i="1"/>
  <c r="BS84" i="1"/>
  <c r="BT84" i="1" s="1"/>
  <c r="CK84" i="1"/>
  <c r="CL84" i="1" s="1"/>
  <c r="BU84" i="1"/>
  <c r="BV84" i="1" s="1"/>
  <c r="DR84" i="1"/>
  <c r="E2265" i="3"/>
  <c r="C2264" i="3"/>
  <c r="D2264" i="3"/>
  <c r="F2265" i="3"/>
  <c r="H2265" i="3"/>
  <c r="BZ84" i="1" l="1"/>
  <c r="CE84" i="1"/>
  <c r="CF84" i="1" s="1"/>
  <c r="C2263" i="3"/>
  <c r="D2263" i="3"/>
  <c r="H2264" i="3"/>
  <c r="F2264" i="3"/>
  <c r="E2264" i="3"/>
  <c r="E2263" i="3" l="1"/>
  <c r="C2262" i="3"/>
  <c r="D2262" i="3"/>
  <c r="F2263" i="3"/>
  <c r="H2263" i="3"/>
  <c r="E2262" i="3" l="1"/>
  <c r="C2261" i="3"/>
  <c r="D2261" i="3"/>
  <c r="F2262" i="3"/>
  <c r="H2262" i="3"/>
  <c r="C2260" i="3" l="1"/>
  <c r="D2260" i="3"/>
  <c r="H2261" i="3"/>
  <c r="F2261" i="3"/>
  <c r="E2261" i="3"/>
  <c r="E2260" i="3" l="1"/>
  <c r="C2259" i="3"/>
  <c r="D2259" i="3"/>
  <c r="F2260" i="3"/>
  <c r="H2260" i="3"/>
  <c r="D2258" i="3" l="1"/>
  <c r="C2258" i="3"/>
  <c r="F2259" i="3"/>
  <c r="H2259" i="3"/>
  <c r="E2259" i="3"/>
  <c r="R85" i="1" l="1"/>
  <c r="R86" i="1"/>
  <c r="U85" i="1"/>
  <c r="U86" i="1"/>
  <c r="AE48" i="2"/>
  <c r="S41" i="1"/>
  <c r="S57" i="1"/>
  <c r="S53" i="1"/>
  <c r="S20" i="1"/>
  <c r="S77" i="1"/>
  <c r="S8" i="1"/>
  <c r="S35" i="1"/>
  <c r="S64" i="1"/>
  <c r="S46" i="1"/>
  <c r="S10" i="1"/>
  <c r="S38" i="1"/>
  <c r="F2258" i="3"/>
  <c r="H2258" i="3"/>
  <c r="E2258" i="3"/>
  <c r="D2257" i="3"/>
  <c r="C2257" i="3"/>
  <c r="BY86" i="1" l="1"/>
  <c r="CG86" i="1"/>
  <c r="CH86" i="1" s="1"/>
  <c r="CA86" i="1"/>
  <c r="CB86" i="1" s="1"/>
  <c r="BW86" i="1"/>
  <c r="BX86" i="1" s="1"/>
  <c r="CI86" i="1"/>
  <c r="CJ86" i="1" s="1"/>
  <c r="BS86" i="1"/>
  <c r="BT86" i="1" s="1"/>
  <c r="CK86" i="1"/>
  <c r="CL86" i="1" s="1"/>
  <c r="CC86" i="1"/>
  <c r="CD86" i="1" s="1"/>
  <c r="BU86" i="1"/>
  <c r="BV86" i="1" s="1"/>
  <c r="DR86" i="1"/>
  <c r="CK85" i="1"/>
  <c r="CL85" i="1" s="1"/>
  <c r="CI85" i="1"/>
  <c r="CJ85" i="1" s="1"/>
  <c r="CA85" i="1"/>
  <c r="CB85" i="1" s="1"/>
  <c r="CG85" i="1"/>
  <c r="CH85" i="1" s="1"/>
  <c r="CC85" i="1"/>
  <c r="CD85" i="1" s="1"/>
  <c r="BY85" i="1"/>
  <c r="BW85" i="1"/>
  <c r="BX85" i="1" s="1"/>
  <c r="BS85" i="1"/>
  <c r="BT85" i="1" s="1"/>
  <c r="BU85" i="1"/>
  <c r="BV85" i="1" s="1"/>
  <c r="DR85" i="1"/>
  <c r="AQ48" i="2"/>
  <c r="AG48" i="2"/>
  <c r="AF48" i="2"/>
  <c r="H2257" i="3"/>
  <c r="F2257" i="3"/>
  <c r="C2256" i="3"/>
  <c r="D2256" i="3"/>
  <c r="E2257" i="3"/>
  <c r="BZ85" i="1" l="1"/>
  <c r="CE85" i="1"/>
  <c r="CF85" i="1" s="1"/>
  <c r="BZ86" i="1"/>
  <c r="CE86" i="1"/>
  <c r="CF86" i="1" s="1"/>
  <c r="T86" i="1"/>
  <c r="BM86" i="1" s="1"/>
  <c r="BN86" i="1" s="1"/>
  <c r="S86" i="1"/>
  <c r="E2256" i="3"/>
  <c r="F2256" i="3"/>
  <c r="H2256" i="3"/>
  <c r="C2255" i="3"/>
  <c r="D2255" i="3"/>
  <c r="BQ86" i="1" l="1"/>
  <c r="DT86" i="1" s="1"/>
  <c r="CY86" i="1"/>
  <c r="DY86" i="1" s="1"/>
  <c r="DX86" i="1" s="1"/>
  <c r="DW86" i="1" s="1"/>
  <c r="BO86" i="1"/>
  <c r="BP86" i="1" s="1"/>
  <c r="E2255" i="3"/>
  <c r="D2254" i="3"/>
  <c r="C2254" i="3"/>
  <c r="H2255" i="3"/>
  <c r="F2255" i="3"/>
  <c r="BR86" i="1" l="1"/>
  <c r="DS86" i="1"/>
  <c r="CZ86" i="1"/>
  <c r="DP86" i="1"/>
  <c r="ED86" i="1"/>
  <c r="EC86" i="1" s="1"/>
  <c r="EB86" i="1" s="1"/>
  <c r="CW86" i="1"/>
  <c r="CU86" i="1" s="1"/>
  <c r="CR86" i="1" s="1"/>
  <c r="DV86" i="1"/>
  <c r="CQ86" i="1" s="1"/>
  <c r="DU86" i="1"/>
  <c r="CM86" i="1" s="1"/>
  <c r="EA86" i="1"/>
  <c r="CT86" i="1" s="1"/>
  <c r="DZ86" i="1"/>
  <c r="CP86" i="1" s="1"/>
  <c r="H2254" i="3"/>
  <c r="F2254" i="3"/>
  <c r="C2253" i="3"/>
  <c r="D2253" i="3"/>
  <c r="E2254" i="3"/>
  <c r="CX86" i="1" l="1"/>
  <c r="E2253" i="3"/>
  <c r="H2253" i="3"/>
  <c r="F2253" i="3"/>
  <c r="D2252" i="3"/>
  <c r="C2252" i="3"/>
  <c r="U87" i="1" l="1"/>
  <c r="U88" i="1"/>
  <c r="R88" i="1"/>
  <c r="R87" i="1"/>
  <c r="AE47" i="2"/>
  <c r="AE46" i="2"/>
  <c r="E2252" i="3"/>
  <c r="C2251" i="3"/>
  <c r="D2251" i="3"/>
  <c r="H2252" i="3"/>
  <c r="F2252" i="3"/>
  <c r="CK87" i="1" l="1"/>
  <c r="CL87" i="1" s="1"/>
  <c r="CI87" i="1"/>
  <c r="CJ87" i="1" s="1"/>
  <c r="CG87" i="1"/>
  <c r="CH87" i="1" s="1"/>
  <c r="CC87" i="1"/>
  <c r="CD87" i="1" s="1"/>
  <c r="CA87" i="1"/>
  <c r="CB87" i="1" s="1"/>
  <c r="BY87" i="1"/>
  <c r="BW87" i="1"/>
  <c r="BX87" i="1" s="1"/>
  <c r="BS87" i="1"/>
  <c r="BT87" i="1" s="1"/>
  <c r="BU87" i="1"/>
  <c r="BV87" i="1" s="1"/>
  <c r="DR87" i="1"/>
  <c r="CC88" i="1"/>
  <c r="CD88" i="1" s="1"/>
  <c r="CA88" i="1"/>
  <c r="CB88" i="1" s="1"/>
  <c r="CI88" i="1"/>
  <c r="CJ88" i="1" s="1"/>
  <c r="BY88" i="1"/>
  <c r="CK88" i="1"/>
  <c r="CL88" i="1" s="1"/>
  <c r="BW88" i="1"/>
  <c r="BX88" i="1" s="1"/>
  <c r="BS88" i="1"/>
  <c r="BT88" i="1" s="1"/>
  <c r="CG88" i="1"/>
  <c r="CH88" i="1" s="1"/>
  <c r="BU88" i="1"/>
  <c r="BV88" i="1" s="1"/>
  <c r="DR88" i="1"/>
  <c r="AG46" i="2"/>
  <c r="AF46" i="2"/>
  <c r="AQ46" i="2"/>
  <c r="AF47" i="2"/>
  <c r="AQ47" i="2"/>
  <c r="S85" i="1" s="1"/>
  <c r="AG47" i="2"/>
  <c r="D2250" i="3"/>
  <c r="C2250" i="3"/>
  <c r="H2251" i="3"/>
  <c r="F2251" i="3"/>
  <c r="E2251" i="3"/>
  <c r="BZ88" i="1" l="1"/>
  <c r="CE88" i="1"/>
  <c r="CF88" i="1" s="1"/>
  <c r="BZ87" i="1"/>
  <c r="CE87" i="1"/>
  <c r="CF87" i="1" s="1"/>
  <c r="T88" i="1"/>
  <c r="BO88" i="1" s="1"/>
  <c r="BP88" i="1" s="1"/>
  <c r="T85" i="1"/>
  <c r="E2250" i="3"/>
  <c r="H2250" i="3"/>
  <c r="F2250" i="3"/>
  <c r="D2249" i="3"/>
  <c r="C2249" i="3"/>
  <c r="BM88" i="1" l="1"/>
  <c r="BN88" i="1" s="1"/>
  <c r="CY88" i="1"/>
  <c r="DY88" i="1" s="1"/>
  <c r="DX88" i="1" s="1"/>
  <c r="DW88" i="1" s="1"/>
  <c r="BQ88" i="1"/>
  <c r="DT88" i="1" s="1"/>
  <c r="CY85" i="1"/>
  <c r="BM85" i="1"/>
  <c r="BN85" i="1" s="1"/>
  <c r="BO85" i="1"/>
  <c r="BP85" i="1" s="1"/>
  <c r="BQ85" i="1"/>
  <c r="E2249" i="3"/>
  <c r="C2248" i="3"/>
  <c r="D2248" i="3"/>
  <c r="F2249" i="3"/>
  <c r="H2249" i="3"/>
  <c r="DS88" i="1" l="1"/>
  <c r="BR88" i="1"/>
  <c r="DP88" i="1"/>
  <c r="ED88" i="1"/>
  <c r="EC88" i="1" s="1"/>
  <c r="EB88" i="1" s="1"/>
  <c r="EA88" i="1" s="1"/>
  <c r="CT88" i="1" s="1"/>
  <c r="CW88" i="1"/>
  <c r="CX88" i="1" s="1"/>
  <c r="CZ88" i="1"/>
  <c r="EE88" i="1" s="1"/>
  <c r="BR85" i="1"/>
  <c r="DS85" i="1"/>
  <c r="DT85" i="1"/>
  <c r="CZ85" i="1"/>
  <c r="DP85" i="1"/>
  <c r="DY85" i="1"/>
  <c r="DX85" i="1" s="1"/>
  <c r="DW85" i="1" s="1"/>
  <c r="ED85" i="1"/>
  <c r="EC85" i="1" s="1"/>
  <c r="EB85" i="1" s="1"/>
  <c r="CW85" i="1"/>
  <c r="DU88" i="1"/>
  <c r="CM88" i="1" s="1"/>
  <c r="DV88" i="1"/>
  <c r="CQ88" i="1" s="1"/>
  <c r="D2247" i="3"/>
  <c r="C2247" i="3"/>
  <c r="F2248" i="3"/>
  <c r="U89" i="1" s="1"/>
  <c r="H2248" i="3"/>
  <c r="E2248" i="3"/>
  <c r="AE45" i="2" l="1"/>
  <c r="R89" i="1"/>
  <c r="AE49" i="2"/>
  <c r="DZ88" i="1"/>
  <c r="CP88" i="1" s="1"/>
  <c r="CU88" i="1"/>
  <c r="CR88" i="1" s="1"/>
  <c r="CU85" i="1"/>
  <c r="CR85" i="1" s="1"/>
  <c r="CX85" i="1"/>
  <c r="EA85" i="1"/>
  <c r="CT85" i="1" s="1"/>
  <c r="DZ85" i="1"/>
  <c r="CP85" i="1" s="1"/>
  <c r="DV85" i="1"/>
  <c r="CQ85" i="1" s="1"/>
  <c r="DU85" i="1"/>
  <c r="CM85" i="1" s="1"/>
  <c r="AG45" i="2"/>
  <c r="AF45" i="2"/>
  <c r="AQ45" i="2"/>
  <c r="E2247" i="3"/>
  <c r="F2247" i="3"/>
  <c r="H2247" i="3"/>
  <c r="C2246" i="3"/>
  <c r="D2246" i="3"/>
  <c r="AQ49" i="2" l="1"/>
  <c r="AG49" i="2"/>
  <c r="AF49" i="2"/>
  <c r="CI89" i="1"/>
  <c r="CJ89" i="1" s="1"/>
  <c r="CK89" i="1"/>
  <c r="CL89" i="1" s="1"/>
  <c r="BU89" i="1"/>
  <c r="BV89" i="1" s="1"/>
  <c r="BY89" i="1"/>
  <c r="CC89" i="1"/>
  <c r="CD89" i="1" s="1"/>
  <c r="CA89" i="1"/>
  <c r="CB89" i="1" s="1"/>
  <c r="BW89" i="1"/>
  <c r="BX89" i="1" s="1"/>
  <c r="CG89" i="1"/>
  <c r="CH89" i="1" s="1"/>
  <c r="BS89" i="1"/>
  <c r="BT89" i="1" s="1"/>
  <c r="DR89" i="1"/>
  <c r="S89" i="1"/>
  <c r="S87" i="1"/>
  <c r="T89" i="1"/>
  <c r="CY89" i="1" s="1"/>
  <c r="T87" i="1"/>
  <c r="C2245" i="3"/>
  <c r="D2245" i="3"/>
  <c r="F2246" i="3"/>
  <c r="H2246" i="3"/>
  <c r="E2246" i="3"/>
  <c r="BZ89" i="1" l="1"/>
  <c r="CE89" i="1"/>
  <c r="CF89" i="1" s="1"/>
  <c r="BO89" i="1"/>
  <c r="BP89" i="1" s="1"/>
  <c r="BM89" i="1"/>
  <c r="BN89" i="1" s="1"/>
  <c r="BQ89" i="1"/>
  <c r="DT89" i="1" s="1"/>
  <c r="BQ87" i="1"/>
  <c r="CY87" i="1"/>
  <c r="BM87" i="1"/>
  <c r="BN87" i="1" s="1"/>
  <c r="BO87" i="1"/>
  <c r="BP87" i="1" s="1"/>
  <c r="ED89" i="1"/>
  <c r="EC89" i="1" s="1"/>
  <c r="EB89" i="1" s="1"/>
  <c r="DP89" i="1"/>
  <c r="CW89" i="1"/>
  <c r="CZ89" i="1"/>
  <c r="DY89" i="1"/>
  <c r="DX89" i="1" s="1"/>
  <c r="DW89" i="1" s="1"/>
  <c r="E2245" i="3"/>
  <c r="C2244" i="3"/>
  <c r="D2244" i="3"/>
  <c r="H2245" i="3"/>
  <c r="F2245" i="3"/>
  <c r="U91" i="1" l="1"/>
  <c r="U90" i="1"/>
  <c r="R91" i="1"/>
  <c r="R90" i="1"/>
  <c r="DS89" i="1"/>
  <c r="BR89" i="1"/>
  <c r="ED87" i="1"/>
  <c r="EC87" i="1" s="1"/>
  <c r="EB87" i="1" s="1"/>
  <c r="DP87" i="1"/>
  <c r="CW87" i="1"/>
  <c r="CZ87" i="1"/>
  <c r="EE87" i="1" s="1"/>
  <c r="DY87" i="1"/>
  <c r="DX87" i="1" s="1"/>
  <c r="DW87" i="1" s="1"/>
  <c r="BR87" i="1"/>
  <c r="DS87" i="1"/>
  <c r="DT87" i="1"/>
  <c r="DZ89" i="1"/>
  <c r="CP89" i="1" s="1"/>
  <c r="EA89" i="1"/>
  <c r="CT89" i="1" s="1"/>
  <c r="DV89" i="1"/>
  <c r="CQ89" i="1" s="1"/>
  <c r="DU89" i="1"/>
  <c r="CM89" i="1" s="1"/>
  <c r="CU89" i="1"/>
  <c r="CR89" i="1" s="1"/>
  <c r="CX89" i="1"/>
  <c r="AE43" i="2"/>
  <c r="AE44" i="2"/>
  <c r="E2244" i="3"/>
  <c r="D2243" i="3"/>
  <c r="C2243" i="3"/>
  <c r="F2244" i="3"/>
  <c r="H2244" i="3"/>
  <c r="BY90" i="1" l="1"/>
  <c r="CK90" i="1"/>
  <c r="CL90" i="1" s="1"/>
  <c r="CA90" i="1"/>
  <c r="CB90" i="1" s="1"/>
  <c r="CG90" i="1"/>
  <c r="CH90" i="1" s="1"/>
  <c r="BW90" i="1"/>
  <c r="BX90" i="1" s="1"/>
  <c r="CI90" i="1"/>
  <c r="CJ90" i="1" s="1"/>
  <c r="BS90" i="1"/>
  <c r="BT90" i="1" s="1"/>
  <c r="CC90" i="1"/>
  <c r="CD90" i="1" s="1"/>
  <c r="BU90" i="1"/>
  <c r="BV90" i="1" s="1"/>
  <c r="DR90" i="1"/>
  <c r="CG91" i="1"/>
  <c r="CH91" i="1" s="1"/>
  <c r="BY91" i="1"/>
  <c r="CI91" i="1"/>
  <c r="CJ91" i="1" s="1"/>
  <c r="CC91" i="1"/>
  <c r="CD91" i="1" s="1"/>
  <c r="BU91" i="1"/>
  <c r="BV91" i="1" s="1"/>
  <c r="CA91" i="1"/>
  <c r="CB91" i="1" s="1"/>
  <c r="CK91" i="1"/>
  <c r="CL91" i="1" s="1"/>
  <c r="BW91" i="1"/>
  <c r="BX91" i="1" s="1"/>
  <c r="BS91" i="1"/>
  <c r="BT91" i="1" s="1"/>
  <c r="DR91" i="1"/>
  <c r="DV87" i="1"/>
  <c r="CQ87" i="1" s="1"/>
  <c r="DU87" i="1"/>
  <c r="CM87" i="1" s="1"/>
  <c r="CU87" i="1"/>
  <c r="CR87" i="1" s="1"/>
  <c r="CX87" i="1"/>
  <c r="EA87" i="1"/>
  <c r="CT87" i="1" s="1"/>
  <c r="DZ87" i="1"/>
  <c r="CP87" i="1" s="1"/>
  <c r="AG44" i="2"/>
  <c r="AQ44" i="2"/>
  <c r="AF44" i="2"/>
  <c r="T91" i="1" s="1"/>
  <c r="AQ43" i="2"/>
  <c r="AG43" i="2"/>
  <c r="AF43" i="2"/>
  <c r="T90" i="1" s="1"/>
  <c r="H2243" i="3"/>
  <c r="F2243" i="3"/>
  <c r="D2242" i="3"/>
  <c r="C2242" i="3"/>
  <c r="E2243" i="3"/>
  <c r="BZ91" i="1" l="1"/>
  <c r="CE91" i="1"/>
  <c r="CF91" i="1" s="1"/>
  <c r="BZ90" i="1"/>
  <c r="CE90" i="1"/>
  <c r="CF90" i="1" s="1"/>
  <c r="BQ90" i="1"/>
  <c r="BO90" i="1"/>
  <c r="BP90" i="1" s="1"/>
  <c r="CY90" i="1"/>
  <c r="BM90" i="1"/>
  <c r="BN90" i="1" s="1"/>
  <c r="BM91" i="1"/>
  <c r="BN91" i="1" s="1"/>
  <c r="CY91" i="1"/>
  <c r="BO91" i="1"/>
  <c r="BP91" i="1" s="1"/>
  <c r="BQ91" i="1"/>
  <c r="E2242" i="3"/>
  <c r="H2242" i="3"/>
  <c r="F2242" i="3"/>
  <c r="C2241" i="3"/>
  <c r="D2241" i="3"/>
  <c r="DT91" i="1" l="1"/>
  <c r="DS91" i="1"/>
  <c r="BR91" i="1"/>
  <c r="CW90" i="1"/>
  <c r="CZ90" i="1"/>
  <c r="EE90" i="1" s="1"/>
  <c r="DY90" i="1"/>
  <c r="DX90" i="1" s="1"/>
  <c r="DW90" i="1" s="1"/>
  <c r="ED90" i="1"/>
  <c r="EC90" i="1" s="1"/>
  <c r="EB90" i="1" s="1"/>
  <c r="DP90" i="1"/>
  <c r="ED91" i="1"/>
  <c r="EC91" i="1" s="1"/>
  <c r="EB91" i="1" s="1"/>
  <c r="CW91" i="1"/>
  <c r="DP91" i="1"/>
  <c r="DY91" i="1"/>
  <c r="DX91" i="1" s="1"/>
  <c r="DW91" i="1" s="1"/>
  <c r="CZ91" i="1"/>
  <c r="BR90" i="1"/>
  <c r="DT90" i="1"/>
  <c r="DS90" i="1"/>
  <c r="D2240" i="3"/>
  <c r="C2240" i="3"/>
  <c r="F2241" i="3"/>
  <c r="H2241" i="3"/>
  <c r="E2241" i="3"/>
  <c r="DV91" i="1" l="1"/>
  <c r="CQ91" i="1" s="1"/>
  <c r="DU91" i="1"/>
  <c r="CM91" i="1" s="1"/>
  <c r="EA91" i="1"/>
  <c r="CT91" i="1" s="1"/>
  <c r="DZ91" i="1"/>
  <c r="CP91" i="1" s="1"/>
  <c r="CU91" i="1"/>
  <c r="CR91" i="1" s="1"/>
  <c r="CX91" i="1"/>
  <c r="EA90" i="1"/>
  <c r="CT90" i="1" s="1"/>
  <c r="DZ90" i="1"/>
  <c r="CP90" i="1" s="1"/>
  <c r="DV90" i="1"/>
  <c r="CQ90" i="1" s="1"/>
  <c r="DU90" i="1"/>
  <c r="CM90" i="1" s="1"/>
  <c r="CU90" i="1"/>
  <c r="CR90" i="1" s="1"/>
  <c r="CX90" i="1"/>
  <c r="S76" i="1"/>
  <c r="F2240" i="3"/>
  <c r="H2240" i="3"/>
  <c r="E2240" i="3"/>
  <c r="D2239" i="3"/>
  <c r="C2239" i="3"/>
  <c r="S83" i="1" l="1"/>
  <c r="S21" i="1"/>
  <c r="S17" i="1"/>
  <c r="F2239" i="3"/>
  <c r="H2239" i="3"/>
  <c r="D2238" i="3"/>
  <c r="C2238" i="3"/>
  <c r="E2239" i="3"/>
  <c r="E2238" i="3" l="1"/>
  <c r="H2238" i="3"/>
  <c r="F2238" i="3"/>
  <c r="D2237" i="3"/>
  <c r="C2237" i="3"/>
  <c r="H2237" i="3" l="1"/>
  <c r="F2237" i="3"/>
  <c r="E2237" i="3"/>
  <c r="C2236" i="3"/>
  <c r="D2236" i="3"/>
  <c r="H2236" i="3" l="1"/>
  <c r="F2236" i="3"/>
  <c r="E2236" i="3"/>
  <c r="D2235" i="3"/>
  <c r="C2235" i="3"/>
  <c r="D2234" i="3" l="1"/>
  <c r="C2234" i="3"/>
  <c r="H2235" i="3"/>
  <c r="F2235" i="3"/>
  <c r="E2235" i="3"/>
  <c r="E2234" i="3" l="1"/>
  <c r="F2234" i="3"/>
  <c r="H2234" i="3"/>
  <c r="D2233" i="3"/>
  <c r="C2233" i="3"/>
  <c r="D2232" i="3" l="1"/>
  <c r="C2232" i="3"/>
  <c r="E2233" i="3"/>
  <c r="H2233" i="3"/>
  <c r="F2233" i="3"/>
  <c r="U96" i="1" l="1"/>
  <c r="U93" i="1"/>
  <c r="U95" i="1"/>
  <c r="U98" i="1"/>
  <c r="U94" i="1"/>
  <c r="U97" i="1"/>
  <c r="U92" i="1"/>
  <c r="AE42" i="2"/>
  <c r="AG42" i="2" s="1"/>
  <c r="R96" i="1"/>
  <c r="R93" i="1"/>
  <c r="R95" i="1"/>
  <c r="R98" i="1"/>
  <c r="R94" i="1"/>
  <c r="R97" i="1"/>
  <c r="R92" i="1"/>
  <c r="E2232" i="3"/>
  <c r="H2232" i="3"/>
  <c r="F2232" i="3"/>
  <c r="D2231" i="3"/>
  <c r="C2231" i="3"/>
  <c r="AF42" i="2" l="1"/>
  <c r="AQ42" i="2"/>
  <c r="BW92" i="1"/>
  <c r="BX92" i="1" s="1"/>
  <c r="CI92" i="1"/>
  <c r="CJ92" i="1" s="1"/>
  <c r="CA92" i="1"/>
  <c r="CB92" i="1" s="1"/>
  <c r="CG92" i="1"/>
  <c r="CH92" i="1" s="1"/>
  <c r="CC92" i="1"/>
  <c r="CD92" i="1" s="1"/>
  <c r="CK92" i="1"/>
  <c r="CL92" i="1" s="1"/>
  <c r="BU92" i="1"/>
  <c r="BV92" i="1" s="1"/>
  <c r="BS92" i="1"/>
  <c r="BT92" i="1" s="1"/>
  <c r="BY92" i="1"/>
  <c r="DR92" i="1"/>
  <c r="CA97" i="1"/>
  <c r="CB97" i="1" s="1"/>
  <c r="CC97" i="1"/>
  <c r="CD97" i="1" s="1"/>
  <c r="BS97" i="1"/>
  <c r="BT97" i="1" s="1"/>
  <c r="CK97" i="1"/>
  <c r="CL97" i="1" s="1"/>
  <c r="CG97" i="1"/>
  <c r="CH97" i="1" s="1"/>
  <c r="DR97" i="1"/>
  <c r="CI97" i="1"/>
  <c r="CJ97" i="1" s="1"/>
  <c r="BW97" i="1"/>
  <c r="BX97" i="1" s="1"/>
  <c r="BU97" i="1"/>
  <c r="BV97" i="1" s="1"/>
  <c r="BY97" i="1"/>
  <c r="CC94" i="1"/>
  <c r="CD94" i="1" s="1"/>
  <c r="DR94" i="1"/>
  <c r="BU94" i="1"/>
  <c r="BV94" i="1" s="1"/>
  <c r="BS94" i="1"/>
  <c r="BT94" i="1" s="1"/>
  <c r="CK94" i="1"/>
  <c r="CL94" i="1" s="1"/>
  <c r="CI94" i="1"/>
  <c r="CJ94" i="1" s="1"/>
  <c r="CG94" i="1"/>
  <c r="CH94" i="1" s="1"/>
  <c r="BY94" i="1"/>
  <c r="BW94" i="1"/>
  <c r="BX94" i="1" s="1"/>
  <c r="CA94" i="1"/>
  <c r="CB94" i="1" s="1"/>
  <c r="CI98" i="1"/>
  <c r="CJ98" i="1" s="1"/>
  <c r="BW98" i="1"/>
  <c r="BX98" i="1" s="1"/>
  <c r="DR98" i="1"/>
  <c r="BY98" i="1"/>
  <c r="CG98" i="1"/>
  <c r="CH98" i="1" s="1"/>
  <c r="CC98" i="1"/>
  <c r="CD98" i="1" s="1"/>
  <c r="CA98" i="1"/>
  <c r="CB98" i="1" s="1"/>
  <c r="BU98" i="1"/>
  <c r="BV98" i="1" s="1"/>
  <c r="CK98" i="1"/>
  <c r="CL98" i="1" s="1"/>
  <c r="BS98" i="1"/>
  <c r="BT98" i="1" s="1"/>
  <c r="CA95" i="1"/>
  <c r="CB95" i="1" s="1"/>
  <c r="CK95" i="1"/>
  <c r="CL95" i="1" s="1"/>
  <c r="BY95" i="1"/>
  <c r="CI95" i="1"/>
  <c r="CJ95" i="1" s="1"/>
  <c r="CG95" i="1"/>
  <c r="CH95" i="1" s="1"/>
  <c r="BW95" i="1"/>
  <c r="BX95" i="1" s="1"/>
  <c r="BU95" i="1"/>
  <c r="BV95" i="1" s="1"/>
  <c r="CC95" i="1"/>
  <c r="CD95" i="1" s="1"/>
  <c r="DR95" i="1"/>
  <c r="BS95" i="1"/>
  <c r="BT95" i="1" s="1"/>
  <c r="BW93" i="1"/>
  <c r="BX93" i="1" s="1"/>
  <c r="BY93" i="1"/>
  <c r="CI93" i="1"/>
  <c r="CJ93" i="1" s="1"/>
  <c r="BU93" i="1"/>
  <c r="BV93" i="1" s="1"/>
  <c r="DR93" i="1"/>
  <c r="BS93" i="1"/>
  <c r="BT93" i="1" s="1"/>
  <c r="CC93" i="1"/>
  <c r="CD93" i="1" s="1"/>
  <c r="CG93" i="1"/>
  <c r="CH93" i="1" s="1"/>
  <c r="CA93" i="1"/>
  <c r="CB93" i="1" s="1"/>
  <c r="CK93" i="1"/>
  <c r="CL93" i="1" s="1"/>
  <c r="BW96" i="1"/>
  <c r="BX96" i="1" s="1"/>
  <c r="DR96" i="1"/>
  <c r="CK96" i="1"/>
  <c r="CL96" i="1" s="1"/>
  <c r="CC96" i="1"/>
  <c r="CD96" i="1" s="1"/>
  <c r="BU96" i="1"/>
  <c r="BV96" i="1" s="1"/>
  <c r="BS96" i="1"/>
  <c r="BT96" i="1" s="1"/>
  <c r="CG96" i="1"/>
  <c r="CH96" i="1" s="1"/>
  <c r="CI96" i="1"/>
  <c r="CJ96" i="1" s="1"/>
  <c r="CA96" i="1"/>
  <c r="CB96" i="1" s="1"/>
  <c r="BY96" i="1"/>
  <c r="T92" i="1"/>
  <c r="CY92" i="1" s="1"/>
  <c r="T95" i="1"/>
  <c r="T94" i="1"/>
  <c r="T96" i="1"/>
  <c r="T97" i="1"/>
  <c r="T98" i="1"/>
  <c r="T93" i="1"/>
  <c r="S92" i="1"/>
  <c r="S95" i="1"/>
  <c r="S98" i="1"/>
  <c r="S94" i="1"/>
  <c r="S93" i="1"/>
  <c r="S96" i="1"/>
  <c r="S97" i="1"/>
  <c r="E2231" i="3"/>
  <c r="D2230" i="3"/>
  <c r="C2230" i="3"/>
  <c r="H2231" i="3"/>
  <c r="F2231" i="3"/>
  <c r="BZ94" i="1" l="1"/>
  <c r="CE94" i="1"/>
  <c r="CF94" i="1" s="1"/>
  <c r="BZ93" i="1"/>
  <c r="CE93" i="1"/>
  <c r="CF93" i="1" s="1"/>
  <c r="BZ98" i="1"/>
  <c r="CE98" i="1"/>
  <c r="CF98" i="1" s="1"/>
  <c r="BZ92" i="1"/>
  <c r="CE92" i="1"/>
  <c r="CF92" i="1" s="1"/>
  <c r="BZ97" i="1"/>
  <c r="CE97" i="1"/>
  <c r="CF97" i="1" s="1"/>
  <c r="BZ95" i="1"/>
  <c r="CE95" i="1"/>
  <c r="CF95" i="1" s="1"/>
  <c r="BZ96" i="1"/>
  <c r="CE96" i="1"/>
  <c r="CF96" i="1" s="1"/>
  <c r="BO92" i="1"/>
  <c r="BP92" i="1" s="1"/>
  <c r="BM92" i="1"/>
  <c r="BN92" i="1" s="1"/>
  <c r="BQ92" i="1"/>
  <c r="BR92" i="1" s="1"/>
  <c r="CY93" i="1"/>
  <c r="BO93" i="1"/>
  <c r="BP93" i="1" s="1"/>
  <c r="BM93" i="1"/>
  <c r="BN93" i="1" s="1"/>
  <c r="BQ93" i="1"/>
  <c r="BQ96" i="1"/>
  <c r="CY96" i="1"/>
  <c r="BO96" i="1"/>
  <c r="BP96" i="1" s="1"/>
  <c r="BM96" i="1"/>
  <c r="BN96" i="1" s="1"/>
  <c r="BM97" i="1"/>
  <c r="BN97" i="1" s="1"/>
  <c r="CY97" i="1"/>
  <c r="BQ97" i="1"/>
  <c r="BO97" i="1"/>
  <c r="BP97" i="1" s="1"/>
  <c r="BM94" i="1"/>
  <c r="BN94" i="1" s="1"/>
  <c r="BO94" i="1"/>
  <c r="BP94" i="1" s="1"/>
  <c r="BQ94" i="1"/>
  <c r="CY94" i="1"/>
  <c r="BO95" i="1"/>
  <c r="BP95" i="1" s="1"/>
  <c r="CY95" i="1"/>
  <c r="BQ95" i="1"/>
  <c r="BM95" i="1"/>
  <c r="BN95" i="1" s="1"/>
  <c r="CY98" i="1"/>
  <c r="BQ98" i="1"/>
  <c r="BM98" i="1"/>
  <c r="BN98" i="1" s="1"/>
  <c r="BO98" i="1"/>
  <c r="BP98" i="1" s="1"/>
  <c r="DP92" i="1"/>
  <c r="DY92" i="1"/>
  <c r="DX92" i="1" s="1"/>
  <c r="DW92" i="1" s="1"/>
  <c r="CZ92" i="1"/>
  <c r="ED92" i="1"/>
  <c r="EC92" i="1" s="1"/>
  <c r="EB92" i="1" s="1"/>
  <c r="CW92" i="1"/>
  <c r="H2230" i="3"/>
  <c r="F2230" i="3"/>
  <c r="U99" i="1" s="1"/>
  <c r="C2229" i="3"/>
  <c r="D2229" i="3"/>
  <c r="E2230" i="3"/>
  <c r="DT92" i="1" l="1"/>
  <c r="DS92" i="1"/>
  <c r="AE41" i="2"/>
  <c r="R99" i="1"/>
  <c r="CW97" i="1"/>
  <c r="CZ97" i="1"/>
  <c r="EE97" i="1" s="1"/>
  <c r="ED97" i="1"/>
  <c r="EC97" i="1" s="1"/>
  <c r="EB97" i="1" s="1"/>
  <c r="DP97" i="1"/>
  <c r="DY97" i="1"/>
  <c r="DX97" i="1" s="1"/>
  <c r="DW97" i="1" s="1"/>
  <c r="DT98" i="1"/>
  <c r="DS98" i="1"/>
  <c r="BR98" i="1"/>
  <c r="DS96" i="1"/>
  <c r="DT96" i="1"/>
  <c r="BR96" i="1"/>
  <c r="DT93" i="1"/>
  <c r="DS93" i="1"/>
  <c r="BR93" i="1"/>
  <c r="CZ98" i="1"/>
  <c r="EE98" i="1" s="1"/>
  <c r="ED98" i="1"/>
  <c r="EC98" i="1" s="1"/>
  <c r="EB98" i="1" s="1"/>
  <c r="CW98" i="1"/>
  <c r="DY98" i="1"/>
  <c r="DX98" i="1" s="1"/>
  <c r="DW98" i="1" s="1"/>
  <c r="DP98" i="1"/>
  <c r="DS95" i="1"/>
  <c r="DT95" i="1"/>
  <c r="BR95" i="1"/>
  <c r="BR94" i="1"/>
  <c r="DS94" i="1"/>
  <c r="DT94" i="1"/>
  <c r="DP96" i="1"/>
  <c r="ED96" i="1"/>
  <c r="EC96" i="1" s="1"/>
  <c r="EB96" i="1" s="1"/>
  <c r="CW96" i="1"/>
  <c r="DY96" i="1"/>
  <c r="DX96" i="1" s="1"/>
  <c r="DW96" i="1" s="1"/>
  <c r="CZ96" i="1"/>
  <c r="EE96" i="1" s="1"/>
  <c r="DY95" i="1"/>
  <c r="DX95" i="1" s="1"/>
  <c r="DW95" i="1" s="1"/>
  <c r="DP95" i="1"/>
  <c r="ED95" i="1"/>
  <c r="EC95" i="1" s="1"/>
  <c r="EB95" i="1" s="1"/>
  <c r="CW95" i="1"/>
  <c r="CZ95" i="1"/>
  <c r="EE95" i="1" s="1"/>
  <c r="CW94" i="1"/>
  <c r="ED94" i="1"/>
  <c r="EC94" i="1" s="1"/>
  <c r="EB94" i="1" s="1"/>
  <c r="DY94" i="1"/>
  <c r="DX94" i="1" s="1"/>
  <c r="DW94" i="1" s="1"/>
  <c r="DP94" i="1"/>
  <c r="CZ94" i="1"/>
  <c r="EE94" i="1" s="1"/>
  <c r="DT97" i="1"/>
  <c r="DS97" i="1"/>
  <c r="BR97" i="1"/>
  <c r="DY93" i="1"/>
  <c r="DX93" i="1" s="1"/>
  <c r="DW93" i="1" s="1"/>
  <c r="CZ93" i="1"/>
  <c r="EE93" i="1" s="1"/>
  <c r="CW93" i="1"/>
  <c r="DP93" i="1"/>
  <c r="ED93" i="1"/>
  <c r="EC93" i="1" s="1"/>
  <c r="EB93" i="1" s="1"/>
  <c r="CU92" i="1"/>
  <c r="CR92" i="1" s="1"/>
  <c r="CX92" i="1"/>
  <c r="EA92" i="1"/>
  <c r="CT92" i="1" s="1"/>
  <c r="DZ92" i="1"/>
  <c r="CP92" i="1" s="1"/>
  <c r="DU92" i="1"/>
  <c r="CM92" i="1" s="1"/>
  <c r="DV92" i="1"/>
  <c r="CQ92" i="1" s="1"/>
  <c r="AF41" i="2"/>
  <c r="T99" i="1" s="1"/>
  <c r="AQ41" i="2"/>
  <c r="AG41" i="2"/>
  <c r="D2228" i="3"/>
  <c r="C2228" i="3"/>
  <c r="F2229" i="3"/>
  <c r="H2229" i="3"/>
  <c r="E2229" i="3"/>
  <c r="CA99" i="1" l="1"/>
  <c r="CB99" i="1" s="1"/>
  <c r="CI99" i="1"/>
  <c r="CJ99" i="1" s="1"/>
  <c r="CG99" i="1"/>
  <c r="CH99" i="1" s="1"/>
  <c r="BW99" i="1"/>
  <c r="BX99" i="1" s="1"/>
  <c r="CK99" i="1"/>
  <c r="CL99" i="1" s="1"/>
  <c r="BY99" i="1"/>
  <c r="BS99" i="1"/>
  <c r="BT99" i="1" s="1"/>
  <c r="BU99" i="1"/>
  <c r="BV99" i="1" s="1"/>
  <c r="CC99" i="1"/>
  <c r="CD99" i="1" s="1"/>
  <c r="DR99" i="1"/>
  <c r="EA94" i="1"/>
  <c r="CT94" i="1" s="1"/>
  <c r="DZ94" i="1"/>
  <c r="CP94" i="1" s="1"/>
  <c r="DU94" i="1"/>
  <c r="CM94" i="1" s="1"/>
  <c r="DV94" i="1"/>
  <c r="CQ94" i="1" s="1"/>
  <c r="CU94" i="1"/>
  <c r="CX94" i="1"/>
  <c r="CU95" i="1"/>
  <c r="CX95" i="1"/>
  <c r="EA95" i="1"/>
  <c r="CT95" i="1" s="1"/>
  <c r="DZ95" i="1"/>
  <c r="CP95" i="1" s="1"/>
  <c r="DV97" i="1"/>
  <c r="CQ97" i="1" s="1"/>
  <c r="DU97" i="1"/>
  <c r="CM97" i="1" s="1"/>
  <c r="DZ93" i="1"/>
  <c r="CP93" i="1" s="1"/>
  <c r="EA93" i="1"/>
  <c r="CT93" i="1" s="1"/>
  <c r="DU95" i="1"/>
  <c r="CM95" i="1" s="1"/>
  <c r="DV95" i="1"/>
  <c r="CQ95" i="1" s="1"/>
  <c r="CU98" i="1"/>
  <c r="CX98" i="1"/>
  <c r="DU96" i="1"/>
  <c r="CM96" i="1" s="1"/>
  <c r="DV96" i="1"/>
  <c r="CQ96" i="1" s="1"/>
  <c r="EA98" i="1"/>
  <c r="CT98" i="1" s="1"/>
  <c r="DZ98" i="1"/>
  <c r="CP98" i="1" s="1"/>
  <c r="EA97" i="1"/>
  <c r="CT97" i="1" s="1"/>
  <c r="DZ97" i="1"/>
  <c r="CP97" i="1" s="1"/>
  <c r="EA96" i="1"/>
  <c r="CT96" i="1" s="1"/>
  <c r="DZ96" i="1"/>
  <c r="CP96" i="1" s="1"/>
  <c r="DV93" i="1"/>
  <c r="CQ93" i="1" s="1"/>
  <c r="DU93" i="1"/>
  <c r="CM93" i="1" s="1"/>
  <c r="DU98" i="1"/>
  <c r="CM98" i="1" s="1"/>
  <c r="DV98" i="1"/>
  <c r="CQ98" i="1" s="1"/>
  <c r="CU93" i="1"/>
  <c r="CX93" i="1"/>
  <c r="CU96" i="1"/>
  <c r="CX96" i="1"/>
  <c r="CU97" i="1"/>
  <c r="CX97" i="1"/>
  <c r="BO99" i="1"/>
  <c r="BP99" i="1" s="1"/>
  <c r="BQ99" i="1"/>
  <c r="BM99" i="1"/>
  <c r="BN99" i="1" s="1"/>
  <c r="CY99" i="1"/>
  <c r="E2228" i="3"/>
  <c r="H2228" i="3"/>
  <c r="F2228" i="3"/>
  <c r="C2227" i="3"/>
  <c r="D2227" i="3"/>
  <c r="BZ99" i="1" l="1"/>
  <c r="CE99" i="1"/>
  <c r="CF99" i="1" s="1"/>
  <c r="CN95" i="1"/>
  <c r="CR95" i="1"/>
  <c r="CV95" i="1"/>
  <c r="CR93" i="1"/>
  <c r="CV93" i="1"/>
  <c r="CN93" i="1"/>
  <c r="CR94" i="1"/>
  <c r="CN94" i="1"/>
  <c r="CV94" i="1"/>
  <c r="CV97" i="1"/>
  <c r="CN97" i="1"/>
  <c r="CR97" i="1"/>
  <c r="CN96" i="1"/>
  <c r="CR96" i="1"/>
  <c r="CV96" i="1"/>
  <c r="CV98" i="1"/>
  <c r="CR98" i="1"/>
  <c r="CN98" i="1"/>
  <c r="ED99" i="1"/>
  <c r="EC99" i="1" s="1"/>
  <c r="EB99" i="1" s="1"/>
  <c r="CW99" i="1"/>
  <c r="DY99" i="1"/>
  <c r="DX99" i="1" s="1"/>
  <c r="DW99" i="1" s="1"/>
  <c r="CZ99" i="1"/>
  <c r="EE99" i="1" s="1"/>
  <c r="DP99" i="1"/>
  <c r="DS99" i="1"/>
  <c r="BR99" i="1"/>
  <c r="DT99" i="1"/>
  <c r="C2226" i="3"/>
  <c r="D2226" i="3"/>
  <c r="F2227" i="3"/>
  <c r="H2227" i="3"/>
  <c r="E2227" i="3"/>
  <c r="DH93" i="1" l="1"/>
  <c r="DL93" i="1" s="1"/>
  <c r="DI93" i="1"/>
  <c r="CO93" i="1"/>
  <c r="DI96" i="1"/>
  <c r="DH96" i="1"/>
  <c r="DL96" i="1" s="1"/>
  <c r="CO96" i="1"/>
  <c r="DI97" i="1"/>
  <c r="DH97" i="1"/>
  <c r="DL97" i="1" s="1"/>
  <c r="CO97" i="1"/>
  <c r="DI94" i="1"/>
  <c r="DH94" i="1"/>
  <c r="DL94" i="1" s="1"/>
  <c r="CO94" i="1"/>
  <c r="DI98" i="1"/>
  <c r="DH98" i="1"/>
  <c r="DL98" i="1" s="1"/>
  <c r="CO98" i="1"/>
  <c r="DI95" i="1"/>
  <c r="DH95" i="1"/>
  <c r="DL95" i="1" s="1"/>
  <c r="CO95" i="1"/>
  <c r="CU99" i="1"/>
  <c r="CR99" i="1" s="1"/>
  <c r="CX99" i="1"/>
  <c r="DV99" i="1"/>
  <c r="CQ99" i="1" s="1"/>
  <c r="DU99" i="1"/>
  <c r="CM99" i="1" s="1"/>
  <c r="DZ99" i="1"/>
  <c r="CP99" i="1" s="1"/>
  <c r="EA99" i="1"/>
  <c r="CT99" i="1" s="1"/>
  <c r="E2226" i="3"/>
  <c r="D2225" i="3"/>
  <c r="C2225" i="3"/>
  <c r="F2226" i="3"/>
  <c r="H2226" i="3"/>
  <c r="DJ97" i="1" l="1"/>
  <c r="DK97" i="1"/>
  <c r="DK95" i="1"/>
  <c r="DJ95" i="1"/>
  <c r="DJ94" i="1"/>
  <c r="DK94" i="1"/>
  <c r="DJ96" i="1"/>
  <c r="DK96" i="1"/>
  <c r="DK98" i="1"/>
  <c r="DJ98" i="1"/>
  <c r="DK93" i="1"/>
  <c r="DJ93" i="1"/>
  <c r="F2225" i="3"/>
  <c r="U100" i="1" s="1"/>
  <c r="H2225" i="3"/>
  <c r="C2224" i="3"/>
  <c r="D2224" i="3"/>
  <c r="E2225" i="3"/>
  <c r="AE40" i="2" l="1"/>
  <c r="R100" i="1"/>
  <c r="DM98" i="1"/>
  <c r="DM95" i="1"/>
  <c r="DM93" i="1"/>
  <c r="DM96" i="1"/>
  <c r="DM94" i="1"/>
  <c r="DM97" i="1"/>
  <c r="AG40" i="2"/>
  <c r="AQ40" i="2"/>
  <c r="AF40" i="2"/>
  <c r="T100" i="1" s="1"/>
  <c r="D2223" i="3"/>
  <c r="C2223" i="3"/>
  <c r="F2224" i="3"/>
  <c r="H2224" i="3"/>
  <c r="E2224" i="3"/>
  <c r="CI100" i="1" l="1"/>
  <c r="CJ100" i="1" s="1"/>
  <c r="BY100" i="1"/>
  <c r="CK100" i="1"/>
  <c r="CL100" i="1" s="1"/>
  <c r="CG100" i="1"/>
  <c r="CH100" i="1" s="1"/>
  <c r="CA100" i="1"/>
  <c r="CB100" i="1" s="1"/>
  <c r="BW100" i="1"/>
  <c r="BX100" i="1" s="1"/>
  <c r="BS100" i="1"/>
  <c r="BT100" i="1" s="1"/>
  <c r="CC100" i="1"/>
  <c r="CD100" i="1" s="1"/>
  <c r="BU100" i="1"/>
  <c r="BV100" i="1" s="1"/>
  <c r="DR100" i="1"/>
  <c r="DN93" i="1"/>
  <c r="DO93" i="1" s="1"/>
  <c r="DQ93" i="1"/>
  <c r="DN97" i="1"/>
  <c r="DO97" i="1" s="1"/>
  <c r="DQ97" i="1"/>
  <c r="DN94" i="1"/>
  <c r="DO94" i="1" s="1"/>
  <c r="DQ94" i="1"/>
  <c r="DN96" i="1"/>
  <c r="DO96" i="1" s="1"/>
  <c r="DQ96" i="1"/>
  <c r="DN95" i="1"/>
  <c r="DO95" i="1" s="1"/>
  <c r="DQ95" i="1"/>
  <c r="DN98" i="1"/>
  <c r="DO98" i="1" s="1"/>
  <c r="DQ98" i="1"/>
  <c r="BM100" i="1"/>
  <c r="BN100" i="1" s="1"/>
  <c r="BO100" i="1"/>
  <c r="BP100" i="1" s="1"/>
  <c r="BQ100" i="1"/>
  <c r="CY100" i="1"/>
  <c r="E2223" i="3"/>
  <c r="F2223" i="3"/>
  <c r="H2223" i="3"/>
  <c r="C2222" i="3"/>
  <c r="D2222" i="3"/>
  <c r="BZ100" i="1" l="1"/>
  <c r="CE100" i="1"/>
  <c r="CF100" i="1" s="1"/>
  <c r="ED100" i="1"/>
  <c r="EC100" i="1" s="1"/>
  <c r="EB100" i="1" s="1"/>
  <c r="DY100" i="1"/>
  <c r="DX100" i="1" s="1"/>
  <c r="DW100" i="1" s="1"/>
  <c r="DP100" i="1"/>
  <c r="CW100" i="1"/>
  <c r="CZ100" i="1"/>
  <c r="DT100" i="1"/>
  <c r="DS100" i="1"/>
  <c r="BR100" i="1"/>
  <c r="D2221" i="3"/>
  <c r="C2221" i="3"/>
  <c r="F2222" i="3"/>
  <c r="H2222" i="3"/>
  <c r="E2222" i="3"/>
  <c r="DU100" i="1" l="1"/>
  <c r="CM100" i="1" s="1"/>
  <c r="DV100" i="1"/>
  <c r="CQ100" i="1" s="1"/>
  <c r="CU100" i="1"/>
  <c r="CR100" i="1" s="1"/>
  <c r="CX100" i="1"/>
  <c r="EA100" i="1"/>
  <c r="CT100" i="1" s="1"/>
  <c r="DZ100" i="1"/>
  <c r="CP100" i="1" s="1"/>
  <c r="E2221" i="3"/>
  <c r="F2221" i="3"/>
  <c r="H2221" i="3"/>
  <c r="C2220" i="3"/>
  <c r="D2220" i="3"/>
  <c r="U108" i="1" l="1"/>
  <c r="U102" i="1"/>
  <c r="U105" i="1"/>
  <c r="U104" i="1"/>
  <c r="U103" i="1"/>
  <c r="U107" i="1"/>
  <c r="U106" i="1"/>
  <c r="U101" i="1"/>
  <c r="AE39" i="2"/>
  <c r="AQ39" i="2" s="1"/>
  <c r="R108" i="1"/>
  <c r="R102" i="1"/>
  <c r="R105" i="1"/>
  <c r="R104" i="1"/>
  <c r="R103" i="1"/>
  <c r="R107" i="1"/>
  <c r="R106" i="1"/>
  <c r="R101" i="1"/>
  <c r="D2219" i="3"/>
  <c r="C2219" i="3"/>
  <c r="H2220" i="3"/>
  <c r="F2220" i="3"/>
  <c r="U109" i="1" s="1"/>
  <c r="E2220" i="3"/>
  <c r="AG39" i="2" l="1"/>
  <c r="AF39" i="2"/>
  <c r="AE38" i="2"/>
  <c r="R109" i="1"/>
  <c r="BY101" i="1"/>
  <c r="CK101" i="1"/>
  <c r="CL101" i="1" s="1"/>
  <c r="CI101" i="1"/>
  <c r="CJ101" i="1" s="1"/>
  <c r="CG101" i="1"/>
  <c r="CH101" i="1" s="1"/>
  <c r="CA101" i="1"/>
  <c r="CB101" i="1" s="1"/>
  <c r="CC101" i="1"/>
  <c r="CD101" i="1" s="1"/>
  <c r="BS101" i="1"/>
  <c r="BT101" i="1" s="1"/>
  <c r="BW101" i="1"/>
  <c r="BX101" i="1" s="1"/>
  <c r="BU101" i="1"/>
  <c r="BV101" i="1" s="1"/>
  <c r="DR101" i="1"/>
  <c r="BW106" i="1"/>
  <c r="BX106" i="1" s="1"/>
  <c r="CC106" i="1"/>
  <c r="CD106" i="1" s="1"/>
  <c r="BU106" i="1"/>
  <c r="BV106" i="1" s="1"/>
  <c r="DR106" i="1"/>
  <c r="CK106" i="1"/>
  <c r="CL106" i="1" s="1"/>
  <c r="BS106" i="1"/>
  <c r="BT106" i="1" s="1"/>
  <c r="BY106" i="1"/>
  <c r="CI106" i="1"/>
  <c r="CJ106" i="1" s="1"/>
  <c r="CA106" i="1"/>
  <c r="CB106" i="1" s="1"/>
  <c r="CG106" i="1"/>
  <c r="CH106" i="1" s="1"/>
  <c r="CA107" i="1"/>
  <c r="CB107" i="1" s="1"/>
  <c r="CC107" i="1"/>
  <c r="CD107" i="1" s="1"/>
  <c r="CK107" i="1"/>
  <c r="CL107" i="1" s="1"/>
  <c r="CI107" i="1"/>
  <c r="CJ107" i="1" s="1"/>
  <c r="CG107" i="1"/>
  <c r="CH107" i="1" s="1"/>
  <c r="BU107" i="1"/>
  <c r="BV107" i="1" s="1"/>
  <c r="DR107" i="1"/>
  <c r="BS107" i="1"/>
  <c r="BT107" i="1" s="1"/>
  <c r="BW107" i="1"/>
  <c r="BX107" i="1" s="1"/>
  <c r="BY107" i="1"/>
  <c r="DR103" i="1"/>
  <c r="BS103" i="1"/>
  <c r="BT103" i="1" s="1"/>
  <c r="CA103" i="1"/>
  <c r="CB103" i="1" s="1"/>
  <c r="BY103" i="1"/>
  <c r="BW103" i="1"/>
  <c r="BX103" i="1" s="1"/>
  <c r="BU103" i="1"/>
  <c r="BV103" i="1" s="1"/>
  <c r="CG103" i="1"/>
  <c r="CH103" i="1" s="1"/>
  <c r="CK103" i="1"/>
  <c r="CL103" i="1" s="1"/>
  <c r="CI103" i="1"/>
  <c r="CJ103" i="1" s="1"/>
  <c r="CC103" i="1"/>
  <c r="CD103" i="1" s="1"/>
  <c r="CA104" i="1"/>
  <c r="CB104" i="1" s="1"/>
  <c r="DR104" i="1"/>
  <c r="BW104" i="1"/>
  <c r="BX104" i="1" s="1"/>
  <c r="BY104" i="1"/>
  <c r="CG104" i="1"/>
  <c r="CH104" i="1" s="1"/>
  <c r="BS104" i="1"/>
  <c r="BT104" i="1" s="1"/>
  <c r="CK104" i="1"/>
  <c r="CL104" i="1" s="1"/>
  <c r="CC104" i="1"/>
  <c r="CD104" i="1" s="1"/>
  <c r="CI104" i="1"/>
  <c r="CJ104" i="1" s="1"/>
  <c r="BU104" i="1"/>
  <c r="BV104" i="1" s="1"/>
  <c r="CK105" i="1"/>
  <c r="CL105" i="1" s="1"/>
  <c r="CA105" i="1"/>
  <c r="CB105" i="1" s="1"/>
  <c r="CG105" i="1"/>
  <c r="CH105" i="1" s="1"/>
  <c r="BU105" i="1"/>
  <c r="BV105" i="1" s="1"/>
  <c r="DR105" i="1"/>
  <c r="CI105" i="1"/>
  <c r="CJ105" i="1" s="1"/>
  <c r="BY105" i="1"/>
  <c r="BW105" i="1"/>
  <c r="BX105" i="1" s="1"/>
  <c r="BS105" i="1"/>
  <c r="BT105" i="1" s="1"/>
  <c r="CC105" i="1"/>
  <c r="CD105" i="1" s="1"/>
  <c r="CK102" i="1"/>
  <c r="CL102" i="1" s="1"/>
  <c r="BS102" i="1"/>
  <c r="BT102" i="1" s="1"/>
  <c r="CG102" i="1"/>
  <c r="CH102" i="1" s="1"/>
  <c r="CC102" i="1"/>
  <c r="CD102" i="1" s="1"/>
  <c r="CI102" i="1"/>
  <c r="CJ102" i="1" s="1"/>
  <c r="CA102" i="1"/>
  <c r="CB102" i="1" s="1"/>
  <c r="BY102" i="1"/>
  <c r="BW102" i="1"/>
  <c r="BX102" i="1" s="1"/>
  <c r="DR102" i="1"/>
  <c r="BU102" i="1"/>
  <c r="BV102" i="1" s="1"/>
  <c r="CG108" i="1"/>
  <c r="CH108" i="1" s="1"/>
  <c r="CC108" i="1"/>
  <c r="CD108" i="1" s="1"/>
  <c r="BY108" i="1"/>
  <c r="BU108" i="1"/>
  <c r="BV108" i="1" s="1"/>
  <c r="CA108" i="1"/>
  <c r="CB108" i="1" s="1"/>
  <c r="CI108" i="1"/>
  <c r="CJ108" i="1" s="1"/>
  <c r="DR108" i="1"/>
  <c r="BW108" i="1"/>
  <c r="BX108" i="1" s="1"/>
  <c r="BS108" i="1"/>
  <c r="BT108" i="1" s="1"/>
  <c r="CK108" i="1"/>
  <c r="CL108" i="1" s="1"/>
  <c r="S101" i="1"/>
  <c r="S107" i="1"/>
  <c r="S102" i="1"/>
  <c r="S103" i="1"/>
  <c r="S105" i="1"/>
  <c r="S106" i="1"/>
  <c r="S108" i="1"/>
  <c r="S104" i="1"/>
  <c r="T101" i="1"/>
  <c r="BQ101" i="1" s="1"/>
  <c r="T103" i="1"/>
  <c r="T102" i="1"/>
  <c r="T108" i="1"/>
  <c r="T105" i="1"/>
  <c r="T104" i="1"/>
  <c r="T106" i="1"/>
  <c r="T107" i="1"/>
  <c r="AQ38" i="2"/>
  <c r="AF38" i="2"/>
  <c r="T109" i="1" s="1"/>
  <c r="AG38" i="2"/>
  <c r="H2219" i="3"/>
  <c r="F2219" i="3"/>
  <c r="E2219" i="3"/>
  <c r="C2218" i="3"/>
  <c r="D2218" i="3"/>
  <c r="BZ106" i="1" l="1"/>
  <c r="CE106" i="1"/>
  <c r="CF106" i="1" s="1"/>
  <c r="BZ101" i="1"/>
  <c r="CE101" i="1"/>
  <c r="CF101" i="1" s="1"/>
  <c r="BZ105" i="1"/>
  <c r="CE105" i="1"/>
  <c r="CF105" i="1" s="1"/>
  <c r="BZ102" i="1"/>
  <c r="CE102" i="1"/>
  <c r="CF102" i="1" s="1"/>
  <c r="BZ108" i="1"/>
  <c r="CE108" i="1"/>
  <c r="CF108" i="1" s="1"/>
  <c r="BZ103" i="1"/>
  <c r="CE103" i="1"/>
  <c r="CF103" i="1" s="1"/>
  <c r="BZ107" i="1"/>
  <c r="CE107" i="1"/>
  <c r="CF107" i="1" s="1"/>
  <c r="BZ104" i="1"/>
  <c r="CE104" i="1"/>
  <c r="CF104" i="1" s="1"/>
  <c r="R111" i="1"/>
  <c r="R110" i="1"/>
  <c r="U111" i="1"/>
  <c r="U110" i="1"/>
  <c r="CA109" i="1"/>
  <c r="CB109" i="1" s="1"/>
  <c r="CI109" i="1"/>
  <c r="CJ109" i="1" s="1"/>
  <c r="CK109" i="1"/>
  <c r="CL109" i="1" s="1"/>
  <c r="BW109" i="1"/>
  <c r="BX109" i="1" s="1"/>
  <c r="BS109" i="1"/>
  <c r="BT109" i="1" s="1"/>
  <c r="CC109" i="1"/>
  <c r="CD109" i="1" s="1"/>
  <c r="CG109" i="1"/>
  <c r="CH109" i="1" s="1"/>
  <c r="BY109" i="1"/>
  <c r="BU109" i="1"/>
  <c r="BV109" i="1" s="1"/>
  <c r="DR109" i="1"/>
  <c r="BO104" i="1"/>
  <c r="BP104" i="1" s="1"/>
  <c r="BM104" i="1"/>
  <c r="BN104" i="1" s="1"/>
  <c r="BQ104" i="1"/>
  <c r="CY104" i="1"/>
  <c r="BQ105" i="1"/>
  <c r="BO105" i="1"/>
  <c r="BP105" i="1" s="1"/>
  <c r="CY105" i="1"/>
  <c r="BM105" i="1"/>
  <c r="BN105" i="1" s="1"/>
  <c r="BO101" i="1"/>
  <c r="BP101" i="1" s="1"/>
  <c r="BQ102" i="1"/>
  <c r="BM102" i="1"/>
  <c r="BN102" i="1" s="1"/>
  <c r="BO102" i="1"/>
  <c r="BP102" i="1" s="1"/>
  <c r="CY102" i="1"/>
  <c r="BO107" i="1"/>
  <c r="BP107" i="1" s="1"/>
  <c r="CY107" i="1"/>
  <c r="BM107" i="1"/>
  <c r="BN107" i="1" s="1"/>
  <c r="BQ107" i="1"/>
  <c r="BO108" i="1"/>
  <c r="BP108" i="1" s="1"/>
  <c r="CY108" i="1"/>
  <c r="BM108" i="1"/>
  <c r="BN108" i="1" s="1"/>
  <c r="BQ108" i="1"/>
  <c r="BM101" i="1"/>
  <c r="BN101" i="1" s="1"/>
  <c r="CY106" i="1"/>
  <c r="BM106" i="1"/>
  <c r="BN106" i="1" s="1"/>
  <c r="BO106" i="1"/>
  <c r="BP106" i="1" s="1"/>
  <c r="BQ106" i="1"/>
  <c r="CY103" i="1"/>
  <c r="BQ103" i="1"/>
  <c r="BO103" i="1"/>
  <c r="BP103" i="1" s="1"/>
  <c r="BM103" i="1"/>
  <c r="BN103" i="1" s="1"/>
  <c r="CY101" i="1"/>
  <c r="CW101" i="1" s="1"/>
  <c r="BQ109" i="1"/>
  <c r="BO109" i="1"/>
  <c r="BP109" i="1" s="1"/>
  <c r="CY109" i="1"/>
  <c r="BM109" i="1"/>
  <c r="BN109" i="1" s="1"/>
  <c r="DT101" i="1"/>
  <c r="DS101" i="1"/>
  <c r="BR101" i="1"/>
  <c r="AE37" i="2"/>
  <c r="AE36" i="2"/>
  <c r="F2218" i="3"/>
  <c r="H2218" i="3"/>
  <c r="E2218" i="3"/>
  <c r="D2217" i="3"/>
  <c r="C2217" i="3"/>
  <c r="BZ109" i="1" l="1"/>
  <c r="CE109" i="1"/>
  <c r="CF109" i="1" s="1"/>
  <c r="CK110" i="1"/>
  <c r="CL110" i="1" s="1"/>
  <c r="CG110" i="1"/>
  <c r="CH110" i="1" s="1"/>
  <c r="CC110" i="1"/>
  <c r="CD110" i="1" s="1"/>
  <c r="BY110" i="1"/>
  <c r="BS110" i="1"/>
  <c r="BT110" i="1" s="1"/>
  <c r="BU110" i="1"/>
  <c r="BV110" i="1" s="1"/>
  <c r="CA110" i="1"/>
  <c r="CB110" i="1" s="1"/>
  <c r="CI110" i="1"/>
  <c r="CJ110" i="1" s="1"/>
  <c r="BW110" i="1"/>
  <c r="BX110" i="1" s="1"/>
  <c r="DR110" i="1"/>
  <c r="CK111" i="1"/>
  <c r="CL111" i="1" s="1"/>
  <c r="CI111" i="1"/>
  <c r="CJ111" i="1" s="1"/>
  <c r="CG111" i="1"/>
  <c r="CH111" i="1" s="1"/>
  <c r="CA111" i="1"/>
  <c r="CB111" i="1" s="1"/>
  <c r="CC111" i="1"/>
  <c r="CD111" i="1" s="1"/>
  <c r="BY111" i="1"/>
  <c r="BU111" i="1"/>
  <c r="BV111" i="1" s="1"/>
  <c r="BW111" i="1"/>
  <c r="BX111" i="1" s="1"/>
  <c r="BS111" i="1"/>
  <c r="BT111" i="1" s="1"/>
  <c r="DR111" i="1"/>
  <c r="ED102" i="1"/>
  <c r="EC102" i="1" s="1"/>
  <c r="EB102" i="1" s="1"/>
  <c r="CW102" i="1"/>
  <c r="CZ102" i="1"/>
  <c r="EE102" i="1" s="1"/>
  <c r="DP102" i="1"/>
  <c r="DY102" i="1"/>
  <c r="DX102" i="1" s="1"/>
  <c r="DW102" i="1" s="1"/>
  <c r="ED103" i="1"/>
  <c r="EC103" i="1" s="1"/>
  <c r="EB103" i="1" s="1"/>
  <c r="CZ103" i="1"/>
  <c r="EE103" i="1" s="1"/>
  <c r="DP103" i="1"/>
  <c r="DY103" i="1"/>
  <c r="DX103" i="1" s="1"/>
  <c r="DW103" i="1" s="1"/>
  <c r="CW103" i="1"/>
  <c r="DY105" i="1"/>
  <c r="DX105" i="1" s="1"/>
  <c r="DW105" i="1" s="1"/>
  <c r="CZ105" i="1"/>
  <c r="EE105" i="1" s="1"/>
  <c r="DP105" i="1"/>
  <c r="ED105" i="1"/>
  <c r="EC105" i="1" s="1"/>
  <c r="EB105" i="1" s="1"/>
  <c r="CW105" i="1"/>
  <c r="BR105" i="1"/>
  <c r="DS105" i="1"/>
  <c r="DT105" i="1"/>
  <c r="ED101" i="1"/>
  <c r="EC101" i="1" s="1"/>
  <c r="EB101" i="1" s="1"/>
  <c r="DZ101" i="1" s="1"/>
  <c r="CP101" i="1" s="1"/>
  <c r="ED107" i="1"/>
  <c r="EC107" i="1" s="1"/>
  <c r="EB107" i="1" s="1"/>
  <c r="CW107" i="1"/>
  <c r="DY107" i="1"/>
  <c r="DX107" i="1" s="1"/>
  <c r="DW107" i="1" s="1"/>
  <c r="CZ107" i="1"/>
  <c r="EE107" i="1" s="1"/>
  <c r="DP107" i="1"/>
  <c r="DY101" i="1"/>
  <c r="DX101" i="1" s="1"/>
  <c r="DW101" i="1" s="1"/>
  <c r="DU101" i="1" s="1"/>
  <c r="CM101" i="1" s="1"/>
  <c r="DY104" i="1"/>
  <c r="DX104" i="1" s="1"/>
  <c r="DW104" i="1" s="1"/>
  <c r="DP104" i="1"/>
  <c r="CW104" i="1"/>
  <c r="ED104" i="1"/>
  <c r="EC104" i="1" s="1"/>
  <c r="EB104" i="1" s="1"/>
  <c r="CZ104" i="1"/>
  <c r="EE104" i="1" s="1"/>
  <c r="DT102" i="1"/>
  <c r="DS102" i="1"/>
  <c r="BR102" i="1"/>
  <c r="DT104" i="1"/>
  <c r="DS104" i="1"/>
  <c r="BR104" i="1"/>
  <c r="DS108" i="1"/>
  <c r="DT108" i="1"/>
  <c r="BR108" i="1"/>
  <c r="CZ101" i="1"/>
  <c r="EE101" i="1" s="1"/>
  <c r="DS103" i="1"/>
  <c r="DT103" i="1"/>
  <c r="BR103" i="1"/>
  <c r="BR106" i="1"/>
  <c r="DS106" i="1"/>
  <c r="DT106" i="1"/>
  <c r="DP106" i="1"/>
  <c r="ED106" i="1"/>
  <c r="EC106" i="1" s="1"/>
  <c r="EB106" i="1" s="1"/>
  <c r="CW106" i="1"/>
  <c r="DY106" i="1"/>
  <c r="DX106" i="1" s="1"/>
  <c r="DW106" i="1" s="1"/>
  <c r="CZ106" i="1"/>
  <c r="EE106" i="1" s="1"/>
  <c r="DP108" i="1"/>
  <c r="CZ108" i="1"/>
  <c r="EE108" i="1" s="1"/>
  <c r="ED108" i="1"/>
  <c r="EC108" i="1" s="1"/>
  <c r="EB108" i="1" s="1"/>
  <c r="CW108" i="1"/>
  <c r="DY108" i="1"/>
  <c r="DX108" i="1" s="1"/>
  <c r="DW108" i="1" s="1"/>
  <c r="DP101" i="1"/>
  <c r="DT107" i="1"/>
  <c r="DS107" i="1"/>
  <c r="BR107" i="1"/>
  <c r="CW109" i="1"/>
  <c r="CZ109" i="1"/>
  <c r="EE109" i="1" s="1"/>
  <c r="DP109" i="1"/>
  <c r="ED109" i="1"/>
  <c r="EC109" i="1" s="1"/>
  <c r="EB109" i="1" s="1"/>
  <c r="DY109" i="1"/>
  <c r="DX109" i="1" s="1"/>
  <c r="DW109" i="1" s="1"/>
  <c r="CU101" i="1"/>
  <c r="CR101" i="1" s="1"/>
  <c r="CX101" i="1"/>
  <c r="DS109" i="1"/>
  <c r="DT109" i="1"/>
  <c r="BR109" i="1"/>
  <c r="AQ36" i="2"/>
  <c r="S111" i="1" s="1"/>
  <c r="AF36" i="2"/>
  <c r="T111" i="1" s="1"/>
  <c r="AG36" i="2"/>
  <c r="AQ37" i="2"/>
  <c r="S110" i="1" s="1"/>
  <c r="AG37" i="2"/>
  <c r="AF37" i="2"/>
  <c r="T110" i="1" s="1"/>
  <c r="C2216" i="3"/>
  <c r="D2216" i="3"/>
  <c r="E2217" i="3"/>
  <c r="H2217" i="3"/>
  <c r="F2217" i="3"/>
  <c r="BZ110" i="1" l="1"/>
  <c r="CE110" i="1"/>
  <c r="CF110" i="1" s="1"/>
  <c r="BZ111" i="1"/>
  <c r="CE111" i="1"/>
  <c r="CF111" i="1" s="1"/>
  <c r="DV101" i="1"/>
  <c r="CQ101" i="1" s="1"/>
  <c r="CU107" i="1"/>
  <c r="CX107" i="1"/>
  <c r="EA101" i="1"/>
  <c r="CT101" i="1" s="1"/>
  <c r="DV102" i="1"/>
  <c r="CQ102" i="1" s="1"/>
  <c r="DU102" i="1"/>
  <c r="CM102" i="1" s="1"/>
  <c r="CU108" i="1"/>
  <c r="CX108" i="1"/>
  <c r="DU106" i="1"/>
  <c r="CM106" i="1" s="1"/>
  <c r="DV106" i="1"/>
  <c r="CQ106" i="1" s="1"/>
  <c r="CU106" i="1"/>
  <c r="CX106" i="1"/>
  <c r="DU107" i="1"/>
  <c r="CM107" i="1" s="1"/>
  <c r="DV107" i="1"/>
  <c r="CQ107" i="1" s="1"/>
  <c r="DZ106" i="1"/>
  <c r="CP106" i="1" s="1"/>
  <c r="EA106" i="1"/>
  <c r="CT106" i="1" s="1"/>
  <c r="EA103" i="1"/>
  <c r="CT103" i="1" s="1"/>
  <c r="DZ103" i="1"/>
  <c r="CP103" i="1" s="1"/>
  <c r="EA104" i="1"/>
  <c r="CT104" i="1" s="1"/>
  <c r="DZ104" i="1"/>
  <c r="CP104" i="1" s="1"/>
  <c r="EA108" i="1"/>
  <c r="CT108" i="1" s="1"/>
  <c r="DZ108" i="1"/>
  <c r="CP108" i="1" s="1"/>
  <c r="CU104" i="1"/>
  <c r="CX104" i="1"/>
  <c r="DV103" i="1"/>
  <c r="CQ103" i="1" s="1"/>
  <c r="DU103" i="1"/>
  <c r="CM103" i="1" s="1"/>
  <c r="CU102" i="1"/>
  <c r="CX102" i="1"/>
  <c r="DZ107" i="1"/>
  <c r="CP107" i="1" s="1"/>
  <c r="EA107" i="1"/>
  <c r="CT107" i="1" s="1"/>
  <c r="DV108" i="1"/>
  <c r="CQ108" i="1" s="1"/>
  <c r="DU108" i="1"/>
  <c r="CM108" i="1" s="1"/>
  <c r="CU105" i="1"/>
  <c r="CX105" i="1"/>
  <c r="DZ105" i="1"/>
  <c r="CP105" i="1" s="1"/>
  <c r="EA105" i="1"/>
  <c r="CT105" i="1" s="1"/>
  <c r="DV104" i="1"/>
  <c r="CQ104" i="1" s="1"/>
  <c r="DU104" i="1"/>
  <c r="CM104" i="1" s="1"/>
  <c r="EA102" i="1"/>
  <c r="CT102" i="1" s="1"/>
  <c r="DZ102" i="1"/>
  <c r="CP102" i="1" s="1"/>
  <c r="DV105" i="1"/>
  <c r="CQ105" i="1" s="1"/>
  <c r="DU105" i="1"/>
  <c r="CM105" i="1" s="1"/>
  <c r="CU103" i="1"/>
  <c r="CX103" i="1"/>
  <c r="BM110" i="1"/>
  <c r="BN110" i="1" s="1"/>
  <c r="BO110" i="1"/>
  <c r="BP110" i="1" s="1"/>
  <c r="BQ110" i="1"/>
  <c r="CY110" i="1"/>
  <c r="BQ111" i="1"/>
  <c r="CY111" i="1"/>
  <c r="BM111" i="1"/>
  <c r="BN111" i="1" s="1"/>
  <c r="BO111" i="1"/>
  <c r="BP111" i="1" s="1"/>
  <c r="DU109" i="1"/>
  <c r="CM109" i="1" s="1"/>
  <c r="DV109" i="1"/>
  <c r="CQ109" i="1" s="1"/>
  <c r="EA109" i="1"/>
  <c r="CT109" i="1" s="1"/>
  <c r="DZ109" i="1"/>
  <c r="CP109" i="1" s="1"/>
  <c r="CU109" i="1"/>
  <c r="CR109" i="1" s="1"/>
  <c r="CX109" i="1"/>
  <c r="E2216" i="3"/>
  <c r="D2215" i="3"/>
  <c r="C2215" i="3"/>
  <c r="H2216" i="3"/>
  <c r="F2216" i="3"/>
  <c r="CN106" i="1" l="1"/>
  <c r="CR106" i="1"/>
  <c r="CV106" i="1"/>
  <c r="CR104" i="1"/>
  <c r="CV104" i="1"/>
  <c r="CN104" i="1"/>
  <c r="CN103" i="1"/>
  <c r="CV103" i="1"/>
  <c r="CR103" i="1"/>
  <c r="CV105" i="1"/>
  <c r="CN105" i="1"/>
  <c r="CR105" i="1"/>
  <c r="CR102" i="1"/>
  <c r="CN102" i="1"/>
  <c r="CV102" i="1"/>
  <c r="CR108" i="1"/>
  <c r="CV108" i="1"/>
  <c r="CN108" i="1"/>
  <c r="CV107" i="1"/>
  <c r="CR107" i="1"/>
  <c r="CN107" i="1"/>
  <c r="DT111" i="1"/>
  <c r="BR111" i="1"/>
  <c r="DS111" i="1"/>
  <c r="ED111" i="1"/>
  <c r="EC111" i="1" s="1"/>
  <c r="EB111" i="1" s="1"/>
  <c r="DP111" i="1"/>
  <c r="CZ111" i="1"/>
  <c r="EE111" i="1" s="1"/>
  <c r="DY111" i="1"/>
  <c r="DX111" i="1" s="1"/>
  <c r="DW111" i="1" s="1"/>
  <c r="CW111" i="1"/>
  <c r="DP110" i="1"/>
  <c r="CW110" i="1"/>
  <c r="DY110" i="1"/>
  <c r="DX110" i="1" s="1"/>
  <c r="DW110" i="1" s="1"/>
  <c r="ED110" i="1"/>
  <c r="EC110" i="1" s="1"/>
  <c r="EB110" i="1" s="1"/>
  <c r="CZ110" i="1"/>
  <c r="EE110" i="1" s="1"/>
  <c r="DT110" i="1"/>
  <c r="BR110" i="1"/>
  <c r="DS110" i="1"/>
  <c r="H2215" i="3"/>
  <c r="F2215" i="3"/>
  <c r="E2215" i="3"/>
  <c r="C2214" i="3"/>
  <c r="D2214" i="3"/>
  <c r="CO102" i="1" l="1"/>
  <c r="DI102" i="1"/>
  <c r="DH102" i="1"/>
  <c r="DL102" i="1" s="1"/>
  <c r="DI104" i="1"/>
  <c r="CO104" i="1"/>
  <c r="DH104" i="1"/>
  <c r="DL104" i="1" s="1"/>
  <c r="CO105" i="1"/>
  <c r="DI105" i="1"/>
  <c r="DH105" i="1"/>
  <c r="DL105" i="1" s="1"/>
  <c r="DI103" i="1"/>
  <c r="DH103" i="1"/>
  <c r="DL103" i="1" s="1"/>
  <c r="CO103" i="1"/>
  <c r="DI107" i="1"/>
  <c r="DH107" i="1"/>
  <c r="DL107" i="1" s="1"/>
  <c r="CO107" i="1"/>
  <c r="DI108" i="1"/>
  <c r="DH108" i="1"/>
  <c r="DL108" i="1" s="1"/>
  <c r="CO108" i="1"/>
  <c r="CO106" i="1"/>
  <c r="DI106" i="1"/>
  <c r="DH106" i="1"/>
  <c r="DL106" i="1" s="1"/>
  <c r="DV110" i="1"/>
  <c r="CQ110" i="1" s="1"/>
  <c r="DU110" i="1"/>
  <c r="CM110" i="1" s="1"/>
  <c r="DV111" i="1"/>
  <c r="CQ111" i="1" s="1"/>
  <c r="DU111" i="1"/>
  <c r="CM111" i="1" s="1"/>
  <c r="EA111" i="1"/>
  <c r="CT111" i="1" s="1"/>
  <c r="DZ111" i="1"/>
  <c r="CP111" i="1" s="1"/>
  <c r="DZ110" i="1"/>
  <c r="CP110" i="1" s="1"/>
  <c r="EA110" i="1"/>
  <c r="CT110" i="1" s="1"/>
  <c r="CX110" i="1"/>
  <c r="CU110" i="1"/>
  <c r="CR110" i="1" s="1"/>
  <c r="CU111" i="1"/>
  <c r="CR111" i="1" s="1"/>
  <c r="CX111" i="1"/>
  <c r="D2213" i="3"/>
  <c r="C2213" i="3"/>
  <c r="F2214" i="3"/>
  <c r="H2214" i="3"/>
  <c r="E2214" i="3"/>
  <c r="DJ104" i="1" l="1"/>
  <c r="DK104" i="1"/>
  <c r="DK102" i="1"/>
  <c r="DJ102" i="1"/>
  <c r="DJ103" i="1"/>
  <c r="DK103" i="1"/>
  <c r="DK105" i="1"/>
  <c r="DJ105" i="1"/>
  <c r="DK106" i="1"/>
  <c r="DJ106" i="1"/>
  <c r="DK107" i="1"/>
  <c r="DJ107" i="1"/>
  <c r="DK108" i="1"/>
  <c r="DJ108" i="1"/>
  <c r="E2213" i="3"/>
  <c r="H2213" i="3"/>
  <c r="F2213" i="3"/>
  <c r="D2212" i="3"/>
  <c r="C2212" i="3"/>
  <c r="DM107" i="1" l="1"/>
  <c r="DM108" i="1"/>
  <c r="DM103" i="1"/>
  <c r="DM105" i="1"/>
  <c r="DM106" i="1"/>
  <c r="DM102" i="1"/>
  <c r="DM104" i="1"/>
  <c r="C2211" i="3"/>
  <c r="D2211" i="3"/>
  <c r="F2212" i="3"/>
  <c r="H2212" i="3"/>
  <c r="E2212" i="3"/>
  <c r="DN104" i="1" l="1"/>
  <c r="DO104" i="1" s="1"/>
  <c r="DQ104" i="1"/>
  <c r="DN103" i="1"/>
  <c r="DO103" i="1" s="1"/>
  <c r="DQ103" i="1"/>
  <c r="DN106" i="1"/>
  <c r="DO106" i="1" s="1"/>
  <c r="DQ106" i="1"/>
  <c r="DN108" i="1"/>
  <c r="DO108" i="1" s="1"/>
  <c r="DQ108" i="1"/>
  <c r="DN102" i="1"/>
  <c r="DO102" i="1" s="1"/>
  <c r="DQ102" i="1"/>
  <c r="DN105" i="1"/>
  <c r="DO105" i="1" s="1"/>
  <c r="DQ105" i="1"/>
  <c r="DN107" i="1"/>
  <c r="DO107" i="1" s="1"/>
  <c r="DQ107" i="1"/>
  <c r="E2211" i="3"/>
  <c r="C2210" i="3"/>
  <c r="D2210" i="3"/>
  <c r="F2211" i="3"/>
  <c r="H2211" i="3"/>
  <c r="U9" i="1" l="1"/>
  <c r="D2209" i="3"/>
  <c r="C2209" i="3"/>
  <c r="F2210" i="3"/>
  <c r="H2210" i="3"/>
  <c r="S55" i="1"/>
  <c r="E2210" i="3"/>
  <c r="CY9" i="1" l="1"/>
  <c r="CI9" i="1"/>
  <c r="CJ9" i="1" s="1"/>
  <c r="CK9" i="1"/>
  <c r="CA9" i="1"/>
  <c r="CB9" i="1" s="1"/>
  <c r="BW9" i="1"/>
  <c r="CC9" i="1"/>
  <c r="BS9" i="1"/>
  <c r="BT9" i="1" s="1"/>
  <c r="CG9" i="1"/>
  <c r="CH9" i="1" s="1"/>
  <c r="BY9" i="1"/>
  <c r="BU9" i="1"/>
  <c r="BV9" i="1" s="1"/>
  <c r="S9" i="1"/>
  <c r="DR9" i="1"/>
  <c r="BQ9" i="1"/>
  <c r="BO9" i="1"/>
  <c r="BP9" i="1" s="1"/>
  <c r="BM9" i="1"/>
  <c r="BN9" i="1" s="1"/>
  <c r="E2209" i="3"/>
  <c r="H2209" i="3"/>
  <c r="F2209" i="3"/>
  <c r="C2208" i="3"/>
  <c r="D2208" i="3"/>
  <c r="BZ9" i="1" l="1"/>
  <c r="CE9" i="1"/>
  <c r="CF9" i="1" s="1"/>
  <c r="U113" i="1"/>
  <c r="U112" i="1"/>
  <c r="R113" i="1"/>
  <c r="R112" i="1"/>
  <c r="AE34" i="2"/>
  <c r="AE35" i="2"/>
  <c r="DY9" i="1"/>
  <c r="CW9" i="1"/>
  <c r="CU9" i="1" s="1"/>
  <c r="ED9" i="1"/>
  <c r="CD9" i="1"/>
  <c r="DS9" i="1"/>
  <c r="DT9" i="1"/>
  <c r="BR9" i="1"/>
  <c r="BX9" i="1"/>
  <c r="DP9" i="1"/>
  <c r="CZ9" i="1"/>
  <c r="EE9" i="1" s="1"/>
  <c r="CL9" i="1"/>
  <c r="D2207" i="3"/>
  <c r="E2208" i="3"/>
  <c r="C2207" i="3"/>
  <c r="F2208" i="3"/>
  <c r="H2208" i="3"/>
  <c r="BY112" i="1" l="1"/>
  <c r="CI112" i="1"/>
  <c r="CJ112" i="1" s="1"/>
  <c r="CA112" i="1"/>
  <c r="CB112" i="1" s="1"/>
  <c r="CC112" i="1"/>
  <c r="CD112" i="1" s="1"/>
  <c r="CK112" i="1"/>
  <c r="CL112" i="1" s="1"/>
  <c r="CG112" i="1"/>
  <c r="CH112" i="1" s="1"/>
  <c r="BS112" i="1"/>
  <c r="BT112" i="1" s="1"/>
  <c r="BU112" i="1"/>
  <c r="BV112" i="1" s="1"/>
  <c r="BW112" i="1"/>
  <c r="BX112" i="1" s="1"/>
  <c r="DR112" i="1"/>
  <c r="CC113" i="1"/>
  <c r="CD113" i="1" s="1"/>
  <c r="CA113" i="1"/>
  <c r="CB113" i="1" s="1"/>
  <c r="CG113" i="1"/>
  <c r="CH113" i="1" s="1"/>
  <c r="CI113" i="1"/>
  <c r="CJ113" i="1" s="1"/>
  <c r="BU113" i="1"/>
  <c r="BV113" i="1" s="1"/>
  <c r="BW113" i="1"/>
  <c r="BX113" i="1" s="1"/>
  <c r="BY113" i="1"/>
  <c r="CK113" i="1"/>
  <c r="CL113" i="1" s="1"/>
  <c r="BS113" i="1"/>
  <c r="BT113" i="1" s="1"/>
  <c r="DR113" i="1"/>
  <c r="AF35" i="2"/>
  <c r="T113" i="1" s="1"/>
  <c r="AQ35" i="2"/>
  <c r="AG35" i="2"/>
  <c r="AF34" i="2"/>
  <c r="T112" i="1" s="1"/>
  <c r="AQ34" i="2"/>
  <c r="S112" i="1" s="1"/>
  <c r="AG34" i="2"/>
  <c r="CX9" i="1"/>
  <c r="CR9" i="1"/>
  <c r="CS9" i="1"/>
  <c r="EC9" i="1"/>
  <c r="DX9" i="1"/>
  <c r="D2206" i="3"/>
  <c r="C2206" i="3"/>
  <c r="F2207" i="3"/>
  <c r="H2207" i="3"/>
  <c r="E2207" i="3"/>
  <c r="BZ113" i="1" l="1"/>
  <c r="CE113" i="1"/>
  <c r="CF113" i="1" s="1"/>
  <c r="BZ112" i="1"/>
  <c r="CE112" i="1"/>
  <c r="CF112" i="1" s="1"/>
  <c r="BO112" i="1"/>
  <c r="BP112" i="1" s="1"/>
  <c r="BM112" i="1"/>
  <c r="BN112" i="1" s="1"/>
  <c r="BQ112" i="1"/>
  <c r="CY112" i="1"/>
  <c r="BO113" i="1"/>
  <c r="BP113" i="1" s="1"/>
  <c r="BQ113" i="1"/>
  <c r="BM113" i="1"/>
  <c r="BN113" i="1" s="1"/>
  <c r="CY113" i="1"/>
  <c r="EB9" i="1"/>
  <c r="EA9" i="1" s="1"/>
  <c r="CT9" i="1" s="1"/>
  <c r="DW9" i="1"/>
  <c r="E2206" i="3"/>
  <c r="F2206" i="3"/>
  <c r="H2206" i="3"/>
  <c r="D2205" i="3"/>
  <c r="C2205" i="3"/>
  <c r="DP112" i="1" l="1"/>
  <c r="CZ112" i="1"/>
  <c r="DY112" i="1"/>
  <c r="DX112" i="1" s="1"/>
  <c r="DW112" i="1" s="1"/>
  <c r="CW112" i="1"/>
  <c r="ED112" i="1"/>
  <c r="EC112" i="1" s="1"/>
  <c r="EB112" i="1" s="1"/>
  <c r="DT112" i="1"/>
  <c r="DS112" i="1"/>
  <c r="BR112" i="1"/>
  <c r="ED113" i="1"/>
  <c r="EC113" i="1" s="1"/>
  <c r="EB113" i="1" s="1"/>
  <c r="DY113" i="1"/>
  <c r="DX113" i="1" s="1"/>
  <c r="DW113" i="1" s="1"/>
  <c r="CW113" i="1"/>
  <c r="DP113" i="1"/>
  <c r="CZ113" i="1"/>
  <c r="EE113" i="1" s="1"/>
  <c r="DT113" i="1"/>
  <c r="DS113" i="1"/>
  <c r="BR113" i="1"/>
  <c r="DV9" i="1"/>
  <c r="CQ9" i="1" s="1"/>
  <c r="DZ9" i="1"/>
  <c r="DU9" i="1"/>
  <c r="C2204" i="3"/>
  <c r="D2204" i="3"/>
  <c r="F2205" i="3"/>
  <c r="H2205" i="3"/>
  <c r="E2205" i="3"/>
  <c r="CU113" i="1" l="1"/>
  <c r="CR113" i="1" s="1"/>
  <c r="CX113" i="1"/>
  <c r="DU113" i="1"/>
  <c r="CM113" i="1" s="1"/>
  <c r="DV113" i="1"/>
  <c r="CQ113" i="1" s="1"/>
  <c r="DZ112" i="1"/>
  <c r="CP112" i="1" s="1"/>
  <c r="EA112" i="1"/>
  <c r="CT112" i="1" s="1"/>
  <c r="EA113" i="1"/>
  <c r="CT113" i="1" s="1"/>
  <c r="DZ113" i="1"/>
  <c r="CP113" i="1" s="1"/>
  <c r="CU112" i="1"/>
  <c r="CR112" i="1" s="1"/>
  <c r="CX112" i="1"/>
  <c r="DV112" i="1"/>
  <c r="CQ112" i="1" s="1"/>
  <c r="DU112" i="1"/>
  <c r="CM112" i="1" s="1"/>
  <c r="CP9" i="1"/>
  <c r="CM9" i="1"/>
  <c r="C2203" i="3"/>
  <c r="D2203" i="3"/>
  <c r="H2204" i="3"/>
  <c r="F2204" i="3"/>
  <c r="E2204" i="3"/>
  <c r="E2203" i="3" l="1"/>
  <c r="D2202" i="3"/>
  <c r="C2202" i="3"/>
  <c r="F2203" i="3"/>
  <c r="H2203" i="3"/>
  <c r="F2202" i="3" l="1"/>
  <c r="H2202" i="3"/>
  <c r="D2201" i="3"/>
  <c r="C2201" i="3"/>
  <c r="E2202" i="3"/>
  <c r="E2201" i="3" l="1"/>
  <c r="F2201" i="3"/>
  <c r="H2201" i="3"/>
  <c r="D2200" i="3"/>
  <c r="C2200" i="3"/>
  <c r="E2200" i="3" l="1"/>
  <c r="D2199" i="3"/>
  <c r="C2199" i="3"/>
  <c r="H2200" i="3"/>
  <c r="F2200" i="3"/>
  <c r="F2199" i="3" l="1"/>
  <c r="H2199" i="3"/>
  <c r="D2198" i="3"/>
  <c r="C2198" i="3"/>
  <c r="E2199" i="3"/>
  <c r="E2198" i="3" l="1"/>
  <c r="H2198" i="3"/>
  <c r="F2198" i="3"/>
  <c r="D2197" i="3"/>
  <c r="C2197" i="3"/>
  <c r="H2197" i="3" l="1"/>
  <c r="F2197" i="3"/>
  <c r="C2196" i="3"/>
  <c r="D2196" i="3"/>
  <c r="E2197" i="3"/>
  <c r="E2196" i="3" l="1"/>
  <c r="F2196" i="3"/>
  <c r="H2196" i="3"/>
  <c r="D2195" i="3"/>
  <c r="C2195" i="3"/>
  <c r="C2194" i="3" l="1"/>
  <c r="D2194" i="3"/>
  <c r="F2195" i="3"/>
  <c r="H2195" i="3"/>
  <c r="E2195" i="3"/>
  <c r="E2194" i="3" l="1"/>
  <c r="D2193" i="3"/>
  <c r="C2193" i="3"/>
  <c r="F2194" i="3"/>
  <c r="H2194" i="3"/>
  <c r="F2193" i="3" l="1"/>
  <c r="H2193" i="3"/>
  <c r="D2192" i="3"/>
  <c r="C2192" i="3"/>
  <c r="E2193" i="3"/>
  <c r="E2192" i="3" l="1"/>
  <c r="H2192" i="3"/>
  <c r="F2192" i="3"/>
  <c r="C2191" i="3"/>
  <c r="D2191" i="3"/>
  <c r="F2191" i="3" l="1"/>
  <c r="H2191" i="3"/>
  <c r="E2191" i="3"/>
  <c r="D2190" i="3"/>
  <c r="C2190" i="3"/>
  <c r="E2190" i="3" l="1"/>
  <c r="F2190" i="3"/>
  <c r="H2190" i="3"/>
  <c r="C2189" i="3"/>
  <c r="D2189" i="3"/>
  <c r="D2188" i="3" l="1"/>
  <c r="C2188" i="3"/>
  <c r="F2189" i="3"/>
  <c r="H2189" i="3"/>
  <c r="E2189" i="3"/>
  <c r="E2188" i="3" l="1"/>
  <c r="F2188" i="3"/>
  <c r="H2188" i="3"/>
  <c r="C2187" i="3"/>
  <c r="D2187" i="3"/>
  <c r="H2187" i="3" l="1"/>
  <c r="F2187" i="3"/>
  <c r="D2186" i="3"/>
  <c r="C2186" i="3"/>
  <c r="E2187" i="3"/>
  <c r="AE33" i="2" l="1"/>
  <c r="R117" i="1"/>
  <c r="R116" i="1"/>
  <c r="R115" i="1"/>
  <c r="R118" i="1"/>
  <c r="R114" i="1"/>
  <c r="U117" i="1"/>
  <c r="U116" i="1"/>
  <c r="U115" i="1"/>
  <c r="U118" i="1"/>
  <c r="U114" i="1"/>
  <c r="AF33" i="2"/>
  <c r="AG33" i="2"/>
  <c r="AQ33" i="2"/>
  <c r="E2186" i="3"/>
  <c r="H2186" i="3"/>
  <c r="F2186" i="3"/>
  <c r="C2185" i="3"/>
  <c r="D2185" i="3"/>
  <c r="BY114" i="1" l="1"/>
  <c r="CK114" i="1"/>
  <c r="CL114" i="1" s="1"/>
  <c r="BW114" i="1"/>
  <c r="BX114" i="1" s="1"/>
  <c r="CG114" i="1"/>
  <c r="CH114" i="1" s="1"/>
  <c r="CA114" i="1"/>
  <c r="CB114" i="1" s="1"/>
  <c r="CI114" i="1"/>
  <c r="CJ114" i="1" s="1"/>
  <c r="CC114" i="1"/>
  <c r="CD114" i="1" s="1"/>
  <c r="BS114" i="1"/>
  <c r="BT114" i="1" s="1"/>
  <c r="BU114" i="1"/>
  <c r="BV114" i="1" s="1"/>
  <c r="DR114" i="1"/>
  <c r="CA118" i="1"/>
  <c r="CB118" i="1" s="1"/>
  <c r="DR118" i="1"/>
  <c r="BW118" i="1"/>
  <c r="BX118" i="1" s="1"/>
  <c r="CG118" i="1"/>
  <c r="CH118" i="1" s="1"/>
  <c r="BU118" i="1"/>
  <c r="BV118" i="1" s="1"/>
  <c r="CK118" i="1"/>
  <c r="CL118" i="1" s="1"/>
  <c r="CI118" i="1"/>
  <c r="CJ118" i="1" s="1"/>
  <c r="CC118" i="1"/>
  <c r="CD118" i="1" s="1"/>
  <c r="BS118" i="1"/>
  <c r="BT118" i="1" s="1"/>
  <c r="BY118" i="1"/>
  <c r="CG115" i="1"/>
  <c r="CH115" i="1" s="1"/>
  <c r="BY115" i="1"/>
  <c r="CC115" i="1"/>
  <c r="CD115" i="1" s="1"/>
  <c r="CA115" i="1"/>
  <c r="CB115" i="1" s="1"/>
  <c r="BW115" i="1"/>
  <c r="BX115" i="1" s="1"/>
  <c r="BU115" i="1"/>
  <c r="BV115" i="1" s="1"/>
  <c r="DR115" i="1"/>
  <c r="CI115" i="1"/>
  <c r="CJ115" i="1" s="1"/>
  <c r="CK115" i="1"/>
  <c r="CL115" i="1" s="1"/>
  <c r="BS115" i="1"/>
  <c r="BT115" i="1" s="1"/>
  <c r="BS116" i="1"/>
  <c r="BT116" i="1" s="1"/>
  <c r="CA116" i="1"/>
  <c r="CB116" i="1" s="1"/>
  <c r="BU116" i="1"/>
  <c r="BV116" i="1" s="1"/>
  <c r="DR116" i="1"/>
  <c r="BW116" i="1"/>
  <c r="BX116" i="1" s="1"/>
  <c r="CK116" i="1"/>
  <c r="CL116" i="1" s="1"/>
  <c r="CC116" i="1"/>
  <c r="CD116" i="1" s="1"/>
  <c r="CG116" i="1"/>
  <c r="CH116" i="1" s="1"/>
  <c r="CI116" i="1"/>
  <c r="CJ116" i="1" s="1"/>
  <c r="BY116" i="1"/>
  <c r="CG117" i="1"/>
  <c r="CH117" i="1" s="1"/>
  <c r="DR117" i="1"/>
  <c r="BS117" i="1"/>
  <c r="BT117" i="1" s="1"/>
  <c r="CA117" i="1"/>
  <c r="CB117" i="1" s="1"/>
  <c r="BW117" i="1"/>
  <c r="BX117" i="1" s="1"/>
  <c r="BY117" i="1"/>
  <c r="BU117" i="1"/>
  <c r="BV117" i="1" s="1"/>
  <c r="CK117" i="1"/>
  <c r="CL117" i="1" s="1"/>
  <c r="CI117" i="1"/>
  <c r="CJ117" i="1" s="1"/>
  <c r="CC117" i="1"/>
  <c r="CD117" i="1" s="1"/>
  <c r="S114" i="1"/>
  <c r="S115" i="1"/>
  <c r="S118" i="1"/>
  <c r="S116" i="1"/>
  <c r="S117" i="1"/>
  <c r="T114" i="1"/>
  <c r="BO114" i="1" s="1"/>
  <c r="BP114" i="1" s="1"/>
  <c r="T115" i="1"/>
  <c r="T116" i="1"/>
  <c r="T117" i="1"/>
  <c r="T118" i="1"/>
  <c r="F2185" i="3"/>
  <c r="H2185" i="3"/>
  <c r="C2184" i="3"/>
  <c r="D2184" i="3"/>
  <c r="E2185" i="3"/>
  <c r="BZ116" i="1" l="1"/>
  <c r="CE116" i="1"/>
  <c r="CF116" i="1" s="1"/>
  <c r="BZ118" i="1"/>
  <c r="CE118" i="1"/>
  <c r="CF118" i="1" s="1"/>
  <c r="BZ117" i="1"/>
  <c r="CE117" i="1"/>
  <c r="CF117" i="1" s="1"/>
  <c r="BZ115" i="1"/>
  <c r="CE115" i="1"/>
  <c r="CF115" i="1" s="1"/>
  <c r="BZ114" i="1"/>
  <c r="CE114" i="1"/>
  <c r="CF114" i="1" s="1"/>
  <c r="BM114" i="1"/>
  <c r="BN114" i="1" s="1"/>
  <c r="CY114" i="1"/>
  <c r="BQ114" i="1"/>
  <c r="DS114" i="1" s="1"/>
  <c r="BO118" i="1"/>
  <c r="BP118" i="1" s="1"/>
  <c r="CY118" i="1"/>
  <c r="BQ118" i="1"/>
  <c r="BM118" i="1"/>
  <c r="BN118" i="1" s="1"/>
  <c r="BO115" i="1"/>
  <c r="BP115" i="1" s="1"/>
  <c r="CY115" i="1"/>
  <c r="BQ115" i="1"/>
  <c r="BM115" i="1"/>
  <c r="BN115" i="1" s="1"/>
  <c r="CY117" i="1"/>
  <c r="BM117" i="1"/>
  <c r="BN117" i="1" s="1"/>
  <c r="BO117" i="1"/>
  <c r="BP117" i="1" s="1"/>
  <c r="BQ117" i="1"/>
  <c r="BQ116" i="1"/>
  <c r="CY116" i="1"/>
  <c r="BM116" i="1"/>
  <c r="BN116" i="1" s="1"/>
  <c r="BO116" i="1"/>
  <c r="BP116" i="1" s="1"/>
  <c r="C2183" i="3"/>
  <c r="D2183" i="3"/>
  <c r="F2184" i="3"/>
  <c r="H2184" i="3"/>
  <c r="E2184" i="3"/>
  <c r="CZ114" i="1" l="1"/>
  <c r="CW114" i="1"/>
  <c r="CU114" i="1" s="1"/>
  <c r="CR114" i="1" s="1"/>
  <c r="DY114" i="1"/>
  <c r="DX114" i="1" s="1"/>
  <c r="DW114" i="1" s="1"/>
  <c r="DV114" i="1" s="1"/>
  <c r="CQ114" i="1" s="1"/>
  <c r="DP114" i="1"/>
  <c r="ED114" i="1"/>
  <c r="EC114" i="1" s="1"/>
  <c r="EB114" i="1" s="1"/>
  <c r="EA114" i="1" s="1"/>
  <c r="CT114" i="1" s="1"/>
  <c r="BR114" i="1"/>
  <c r="DT114" i="1"/>
  <c r="DS117" i="1"/>
  <c r="DT117" i="1"/>
  <c r="BR117" i="1"/>
  <c r="DY117" i="1"/>
  <c r="DX117" i="1" s="1"/>
  <c r="DW117" i="1" s="1"/>
  <c r="ED117" i="1"/>
  <c r="EC117" i="1" s="1"/>
  <c r="EB117" i="1" s="1"/>
  <c r="CW117" i="1"/>
  <c r="DP117" i="1"/>
  <c r="CZ117" i="1"/>
  <c r="EE117" i="1" s="1"/>
  <c r="DS116" i="1"/>
  <c r="DT116" i="1"/>
  <c r="BR116" i="1"/>
  <c r="DT118" i="1"/>
  <c r="BR118" i="1"/>
  <c r="DS118" i="1"/>
  <c r="DT115" i="1"/>
  <c r="DS115" i="1"/>
  <c r="BR115" i="1"/>
  <c r="DY118" i="1"/>
  <c r="DX118" i="1" s="1"/>
  <c r="DW118" i="1" s="1"/>
  <c r="ED118" i="1"/>
  <c r="EC118" i="1" s="1"/>
  <c r="EB118" i="1" s="1"/>
  <c r="CW118" i="1"/>
  <c r="DP118" i="1"/>
  <c r="CZ118" i="1"/>
  <c r="EE118" i="1" s="1"/>
  <c r="ED116" i="1"/>
  <c r="EC116" i="1" s="1"/>
  <c r="EB116" i="1" s="1"/>
  <c r="CW116" i="1"/>
  <c r="DY116" i="1"/>
  <c r="DX116" i="1" s="1"/>
  <c r="DW116" i="1" s="1"/>
  <c r="DP116" i="1"/>
  <c r="CZ116" i="1"/>
  <c r="EE116" i="1" s="1"/>
  <c r="DY115" i="1"/>
  <c r="DX115" i="1" s="1"/>
  <c r="DW115" i="1" s="1"/>
  <c r="ED115" i="1"/>
  <c r="EC115" i="1" s="1"/>
  <c r="EB115" i="1" s="1"/>
  <c r="CZ115" i="1"/>
  <c r="EE115" i="1" s="1"/>
  <c r="DP115" i="1"/>
  <c r="CW115" i="1"/>
  <c r="E2183" i="3"/>
  <c r="C2182" i="3"/>
  <c r="D2182" i="3"/>
  <c r="H2183" i="3"/>
  <c r="F2183" i="3"/>
  <c r="CX114" i="1" l="1"/>
  <c r="DZ114" i="1"/>
  <c r="CP114" i="1" s="1"/>
  <c r="DU114" i="1"/>
  <c r="CM114" i="1" s="1"/>
  <c r="CU116" i="1"/>
  <c r="CX116" i="1"/>
  <c r="DU116" i="1"/>
  <c r="CM116" i="1" s="1"/>
  <c r="DV116" i="1"/>
  <c r="CQ116" i="1" s="1"/>
  <c r="CU115" i="1"/>
  <c r="CX115" i="1"/>
  <c r="EA118" i="1"/>
  <c r="CT118" i="1" s="1"/>
  <c r="DZ118" i="1"/>
  <c r="CP118" i="1" s="1"/>
  <c r="EA115" i="1"/>
  <c r="CT115" i="1" s="1"/>
  <c r="DZ115" i="1"/>
  <c r="CP115" i="1" s="1"/>
  <c r="DZ117" i="1"/>
  <c r="CP117" i="1" s="1"/>
  <c r="EA117" i="1"/>
  <c r="CT117" i="1" s="1"/>
  <c r="DU118" i="1"/>
  <c r="CM118" i="1" s="1"/>
  <c r="DV118" i="1"/>
  <c r="CQ118" i="1" s="1"/>
  <c r="DU115" i="1"/>
  <c r="CM115" i="1" s="1"/>
  <c r="DV115" i="1"/>
  <c r="CQ115" i="1" s="1"/>
  <c r="EA116" i="1"/>
  <c r="CT116" i="1" s="1"/>
  <c r="DZ116" i="1"/>
  <c r="CP116" i="1" s="1"/>
  <c r="CU118" i="1"/>
  <c r="CX118" i="1"/>
  <c r="CU117" i="1"/>
  <c r="CX117" i="1"/>
  <c r="DV117" i="1"/>
  <c r="CQ117" i="1" s="1"/>
  <c r="DU117" i="1"/>
  <c r="CM117" i="1" s="1"/>
  <c r="C2181" i="3"/>
  <c r="D2181" i="3"/>
  <c r="H2182" i="3"/>
  <c r="F2182" i="3"/>
  <c r="E2182" i="3"/>
  <c r="CN115" i="1" l="1"/>
  <c r="CV115" i="1"/>
  <c r="CR115" i="1"/>
  <c r="CR117" i="1"/>
  <c r="CN117" i="1"/>
  <c r="CV117" i="1"/>
  <c r="CV118" i="1"/>
  <c r="CN118" i="1"/>
  <c r="CR118" i="1"/>
  <c r="CV116" i="1"/>
  <c r="CN116" i="1"/>
  <c r="CR116" i="1"/>
  <c r="E2181" i="3"/>
  <c r="C2180" i="3"/>
  <c r="D2180" i="3"/>
  <c r="H2181" i="3"/>
  <c r="F2181" i="3"/>
  <c r="DI116" i="1" l="1"/>
  <c r="CO116" i="1"/>
  <c r="DH116" i="1"/>
  <c r="DL116" i="1" s="1"/>
  <c r="DI118" i="1"/>
  <c r="DH118" i="1"/>
  <c r="DL118" i="1" s="1"/>
  <c r="CO118" i="1"/>
  <c r="DH117" i="1"/>
  <c r="DL117" i="1" s="1"/>
  <c r="CO117" i="1"/>
  <c r="DI117" i="1"/>
  <c r="CO115" i="1"/>
  <c r="DI115" i="1"/>
  <c r="DH115" i="1"/>
  <c r="DL115" i="1" s="1"/>
  <c r="C2179" i="3"/>
  <c r="D2179" i="3"/>
  <c r="F2180" i="3"/>
  <c r="H2180" i="3"/>
  <c r="E2180" i="3"/>
  <c r="DK118" i="1" l="1"/>
  <c r="DJ118" i="1"/>
  <c r="DK116" i="1"/>
  <c r="DJ116" i="1"/>
  <c r="DK115" i="1"/>
  <c r="DJ115" i="1"/>
  <c r="DK117" i="1"/>
  <c r="DJ117" i="1"/>
  <c r="E2179" i="3"/>
  <c r="D2178" i="3"/>
  <c r="C2178" i="3"/>
  <c r="F2179" i="3"/>
  <c r="H2179" i="3"/>
  <c r="DM117" i="1" l="1"/>
  <c r="DM115" i="1"/>
  <c r="DM118" i="1"/>
  <c r="DM116" i="1"/>
  <c r="F2178" i="3"/>
  <c r="H2178" i="3"/>
  <c r="D2177" i="3"/>
  <c r="C2177" i="3"/>
  <c r="E2178" i="3"/>
  <c r="DN118" i="1" l="1"/>
  <c r="DO118" i="1" s="1"/>
  <c r="DQ118" i="1"/>
  <c r="DN115" i="1"/>
  <c r="DO115" i="1" s="1"/>
  <c r="DQ115" i="1"/>
  <c r="DN116" i="1"/>
  <c r="DO116" i="1" s="1"/>
  <c r="DQ116" i="1"/>
  <c r="DN117" i="1"/>
  <c r="DO117" i="1" s="1"/>
  <c r="DQ117" i="1"/>
  <c r="E2177" i="3"/>
  <c r="F2177" i="3"/>
  <c r="H2177" i="3"/>
  <c r="D2176" i="3"/>
  <c r="C2176" i="3"/>
  <c r="U121" i="1" l="1"/>
  <c r="U119" i="1"/>
  <c r="U120" i="1"/>
  <c r="R121" i="1"/>
  <c r="R119" i="1"/>
  <c r="R120" i="1"/>
  <c r="AE30" i="2"/>
  <c r="AE31" i="2"/>
  <c r="AE32" i="2"/>
  <c r="F2176" i="3"/>
  <c r="H2176" i="3"/>
  <c r="C2175" i="3"/>
  <c r="D2175" i="3"/>
  <c r="E2176" i="3"/>
  <c r="CK120" i="1" l="1"/>
  <c r="CL120" i="1" s="1"/>
  <c r="CA120" i="1"/>
  <c r="CB120" i="1" s="1"/>
  <c r="BY120" i="1"/>
  <c r="CC120" i="1"/>
  <c r="CD120" i="1" s="1"/>
  <c r="CG120" i="1"/>
  <c r="CH120" i="1" s="1"/>
  <c r="BS120" i="1"/>
  <c r="BT120" i="1" s="1"/>
  <c r="BU120" i="1"/>
  <c r="BV120" i="1" s="1"/>
  <c r="CI120" i="1"/>
  <c r="CJ120" i="1" s="1"/>
  <c r="BW120" i="1"/>
  <c r="BX120" i="1" s="1"/>
  <c r="DR120" i="1"/>
  <c r="CK119" i="1"/>
  <c r="CL119" i="1" s="1"/>
  <c r="CI119" i="1"/>
  <c r="CJ119" i="1" s="1"/>
  <c r="CA119" i="1"/>
  <c r="CB119" i="1" s="1"/>
  <c r="CG119" i="1"/>
  <c r="CH119" i="1" s="1"/>
  <c r="CC119" i="1"/>
  <c r="CD119" i="1" s="1"/>
  <c r="BW119" i="1"/>
  <c r="BX119" i="1" s="1"/>
  <c r="BU119" i="1"/>
  <c r="BV119" i="1" s="1"/>
  <c r="BY119" i="1"/>
  <c r="BS119" i="1"/>
  <c r="BT119" i="1" s="1"/>
  <c r="DR119" i="1"/>
  <c r="CI121" i="1"/>
  <c r="CJ121" i="1" s="1"/>
  <c r="CK121" i="1"/>
  <c r="CL121" i="1" s="1"/>
  <c r="CG121" i="1"/>
  <c r="CH121" i="1" s="1"/>
  <c r="BY121" i="1"/>
  <c r="CA121" i="1"/>
  <c r="CB121" i="1" s="1"/>
  <c r="BW121" i="1"/>
  <c r="BX121" i="1" s="1"/>
  <c r="BU121" i="1"/>
  <c r="BV121" i="1" s="1"/>
  <c r="CC121" i="1"/>
  <c r="CD121" i="1" s="1"/>
  <c r="BS121" i="1"/>
  <c r="BT121" i="1" s="1"/>
  <c r="DR121" i="1"/>
  <c r="AF32" i="2"/>
  <c r="T120" i="1" s="1"/>
  <c r="AG32" i="2"/>
  <c r="AQ32" i="2"/>
  <c r="AQ31" i="2"/>
  <c r="AF31" i="2"/>
  <c r="AG31" i="2"/>
  <c r="AF30" i="2"/>
  <c r="T119" i="1" s="1"/>
  <c r="AQ30" i="2"/>
  <c r="S119" i="1" s="1"/>
  <c r="AG30" i="2"/>
  <c r="S27" i="1"/>
  <c r="S91" i="1"/>
  <c r="S113" i="1"/>
  <c r="E2175" i="3"/>
  <c r="D2174" i="3"/>
  <c r="C2174" i="3"/>
  <c r="F2175" i="3"/>
  <c r="H2175" i="3"/>
  <c r="BZ121" i="1" l="1"/>
  <c r="CE121" i="1"/>
  <c r="CF121" i="1" s="1"/>
  <c r="BZ120" i="1"/>
  <c r="CE120" i="1"/>
  <c r="CF120" i="1" s="1"/>
  <c r="BZ119" i="1"/>
  <c r="CE119" i="1"/>
  <c r="CF119" i="1" s="1"/>
  <c r="T84" i="1"/>
  <c r="T121" i="1"/>
  <c r="BO119" i="1"/>
  <c r="BP119" i="1" s="1"/>
  <c r="CY119" i="1"/>
  <c r="BQ119" i="1"/>
  <c r="BM119" i="1"/>
  <c r="BN119" i="1" s="1"/>
  <c r="S84" i="1"/>
  <c r="S121" i="1"/>
  <c r="BO120" i="1"/>
  <c r="BP120" i="1" s="1"/>
  <c r="BM120" i="1"/>
  <c r="BN120" i="1" s="1"/>
  <c r="BQ120" i="1"/>
  <c r="CY120" i="1"/>
  <c r="F2174" i="3"/>
  <c r="H2174" i="3"/>
  <c r="D2173" i="3"/>
  <c r="C2173" i="3"/>
  <c r="E2174" i="3"/>
  <c r="ED120" i="1" l="1"/>
  <c r="EC120" i="1" s="1"/>
  <c r="EB120" i="1" s="1"/>
  <c r="CZ120" i="1"/>
  <c r="DP120" i="1"/>
  <c r="CW120" i="1"/>
  <c r="DY120" i="1"/>
  <c r="DX120" i="1" s="1"/>
  <c r="DW120" i="1" s="1"/>
  <c r="DP119" i="1"/>
  <c r="ED119" i="1"/>
  <c r="EC119" i="1" s="1"/>
  <c r="EB119" i="1" s="1"/>
  <c r="CW119" i="1"/>
  <c r="CZ119" i="1"/>
  <c r="DY119" i="1"/>
  <c r="DX119" i="1" s="1"/>
  <c r="DW119" i="1" s="1"/>
  <c r="BR120" i="1"/>
  <c r="DS120" i="1"/>
  <c r="DT120" i="1"/>
  <c r="CY121" i="1"/>
  <c r="BM121" i="1"/>
  <c r="BN121" i="1" s="1"/>
  <c r="BQ121" i="1"/>
  <c r="BO121" i="1"/>
  <c r="BP121" i="1" s="1"/>
  <c r="BR119" i="1"/>
  <c r="DS119" i="1"/>
  <c r="DT119" i="1"/>
  <c r="BM84" i="1"/>
  <c r="BN84" i="1" s="1"/>
  <c r="BQ84" i="1"/>
  <c r="BO84" i="1"/>
  <c r="BP84" i="1" s="1"/>
  <c r="CY84" i="1"/>
  <c r="H2173" i="3"/>
  <c r="F2173" i="3"/>
  <c r="D2172" i="3"/>
  <c r="C2172" i="3"/>
  <c r="E2173" i="3"/>
  <c r="DV119" i="1" l="1"/>
  <c r="CQ119" i="1" s="1"/>
  <c r="DU119" i="1"/>
  <c r="CM119" i="1" s="1"/>
  <c r="DZ119" i="1"/>
  <c r="CP119" i="1" s="1"/>
  <c r="EA119" i="1"/>
  <c r="CT119" i="1" s="1"/>
  <c r="DS121" i="1"/>
  <c r="BR121" i="1"/>
  <c r="DT121" i="1"/>
  <c r="DT84" i="1"/>
  <c r="BR84" i="1"/>
  <c r="DS84" i="1"/>
  <c r="DU120" i="1"/>
  <c r="CM120" i="1" s="1"/>
  <c r="DV120" i="1"/>
  <c r="CQ120" i="1" s="1"/>
  <c r="CU120" i="1"/>
  <c r="CR120" i="1" s="1"/>
  <c r="CX120" i="1"/>
  <c r="CU119" i="1"/>
  <c r="CR119" i="1" s="1"/>
  <c r="CX119" i="1"/>
  <c r="EA120" i="1"/>
  <c r="CT120" i="1" s="1"/>
  <c r="DZ120" i="1"/>
  <c r="CP120" i="1" s="1"/>
  <c r="ED84" i="1"/>
  <c r="EC84" i="1" s="1"/>
  <c r="EB84" i="1" s="1"/>
  <c r="CW84" i="1"/>
  <c r="DY84" i="1"/>
  <c r="DX84" i="1" s="1"/>
  <c r="DW84" i="1" s="1"/>
  <c r="DP84" i="1"/>
  <c r="CZ84" i="1"/>
  <c r="EE84" i="1" s="1"/>
  <c r="DY121" i="1"/>
  <c r="DX121" i="1" s="1"/>
  <c r="DW121" i="1" s="1"/>
  <c r="CZ121" i="1"/>
  <c r="CW121" i="1"/>
  <c r="ED121" i="1"/>
  <c r="EC121" i="1" s="1"/>
  <c r="EB121" i="1" s="1"/>
  <c r="DP121" i="1"/>
  <c r="E2172" i="3"/>
  <c r="H2172" i="3"/>
  <c r="F2172" i="3"/>
  <c r="U122" i="1" s="1"/>
  <c r="C2171" i="3"/>
  <c r="D2171" i="3"/>
  <c r="AE29" i="2" l="1"/>
  <c r="R122" i="1"/>
  <c r="EA121" i="1"/>
  <c r="CT121" i="1" s="1"/>
  <c r="DZ121" i="1"/>
  <c r="CP121" i="1" s="1"/>
  <c r="EA84" i="1"/>
  <c r="CT84" i="1" s="1"/>
  <c r="DZ84" i="1"/>
  <c r="CP84" i="1" s="1"/>
  <c r="CU121" i="1"/>
  <c r="CR121" i="1" s="1"/>
  <c r="CX121" i="1"/>
  <c r="DU121" i="1"/>
  <c r="CM121" i="1" s="1"/>
  <c r="DV121" i="1"/>
  <c r="CQ121" i="1" s="1"/>
  <c r="DU84" i="1"/>
  <c r="CM84" i="1" s="1"/>
  <c r="DV84" i="1"/>
  <c r="CQ84" i="1" s="1"/>
  <c r="CU84" i="1"/>
  <c r="CR84" i="1" s="1"/>
  <c r="CX84" i="1"/>
  <c r="AF29" i="2"/>
  <c r="T122" i="1" s="1"/>
  <c r="AQ29" i="2"/>
  <c r="AG29" i="2"/>
  <c r="D2170" i="3"/>
  <c r="C2170" i="3"/>
  <c r="F2171" i="3"/>
  <c r="H2171" i="3"/>
  <c r="E2171" i="3"/>
  <c r="CK122" i="1" l="1"/>
  <c r="CL122" i="1" s="1"/>
  <c r="CI122" i="1"/>
  <c r="CJ122" i="1" s="1"/>
  <c r="CG122" i="1"/>
  <c r="CH122" i="1" s="1"/>
  <c r="CA122" i="1"/>
  <c r="CB122" i="1" s="1"/>
  <c r="BY122" i="1"/>
  <c r="BU122" i="1"/>
  <c r="BV122" i="1" s="1"/>
  <c r="BW122" i="1"/>
  <c r="BX122" i="1" s="1"/>
  <c r="CC122" i="1"/>
  <c r="CD122" i="1" s="1"/>
  <c r="BS122" i="1"/>
  <c r="BT122" i="1" s="1"/>
  <c r="DR122" i="1"/>
  <c r="BQ122" i="1"/>
  <c r="BO122" i="1"/>
  <c r="BP122" i="1" s="1"/>
  <c r="BM122" i="1"/>
  <c r="BN122" i="1" s="1"/>
  <c r="CY122" i="1"/>
  <c r="E2170" i="3"/>
  <c r="H2170" i="3"/>
  <c r="F2170" i="3"/>
  <c r="D2169" i="3"/>
  <c r="C2169" i="3"/>
  <c r="BZ122" i="1" l="1"/>
  <c r="CE122" i="1"/>
  <c r="CF122" i="1" s="1"/>
  <c r="DY122" i="1"/>
  <c r="DX122" i="1" s="1"/>
  <c r="DW122" i="1" s="1"/>
  <c r="CW122" i="1"/>
  <c r="ED122" i="1"/>
  <c r="EC122" i="1" s="1"/>
  <c r="EB122" i="1" s="1"/>
  <c r="CZ122" i="1"/>
  <c r="EE122" i="1" s="1"/>
  <c r="DP122" i="1"/>
  <c r="DS122" i="1"/>
  <c r="BR122" i="1"/>
  <c r="DT122" i="1"/>
  <c r="D2168" i="3"/>
  <c r="C2168" i="3"/>
  <c r="H2169" i="3"/>
  <c r="F2169" i="3"/>
  <c r="E2169" i="3"/>
  <c r="CU122" i="1" l="1"/>
  <c r="CR122" i="1" s="1"/>
  <c r="CX122" i="1"/>
  <c r="EA122" i="1"/>
  <c r="CT122" i="1" s="1"/>
  <c r="DZ122" i="1"/>
  <c r="CP122" i="1" s="1"/>
  <c r="DV122" i="1"/>
  <c r="CQ122" i="1" s="1"/>
  <c r="DU122" i="1"/>
  <c r="CM122" i="1" s="1"/>
  <c r="F2168" i="3"/>
  <c r="H2168" i="3"/>
  <c r="E2168" i="3"/>
  <c r="C2167" i="3"/>
  <c r="D2167" i="3"/>
  <c r="F2167" i="3" l="1"/>
  <c r="H2167" i="3"/>
  <c r="E2167" i="3"/>
  <c r="C2166" i="3"/>
  <c r="D2166" i="3"/>
  <c r="S88" i="1" l="1"/>
  <c r="C2165" i="3"/>
  <c r="D2165" i="3"/>
  <c r="H2166" i="3"/>
  <c r="F2166" i="3"/>
  <c r="E2166" i="3"/>
  <c r="E2165" i="3" l="1"/>
  <c r="D2164" i="3"/>
  <c r="C2164" i="3"/>
  <c r="H2165" i="3"/>
  <c r="F2165" i="3"/>
  <c r="H2164" i="3" l="1"/>
  <c r="F2164" i="3"/>
  <c r="D2163" i="3"/>
  <c r="C2163" i="3"/>
  <c r="E2164" i="3"/>
  <c r="H2163" i="3" l="1"/>
  <c r="F2163" i="3"/>
  <c r="E2163" i="3"/>
  <c r="C2162" i="3"/>
  <c r="D2162" i="3"/>
  <c r="E2162" i="3" l="1"/>
  <c r="D2161" i="3"/>
  <c r="C2161" i="3"/>
  <c r="F2162" i="3"/>
  <c r="H2162" i="3"/>
  <c r="H2161" i="3" l="1"/>
  <c r="F2161" i="3"/>
  <c r="U123" i="1" s="1"/>
  <c r="D2160" i="3"/>
  <c r="C2160" i="3"/>
  <c r="E2161" i="3"/>
  <c r="AE28" i="2" l="1"/>
  <c r="AQ28" i="2" s="1"/>
  <c r="R123" i="1"/>
  <c r="E2160" i="3"/>
  <c r="F2160" i="3"/>
  <c r="H2160" i="3"/>
  <c r="C2159" i="3"/>
  <c r="D2159" i="3"/>
  <c r="AG28" i="2" l="1"/>
  <c r="AF28" i="2"/>
  <c r="T123" i="1" s="1"/>
  <c r="BM123" i="1" s="1"/>
  <c r="BN123" i="1" s="1"/>
  <c r="BY123" i="1"/>
  <c r="CA123" i="1"/>
  <c r="CB123" i="1" s="1"/>
  <c r="CK123" i="1"/>
  <c r="CL123" i="1" s="1"/>
  <c r="CG123" i="1"/>
  <c r="CH123" i="1" s="1"/>
  <c r="CI123" i="1"/>
  <c r="CJ123" i="1" s="1"/>
  <c r="BS123" i="1"/>
  <c r="BT123" i="1" s="1"/>
  <c r="CC123" i="1"/>
  <c r="CD123" i="1" s="1"/>
  <c r="BU123" i="1"/>
  <c r="BV123" i="1" s="1"/>
  <c r="BW123" i="1"/>
  <c r="BX123" i="1" s="1"/>
  <c r="DR123" i="1"/>
  <c r="E2159" i="3"/>
  <c r="D2158" i="3"/>
  <c r="C2158" i="3"/>
  <c r="F2159" i="3"/>
  <c r="H2159" i="3"/>
  <c r="BQ123" i="1" l="1"/>
  <c r="CY123" i="1"/>
  <c r="DY123" i="1" s="1"/>
  <c r="DX123" i="1" s="1"/>
  <c r="DW123" i="1" s="1"/>
  <c r="BO123" i="1"/>
  <c r="BP123" i="1" s="1"/>
  <c r="BZ123" i="1"/>
  <c r="CE123" i="1"/>
  <c r="CF123" i="1" s="1"/>
  <c r="DS123" i="1"/>
  <c r="BR123" i="1"/>
  <c r="DT123" i="1"/>
  <c r="DP123" i="1"/>
  <c r="F2158" i="3"/>
  <c r="H2158" i="3"/>
  <c r="D2157" i="3"/>
  <c r="C2157" i="3"/>
  <c r="E2158" i="3"/>
  <c r="ED123" i="1" l="1"/>
  <c r="EC123" i="1" s="1"/>
  <c r="EB123" i="1" s="1"/>
  <c r="CW123" i="1"/>
  <c r="CZ123" i="1"/>
  <c r="DV123" i="1"/>
  <c r="CQ123" i="1" s="1"/>
  <c r="DU123" i="1"/>
  <c r="CM123" i="1" s="1"/>
  <c r="CU123" i="1"/>
  <c r="CR123" i="1" s="1"/>
  <c r="CX123" i="1"/>
  <c r="EA123" i="1"/>
  <c r="CT123" i="1" s="1"/>
  <c r="DZ123" i="1"/>
  <c r="CP123" i="1" s="1"/>
  <c r="E2157" i="3"/>
  <c r="F2157" i="3"/>
  <c r="H2157" i="3"/>
  <c r="D2156" i="3"/>
  <c r="C2156" i="3"/>
  <c r="C2155" i="3" l="1"/>
  <c r="D2155" i="3"/>
  <c r="E2156" i="3"/>
  <c r="H2156" i="3"/>
  <c r="F2156" i="3"/>
  <c r="E2155" i="3" l="1"/>
  <c r="D2154" i="3"/>
  <c r="C2154" i="3"/>
  <c r="F2155" i="3"/>
  <c r="U124" i="1" s="1"/>
  <c r="H2155" i="3"/>
  <c r="AE27" i="2" l="1"/>
  <c r="AF27" i="2" s="1"/>
  <c r="T124" i="1" s="1"/>
  <c r="R124" i="1"/>
  <c r="AG27" i="2"/>
  <c r="AQ27" i="2"/>
  <c r="S124" i="1" s="1"/>
  <c r="F2154" i="3"/>
  <c r="H2154" i="3"/>
  <c r="C2153" i="3"/>
  <c r="E2154" i="3"/>
  <c r="D2153" i="3"/>
  <c r="CG124" i="1" l="1"/>
  <c r="CH124" i="1" s="1"/>
  <c r="CA124" i="1"/>
  <c r="CB124" i="1" s="1"/>
  <c r="BY124" i="1"/>
  <c r="BW124" i="1"/>
  <c r="BX124" i="1" s="1"/>
  <c r="CI124" i="1"/>
  <c r="CJ124" i="1" s="1"/>
  <c r="CK124" i="1"/>
  <c r="CL124" i="1" s="1"/>
  <c r="BS124" i="1"/>
  <c r="BT124" i="1" s="1"/>
  <c r="CC124" i="1"/>
  <c r="CD124" i="1" s="1"/>
  <c r="BU124" i="1"/>
  <c r="BV124" i="1" s="1"/>
  <c r="DR124" i="1"/>
  <c r="BQ124" i="1"/>
  <c r="BM124" i="1"/>
  <c r="BN124" i="1" s="1"/>
  <c r="BO124" i="1"/>
  <c r="BP124" i="1" s="1"/>
  <c r="CY124" i="1"/>
  <c r="C2152" i="3"/>
  <c r="D2152" i="3"/>
  <c r="H2153" i="3"/>
  <c r="F2153" i="3"/>
  <c r="E2153" i="3"/>
  <c r="BZ124" i="1" l="1"/>
  <c r="CE124" i="1"/>
  <c r="CF124" i="1" s="1"/>
  <c r="DY124" i="1"/>
  <c r="DX124" i="1" s="1"/>
  <c r="DW124" i="1" s="1"/>
  <c r="CZ124" i="1"/>
  <c r="EE124" i="1" s="1"/>
  <c r="CW124" i="1"/>
  <c r="ED124" i="1"/>
  <c r="EC124" i="1" s="1"/>
  <c r="EB124" i="1" s="1"/>
  <c r="DP124" i="1"/>
  <c r="BR124" i="1"/>
  <c r="DS124" i="1"/>
  <c r="DT124" i="1"/>
  <c r="S82" i="1"/>
  <c r="E2152" i="3"/>
  <c r="C2151" i="3"/>
  <c r="D2151" i="3"/>
  <c r="H2152" i="3"/>
  <c r="F2152" i="3"/>
  <c r="EA124" i="1" l="1"/>
  <c r="CT124" i="1" s="1"/>
  <c r="DZ124" i="1"/>
  <c r="CP124" i="1" s="1"/>
  <c r="CU124" i="1"/>
  <c r="CR124" i="1" s="1"/>
  <c r="CX124" i="1"/>
  <c r="DV124" i="1"/>
  <c r="CQ124" i="1" s="1"/>
  <c r="DU124" i="1"/>
  <c r="CM124" i="1" s="1"/>
  <c r="E2151" i="3"/>
  <c r="D2150" i="3"/>
  <c r="C2150" i="3"/>
  <c r="F2151" i="3"/>
  <c r="U125" i="1" s="1"/>
  <c r="H2151" i="3"/>
  <c r="AE26" i="2" l="1"/>
  <c r="AG26" i="2" s="1"/>
  <c r="R125" i="1"/>
  <c r="AQ26" i="2"/>
  <c r="S125" i="1" s="1"/>
  <c r="AF26" i="2"/>
  <c r="T125" i="1" s="1"/>
  <c r="H2150" i="3"/>
  <c r="F2150" i="3"/>
  <c r="C2149" i="3"/>
  <c r="D2149" i="3"/>
  <c r="E2150" i="3"/>
  <c r="CA125" i="1" l="1"/>
  <c r="CB125" i="1" s="1"/>
  <c r="BY125" i="1"/>
  <c r="CG125" i="1"/>
  <c r="CH125" i="1" s="1"/>
  <c r="BU125" i="1"/>
  <c r="BV125" i="1" s="1"/>
  <c r="BW125" i="1"/>
  <c r="BX125" i="1" s="1"/>
  <c r="BS125" i="1"/>
  <c r="BT125" i="1" s="1"/>
  <c r="CI125" i="1"/>
  <c r="CJ125" i="1" s="1"/>
  <c r="CK125" i="1"/>
  <c r="CL125" i="1" s="1"/>
  <c r="CC125" i="1"/>
  <c r="CD125" i="1" s="1"/>
  <c r="DR125" i="1"/>
  <c r="BO125" i="1"/>
  <c r="BP125" i="1" s="1"/>
  <c r="CY125" i="1"/>
  <c r="BM125" i="1"/>
  <c r="BN125" i="1" s="1"/>
  <c r="BQ125" i="1"/>
  <c r="E2149" i="3"/>
  <c r="C2148" i="3"/>
  <c r="D2148" i="3"/>
  <c r="F2149" i="3"/>
  <c r="H2149" i="3"/>
  <c r="BZ125" i="1" l="1"/>
  <c r="CE125" i="1"/>
  <c r="CF125" i="1" s="1"/>
  <c r="DT125" i="1"/>
  <c r="DS125" i="1"/>
  <c r="BR125" i="1"/>
  <c r="ED125" i="1"/>
  <c r="EC125" i="1" s="1"/>
  <c r="EB125" i="1" s="1"/>
  <c r="DP125" i="1"/>
  <c r="DY125" i="1"/>
  <c r="DX125" i="1" s="1"/>
  <c r="DW125" i="1" s="1"/>
  <c r="CW125" i="1"/>
  <c r="CZ125" i="1"/>
  <c r="EE125" i="1" s="1"/>
  <c r="F2148" i="3"/>
  <c r="H2148" i="3"/>
  <c r="E2148" i="3"/>
  <c r="C2147" i="3"/>
  <c r="D2147" i="3"/>
  <c r="DU125" i="1" l="1"/>
  <c r="CM125" i="1" s="1"/>
  <c r="DV125" i="1"/>
  <c r="CQ125" i="1" s="1"/>
  <c r="CU125" i="1"/>
  <c r="CR125" i="1" s="1"/>
  <c r="CX125" i="1"/>
  <c r="EA125" i="1"/>
  <c r="CT125" i="1" s="1"/>
  <c r="DZ125" i="1"/>
  <c r="CP125" i="1" s="1"/>
  <c r="C2146" i="3"/>
  <c r="D2146" i="3"/>
  <c r="H2147" i="3"/>
  <c r="F2147" i="3"/>
  <c r="E2147" i="3"/>
  <c r="E2146" i="3" l="1"/>
  <c r="D2145" i="3"/>
  <c r="C2145" i="3"/>
  <c r="H2146" i="3"/>
  <c r="F2146" i="3"/>
  <c r="H2145" i="3" l="1"/>
  <c r="F2145" i="3"/>
  <c r="E2145" i="3"/>
  <c r="C2144" i="3"/>
  <c r="D2144" i="3"/>
  <c r="E2144" i="3" l="1"/>
  <c r="D2143" i="3"/>
  <c r="C2143" i="3"/>
  <c r="H2144" i="3"/>
  <c r="F2144" i="3"/>
  <c r="H2143" i="3" l="1"/>
  <c r="F2143" i="3"/>
  <c r="D2142" i="3"/>
  <c r="C2142" i="3"/>
  <c r="E2143" i="3"/>
  <c r="E2142" i="3" l="1"/>
  <c r="D2141" i="3"/>
  <c r="C2141" i="3"/>
  <c r="H2142" i="3"/>
  <c r="F2142" i="3"/>
  <c r="C2140" i="3" l="1"/>
  <c r="D2140" i="3"/>
  <c r="H2141" i="3"/>
  <c r="F2141" i="3"/>
  <c r="E2141" i="3"/>
  <c r="E2140" i="3" l="1"/>
  <c r="D2139" i="3"/>
  <c r="C2139" i="3"/>
  <c r="H2140" i="3"/>
  <c r="F2140" i="3"/>
  <c r="D2138" i="3" l="1"/>
  <c r="C2138" i="3"/>
  <c r="H2139" i="3"/>
  <c r="F2139" i="3"/>
  <c r="E2139" i="3"/>
  <c r="E2138" i="3" l="1"/>
  <c r="F2138" i="3"/>
  <c r="H2138" i="3"/>
  <c r="C2137" i="3"/>
  <c r="D2137" i="3"/>
  <c r="C2136" i="3" l="1"/>
  <c r="D2136" i="3"/>
  <c r="F2137" i="3"/>
  <c r="H2137" i="3"/>
  <c r="E2137" i="3"/>
  <c r="E2136" i="3" l="1"/>
  <c r="C2135" i="3"/>
  <c r="D2135" i="3"/>
  <c r="H2136" i="3"/>
  <c r="F2136" i="3"/>
  <c r="H2135" i="3" l="1"/>
  <c r="F2135" i="3"/>
  <c r="C2134" i="3"/>
  <c r="D2134" i="3"/>
  <c r="E2135" i="3"/>
  <c r="E2134" i="3" l="1"/>
  <c r="H2134" i="3"/>
  <c r="F2134" i="3"/>
  <c r="C2133" i="3"/>
  <c r="D2133" i="3"/>
  <c r="C2132" i="3" l="1"/>
  <c r="D2132" i="3"/>
  <c r="H2133" i="3"/>
  <c r="F2133" i="3"/>
  <c r="E2133" i="3"/>
  <c r="E2132" i="3" l="1"/>
  <c r="D2131" i="3"/>
  <c r="C2131" i="3"/>
  <c r="F2132" i="3"/>
  <c r="H2132" i="3"/>
  <c r="F2131" i="3" l="1"/>
  <c r="H2131" i="3"/>
  <c r="D2130" i="3"/>
  <c r="C2130" i="3"/>
  <c r="E2131" i="3"/>
  <c r="E2130" i="3" l="1"/>
  <c r="H2130" i="3"/>
  <c r="F2130" i="3"/>
  <c r="D2129" i="3"/>
  <c r="C2129" i="3"/>
  <c r="F2129" i="3" l="1"/>
  <c r="H2129" i="3"/>
  <c r="D2128" i="3"/>
  <c r="C2128" i="3"/>
  <c r="E2129" i="3"/>
  <c r="E2128" i="3" l="1"/>
  <c r="F2128" i="3"/>
  <c r="H2128" i="3"/>
  <c r="D2127" i="3"/>
  <c r="C2127" i="3"/>
  <c r="F2127" i="3" l="1"/>
  <c r="H2127" i="3"/>
  <c r="C2126" i="3"/>
  <c r="E2127" i="3"/>
  <c r="D2126" i="3"/>
  <c r="D2125" i="3" l="1"/>
  <c r="C2125" i="3"/>
  <c r="E2126" i="3"/>
  <c r="F2126" i="3"/>
  <c r="H2126" i="3"/>
  <c r="E2125" i="3" l="1"/>
  <c r="F2125" i="3"/>
  <c r="H2125" i="3"/>
  <c r="C2124" i="3"/>
  <c r="D2124" i="3"/>
  <c r="C2123" i="3" l="1"/>
  <c r="D2123" i="3"/>
  <c r="H2124" i="3"/>
  <c r="F2124" i="3"/>
  <c r="E2124" i="3"/>
  <c r="E2123" i="3" l="1"/>
  <c r="C2122" i="3"/>
  <c r="D2122" i="3"/>
  <c r="F2123" i="3"/>
  <c r="H2123" i="3"/>
  <c r="C2121" i="3" l="1"/>
  <c r="D2121" i="3"/>
  <c r="F2122" i="3"/>
  <c r="H2122" i="3"/>
  <c r="E2122" i="3"/>
  <c r="E2121" i="3" l="1"/>
  <c r="D2120" i="3"/>
  <c r="C2120" i="3"/>
  <c r="F2121" i="3"/>
  <c r="H2121" i="3"/>
  <c r="C2119" i="3" l="1"/>
  <c r="D2119" i="3"/>
  <c r="E2120" i="3"/>
  <c r="H2120" i="3"/>
  <c r="F2120" i="3"/>
  <c r="E2119" i="3" l="1"/>
  <c r="D2118" i="3"/>
  <c r="C2118" i="3"/>
  <c r="F2119" i="3"/>
  <c r="H2119" i="3"/>
  <c r="H2118" i="3" l="1"/>
  <c r="F2118" i="3"/>
  <c r="E2118" i="3"/>
  <c r="D2117" i="3"/>
  <c r="C2117" i="3"/>
  <c r="F2117" i="3" l="1"/>
  <c r="H2117" i="3"/>
  <c r="E2117" i="3"/>
  <c r="D2116" i="3"/>
  <c r="C2116" i="3"/>
  <c r="F2116" i="3" l="1"/>
  <c r="H2116" i="3"/>
  <c r="C2115" i="3"/>
  <c r="D2115" i="3"/>
  <c r="E2116" i="3"/>
  <c r="E2115" i="3" l="1"/>
  <c r="F2115" i="3"/>
  <c r="H2115" i="3"/>
  <c r="C2114" i="3"/>
  <c r="D2114" i="3"/>
  <c r="C2113" i="3" l="1"/>
  <c r="D2113" i="3"/>
  <c r="F2114" i="3"/>
  <c r="H2114" i="3"/>
  <c r="E2114" i="3"/>
  <c r="E2113" i="3" l="1"/>
  <c r="D2112" i="3"/>
  <c r="C2112" i="3"/>
  <c r="H2113" i="3"/>
  <c r="F2113" i="3"/>
  <c r="F2112" i="3" l="1"/>
  <c r="H2112" i="3"/>
  <c r="E2112" i="3"/>
  <c r="C2111" i="3"/>
  <c r="D2111" i="3"/>
  <c r="D2110" i="3" l="1"/>
  <c r="C2110" i="3"/>
  <c r="F2111" i="3"/>
  <c r="H2111" i="3"/>
  <c r="E2111" i="3"/>
  <c r="E2110" i="3" l="1"/>
  <c r="H2110" i="3"/>
  <c r="F2110" i="3"/>
  <c r="C2109" i="3"/>
  <c r="D2109" i="3"/>
  <c r="D2108" i="3" l="1"/>
  <c r="E2109" i="3"/>
  <c r="C2108" i="3"/>
  <c r="H2109" i="3"/>
  <c r="F2109" i="3"/>
  <c r="F2108" i="3" l="1"/>
  <c r="H2108" i="3"/>
  <c r="E2108" i="3"/>
  <c r="D2107" i="3"/>
  <c r="C2107" i="3"/>
  <c r="H2107" i="3" l="1"/>
  <c r="F2107" i="3"/>
  <c r="E2107" i="3"/>
  <c r="C2106" i="3"/>
  <c r="D2106" i="3"/>
  <c r="C2105" i="3" l="1"/>
  <c r="D2105" i="3"/>
  <c r="F2106" i="3"/>
  <c r="H2106" i="3"/>
  <c r="E2106" i="3"/>
  <c r="E2105" i="3" l="1"/>
  <c r="D2104" i="3"/>
  <c r="C2104" i="3"/>
  <c r="H2105" i="3"/>
  <c r="F2105" i="3"/>
  <c r="F2104" i="3" l="1"/>
  <c r="H2104" i="3"/>
  <c r="C2103" i="3"/>
  <c r="D2103" i="3"/>
  <c r="E2104" i="3"/>
  <c r="E2103" i="3" l="1"/>
  <c r="D2102" i="3"/>
  <c r="C2102" i="3"/>
  <c r="F2103" i="3"/>
  <c r="H2103" i="3"/>
  <c r="H2102" i="3" l="1"/>
  <c r="F2102" i="3"/>
  <c r="U126" i="1" s="1"/>
  <c r="E2102" i="3"/>
  <c r="D2101" i="3"/>
  <c r="C2101" i="3"/>
  <c r="AE25" i="2" l="1"/>
  <c r="AG25" i="2" s="1"/>
  <c r="R126" i="1"/>
  <c r="F2101" i="3"/>
  <c r="H2101" i="3"/>
  <c r="C2100" i="3"/>
  <c r="D2100" i="3"/>
  <c r="E2101" i="3"/>
  <c r="AF25" i="2" l="1"/>
  <c r="T126" i="1" s="1"/>
  <c r="AQ25" i="2"/>
  <c r="S126" i="1" s="1"/>
  <c r="CG126" i="1"/>
  <c r="CH126" i="1" s="1"/>
  <c r="CC126" i="1"/>
  <c r="CD126" i="1" s="1"/>
  <c r="CA126" i="1"/>
  <c r="CB126" i="1" s="1"/>
  <c r="CK126" i="1"/>
  <c r="CL126" i="1" s="1"/>
  <c r="BU126" i="1"/>
  <c r="BV126" i="1" s="1"/>
  <c r="BY126" i="1"/>
  <c r="BS126" i="1"/>
  <c r="BT126" i="1" s="1"/>
  <c r="BW126" i="1"/>
  <c r="BX126" i="1" s="1"/>
  <c r="CI126" i="1"/>
  <c r="CJ126" i="1" s="1"/>
  <c r="DR126" i="1"/>
  <c r="BO126" i="1"/>
  <c r="BP126" i="1" s="1"/>
  <c r="BM126" i="1"/>
  <c r="BN126" i="1" s="1"/>
  <c r="BQ126" i="1"/>
  <c r="CY126" i="1"/>
  <c r="E2100" i="3"/>
  <c r="C2099" i="3"/>
  <c r="D2099" i="3"/>
  <c r="F2100" i="3"/>
  <c r="H2100" i="3"/>
  <c r="BZ126" i="1" l="1"/>
  <c r="CE126" i="1"/>
  <c r="CF126" i="1" s="1"/>
  <c r="DY126" i="1"/>
  <c r="DX126" i="1" s="1"/>
  <c r="DW126" i="1" s="1"/>
  <c r="CW126" i="1"/>
  <c r="CZ126" i="1"/>
  <c r="DP126" i="1"/>
  <c r="ED126" i="1"/>
  <c r="EC126" i="1" s="1"/>
  <c r="EB126" i="1" s="1"/>
  <c r="DS126" i="1"/>
  <c r="BR126" i="1"/>
  <c r="DT126" i="1"/>
  <c r="C2098" i="3"/>
  <c r="D2098" i="3"/>
  <c r="F2099" i="3"/>
  <c r="H2099" i="3"/>
  <c r="E2099" i="3"/>
  <c r="EA126" i="1" l="1"/>
  <c r="CT126" i="1" s="1"/>
  <c r="DZ126" i="1"/>
  <c r="CP126" i="1" s="1"/>
  <c r="CU126" i="1"/>
  <c r="CR126" i="1" s="1"/>
  <c r="CX126" i="1"/>
  <c r="DV126" i="1"/>
  <c r="CQ126" i="1" s="1"/>
  <c r="DU126" i="1"/>
  <c r="CM126" i="1" s="1"/>
  <c r="E2098" i="3"/>
  <c r="D2097" i="3"/>
  <c r="C2097" i="3"/>
  <c r="H2098" i="3"/>
  <c r="F2098" i="3"/>
  <c r="F2097" i="3" l="1"/>
  <c r="H2097" i="3"/>
  <c r="C2096" i="3"/>
  <c r="D2096" i="3"/>
  <c r="E2097" i="3"/>
  <c r="E2096" i="3" l="1"/>
  <c r="D2095" i="3"/>
  <c r="C2095" i="3"/>
  <c r="F2096" i="3"/>
  <c r="H2096" i="3"/>
  <c r="H2095" i="3" l="1"/>
  <c r="F2095" i="3"/>
  <c r="D2094" i="3"/>
  <c r="C2094" i="3"/>
  <c r="E2095" i="3"/>
  <c r="E2094" i="3" l="1"/>
  <c r="H2094" i="3"/>
  <c r="F2094" i="3"/>
  <c r="C2093" i="3"/>
  <c r="D2093" i="3"/>
  <c r="C2092" i="3" l="1"/>
  <c r="D2092" i="3"/>
  <c r="H2093" i="3"/>
  <c r="F2093" i="3"/>
  <c r="U127" i="1" s="1"/>
  <c r="E2093" i="3"/>
  <c r="AE24" i="2" l="1"/>
  <c r="AQ24" i="2" s="1"/>
  <c r="S127" i="1" s="1"/>
  <c r="R127" i="1"/>
  <c r="E2092" i="3"/>
  <c r="C2091" i="3"/>
  <c r="D2091" i="3"/>
  <c r="H2092" i="3"/>
  <c r="F2092" i="3"/>
  <c r="AG24" i="2" l="1"/>
  <c r="AF24" i="2"/>
  <c r="T127" i="1" s="1"/>
  <c r="BM127" i="1" s="1"/>
  <c r="BN127" i="1" s="1"/>
  <c r="BS127" i="1"/>
  <c r="BT127" i="1" s="1"/>
  <c r="DR127" i="1"/>
  <c r="CC127" i="1"/>
  <c r="CD127" i="1" s="1"/>
  <c r="CK127" i="1"/>
  <c r="CL127" i="1" s="1"/>
  <c r="CG127" i="1"/>
  <c r="CH127" i="1" s="1"/>
  <c r="CI127" i="1"/>
  <c r="CJ127" i="1" s="1"/>
  <c r="BW127" i="1"/>
  <c r="BX127" i="1" s="1"/>
  <c r="BU127" i="1"/>
  <c r="BV127" i="1" s="1"/>
  <c r="CA127" i="1"/>
  <c r="CB127" i="1" s="1"/>
  <c r="BY127" i="1"/>
  <c r="C2090" i="3"/>
  <c r="D2090" i="3"/>
  <c r="F2091" i="3"/>
  <c r="H2091" i="3"/>
  <c r="E2091" i="3"/>
  <c r="BZ127" i="1" l="1"/>
  <c r="CE127" i="1"/>
  <c r="CF127" i="1" s="1"/>
  <c r="CY127" i="1"/>
  <c r="ED127" i="1" s="1"/>
  <c r="EC127" i="1" s="1"/>
  <c r="EB127" i="1" s="1"/>
  <c r="BQ127" i="1"/>
  <c r="DS127" i="1" s="1"/>
  <c r="BO127" i="1"/>
  <c r="BP127" i="1" s="1"/>
  <c r="S99" i="1"/>
  <c r="E2090" i="3"/>
  <c r="D2089" i="3"/>
  <c r="C2089" i="3"/>
  <c r="H2090" i="3"/>
  <c r="F2090" i="3"/>
  <c r="DY127" i="1" l="1"/>
  <c r="DX127" i="1" s="1"/>
  <c r="DW127" i="1" s="1"/>
  <c r="DP127" i="1"/>
  <c r="CW127" i="1"/>
  <c r="CX127" i="1" s="1"/>
  <c r="CZ127" i="1"/>
  <c r="EE127" i="1" s="1"/>
  <c r="BR127" i="1"/>
  <c r="DT127" i="1"/>
  <c r="DU127" i="1"/>
  <c r="CM127" i="1" s="1"/>
  <c r="DV127" i="1"/>
  <c r="CQ127" i="1" s="1"/>
  <c r="EA127" i="1"/>
  <c r="CT127" i="1" s="1"/>
  <c r="DZ127" i="1"/>
  <c r="CP127" i="1" s="1"/>
  <c r="F2089" i="3"/>
  <c r="U128" i="1" s="1"/>
  <c r="H2089" i="3"/>
  <c r="D2088" i="3"/>
  <c r="E2089" i="3"/>
  <c r="C2088" i="3"/>
  <c r="S31" i="1"/>
  <c r="CU127" i="1" l="1"/>
  <c r="AE23" i="2"/>
  <c r="R128" i="1"/>
  <c r="CR127" i="1"/>
  <c r="CN127" i="1"/>
  <c r="CV127" i="1"/>
  <c r="AQ23" i="2"/>
  <c r="S128" i="1" s="1"/>
  <c r="AF23" i="2"/>
  <c r="T128" i="1" s="1"/>
  <c r="AG23" i="2"/>
  <c r="H2088" i="3"/>
  <c r="F2088" i="3"/>
  <c r="E2088" i="3"/>
  <c r="D2087" i="3"/>
  <c r="C2087" i="3"/>
  <c r="CK128" i="1" l="1"/>
  <c r="CL128" i="1" s="1"/>
  <c r="BY128" i="1"/>
  <c r="CG128" i="1"/>
  <c r="CH128" i="1" s="1"/>
  <c r="BS128" i="1"/>
  <c r="BT128" i="1" s="1"/>
  <c r="CA128" i="1"/>
  <c r="CB128" i="1" s="1"/>
  <c r="BU128" i="1"/>
  <c r="BV128" i="1" s="1"/>
  <c r="CI128" i="1"/>
  <c r="CJ128" i="1" s="1"/>
  <c r="CC128" i="1"/>
  <c r="CD128" i="1" s="1"/>
  <c r="BW128" i="1"/>
  <c r="BX128" i="1" s="1"/>
  <c r="DR128" i="1"/>
  <c r="DH127" i="1"/>
  <c r="DI127" i="1"/>
  <c r="CO127" i="1"/>
  <c r="BO128" i="1"/>
  <c r="BP128" i="1" s="1"/>
  <c r="BM128" i="1"/>
  <c r="BN128" i="1" s="1"/>
  <c r="BQ128" i="1"/>
  <c r="CY128" i="1"/>
  <c r="S90" i="1"/>
  <c r="E2087" i="3"/>
  <c r="F2087" i="3"/>
  <c r="H2087" i="3"/>
  <c r="C2086" i="3"/>
  <c r="D2086" i="3"/>
  <c r="BZ128" i="1" l="1"/>
  <c r="CE128" i="1"/>
  <c r="CF128" i="1" s="1"/>
  <c r="DL127" i="1"/>
  <c r="DJ127" i="1"/>
  <c r="DK127" i="1"/>
  <c r="DY128" i="1"/>
  <c r="DX128" i="1" s="1"/>
  <c r="DW128" i="1" s="1"/>
  <c r="CW128" i="1"/>
  <c r="ED128" i="1"/>
  <c r="EC128" i="1" s="1"/>
  <c r="EB128" i="1" s="1"/>
  <c r="CZ128" i="1"/>
  <c r="EE128" i="1" s="1"/>
  <c r="DP128" i="1"/>
  <c r="DS128" i="1"/>
  <c r="DT128" i="1"/>
  <c r="BR128" i="1"/>
  <c r="D2085" i="3"/>
  <c r="C2085" i="3"/>
  <c r="E2086" i="3"/>
  <c r="F2086" i="3"/>
  <c r="H2086" i="3"/>
  <c r="DM127" i="1" l="1"/>
  <c r="DN127" i="1" s="1"/>
  <c r="DO127" i="1" s="1"/>
  <c r="EA128" i="1"/>
  <c r="CT128" i="1" s="1"/>
  <c r="DZ128" i="1"/>
  <c r="CP128" i="1" s="1"/>
  <c r="CU128" i="1"/>
  <c r="CR128" i="1" s="1"/>
  <c r="CX128" i="1"/>
  <c r="DV128" i="1"/>
  <c r="CQ128" i="1" s="1"/>
  <c r="DU128" i="1"/>
  <c r="CM128" i="1" s="1"/>
  <c r="E2085" i="3"/>
  <c r="H2085" i="3"/>
  <c r="F2085" i="3"/>
  <c r="D2084" i="3"/>
  <c r="C2084" i="3"/>
  <c r="DQ127" i="1" l="1"/>
  <c r="F2084" i="3"/>
  <c r="H2084" i="3"/>
  <c r="D2083" i="3"/>
  <c r="E2084" i="3"/>
  <c r="C2083" i="3"/>
  <c r="CY59" i="1" l="1"/>
  <c r="CC59" i="1"/>
  <c r="CI59" i="1"/>
  <c r="CJ59" i="1" s="1"/>
  <c r="CK59" i="1"/>
  <c r="CA59" i="1"/>
  <c r="CB59" i="1" s="1"/>
  <c r="BS59" i="1"/>
  <c r="CG59" i="1"/>
  <c r="BW59" i="1"/>
  <c r="BU59" i="1"/>
  <c r="BV59" i="1" s="1"/>
  <c r="BY59" i="1"/>
  <c r="CE59" i="1" s="1"/>
  <c r="CF59" i="1" s="1"/>
  <c r="E2083" i="3"/>
  <c r="H2083" i="3"/>
  <c r="F2083" i="3"/>
  <c r="C2082" i="3"/>
  <c r="D2082" i="3"/>
  <c r="DR59" i="1"/>
  <c r="DY59" i="1" l="1"/>
  <c r="CW59" i="1"/>
  <c r="CU59" i="1" s="1"/>
  <c r="CR59" i="1" s="1"/>
  <c r="ED59" i="1"/>
  <c r="CL59" i="1"/>
  <c r="BX59" i="1"/>
  <c r="CD59" i="1"/>
  <c r="CH59" i="1"/>
  <c r="BZ59" i="1"/>
  <c r="BT59" i="1"/>
  <c r="C2081" i="3"/>
  <c r="D2081" i="3"/>
  <c r="F2082" i="3"/>
  <c r="H2082" i="3"/>
  <c r="E2082" i="3"/>
  <c r="CZ59" i="1"/>
  <c r="DP59" i="1"/>
  <c r="EC59" i="1" l="1"/>
  <c r="EB59" i="1" s="1"/>
  <c r="DX59" i="1"/>
  <c r="DW59" i="1" s="1"/>
  <c r="DV59" i="1" s="1"/>
  <c r="U59" i="1"/>
  <c r="BO59" i="1" s="1"/>
  <c r="BP59" i="1" s="1"/>
  <c r="E2081" i="3"/>
  <c r="C2080" i="3"/>
  <c r="D2080" i="3"/>
  <c r="H2081" i="3"/>
  <c r="F2081" i="3"/>
  <c r="CX59" i="1"/>
  <c r="DZ59" i="1" l="1"/>
  <c r="EA59" i="1"/>
  <c r="DU59" i="1"/>
  <c r="BM59" i="1"/>
  <c r="BN59" i="1" s="1"/>
  <c r="BQ59" i="1"/>
  <c r="D2079" i="3"/>
  <c r="C2079" i="3"/>
  <c r="F2080" i="3"/>
  <c r="H2080" i="3"/>
  <c r="E2080" i="3"/>
  <c r="BR59" i="1" l="1"/>
  <c r="DT59" i="1"/>
  <c r="DS59" i="1"/>
  <c r="E2079" i="3"/>
  <c r="H2079" i="3"/>
  <c r="F2079" i="3"/>
  <c r="D2078" i="3"/>
  <c r="C2078" i="3"/>
  <c r="CQ59" i="1"/>
  <c r="CT59" i="1"/>
  <c r="H2078" i="3" l="1"/>
  <c r="F2078" i="3"/>
  <c r="E2078" i="3"/>
  <c r="C2077" i="3"/>
  <c r="D2077" i="3"/>
  <c r="CP59" i="1"/>
  <c r="CM59" i="1"/>
  <c r="D2076" i="3" l="1"/>
  <c r="C2076" i="3"/>
  <c r="H2077" i="3"/>
  <c r="F2077" i="3"/>
  <c r="E2077" i="3"/>
  <c r="E2076" i="3" l="1"/>
  <c r="F2076" i="3"/>
  <c r="H2076" i="3"/>
  <c r="C2075" i="3"/>
  <c r="D2075" i="3"/>
  <c r="S100" i="1"/>
  <c r="S123" i="1" l="1"/>
  <c r="D2074" i="3"/>
  <c r="C2074" i="3"/>
  <c r="F2075" i="3"/>
  <c r="H2075" i="3"/>
  <c r="E2075" i="3"/>
  <c r="EE59" i="1"/>
  <c r="E2074" i="3" l="1"/>
  <c r="F2074" i="3"/>
  <c r="H2074" i="3"/>
  <c r="D2073" i="3"/>
  <c r="C2073" i="3"/>
  <c r="F2073" i="3" l="1"/>
  <c r="U129" i="1" s="1"/>
  <c r="H2073" i="3"/>
  <c r="C2072" i="3"/>
  <c r="D2072" i="3"/>
  <c r="E2073" i="3"/>
  <c r="AE22" i="2" l="1"/>
  <c r="AQ22" i="2" s="1"/>
  <c r="S129" i="1" s="1"/>
  <c r="R129" i="1"/>
  <c r="AG22" i="2"/>
  <c r="S45" i="1"/>
  <c r="S78" i="1"/>
  <c r="S120" i="1"/>
  <c r="E2072" i="3"/>
  <c r="D2071" i="3"/>
  <c r="C2071" i="3"/>
  <c r="H2072" i="3"/>
  <c r="F2072" i="3"/>
  <c r="AF22" i="2" l="1"/>
  <c r="T129" i="1" s="1"/>
  <c r="BQ129" i="1" s="1"/>
  <c r="CK129" i="1"/>
  <c r="CL129" i="1" s="1"/>
  <c r="CC129" i="1"/>
  <c r="CD129" i="1" s="1"/>
  <c r="BY129" i="1"/>
  <c r="CI129" i="1"/>
  <c r="CJ129" i="1" s="1"/>
  <c r="CA129" i="1"/>
  <c r="CB129" i="1" s="1"/>
  <c r="CG129" i="1"/>
  <c r="CH129" i="1" s="1"/>
  <c r="BU129" i="1"/>
  <c r="BV129" i="1" s="1"/>
  <c r="BS129" i="1"/>
  <c r="BT129" i="1" s="1"/>
  <c r="BW129" i="1"/>
  <c r="BX129" i="1" s="1"/>
  <c r="DR129" i="1"/>
  <c r="F2071" i="3"/>
  <c r="H2071" i="3"/>
  <c r="D2070" i="3"/>
  <c r="C2070" i="3"/>
  <c r="E2071" i="3"/>
  <c r="BM129" i="1" l="1"/>
  <c r="BN129" i="1" s="1"/>
  <c r="BZ129" i="1"/>
  <c r="CE129" i="1"/>
  <c r="CF129" i="1" s="1"/>
  <c r="BO129" i="1"/>
  <c r="BP129" i="1" s="1"/>
  <c r="CY129" i="1"/>
  <c r="ED129" i="1" s="1"/>
  <c r="EC129" i="1" s="1"/>
  <c r="EB129" i="1" s="1"/>
  <c r="DS129" i="1"/>
  <c r="BR129" i="1"/>
  <c r="DT129" i="1"/>
  <c r="E2070" i="3"/>
  <c r="H2070" i="3"/>
  <c r="F2070" i="3"/>
  <c r="D2069" i="3"/>
  <c r="C2069" i="3"/>
  <c r="CW129" i="1" l="1"/>
  <c r="DY129" i="1"/>
  <c r="DX129" i="1" s="1"/>
  <c r="DW129" i="1" s="1"/>
  <c r="DP129" i="1"/>
  <c r="CZ129" i="1"/>
  <c r="U130" i="1"/>
  <c r="U131" i="1"/>
  <c r="U132" i="1"/>
  <c r="R130" i="1"/>
  <c r="R131" i="1"/>
  <c r="R132" i="1"/>
  <c r="DV129" i="1"/>
  <c r="CQ129" i="1" s="1"/>
  <c r="DU129" i="1"/>
  <c r="CM129" i="1" s="1"/>
  <c r="CU129" i="1"/>
  <c r="CR129" i="1" s="1"/>
  <c r="CX129" i="1"/>
  <c r="DZ129" i="1"/>
  <c r="CP129" i="1" s="1"/>
  <c r="EA129" i="1"/>
  <c r="CT129" i="1" s="1"/>
  <c r="AE19" i="2"/>
  <c r="AE21" i="2"/>
  <c r="AE20" i="2"/>
  <c r="H2069" i="3"/>
  <c r="F2069" i="3"/>
  <c r="E2069" i="3"/>
  <c r="C2068" i="3"/>
  <c r="D2068" i="3"/>
  <c r="CK132" i="1" l="1"/>
  <c r="CL132" i="1" s="1"/>
  <c r="CI132" i="1"/>
  <c r="CJ132" i="1" s="1"/>
  <c r="CG132" i="1"/>
  <c r="CH132" i="1" s="1"/>
  <c r="CC132" i="1"/>
  <c r="CD132" i="1" s="1"/>
  <c r="CA132" i="1"/>
  <c r="CB132" i="1" s="1"/>
  <c r="BS132" i="1"/>
  <c r="BT132" i="1" s="1"/>
  <c r="BY132" i="1"/>
  <c r="BU132" i="1"/>
  <c r="BV132" i="1" s="1"/>
  <c r="BW132" i="1"/>
  <c r="BX132" i="1" s="1"/>
  <c r="DR132" i="1"/>
  <c r="CI131" i="1"/>
  <c r="CJ131" i="1" s="1"/>
  <c r="CC131" i="1"/>
  <c r="CD131" i="1" s="1"/>
  <c r="CK131" i="1"/>
  <c r="CL131" i="1" s="1"/>
  <c r="CG131" i="1"/>
  <c r="CH131" i="1" s="1"/>
  <c r="BU131" i="1"/>
  <c r="BV131" i="1" s="1"/>
  <c r="CA131" i="1"/>
  <c r="CB131" i="1" s="1"/>
  <c r="BW131" i="1"/>
  <c r="BX131" i="1" s="1"/>
  <c r="BY131" i="1"/>
  <c r="BS131" i="1"/>
  <c r="BT131" i="1" s="1"/>
  <c r="DR131" i="1"/>
  <c r="CI130" i="1"/>
  <c r="CJ130" i="1" s="1"/>
  <c r="BY130" i="1"/>
  <c r="CK130" i="1"/>
  <c r="CL130" i="1" s="1"/>
  <c r="CC130" i="1"/>
  <c r="CD130" i="1" s="1"/>
  <c r="BU130" i="1"/>
  <c r="BV130" i="1" s="1"/>
  <c r="CA130" i="1"/>
  <c r="CB130" i="1" s="1"/>
  <c r="BW130" i="1"/>
  <c r="BX130" i="1" s="1"/>
  <c r="CG130" i="1"/>
  <c r="CH130" i="1" s="1"/>
  <c r="BS130" i="1"/>
  <c r="BT130" i="1" s="1"/>
  <c r="DR130" i="1"/>
  <c r="AQ21" i="2"/>
  <c r="S131" i="1" s="1"/>
  <c r="AF21" i="2"/>
  <c r="T131" i="1" s="1"/>
  <c r="AG21" i="2"/>
  <c r="AQ20" i="2"/>
  <c r="S132" i="1" s="1"/>
  <c r="AG20" i="2"/>
  <c r="AF20" i="2"/>
  <c r="T132" i="1" s="1"/>
  <c r="AQ19" i="2"/>
  <c r="S130" i="1" s="1"/>
  <c r="AF19" i="2"/>
  <c r="T130" i="1" s="1"/>
  <c r="AG19" i="2"/>
  <c r="D2067" i="3"/>
  <c r="C2067" i="3"/>
  <c r="F2068" i="3"/>
  <c r="H2068" i="3"/>
  <c r="E2068" i="3"/>
  <c r="BZ130" i="1" l="1"/>
  <c r="CE130" i="1"/>
  <c r="CF130" i="1" s="1"/>
  <c r="BZ131" i="1"/>
  <c r="CE131" i="1"/>
  <c r="CF131" i="1" s="1"/>
  <c r="BZ132" i="1"/>
  <c r="CE132" i="1"/>
  <c r="CF132" i="1" s="1"/>
  <c r="CY130" i="1"/>
  <c r="BQ130" i="1"/>
  <c r="BO130" i="1"/>
  <c r="BP130" i="1" s="1"/>
  <c r="BM130" i="1"/>
  <c r="BN130" i="1" s="1"/>
  <c r="BQ132" i="1"/>
  <c r="BO132" i="1"/>
  <c r="BP132" i="1" s="1"/>
  <c r="BM132" i="1"/>
  <c r="BN132" i="1" s="1"/>
  <c r="CY132" i="1"/>
  <c r="BQ131" i="1"/>
  <c r="BM131" i="1"/>
  <c r="BN131" i="1" s="1"/>
  <c r="BO131" i="1"/>
  <c r="BP131" i="1" s="1"/>
  <c r="CY131" i="1"/>
  <c r="E2067" i="3"/>
  <c r="H2067" i="3"/>
  <c r="F2067" i="3"/>
  <c r="D2066" i="3"/>
  <c r="C2066" i="3"/>
  <c r="DY132" i="1" l="1"/>
  <c r="DX132" i="1" s="1"/>
  <c r="DW132" i="1" s="1"/>
  <c r="ED132" i="1"/>
  <c r="EC132" i="1" s="1"/>
  <c r="EB132" i="1" s="1"/>
  <c r="CW132" i="1"/>
  <c r="DP132" i="1"/>
  <c r="CZ132" i="1"/>
  <c r="EE132" i="1" s="1"/>
  <c r="DS131" i="1"/>
  <c r="DT131" i="1"/>
  <c r="BR131" i="1"/>
  <c r="DS130" i="1"/>
  <c r="BR130" i="1"/>
  <c r="DT130" i="1"/>
  <c r="DP131" i="1"/>
  <c r="CZ131" i="1"/>
  <c r="DY131" i="1"/>
  <c r="DX131" i="1" s="1"/>
  <c r="DW131" i="1" s="1"/>
  <c r="ED131" i="1"/>
  <c r="EC131" i="1" s="1"/>
  <c r="EB131" i="1" s="1"/>
  <c r="CW131" i="1"/>
  <c r="DT132" i="1"/>
  <c r="BR132" i="1"/>
  <c r="DS132" i="1"/>
  <c r="ED130" i="1"/>
  <c r="EC130" i="1" s="1"/>
  <c r="EB130" i="1" s="1"/>
  <c r="DP130" i="1"/>
  <c r="CZ130" i="1"/>
  <c r="EE130" i="1" s="1"/>
  <c r="CW130" i="1"/>
  <c r="DY130" i="1"/>
  <c r="DX130" i="1" s="1"/>
  <c r="DW130" i="1" s="1"/>
  <c r="F2066" i="3"/>
  <c r="H2066" i="3"/>
  <c r="E2066" i="3"/>
  <c r="C2065" i="3"/>
  <c r="D2065" i="3"/>
  <c r="DZ132" i="1" l="1"/>
  <c r="CP132" i="1" s="1"/>
  <c r="EA132" i="1"/>
  <c r="CT132" i="1" s="1"/>
  <c r="CU131" i="1"/>
  <c r="CR131" i="1" s="1"/>
  <c r="CX131" i="1"/>
  <c r="EA131" i="1"/>
  <c r="CT131" i="1" s="1"/>
  <c r="DZ131" i="1"/>
  <c r="CP131" i="1" s="1"/>
  <c r="DV131" i="1"/>
  <c r="CQ131" i="1" s="1"/>
  <c r="DU131" i="1"/>
  <c r="CM131" i="1" s="1"/>
  <c r="DU130" i="1"/>
  <c r="CM130" i="1" s="1"/>
  <c r="DV130" i="1"/>
  <c r="CQ130" i="1" s="1"/>
  <c r="CU130" i="1"/>
  <c r="CR130" i="1" s="1"/>
  <c r="CX130" i="1"/>
  <c r="EA130" i="1"/>
  <c r="CT130" i="1" s="1"/>
  <c r="DZ130" i="1"/>
  <c r="CP130" i="1" s="1"/>
  <c r="CU132" i="1"/>
  <c r="CR132" i="1" s="1"/>
  <c r="CX132" i="1"/>
  <c r="DV132" i="1"/>
  <c r="CQ132" i="1" s="1"/>
  <c r="DU132" i="1"/>
  <c r="CM132" i="1" s="1"/>
  <c r="C2064" i="3"/>
  <c r="D2064" i="3"/>
  <c r="F2065" i="3"/>
  <c r="H2065" i="3"/>
  <c r="E2065" i="3"/>
  <c r="E2064" i="3" l="1"/>
  <c r="C2063" i="3"/>
  <c r="D2063" i="3"/>
  <c r="H2064" i="3"/>
  <c r="F2064" i="3"/>
  <c r="D2062" i="3" l="1"/>
  <c r="C2062" i="3"/>
  <c r="H2063" i="3"/>
  <c r="F2063" i="3"/>
  <c r="E2063" i="3"/>
  <c r="E2062" i="3" l="1"/>
  <c r="H2062" i="3"/>
  <c r="F2062" i="3"/>
  <c r="C2061" i="3"/>
  <c r="D2061" i="3"/>
  <c r="F2061" i="3" l="1"/>
  <c r="H2061" i="3"/>
  <c r="D2060" i="3"/>
  <c r="C2060" i="3"/>
  <c r="E2061" i="3"/>
  <c r="E2060" i="3" l="1"/>
  <c r="H2060" i="3"/>
  <c r="F2060" i="3"/>
  <c r="C2059" i="3"/>
  <c r="D2059" i="3"/>
  <c r="D2058" i="3" l="1"/>
  <c r="C2058" i="3"/>
  <c r="H2059" i="3"/>
  <c r="F2059" i="3"/>
  <c r="E2059" i="3"/>
  <c r="E2058" i="3" l="1"/>
  <c r="H2058" i="3"/>
  <c r="F2058" i="3"/>
  <c r="D2057" i="3"/>
  <c r="C2057" i="3"/>
  <c r="H2057" i="3" l="1"/>
  <c r="F2057" i="3"/>
  <c r="C2056" i="3"/>
  <c r="D2056" i="3"/>
  <c r="E2057" i="3"/>
  <c r="D2055" i="3" l="1"/>
  <c r="C2055" i="3"/>
  <c r="H2056" i="3"/>
  <c r="F2056" i="3"/>
  <c r="E2056" i="3"/>
  <c r="E2055" i="3" l="1"/>
  <c r="H2055" i="3"/>
  <c r="F2055" i="3"/>
  <c r="C2054" i="3"/>
  <c r="D2054" i="3"/>
  <c r="F2054" i="3" l="1"/>
  <c r="H2054" i="3"/>
  <c r="C2053" i="3"/>
  <c r="D2053" i="3"/>
  <c r="E2054" i="3"/>
  <c r="E2053" i="3" l="1"/>
  <c r="C2052" i="3"/>
  <c r="D2052" i="3"/>
  <c r="F2053" i="3"/>
  <c r="H2053" i="3"/>
  <c r="C2051" i="3" l="1"/>
  <c r="D2051" i="3"/>
  <c r="H2052" i="3"/>
  <c r="F2052" i="3"/>
  <c r="E2052" i="3"/>
  <c r="E2051" i="3" l="1"/>
  <c r="D2050" i="3"/>
  <c r="C2050" i="3"/>
  <c r="H2051" i="3"/>
  <c r="F2051" i="3"/>
  <c r="F2050" i="3" l="1"/>
  <c r="H2050" i="3"/>
  <c r="C2049" i="3"/>
  <c r="D2049" i="3"/>
  <c r="E2050" i="3"/>
  <c r="S58" i="1" l="1"/>
  <c r="S37" i="1"/>
  <c r="S59" i="1"/>
  <c r="D2048" i="3"/>
  <c r="C2048" i="3"/>
  <c r="H2049" i="3"/>
  <c r="F2049" i="3"/>
  <c r="E2049" i="3"/>
  <c r="E2048" i="3" l="1"/>
  <c r="F2048" i="3"/>
  <c r="H2048" i="3"/>
  <c r="C2047" i="3"/>
  <c r="D2047" i="3"/>
  <c r="C2046" i="3" l="1"/>
  <c r="E2047" i="3"/>
  <c r="D2046" i="3"/>
  <c r="F2047" i="3"/>
  <c r="H2047" i="3"/>
  <c r="D2045" i="3" l="1"/>
  <c r="C2045" i="3"/>
  <c r="E2046" i="3"/>
  <c r="H2046" i="3"/>
  <c r="F2046" i="3"/>
  <c r="E2045" i="3" l="1"/>
  <c r="F2045" i="3"/>
  <c r="H2045" i="3"/>
  <c r="C2044" i="3"/>
  <c r="D2044" i="3"/>
  <c r="S122" i="1"/>
  <c r="D2043" i="3" l="1"/>
  <c r="C2043" i="3"/>
  <c r="E2044" i="3"/>
  <c r="F2044" i="3"/>
  <c r="H2044" i="3"/>
  <c r="E2043" i="3" l="1"/>
  <c r="F2043" i="3"/>
  <c r="H2043" i="3"/>
  <c r="C2042" i="3"/>
  <c r="D2042" i="3"/>
  <c r="D2041" i="3" l="1"/>
  <c r="C2041" i="3"/>
  <c r="F2042" i="3"/>
  <c r="H2042" i="3"/>
  <c r="E2042" i="3"/>
  <c r="H2041" i="3" l="1"/>
  <c r="F2041" i="3"/>
  <c r="E2041" i="3"/>
  <c r="D2040" i="3"/>
  <c r="C2040" i="3"/>
  <c r="F2040" i="3" l="1"/>
  <c r="H2040" i="3"/>
  <c r="E2040" i="3"/>
  <c r="D2039" i="3"/>
  <c r="C2039" i="3"/>
  <c r="H2039" i="3" l="1"/>
  <c r="F2039" i="3"/>
  <c r="D2038" i="3"/>
  <c r="C2038" i="3"/>
  <c r="E2039" i="3"/>
  <c r="E2038" i="3" l="1"/>
  <c r="H2038" i="3"/>
  <c r="F2038" i="3"/>
  <c r="C2037" i="3"/>
  <c r="D2037" i="3"/>
  <c r="C2036" i="3" l="1"/>
  <c r="D2036" i="3"/>
  <c r="H2037" i="3"/>
  <c r="F2037" i="3"/>
  <c r="E2037" i="3"/>
  <c r="E2036" i="3" l="1"/>
  <c r="C2035" i="3"/>
  <c r="D2035" i="3"/>
  <c r="F2036" i="3"/>
  <c r="H2036" i="3"/>
  <c r="C2034" i="3" l="1"/>
  <c r="D2034" i="3"/>
  <c r="F2035" i="3"/>
  <c r="H2035" i="3"/>
  <c r="E2035" i="3"/>
  <c r="E2034" i="3" l="1"/>
  <c r="C2033" i="3"/>
  <c r="D2033" i="3"/>
  <c r="F2034" i="3"/>
  <c r="H2034" i="3"/>
  <c r="C2032" i="3" l="1"/>
  <c r="D2032" i="3"/>
  <c r="F2033" i="3"/>
  <c r="H2033" i="3"/>
  <c r="E2033" i="3"/>
  <c r="E2032" i="3" l="1"/>
  <c r="D2031" i="3"/>
  <c r="C2031" i="3"/>
  <c r="H2032" i="3"/>
  <c r="F2032" i="3"/>
  <c r="H2031" i="3" l="1"/>
  <c r="F2031" i="3"/>
  <c r="D2030" i="3"/>
  <c r="C2030" i="3"/>
  <c r="E2031" i="3"/>
  <c r="E2030" i="3" l="1"/>
  <c r="F2030" i="3"/>
  <c r="U133" i="1" s="1"/>
  <c r="H2030" i="3"/>
  <c r="D2029" i="3"/>
  <c r="C2029" i="3"/>
  <c r="AE18" i="2" l="1"/>
  <c r="AG18" i="2" s="1"/>
  <c r="R133" i="1"/>
  <c r="C2028" i="3"/>
  <c r="D2028" i="3"/>
  <c r="F2029" i="3"/>
  <c r="H2029" i="3"/>
  <c r="E2029" i="3"/>
  <c r="AF18" i="2" l="1"/>
  <c r="T133" i="1" s="1"/>
  <c r="AQ18" i="2"/>
  <c r="S133" i="1" s="1"/>
  <c r="BY133" i="1"/>
  <c r="CK133" i="1"/>
  <c r="CL133" i="1" s="1"/>
  <c r="CG133" i="1"/>
  <c r="CH133" i="1" s="1"/>
  <c r="CC133" i="1"/>
  <c r="CD133" i="1" s="1"/>
  <c r="CA133" i="1"/>
  <c r="CB133" i="1" s="1"/>
  <c r="BS133" i="1"/>
  <c r="BT133" i="1" s="1"/>
  <c r="BU133" i="1"/>
  <c r="BV133" i="1" s="1"/>
  <c r="CI133" i="1"/>
  <c r="CJ133" i="1" s="1"/>
  <c r="BW133" i="1"/>
  <c r="BX133" i="1" s="1"/>
  <c r="DR133" i="1"/>
  <c r="BO133" i="1"/>
  <c r="BP133" i="1" s="1"/>
  <c r="BQ133" i="1"/>
  <c r="BM133" i="1"/>
  <c r="BN133" i="1" s="1"/>
  <c r="CY133" i="1"/>
  <c r="E2028" i="3"/>
  <c r="C2027" i="3"/>
  <c r="D2027" i="3"/>
  <c r="H2028" i="3"/>
  <c r="F2028" i="3"/>
  <c r="BZ133" i="1" l="1"/>
  <c r="CE133" i="1"/>
  <c r="CF133" i="1" s="1"/>
  <c r="BR133" i="1"/>
  <c r="DS133" i="1"/>
  <c r="DT133" i="1"/>
  <c r="ED133" i="1"/>
  <c r="EC133" i="1" s="1"/>
  <c r="EB133" i="1" s="1"/>
  <c r="CW133" i="1"/>
  <c r="DY133" i="1"/>
  <c r="DX133" i="1" s="1"/>
  <c r="DW133" i="1" s="1"/>
  <c r="DP133" i="1"/>
  <c r="CZ133" i="1"/>
  <c r="EE133" i="1" s="1"/>
  <c r="D2026" i="3"/>
  <c r="C2026" i="3"/>
  <c r="H2027" i="3"/>
  <c r="F2027" i="3"/>
  <c r="E2027" i="3"/>
  <c r="DV133" i="1" l="1"/>
  <c r="CQ133" i="1" s="1"/>
  <c r="DU133" i="1"/>
  <c r="CM133" i="1" s="1"/>
  <c r="CU133" i="1"/>
  <c r="CR133" i="1" s="1"/>
  <c r="CX133" i="1"/>
  <c r="EA133" i="1"/>
  <c r="CT133" i="1" s="1"/>
  <c r="DZ133" i="1"/>
  <c r="CP133" i="1" s="1"/>
  <c r="E2026" i="3"/>
  <c r="H2026" i="3"/>
  <c r="F2026" i="3"/>
  <c r="C2025" i="3"/>
  <c r="D2025" i="3"/>
  <c r="D2024" i="3" l="1"/>
  <c r="C2024" i="3"/>
  <c r="F2025" i="3"/>
  <c r="H2025" i="3"/>
  <c r="E2025" i="3"/>
  <c r="E2024" i="3" l="1"/>
  <c r="F2024" i="3"/>
  <c r="H2024" i="3"/>
  <c r="D2023" i="3"/>
  <c r="C2023" i="3"/>
  <c r="H2023" i="3" l="1"/>
  <c r="F2023" i="3"/>
  <c r="E2023" i="3"/>
  <c r="D2022" i="3"/>
  <c r="C2022" i="3"/>
  <c r="E2022" i="3" l="1"/>
  <c r="F2022" i="3"/>
  <c r="H2022" i="3"/>
  <c r="D2021" i="3"/>
  <c r="C2021" i="3"/>
  <c r="H2021" i="3" l="1"/>
  <c r="F2021" i="3"/>
  <c r="D2020" i="3"/>
  <c r="E2021" i="3"/>
  <c r="C2020" i="3"/>
  <c r="E2020" i="3" l="1"/>
  <c r="H2020" i="3"/>
  <c r="F2020" i="3"/>
  <c r="C2019" i="3"/>
  <c r="D2019" i="3"/>
  <c r="C2018" i="3" l="1"/>
  <c r="D2018" i="3"/>
  <c r="F2019" i="3"/>
  <c r="U134" i="1" s="1"/>
  <c r="H2019" i="3"/>
  <c r="E2019" i="3"/>
  <c r="AE17" i="2" l="1"/>
  <c r="AF17" i="2" s="1"/>
  <c r="T134" i="1" s="1"/>
  <c r="R134" i="1"/>
  <c r="AQ17" i="2"/>
  <c r="S134" i="1" s="1"/>
  <c r="AG17" i="2"/>
  <c r="E2018" i="3"/>
  <c r="D2017" i="3"/>
  <c r="C2017" i="3"/>
  <c r="F2018" i="3"/>
  <c r="H2018" i="3"/>
  <c r="BS134" i="1" l="1"/>
  <c r="BT134" i="1" s="1"/>
  <c r="DR134" i="1"/>
  <c r="CC134" i="1"/>
  <c r="CD134" i="1" s="1"/>
  <c r="CK134" i="1"/>
  <c r="CL134" i="1" s="1"/>
  <c r="CG134" i="1"/>
  <c r="CH134" i="1" s="1"/>
  <c r="CI134" i="1"/>
  <c r="CJ134" i="1" s="1"/>
  <c r="BW134" i="1"/>
  <c r="BX134" i="1" s="1"/>
  <c r="BU134" i="1"/>
  <c r="BV134" i="1" s="1"/>
  <c r="CA134" i="1"/>
  <c r="CB134" i="1" s="1"/>
  <c r="BY134" i="1"/>
  <c r="CY134" i="1"/>
  <c r="BQ134" i="1"/>
  <c r="BM134" i="1"/>
  <c r="BN134" i="1" s="1"/>
  <c r="BO134" i="1"/>
  <c r="BP134" i="1" s="1"/>
  <c r="D2016" i="3"/>
  <c r="C2016" i="3"/>
  <c r="F2017" i="3"/>
  <c r="H2017" i="3"/>
  <c r="E2017" i="3"/>
  <c r="BZ134" i="1" l="1"/>
  <c r="CE134" i="1"/>
  <c r="CF134" i="1" s="1"/>
  <c r="DT134" i="1"/>
  <c r="DS134" i="1"/>
  <c r="BR134" i="1"/>
  <c r="CW134" i="1"/>
  <c r="DY134" i="1"/>
  <c r="DX134" i="1" s="1"/>
  <c r="DW134" i="1" s="1"/>
  <c r="DP134" i="1"/>
  <c r="ED134" i="1"/>
  <c r="EC134" i="1" s="1"/>
  <c r="EB134" i="1" s="1"/>
  <c r="CZ134" i="1"/>
  <c r="EE134" i="1" s="1"/>
  <c r="E2016" i="3"/>
  <c r="F2016" i="3"/>
  <c r="H2016" i="3"/>
  <c r="D2015" i="3"/>
  <c r="C2015" i="3"/>
  <c r="DV134" i="1" l="1"/>
  <c r="CQ134" i="1" s="1"/>
  <c r="DU134" i="1"/>
  <c r="CM134" i="1" s="1"/>
  <c r="EA134" i="1"/>
  <c r="CT134" i="1" s="1"/>
  <c r="DZ134" i="1"/>
  <c r="CP134" i="1" s="1"/>
  <c r="CU134" i="1"/>
  <c r="CX134" i="1"/>
  <c r="H2015" i="3"/>
  <c r="F2015" i="3"/>
  <c r="C2014" i="3"/>
  <c r="D2014" i="3"/>
  <c r="E2015" i="3"/>
  <c r="CR134" i="1" l="1"/>
  <c r="CV134" i="1"/>
  <c r="CN134" i="1"/>
  <c r="E2014" i="3"/>
  <c r="H2014" i="3"/>
  <c r="F2014" i="3"/>
  <c r="D2013" i="3"/>
  <c r="C2013" i="3"/>
  <c r="DI134" i="1" l="1"/>
  <c r="DH134" i="1"/>
  <c r="CO134" i="1"/>
  <c r="F2013" i="3"/>
  <c r="H2013" i="3"/>
  <c r="D2012" i="3"/>
  <c r="C2012" i="3"/>
  <c r="E2013" i="3"/>
  <c r="DL134" i="1" l="1"/>
  <c r="DJ134" i="1"/>
  <c r="DK134" i="1"/>
  <c r="E2012" i="3"/>
  <c r="H2012" i="3"/>
  <c r="F2012" i="3"/>
  <c r="D2011" i="3"/>
  <c r="E2011" i="3" s="1"/>
  <c r="C2011" i="3"/>
  <c r="DM134" i="1" l="1"/>
  <c r="DN134" i="1" s="1"/>
  <c r="DO134" i="1" s="1"/>
  <c r="H2011" i="3"/>
  <c r="F2011" i="3"/>
  <c r="C2010" i="3"/>
  <c r="D2010" i="3"/>
  <c r="DQ134" i="1" l="1"/>
  <c r="D2009" i="3"/>
  <c r="C2009" i="3"/>
  <c r="F2010" i="3"/>
  <c r="U135" i="1" s="1"/>
  <c r="H2010" i="3"/>
  <c r="E2010" i="3"/>
  <c r="AE16" i="2" l="1"/>
  <c r="AQ16" i="2" s="1"/>
  <c r="S135" i="1" s="1"/>
  <c r="R135" i="1"/>
  <c r="AG16" i="2"/>
  <c r="E2009" i="3"/>
  <c r="F2009" i="3"/>
  <c r="H2009" i="3"/>
  <c r="D2008" i="3"/>
  <c r="C2008" i="3"/>
  <c r="AF16" i="2" l="1"/>
  <c r="T135" i="1" s="1"/>
  <c r="BM135" i="1" s="1"/>
  <c r="BN135" i="1" s="1"/>
  <c r="CI135" i="1"/>
  <c r="CJ135" i="1" s="1"/>
  <c r="CC135" i="1"/>
  <c r="CD135" i="1" s="1"/>
  <c r="CA135" i="1"/>
  <c r="CB135" i="1" s="1"/>
  <c r="BY135" i="1"/>
  <c r="BS135" i="1"/>
  <c r="BT135" i="1" s="1"/>
  <c r="BU135" i="1"/>
  <c r="BV135" i="1" s="1"/>
  <c r="CG135" i="1"/>
  <c r="CH135" i="1" s="1"/>
  <c r="CK135" i="1"/>
  <c r="CL135" i="1" s="1"/>
  <c r="BW135" i="1"/>
  <c r="BX135" i="1" s="1"/>
  <c r="DR135" i="1"/>
  <c r="H2008" i="3"/>
  <c r="F2008" i="3"/>
  <c r="E2008" i="3"/>
  <c r="C2007" i="3"/>
  <c r="D2007" i="3"/>
  <c r="BQ135" i="1" l="1"/>
  <c r="CY135" i="1"/>
  <c r="DY135" i="1" s="1"/>
  <c r="DX135" i="1" s="1"/>
  <c r="DW135" i="1" s="1"/>
  <c r="BO135" i="1"/>
  <c r="BP135" i="1" s="1"/>
  <c r="BZ135" i="1"/>
  <c r="CE135" i="1"/>
  <c r="CF135" i="1" s="1"/>
  <c r="DT135" i="1"/>
  <c r="BR135" i="1"/>
  <c r="DS135" i="1"/>
  <c r="C2006" i="3"/>
  <c r="D2006" i="3"/>
  <c r="E2007" i="3"/>
  <c r="H2007" i="3"/>
  <c r="F2007" i="3"/>
  <c r="CZ135" i="1" l="1"/>
  <c r="EE135" i="1" s="1"/>
  <c r="DP135" i="1"/>
  <c r="CW135" i="1"/>
  <c r="CU135" i="1" s="1"/>
  <c r="CR135" i="1" s="1"/>
  <c r="ED135" i="1"/>
  <c r="EC135" i="1" s="1"/>
  <c r="EB135" i="1" s="1"/>
  <c r="EA135" i="1" s="1"/>
  <c r="CT135" i="1" s="1"/>
  <c r="DZ135" i="1"/>
  <c r="CP135" i="1" s="1"/>
  <c r="CX135" i="1"/>
  <c r="DV135" i="1"/>
  <c r="CQ135" i="1" s="1"/>
  <c r="DU135" i="1"/>
  <c r="CM135" i="1" s="1"/>
  <c r="E2006" i="3"/>
  <c r="C2005" i="3"/>
  <c r="D2005" i="3"/>
  <c r="F2006" i="3"/>
  <c r="H2006" i="3"/>
  <c r="D2004" i="3" l="1"/>
  <c r="C2004" i="3"/>
  <c r="F2005" i="3"/>
  <c r="H2005" i="3"/>
  <c r="E2005" i="3"/>
  <c r="E2004" i="3" l="1"/>
  <c r="F2004" i="3"/>
  <c r="U136" i="1" s="1"/>
  <c r="H2004" i="3"/>
  <c r="D2003" i="3"/>
  <c r="C2003" i="3"/>
  <c r="AE15" i="2" l="1"/>
  <c r="AF15" i="2" s="1"/>
  <c r="T136" i="1" s="1"/>
  <c r="R136" i="1"/>
  <c r="AQ15" i="2"/>
  <c r="S136" i="1" s="1"/>
  <c r="D2002" i="3"/>
  <c r="C2002" i="3"/>
  <c r="H2003" i="3"/>
  <c r="F2003" i="3"/>
  <c r="E2003" i="3"/>
  <c r="AG15" i="2" l="1"/>
  <c r="CK136" i="1"/>
  <c r="CL136" i="1" s="1"/>
  <c r="BY136" i="1"/>
  <c r="CG136" i="1"/>
  <c r="CH136" i="1" s="1"/>
  <c r="CA136" i="1"/>
  <c r="CB136" i="1" s="1"/>
  <c r="CI136" i="1"/>
  <c r="CJ136" i="1" s="1"/>
  <c r="BW136" i="1"/>
  <c r="BX136" i="1" s="1"/>
  <c r="CC136" i="1"/>
  <c r="CD136" i="1" s="1"/>
  <c r="BS136" i="1"/>
  <c r="BT136" i="1" s="1"/>
  <c r="BU136" i="1"/>
  <c r="BV136" i="1" s="1"/>
  <c r="DR136" i="1"/>
  <c r="BM136" i="1"/>
  <c r="BN136" i="1" s="1"/>
  <c r="CY136" i="1"/>
  <c r="BO136" i="1"/>
  <c r="BP136" i="1" s="1"/>
  <c r="BQ136" i="1"/>
  <c r="E2002" i="3"/>
  <c r="H2002" i="3"/>
  <c r="F2002" i="3"/>
  <c r="C2001" i="3"/>
  <c r="D2001" i="3"/>
  <c r="BZ136" i="1" l="1"/>
  <c r="CE136" i="1"/>
  <c r="CF136" i="1" s="1"/>
  <c r="DY136" i="1"/>
  <c r="DX136" i="1" s="1"/>
  <c r="DW136" i="1" s="1"/>
  <c r="CW136" i="1"/>
  <c r="CZ136" i="1"/>
  <c r="ED136" i="1"/>
  <c r="EC136" i="1" s="1"/>
  <c r="EB136" i="1" s="1"/>
  <c r="DP136" i="1"/>
  <c r="BR136" i="1"/>
  <c r="DS136" i="1"/>
  <c r="DT136" i="1"/>
  <c r="H2001" i="3"/>
  <c r="F2001" i="3"/>
  <c r="D2000" i="3"/>
  <c r="C2000" i="3"/>
  <c r="E2001" i="3"/>
  <c r="CU136" i="1" l="1"/>
  <c r="CR136" i="1" s="1"/>
  <c r="CX136" i="1"/>
  <c r="EA136" i="1"/>
  <c r="CT136" i="1" s="1"/>
  <c r="DZ136" i="1"/>
  <c r="CP136" i="1" s="1"/>
  <c r="DV136" i="1"/>
  <c r="CQ136" i="1" s="1"/>
  <c r="DU136" i="1"/>
  <c r="CM136" i="1" s="1"/>
  <c r="E2000" i="3"/>
  <c r="H2000" i="3"/>
  <c r="F2000" i="3"/>
  <c r="C1999" i="3"/>
  <c r="D1999" i="3"/>
  <c r="H1999" i="3" l="1"/>
  <c r="F1999" i="3"/>
  <c r="D1998" i="3"/>
  <c r="C1998" i="3"/>
  <c r="E1999" i="3"/>
  <c r="H1998" i="3" l="1"/>
  <c r="F1998" i="3"/>
  <c r="D1997" i="3"/>
  <c r="C1997" i="3"/>
  <c r="E1998" i="3"/>
  <c r="E1997" i="3" l="1"/>
  <c r="F1997" i="3"/>
  <c r="U137" i="1" s="1"/>
  <c r="H1997" i="3"/>
  <c r="D1996" i="3"/>
  <c r="C1996" i="3"/>
  <c r="AE14" i="2" l="1"/>
  <c r="AF14" i="2" s="1"/>
  <c r="T137" i="1" s="1"/>
  <c r="R137" i="1"/>
  <c r="AQ14" i="2"/>
  <c r="S137" i="1" s="1"/>
  <c r="AG14" i="2"/>
  <c r="F1996" i="3"/>
  <c r="U138" i="1" s="1"/>
  <c r="H1996" i="3"/>
  <c r="D1995" i="3"/>
  <c r="C1995" i="3"/>
  <c r="E1996" i="3"/>
  <c r="AE13" i="2" l="1"/>
  <c r="R138" i="1"/>
  <c r="CC137" i="1"/>
  <c r="CD137" i="1" s="1"/>
  <c r="CK137" i="1"/>
  <c r="CL137" i="1" s="1"/>
  <c r="CI137" i="1"/>
  <c r="CJ137" i="1" s="1"/>
  <c r="CG137" i="1"/>
  <c r="CH137" i="1" s="1"/>
  <c r="CA137" i="1"/>
  <c r="CB137" i="1" s="1"/>
  <c r="BY137" i="1"/>
  <c r="BS137" i="1"/>
  <c r="BT137" i="1" s="1"/>
  <c r="BW137" i="1"/>
  <c r="BX137" i="1" s="1"/>
  <c r="BU137" i="1"/>
  <c r="BV137" i="1" s="1"/>
  <c r="DR137" i="1"/>
  <c r="CY137" i="1"/>
  <c r="BM137" i="1"/>
  <c r="BN137" i="1" s="1"/>
  <c r="BQ137" i="1"/>
  <c r="BO137" i="1"/>
  <c r="BP137" i="1" s="1"/>
  <c r="AF13" i="2"/>
  <c r="T138" i="1" s="1"/>
  <c r="AG13" i="2"/>
  <c r="AQ13" i="2"/>
  <c r="S138" i="1" s="1"/>
  <c r="E1995" i="3"/>
  <c r="H1995" i="3"/>
  <c r="F1995" i="3"/>
  <c r="D1994" i="3"/>
  <c r="C1994" i="3"/>
  <c r="BZ137" i="1" l="1"/>
  <c r="CE137" i="1"/>
  <c r="CF137" i="1" s="1"/>
  <c r="CK138" i="1"/>
  <c r="CL138" i="1" s="1"/>
  <c r="CG138" i="1"/>
  <c r="CH138" i="1" s="1"/>
  <c r="BW138" i="1"/>
  <c r="BX138" i="1" s="1"/>
  <c r="CI138" i="1"/>
  <c r="CJ138" i="1" s="1"/>
  <c r="CC138" i="1"/>
  <c r="CD138" i="1" s="1"/>
  <c r="BU138" i="1"/>
  <c r="BV138" i="1" s="1"/>
  <c r="CA138" i="1"/>
  <c r="CB138" i="1" s="1"/>
  <c r="BS138" i="1"/>
  <c r="BT138" i="1" s="1"/>
  <c r="BY138" i="1"/>
  <c r="DR138" i="1"/>
  <c r="DS137" i="1"/>
  <c r="BR137" i="1"/>
  <c r="DT137" i="1"/>
  <c r="CY138" i="1"/>
  <c r="BM138" i="1"/>
  <c r="BN138" i="1" s="1"/>
  <c r="BQ138" i="1"/>
  <c r="BO138" i="1"/>
  <c r="BP138" i="1" s="1"/>
  <c r="ED137" i="1"/>
  <c r="EC137" i="1" s="1"/>
  <c r="EB137" i="1" s="1"/>
  <c r="DP137" i="1"/>
  <c r="DY137" i="1"/>
  <c r="DX137" i="1" s="1"/>
  <c r="DW137" i="1" s="1"/>
  <c r="CZ137" i="1"/>
  <c r="CW137" i="1"/>
  <c r="F1994" i="3"/>
  <c r="H1994" i="3"/>
  <c r="E1994" i="3"/>
  <c r="C1993" i="3"/>
  <c r="D1993" i="3"/>
  <c r="BZ138" i="1" l="1"/>
  <c r="CE138" i="1"/>
  <c r="CF138" i="1" s="1"/>
  <c r="DS138" i="1"/>
  <c r="DT138" i="1"/>
  <c r="BR138" i="1"/>
  <c r="DV137" i="1"/>
  <c r="CQ137" i="1" s="1"/>
  <c r="DU137" i="1"/>
  <c r="CM137" i="1" s="1"/>
  <c r="CU137" i="1"/>
  <c r="CR137" i="1" s="1"/>
  <c r="CX137" i="1"/>
  <c r="DZ137" i="1"/>
  <c r="CP137" i="1" s="1"/>
  <c r="EA137" i="1"/>
  <c r="CT137" i="1" s="1"/>
  <c r="DP138" i="1"/>
  <c r="CZ138" i="1"/>
  <c r="EE138" i="1" s="1"/>
  <c r="DY138" i="1"/>
  <c r="DX138" i="1" s="1"/>
  <c r="DW138" i="1" s="1"/>
  <c r="ED138" i="1"/>
  <c r="EC138" i="1" s="1"/>
  <c r="EB138" i="1" s="1"/>
  <c r="CW138" i="1"/>
  <c r="C1992" i="3"/>
  <c r="D1992" i="3"/>
  <c r="F1993" i="3"/>
  <c r="H1993" i="3"/>
  <c r="E1993" i="3"/>
  <c r="CU138" i="1" l="1"/>
  <c r="CR138" i="1" s="1"/>
  <c r="CX138" i="1"/>
  <c r="DZ138" i="1"/>
  <c r="CP138" i="1" s="1"/>
  <c r="EA138" i="1"/>
  <c r="CT138" i="1" s="1"/>
  <c r="DV138" i="1"/>
  <c r="CQ138" i="1" s="1"/>
  <c r="DU138" i="1"/>
  <c r="CM138" i="1" s="1"/>
  <c r="E1992" i="3"/>
  <c r="C1991" i="3"/>
  <c r="D1991" i="3"/>
  <c r="F1992" i="3"/>
  <c r="H1992" i="3"/>
  <c r="C1990" i="3" l="1"/>
  <c r="D1990" i="3"/>
  <c r="H1991" i="3"/>
  <c r="F1991" i="3"/>
  <c r="E1991" i="3"/>
  <c r="E1990" i="3" l="1"/>
  <c r="C1989" i="3"/>
  <c r="D1989" i="3"/>
  <c r="H1990" i="3"/>
  <c r="F1990" i="3"/>
  <c r="D1988" i="3" l="1"/>
  <c r="C1988" i="3"/>
  <c r="F1989" i="3"/>
  <c r="H1989" i="3"/>
  <c r="E1989" i="3"/>
  <c r="E1988" i="3" l="1"/>
  <c r="F1988" i="3"/>
  <c r="H1988" i="3"/>
  <c r="D1987" i="3"/>
  <c r="C1987" i="3"/>
  <c r="H1987" i="3" l="1"/>
  <c r="F1987" i="3"/>
  <c r="C1986" i="3"/>
  <c r="D1986" i="3"/>
  <c r="E1987" i="3"/>
  <c r="E1986" i="3" l="1"/>
  <c r="C1985" i="3"/>
  <c r="D1985" i="3"/>
  <c r="F1986" i="3"/>
  <c r="H1986" i="3"/>
  <c r="D1984" i="3" l="1"/>
  <c r="C1984" i="3"/>
  <c r="F1985" i="3"/>
  <c r="H1985" i="3"/>
  <c r="E1985" i="3"/>
  <c r="E1984" i="3" l="1"/>
  <c r="H1984" i="3"/>
  <c r="F1984" i="3"/>
  <c r="C1983" i="3"/>
  <c r="D1983" i="3"/>
  <c r="D1982" i="3" l="1"/>
  <c r="C1982" i="3"/>
  <c r="H1983" i="3"/>
  <c r="F1983" i="3"/>
  <c r="E1983" i="3"/>
  <c r="E1982" i="3" l="1"/>
  <c r="H1982" i="3"/>
  <c r="F1982" i="3"/>
  <c r="D1981" i="3"/>
  <c r="C1981" i="3"/>
  <c r="H1981" i="3" l="1"/>
  <c r="F1981" i="3"/>
  <c r="C1980" i="3"/>
  <c r="D1980" i="3"/>
  <c r="E1981" i="3"/>
  <c r="E1980" i="3" l="1"/>
  <c r="D1979" i="3"/>
  <c r="C1979" i="3"/>
  <c r="F1980" i="3"/>
  <c r="H1980" i="3"/>
  <c r="F1979" i="3" l="1"/>
  <c r="H1979" i="3"/>
  <c r="D1978" i="3"/>
  <c r="C1978" i="3"/>
  <c r="E1979" i="3"/>
  <c r="E1978" i="3" l="1"/>
  <c r="H1978" i="3"/>
  <c r="F1978" i="3"/>
  <c r="D1977" i="3"/>
  <c r="C1977" i="3"/>
  <c r="F1977" i="3" l="1"/>
  <c r="U139" i="1" s="1"/>
  <c r="H1977" i="3"/>
  <c r="D1976" i="3"/>
  <c r="C1976" i="3"/>
  <c r="E1977" i="3"/>
  <c r="AE12" i="2" l="1"/>
  <c r="AG12" i="2" s="1"/>
  <c r="R139" i="1"/>
  <c r="E1976" i="3"/>
  <c r="F1976" i="3"/>
  <c r="H1976" i="3"/>
  <c r="C1975" i="3"/>
  <c r="D1975" i="3"/>
  <c r="AF12" i="2" l="1"/>
  <c r="T139" i="1" s="1"/>
  <c r="BO139" i="1" s="1"/>
  <c r="BP139" i="1" s="1"/>
  <c r="AQ12" i="2"/>
  <c r="S139" i="1" s="1"/>
  <c r="BY139" i="1"/>
  <c r="CK139" i="1"/>
  <c r="CL139" i="1" s="1"/>
  <c r="CG139" i="1"/>
  <c r="CH139" i="1" s="1"/>
  <c r="CI139" i="1"/>
  <c r="CJ139" i="1" s="1"/>
  <c r="CA139" i="1"/>
  <c r="CB139" i="1" s="1"/>
  <c r="BW139" i="1"/>
  <c r="BX139" i="1" s="1"/>
  <c r="BS139" i="1"/>
  <c r="BT139" i="1" s="1"/>
  <c r="CC139" i="1"/>
  <c r="CD139" i="1" s="1"/>
  <c r="BU139" i="1"/>
  <c r="BV139" i="1" s="1"/>
  <c r="DR139" i="1"/>
  <c r="D1974" i="3"/>
  <c r="C1974" i="3"/>
  <c r="F1975" i="3"/>
  <c r="H1975" i="3"/>
  <c r="E1975" i="3"/>
  <c r="CY139" i="1" l="1"/>
  <c r="ED139" i="1" s="1"/>
  <c r="EC139" i="1" s="1"/>
  <c r="EB139" i="1" s="1"/>
  <c r="BM139" i="1"/>
  <c r="BN139" i="1" s="1"/>
  <c r="BQ139" i="1"/>
  <c r="BR139" i="1" s="1"/>
  <c r="BZ139" i="1"/>
  <c r="CE139" i="1"/>
  <c r="CF139" i="1" s="1"/>
  <c r="E1974" i="3"/>
  <c r="H1974" i="3"/>
  <c r="F1974" i="3"/>
  <c r="U140" i="1" s="1"/>
  <c r="D1973" i="3"/>
  <c r="C1973" i="3"/>
  <c r="CZ139" i="1" l="1"/>
  <c r="EE139" i="1" s="1"/>
  <c r="CW139" i="1"/>
  <c r="DY139" i="1"/>
  <c r="DX139" i="1" s="1"/>
  <c r="DW139" i="1" s="1"/>
  <c r="DP139" i="1"/>
  <c r="DT139" i="1"/>
  <c r="DS139" i="1"/>
  <c r="R140" i="1"/>
  <c r="CU139" i="1"/>
  <c r="CR139" i="1" s="1"/>
  <c r="CX139" i="1"/>
  <c r="EA139" i="1"/>
  <c r="CT139" i="1" s="1"/>
  <c r="DZ139" i="1"/>
  <c r="CP139" i="1" s="1"/>
  <c r="DV139" i="1"/>
  <c r="CQ139" i="1" s="1"/>
  <c r="DU139" i="1"/>
  <c r="CM139" i="1" s="1"/>
  <c r="H1973" i="3"/>
  <c r="F1973" i="3"/>
  <c r="C1972" i="3"/>
  <c r="D1972" i="3"/>
  <c r="E1973" i="3"/>
  <c r="BS140" i="1" l="1"/>
  <c r="BT140" i="1" s="1"/>
  <c r="BU140" i="1"/>
  <c r="BV140" i="1" s="1"/>
  <c r="CA140" i="1"/>
  <c r="CB140" i="1" s="1"/>
  <c r="DR140" i="1"/>
  <c r="BW140" i="1"/>
  <c r="BX140" i="1" s="1"/>
  <c r="CG140" i="1"/>
  <c r="CH140" i="1" s="1"/>
  <c r="CI140" i="1"/>
  <c r="CJ140" i="1" s="1"/>
  <c r="CC140" i="1"/>
  <c r="CD140" i="1" s="1"/>
  <c r="BY140" i="1"/>
  <c r="CK140" i="1"/>
  <c r="CL140" i="1" s="1"/>
  <c r="E1972" i="3"/>
  <c r="C1971" i="3"/>
  <c r="D1971" i="3"/>
  <c r="F1972" i="3"/>
  <c r="H1972" i="3"/>
  <c r="BZ140" i="1" l="1"/>
  <c r="CE140" i="1"/>
  <c r="CF140" i="1" s="1"/>
  <c r="F1971" i="3"/>
  <c r="H1971" i="3"/>
  <c r="C1970" i="3"/>
  <c r="D1970" i="3"/>
  <c r="E1971" i="3"/>
  <c r="E1970" i="3" l="1"/>
  <c r="C1969" i="3"/>
  <c r="D1969" i="3"/>
  <c r="H1970" i="3"/>
  <c r="F1970" i="3"/>
  <c r="H1969" i="3" l="1"/>
  <c r="F1969" i="3"/>
  <c r="D1968" i="3"/>
  <c r="C1968" i="3"/>
  <c r="E1969" i="3"/>
  <c r="H1968" i="3" l="1"/>
  <c r="F1968" i="3"/>
  <c r="E1968" i="3"/>
  <c r="C1967" i="3"/>
  <c r="D1967" i="3"/>
  <c r="C1966" i="3" l="1"/>
  <c r="D1966" i="3"/>
  <c r="H1967" i="3"/>
  <c r="F1967" i="3"/>
  <c r="E1967" i="3"/>
  <c r="E1966" i="3" l="1"/>
  <c r="D1965" i="3"/>
  <c r="C1965" i="3"/>
  <c r="F1966" i="3"/>
  <c r="H1966" i="3"/>
  <c r="D1964" i="3" l="1"/>
  <c r="C1964" i="3"/>
  <c r="F1965" i="3"/>
  <c r="H1965" i="3"/>
  <c r="E1965" i="3"/>
  <c r="E1964" i="3" l="1"/>
  <c r="H1964" i="3"/>
  <c r="F1964" i="3"/>
  <c r="C1963" i="3"/>
  <c r="D1963" i="3"/>
  <c r="C1962" i="3" l="1"/>
  <c r="E1963" i="3"/>
  <c r="D1962" i="3"/>
  <c r="H1963" i="3"/>
  <c r="F1963" i="3"/>
  <c r="U141" i="1" l="1"/>
  <c r="U142" i="1"/>
  <c r="AE10" i="2"/>
  <c r="AG10" i="2" s="1"/>
  <c r="R142" i="1"/>
  <c r="R141" i="1"/>
  <c r="AE11" i="2"/>
  <c r="E1962" i="3"/>
  <c r="D1961" i="3"/>
  <c r="C1961" i="3"/>
  <c r="H1962" i="3"/>
  <c r="F1962" i="3"/>
  <c r="AF10" i="2" l="1"/>
  <c r="T140" i="1" s="1"/>
  <c r="AQ10" i="2"/>
  <c r="S140" i="1" s="1"/>
  <c r="AG11" i="2"/>
  <c r="AQ11" i="2"/>
  <c r="AF11" i="2"/>
  <c r="T141" i="1" s="1"/>
  <c r="CA141" i="1"/>
  <c r="CB141" i="1" s="1"/>
  <c r="CK141" i="1"/>
  <c r="CL141" i="1" s="1"/>
  <c r="CI141" i="1"/>
  <c r="CJ141" i="1" s="1"/>
  <c r="CG141" i="1"/>
  <c r="CH141" i="1" s="1"/>
  <c r="CC141" i="1"/>
  <c r="CD141" i="1" s="1"/>
  <c r="BY141" i="1"/>
  <c r="BW141" i="1"/>
  <c r="BX141" i="1" s="1"/>
  <c r="BS141" i="1"/>
  <c r="BT141" i="1" s="1"/>
  <c r="BU141" i="1"/>
  <c r="BV141" i="1" s="1"/>
  <c r="DR141" i="1"/>
  <c r="CI142" i="1"/>
  <c r="CJ142" i="1" s="1"/>
  <c r="CA142" i="1"/>
  <c r="CB142" i="1" s="1"/>
  <c r="BY142" i="1"/>
  <c r="CK142" i="1"/>
  <c r="CL142" i="1" s="1"/>
  <c r="CG142" i="1"/>
  <c r="CH142" i="1" s="1"/>
  <c r="BW142" i="1"/>
  <c r="BX142" i="1" s="1"/>
  <c r="BS142" i="1"/>
  <c r="BT142" i="1" s="1"/>
  <c r="CC142" i="1"/>
  <c r="CD142" i="1" s="1"/>
  <c r="BU142" i="1"/>
  <c r="BV142" i="1" s="1"/>
  <c r="DR142" i="1"/>
  <c r="BQ140" i="1"/>
  <c r="BO140" i="1"/>
  <c r="BP140" i="1" s="1"/>
  <c r="CY140" i="1"/>
  <c r="BM140" i="1"/>
  <c r="BN140" i="1" s="1"/>
  <c r="S141" i="1"/>
  <c r="S142" i="1"/>
  <c r="T142" i="1"/>
  <c r="E1961" i="3"/>
  <c r="F1961" i="3"/>
  <c r="H1961" i="3"/>
  <c r="C1960" i="3"/>
  <c r="D1960" i="3"/>
  <c r="BZ141" i="1" l="1"/>
  <c r="CE141" i="1"/>
  <c r="CF141" i="1" s="1"/>
  <c r="BZ142" i="1"/>
  <c r="CE142" i="1"/>
  <c r="CF142" i="1" s="1"/>
  <c r="DY140" i="1"/>
  <c r="DX140" i="1" s="1"/>
  <c r="DW140" i="1" s="1"/>
  <c r="ED140" i="1"/>
  <c r="EC140" i="1" s="1"/>
  <c r="EB140" i="1" s="1"/>
  <c r="DP140" i="1"/>
  <c r="CW140" i="1"/>
  <c r="CZ140" i="1"/>
  <c r="EE140" i="1" s="1"/>
  <c r="DT140" i="1"/>
  <c r="DS140" i="1"/>
  <c r="BR140" i="1"/>
  <c r="CY141" i="1"/>
  <c r="BQ141" i="1"/>
  <c r="BM141" i="1"/>
  <c r="BN141" i="1" s="1"/>
  <c r="BO141" i="1"/>
  <c r="BP141" i="1" s="1"/>
  <c r="CY142" i="1"/>
  <c r="BM142" i="1"/>
  <c r="BN142" i="1" s="1"/>
  <c r="BQ142" i="1"/>
  <c r="BO142" i="1"/>
  <c r="BP142" i="1" s="1"/>
  <c r="H1960" i="3"/>
  <c r="F1960" i="3"/>
  <c r="C1959" i="3"/>
  <c r="E1960" i="3"/>
  <c r="D1959" i="3"/>
  <c r="DZ140" i="1" l="1"/>
  <c r="CP140" i="1" s="1"/>
  <c r="EA140" i="1"/>
  <c r="CT140" i="1" s="1"/>
  <c r="CX140" i="1"/>
  <c r="CU140" i="1"/>
  <c r="DV140" i="1"/>
  <c r="CQ140" i="1" s="1"/>
  <c r="DU140" i="1"/>
  <c r="CM140" i="1" s="1"/>
  <c r="DS142" i="1"/>
  <c r="BR142" i="1"/>
  <c r="DT142" i="1"/>
  <c r="DY142" i="1"/>
  <c r="DX142" i="1" s="1"/>
  <c r="DW142" i="1" s="1"/>
  <c r="ED142" i="1"/>
  <c r="EC142" i="1" s="1"/>
  <c r="EB142" i="1" s="1"/>
  <c r="CW142" i="1"/>
  <c r="CZ142" i="1"/>
  <c r="EE142" i="1" s="1"/>
  <c r="DP142" i="1"/>
  <c r="BR141" i="1"/>
  <c r="DT141" i="1"/>
  <c r="DS141" i="1"/>
  <c r="DY141" i="1"/>
  <c r="DX141" i="1" s="1"/>
  <c r="DW141" i="1" s="1"/>
  <c r="ED141" i="1"/>
  <c r="EC141" i="1" s="1"/>
  <c r="EB141" i="1" s="1"/>
  <c r="DP141" i="1"/>
  <c r="CZ141" i="1"/>
  <c r="CW141" i="1"/>
  <c r="C1958" i="3"/>
  <c r="D1958" i="3"/>
  <c r="E1959" i="3"/>
  <c r="F1959" i="3"/>
  <c r="H1959" i="3"/>
  <c r="CV140" i="1" l="1"/>
  <c r="CR140" i="1"/>
  <c r="CN140" i="1"/>
  <c r="EA141" i="1"/>
  <c r="CT141" i="1" s="1"/>
  <c r="DZ141" i="1"/>
  <c r="CP141" i="1" s="1"/>
  <c r="CU141" i="1"/>
  <c r="CR141" i="1" s="1"/>
  <c r="CX141" i="1"/>
  <c r="DV141" i="1"/>
  <c r="CQ141" i="1" s="1"/>
  <c r="DU141" i="1"/>
  <c r="CM141" i="1" s="1"/>
  <c r="CU142" i="1"/>
  <c r="CR142" i="1" s="1"/>
  <c r="CX142" i="1"/>
  <c r="DZ142" i="1"/>
  <c r="CP142" i="1" s="1"/>
  <c r="EA142" i="1"/>
  <c r="CT142" i="1" s="1"/>
  <c r="DV142" i="1"/>
  <c r="CQ142" i="1" s="1"/>
  <c r="DU142" i="1"/>
  <c r="CM142" i="1" s="1"/>
  <c r="E1958" i="3"/>
  <c r="D1957" i="3"/>
  <c r="C1957" i="3"/>
  <c r="F1958" i="3"/>
  <c r="H1958" i="3"/>
  <c r="CO140" i="1" l="1"/>
  <c r="DH140" i="1"/>
  <c r="DL140" i="1" s="1"/>
  <c r="F1957" i="3"/>
  <c r="H1957" i="3"/>
  <c r="D1956" i="3"/>
  <c r="C1956" i="3"/>
  <c r="E1957" i="3"/>
  <c r="DI140" i="1" l="1"/>
  <c r="DK140" i="1"/>
  <c r="DJ140" i="1"/>
  <c r="F1956" i="3"/>
  <c r="H1956" i="3"/>
  <c r="D1955" i="3"/>
  <c r="C1955" i="3"/>
  <c r="E1956" i="3"/>
  <c r="DM140" i="1" l="1"/>
  <c r="DN140" i="1" s="1"/>
  <c r="DO140" i="1" s="1"/>
  <c r="E1955" i="3"/>
  <c r="F1955" i="3"/>
  <c r="H1955" i="3"/>
  <c r="C1954" i="3"/>
  <c r="D1954" i="3"/>
  <c r="DQ140" i="1" l="1"/>
  <c r="D1953" i="3"/>
  <c r="C1953" i="3"/>
  <c r="H1954" i="3"/>
  <c r="F1954" i="3"/>
  <c r="E1954" i="3"/>
  <c r="E1953" i="3" l="1"/>
  <c r="F1953" i="3"/>
  <c r="H1953" i="3"/>
  <c r="D1952" i="3"/>
  <c r="C1952" i="3"/>
  <c r="F1952" i="3" l="1"/>
  <c r="H1952" i="3"/>
  <c r="E1952" i="3"/>
  <c r="C1951" i="3"/>
  <c r="D1951" i="3"/>
  <c r="C1950" i="3" l="1"/>
  <c r="D1950" i="3"/>
  <c r="F1951" i="3"/>
  <c r="H1951" i="3"/>
  <c r="E1951" i="3"/>
  <c r="E1950" i="3" l="1"/>
  <c r="C1949" i="3"/>
  <c r="D1949" i="3"/>
  <c r="H1950" i="3"/>
  <c r="F1950" i="3"/>
  <c r="C1948" i="3" l="1"/>
  <c r="D1948" i="3"/>
  <c r="H1949" i="3"/>
  <c r="F1949" i="3"/>
  <c r="E1949" i="3"/>
  <c r="D1947" i="3" l="1"/>
  <c r="C1947" i="3"/>
  <c r="E1948" i="3"/>
  <c r="H1948" i="3"/>
  <c r="F1948" i="3"/>
  <c r="E1947" i="3" l="1"/>
  <c r="H1947" i="3"/>
  <c r="F1947" i="3"/>
  <c r="D1946" i="3"/>
  <c r="C1946" i="3"/>
  <c r="F1946" i="3" l="1"/>
  <c r="H1946" i="3"/>
  <c r="C1945" i="3"/>
  <c r="D1945" i="3"/>
  <c r="E1946" i="3"/>
  <c r="E1945" i="3" l="1"/>
  <c r="H1945" i="3"/>
  <c r="F1945" i="3"/>
  <c r="D1944" i="3"/>
  <c r="C1944" i="3"/>
  <c r="H1944" i="3" l="1"/>
  <c r="F1944" i="3"/>
  <c r="C1943" i="3"/>
  <c r="D1943" i="3"/>
  <c r="E1944" i="3"/>
  <c r="E1943" i="3" l="1"/>
  <c r="F1943" i="3"/>
  <c r="H1943" i="3"/>
  <c r="C1942" i="3"/>
  <c r="D1942" i="3"/>
  <c r="E1942" i="3" l="1"/>
  <c r="D1941" i="3"/>
  <c r="C1941" i="3"/>
  <c r="F1942" i="3"/>
  <c r="H1942" i="3"/>
  <c r="E1941" i="3" l="1"/>
  <c r="F1941" i="3"/>
  <c r="H1941" i="3"/>
  <c r="D1940" i="3"/>
  <c r="C1940" i="3"/>
  <c r="H1940" i="3" l="1"/>
  <c r="F1940" i="3"/>
  <c r="E1940" i="3"/>
  <c r="D1939" i="3"/>
  <c r="C1939" i="3"/>
  <c r="E1939" i="3" l="1"/>
  <c r="F1939" i="3"/>
  <c r="H1939" i="3"/>
  <c r="C1938" i="3"/>
  <c r="D1938" i="3"/>
  <c r="D1937" i="3" l="1"/>
  <c r="C1937" i="3"/>
  <c r="F1938" i="3"/>
  <c r="H1938" i="3"/>
  <c r="E1938" i="3"/>
  <c r="E1937" i="3" l="1"/>
  <c r="H1937" i="3"/>
  <c r="F1937" i="3"/>
  <c r="D1936" i="3"/>
  <c r="C1936" i="3"/>
  <c r="H1936" i="3" l="1"/>
  <c r="F1936" i="3"/>
  <c r="C1935" i="3"/>
  <c r="D1935" i="3"/>
  <c r="E1936" i="3"/>
  <c r="E1935" i="3" l="1"/>
  <c r="H1935" i="3"/>
  <c r="F1935" i="3"/>
  <c r="C1934" i="3"/>
  <c r="D1934" i="3"/>
  <c r="C1933" i="3" l="1"/>
  <c r="D1933" i="3"/>
  <c r="H1934" i="3"/>
  <c r="F1934" i="3"/>
  <c r="E1934" i="3"/>
  <c r="E1933" i="3" l="1"/>
  <c r="D1932" i="3"/>
  <c r="C1932" i="3"/>
  <c r="H1933" i="3"/>
  <c r="F1933" i="3"/>
  <c r="E1932" i="3" l="1"/>
  <c r="F1932" i="3"/>
  <c r="H1932" i="3"/>
  <c r="C1931" i="3"/>
  <c r="D1931" i="3"/>
  <c r="H1931" i="3" l="1"/>
  <c r="F1931" i="3"/>
  <c r="D1930" i="3"/>
  <c r="C1930" i="3"/>
  <c r="E1931" i="3"/>
  <c r="E1930" i="3" l="1"/>
  <c r="C1929" i="3"/>
  <c r="D1929" i="3"/>
  <c r="H1930" i="3"/>
  <c r="F1930" i="3"/>
  <c r="C1928" i="3" l="1"/>
  <c r="D1928" i="3"/>
  <c r="F1929" i="3"/>
  <c r="H1929" i="3"/>
  <c r="E1929" i="3"/>
  <c r="E1928" i="3" l="1"/>
  <c r="C1927" i="3"/>
  <c r="D1927" i="3"/>
  <c r="F1928" i="3"/>
  <c r="H1928" i="3"/>
  <c r="C1926" i="3" l="1"/>
  <c r="D1926" i="3"/>
  <c r="F1927" i="3"/>
  <c r="H1927" i="3"/>
  <c r="E1927" i="3"/>
  <c r="E1926" i="3" l="1"/>
  <c r="C1925" i="3"/>
  <c r="D1925" i="3"/>
  <c r="F1926" i="3"/>
  <c r="H1926" i="3"/>
  <c r="D1924" i="3" l="1"/>
  <c r="C1924" i="3"/>
  <c r="H1925" i="3"/>
  <c r="F1925" i="3"/>
  <c r="E1925" i="3"/>
  <c r="E1924" i="3" l="1"/>
  <c r="H1924" i="3"/>
  <c r="F1924" i="3"/>
  <c r="C1923" i="3"/>
  <c r="D1923" i="3"/>
  <c r="C1922" i="3" l="1"/>
  <c r="D1922" i="3"/>
  <c r="F1923" i="3"/>
  <c r="H1923" i="3"/>
  <c r="E1923" i="3"/>
  <c r="E1922" i="3" l="1"/>
  <c r="C1921" i="3"/>
  <c r="D1921" i="3"/>
  <c r="H1922" i="3"/>
  <c r="F1922" i="3"/>
  <c r="E1921" i="3" l="1"/>
  <c r="C1920" i="3"/>
  <c r="D1920" i="3"/>
  <c r="F1921" i="3"/>
  <c r="H1921" i="3"/>
  <c r="C1919" i="3" l="1"/>
  <c r="D1919" i="3"/>
  <c r="F1920" i="3"/>
  <c r="H1920" i="3"/>
  <c r="E1920" i="3"/>
  <c r="E1919" i="3" l="1"/>
  <c r="D1918" i="3"/>
  <c r="C1918" i="3"/>
  <c r="F1919" i="3"/>
  <c r="H1919" i="3"/>
  <c r="F1918" i="3" l="1"/>
  <c r="H1918" i="3"/>
  <c r="D1917" i="3"/>
  <c r="C1917" i="3"/>
  <c r="E1918" i="3"/>
  <c r="E1917" i="3" l="1"/>
  <c r="F1917" i="3"/>
  <c r="H1917" i="3"/>
  <c r="D1916" i="3"/>
  <c r="C1916" i="3"/>
  <c r="F1916" i="3" l="1"/>
  <c r="H1916" i="3"/>
  <c r="C1915" i="3"/>
  <c r="D1915" i="3"/>
  <c r="E1916" i="3"/>
  <c r="E1915" i="3" l="1"/>
  <c r="D1914" i="3"/>
  <c r="C1914" i="3"/>
  <c r="F1915" i="3"/>
  <c r="H1915" i="3"/>
  <c r="F1914" i="3" l="1"/>
  <c r="H1914" i="3"/>
  <c r="C1913" i="3"/>
  <c r="D1913" i="3"/>
  <c r="E1914" i="3"/>
  <c r="E1913" i="3" l="1"/>
  <c r="D1912" i="3"/>
  <c r="C1912" i="3"/>
  <c r="H1913" i="3"/>
  <c r="F1913" i="3"/>
  <c r="F1912" i="3" l="1"/>
  <c r="H1912" i="3"/>
  <c r="C1911" i="3"/>
  <c r="D1911" i="3"/>
  <c r="E1912" i="3"/>
  <c r="C1910" i="3" l="1"/>
  <c r="D1910" i="3"/>
  <c r="F1911" i="3"/>
  <c r="H1911" i="3"/>
  <c r="E1911" i="3"/>
  <c r="E1910" i="3" l="1"/>
  <c r="D1909" i="3"/>
  <c r="C1909" i="3"/>
  <c r="F1910" i="3"/>
  <c r="H1910" i="3"/>
  <c r="F1909" i="3" l="1"/>
  <c r="H1909" i="3"/>
  <c r="D1908" i="3"/>
  <c r="C1908" i="3"/>
  <c r="E1909" i="3"/>
  <c r="H1908" i="3" l="1"/>
  <c r="F1908" i="3"/>
  <c r="C1907" i="3"/>
  <c r="D1907" i="3"/>
  <c r="E1908" i="3"/>
  <c r="C1906" i="3" l="1"/>
  <c r="D1906" i="3"/>
  <c r="H1907" i="3"/>
  <c r="F1907" i="3"/>
  <c r="E1907" i="3"/>
  <c r="E1906" i="3" l="1"/>
  <c r="D1905" i="3"/>
  <c r="C1905" i="3"/>
  <c r="H1906" i="3"/>
  <c r="F1906" i="3"/>
  <c r="H1905" i="3" l="1"/>
  <c r="F1905" i="3"/>
  <c r="C1904" i="3"/>
  <c r="D1904" i="3"/>
  <c r="E1905" i="3"/>
  <c r="E1904" i="3" l="1"/>
  <c r="C1903" i="3"/>
  <c r="D1903" i="3"/>
  <c r="F1904" i="3"/>
  <c r="H1904" i="3"/>
  <c r="C1902" i="3" l="1"/>
  <c r="D1902" i="3"/>
  <c r="H1903" i="3"/>
  <c r="F1903" i="3"/>
  <c r="E1903" i="3"/>
  <c r="C1901" i="3" l="1"/>
  <c r="D1901" i="3"/>
  <c r="E1902" i="3"/>
  <c r="H1902" i="3"/>
  <c r="F1902" i="3"/>
  <c r="E1901" i="3" l="1"/>
  <c r="C1900" i="3"/>
  <c r="D1900" i="3"/>
  <c r="F1901" i="3"/>
  <c r="H1901" i="3"/>
  <c r="C1899" i="3" l="1"/>
  <c r="D1899" i="3"/>
  <c r="H1900" i="3"/>
  <c r="F1900" i="3"/>
  <c r="E1900" i="3"/>
  <c r="E1899" i="3" l="1"/>
  <c r="D1898" i="3"/>
  <c r="C1898" i="3"/>
  <c r="F1899" i="3"/>
  <c r="H1899" i="3"/>
  <c r="D1897" i="3" l="1"/>
  <c r="C1897" i="3"/>
  <c r="F1898" i="3"/>
  <c r="H1898" i="3"/>
  <c r="E1898" i="3"/>
  <c r="E1897" i="3" l="1"/>
  <c r="H1897" i="3"/>
  <c r="F1897" i="3"/>
  <c r="C1896" i="3"/>
  <c r="D1896" i="3"/>
  <c r="D1895" i="3" l="1"/>
  <c r="C1895" i="3"/>
  <c r="H1896" i="3"/>
  <c r="F1896" i="3"/>
  <c r="E1896" i="3"/>
  <c r="F1895" i="3" l="1"/>
  <c r="H1895" i="3"/>
  <c r="E1895" i="3"/>
  <c r="C1894" i="3"/>
  <c r="D1894" i="3"/>
  <c r="C1893" i="3" l="1"/>
  <c r="D1893" i="3"/>
  <c r="F1894" i="3"/>
  <c r="H1894" i="3"/>
  <c r="E1894" i="3"/>
  <c r="E1893" i="3" l="1"/>
  <c r="D1892" i="3"/>
  <c r="C1892" i="3"/>
  <c r="F1893" i="3"/>
  <c r="H1893" i="3"/>
  <c r="F1892" i="3" l="1"/>
  <c r="H1892" i="3"/>
  <c r="D1891" i="3"/>
  <c r="C1891" i="3"/>
  <c r="E1892" i="3"/>
  <c r="E1891" i="3" l="1"/>
  <c r="H1891" i="3"/>
  <c r="F1891" i="3"/>
  <c r="C1890" i="3"/>
  <c r="D1890" i="3"/>
  <c r="D1889" i="3" l="1"/>
  <c r="E1890" i="3"/>
  <c r="C1889" i="3"/>
  <c r="F1890" i="3"/>
  <c r="H1890" i="3"/>
  <c r="F1889" i="3" l="1"/>
  <c r="H1889" i="3"/>
  <c r="E1889" i="3"/>
  <c r="D1888" i="3"/>
  <c r="C1888" i="3"/>
  <c r="H1888" i="3" l="1"/>
  <c r="F1888" i="3"/>
  <c r="D1887" i="3"/>
  <c r="C1887" i="3"/>
  <c r="E1888" i="3"/>
  <c r="E1887" i="3" l="1"/>
  <c r="F1887" i="3"/>
  <c r="H1887" i="3"/>
  <c r="C1886" i="3"/>
  <c r="D1886" i="3"/>
  <c r="F1886" i="3" l="1"/>
  <c r="H1886" i="3"/>
  <c r="C1885" i="3"/>
  <c r="D1885" i="3"/>
  <c r="E1886" i="3"/>
  <c r="E1885" i="3" l="1"/>
  <c r="D1884" i="3"/>
  <c r="C1884" i="3"/>
  <c r="H1885" i="3"/>
  <c r="F1885" i="3"/>
  <c r="F1884" i="3" l="1"/>
  <c r="H1884" i="3"/>
  <c r="D1883" i="3"/>
  <c r="C1883" i="3"/>
  <c r="E1884" i="3"/>
  <c r="E1883" i="3" l="1"/>
  <c r="H1883" i="3"/>
  <c r="F1883" i="3"/>
  <c r="C1882" i="3"/>
  <c r="D1882" i="3"/>
  <c r="C1881" i="3" l="1"/>
  <c r="D1881" i="3"/>
  <c r="F1882" i="3"/>
  <c r="H1882" i="3"/>
  <c r="E1882" i="3"/>
  <c r="E1881" i="3" l="1"/>
  <c r="C1880" i="3"/>
  <c r="D1880" i="3"/>
  <c r="H1881" i="3"/>
  <c r="F1881" i="3"/>
  <c r="C1879" i="3" l="1"/>
  <c r="D1879" i="3"/>
  <c r="H1880" i="3"/>
  <c r="F1880" i="3"/>
  <c r="E1880" i="3"/>
  <c r="C1878" i="3" l="1"/>
  <c r="D1878" i="3"/>
  <c r="E1879" i="3"/>
  <c r="F1879" i="3"/>
  <c r="H1879" i="3"/>
  <c r="E1878" i="3" l="1"/>
  <c r="C1877" i="3"/>
  <c r="D1877" i="3"/>
  <c r="F1878" i="3"/>
  <c r="H1878" i="3"/>
  <c r="H1877" i="3" l="1"/>
  <c r="F1877" i="3"/>
  <c r="D1876" i="3"/>
  <c r="C1876" i="3"/>
  <c r="E1877" i="3"/>
  <c r="E1876" i="3" l="1"/>
  <c r="H1876" i="3"/>
  <c r="F1876" i="3"/>
  <c r="C1875" i="3"/>
  <c r="D1875" i="3"/>
  <c r="D1874" i="3" l="1"/>
  <c r="C1874" i="3"/>
  <c r="F1875" i="3"/>
  <c r="H1875" i="3"/>
  <c r="E1875" i="3"/>
  <c r="E1874" i="3" l="1"/>
  <c r="F1874" i="3"/>
  <c r="H1874" i="3"/>
  <c r="C1873" i="3"/>
  <c r="D1873" i="3"/>
  <c r="F1873" i="3" l="1"/>
  <c r="H1873" i="3"/>
  <c r="D1872" i="3"/>
  <c r="C1872" i="3"/>
  <c r="E1873" i="3"/>
  <c r="E1872" i="3" l="1"/>
  <c r="F1872" i="3"/>
  <c r="H1872" i="3"/>
  <c r="D1871" i="3"/>
  <c r="C1871" i="3"/>
  <c r="C1870" i="3" l="1"/>
  <c r="D1870" i="3"/>
  <c r="F1871" i="3"/>
  <c r="H1871" i="3"/>
  <c r="E1871" i="3"/>
  <c r="E1870" i="3" l="1"/>
  <c r="C1869" i="3"/>
  <c r="D1869" i="3"/>
  <c r="H1870" i="3"/>
  <c r="F1870" i="3"/>
  <c r="D1868" i="3" l="1"/>
  <c r="C1868" i="3"/>
  <c r="F1869" i="3"/>
  <c r="H1869" i="3"/>
  <c r="E1869" i="3"/>
  <c r="E1868" i="3" l="1"/>
  <c r="F1868" i="3"/>
  <c r="H1868" i="3"/>
  <c r="D1867" i="3"/>
  <c r="C1867" i="3"/>
  <c r="F1867" i="3" l="1"/>
  <c r="H1867" i="3"/>
  <c r="D1866" i="3"/>
  <c r="C1866" i="3"/>
  <c r="E1867" i="3"/>
  <c r="H1866" i="3" l="1"/>
  <c r="F1866" i="3"/>
  <c r="D1865" i="3"/>
  <c r="C1865" i="3"/>
  <c r="E1866" i="3"/>
  <c r="E1865" i="3" l="1"/>
  <c r="D1864" i="3"/>
  <c r="C1864" i="3"/>
  <c r="F1865" i="3"/>
  <c r="H1865" i="3"/>
  <c r="F1864" i="3" l="1"/>
  <c r="H1864" i="3"/>
  <c r="C1863" i="3"/>
  <c r="D1863" i="3"/>
  <c r="E1864" i="3"/>
  <c r="E1863" i="3" l="1"/>
  <c r="C1862" i="3"/>
  <c r="D1862" i="3"/>
  <c r="F1863" i="3"/>
  <c r="H1863" i="3"/>
  <c r="C1861" i="3" l="1"/>
  <c r="D1861" i="3"/>
  <c r="H1862" i="3"/>
  <c r="F1862" i="3"/>
  <c r="E1862" i="3"/>
  <c r="E1861" i="3" l="1"/>
  <c r="D1860" i="3"/>
  <c r="C1860" i="3"/>
  <c r="H1861" i="3"/>
  <c r="F1861" i="3"/>
  <c r="E1860" i="3" l="1"/>
  <c r="H1860" i="3"/>
  <c r="F1860" i="3"/>
  <c r="C1859" i="3"/>
  <c r="D1859" i="3"/>
  <c r="C1858" i="3" l="1"/>
  <c r="D1858" i="3"/>
  <c r="F1859" i="3"/>
  <c r="H1859" i="3"/>
  <c r="E1859" i="3"/>
  <c r="E1858" i="3" l="1"/>
  <c r="D1857" i="3"/>
  <c r="C1857" i="3"/>
  <c r="H1858" i="3"/>
  <c r="F1858" i="3"/>
  <c r="D1856" i="3" l="1"/>
  <c r="C1856" i="3"/>
  <c r="F1857" i="3"/>
  <c r="H1857" i="3"/>
  <c r="E1857" i="3"/>
  <c r="E1856" i="3" l="1"/>
  <c r="H1856" i="3"/>
  <c r="F1856" i="3"/>
  <c r="C1855" i="3"/>
  <c r="D1855" i="3"/>
  <c r="C1854" i="3" l="1"/>
  <c r="D1854" i="3"/>
  <c r="H1855" i="3"/>
  <c r="F1855" i="3"/>
  <c r="E1855" i="3"/>
  <c r="E1854" i="3" l="1"/>
  <c r="C1853" i="3"/>
  <c r="D1853" i="3"/>
  <c r="F1854" i="3"/>
  <c r="H1854" i="3"/>
  <c r="C1852" i="3" l="1"/>
  <c r="D1852" i="3"/>
  <c r="H1853" i="3"/>
  <c r="F1853" i="3"/>
  <c r="E1853" i="3"/>
  <c r="E1852" i="3" l="1"/>
  <c r="C1851" i="3"/>
  <c r="D1851" i="3"/>
  <c r="H1852" i="3"/>
  <c r="F1852" i="3"/>
  <c r="D1850" i="3" l="1"/>
  <c r="C1850" i="3"/>
  <c r="F1851" i="3"/>
  <c r="H1851" i="3"/>
  <c r="E1851" i="3"/>
  <c r="E1850" i="3" l="1"/>
  <c r="H1850" i="3"/>
  <c r="F1850" i="3"/>
  <c r="C1849" i="3"/>
  <c r="D1849" i="3"/>
  <c r="H1849" i="3" l="1"/>
  <c r="F1849" i="3"/>
  <c r="C1848" i="3"/>
  <c r="D1848" i="3"/>
  <c r="E1849" i="3"/>
  <c r="E1848" i="3" l="1"/>
  <c r="C1847" i="3"/>
  <c r="D1847" i="3"/>
  <c r="H1848" i="3"/>
  <c r="F1848" i="3"/>
  <c r="D1846" i="3" l="1"/>
  <c r="C1846" i="3"/>
  <c r="H1847" i="3"/>
  <c r="F1847" i="3"/>
  <c r="E1847" i="3"/>
  <c r="E1846" i="3" l="1"/>
  <c r="H1846" i="3"/>
  <c r="F1846" i="3"/>
  <c r="C1845" i="3"/>
  <c r="D1845" i="3"/>
  <c r="H1845" i="3" l="1"/>
  <c r="F1845" i="3"/>
  <c r="C1844" i="3"/>
  <c r="D1844" i="3"/>
  <c r="E1845" i="3"/>
  <c r="C1843" i="3" l="1"/>
  <c r="D1843" i="3"/>
  <c r="H1844" i="3"/>
  <c r="F1844" i="3"/>
  <c r="E1844" i="3"/>
  <c r="E1843" i="3" l="1"/>
  <c r="D1842" i="3"/>
  <c r="C1842" i="3"/>
  <c r="F1843" i="3"/>
  <c r="H1843" i="3"/>
  <c r="F1842" i="3" l="1"/>
  <c r="H1842" i="3"/>
  <c r="C1841" i="3"/>
  <c r="D1841" i="3"/>
  <c r="E1842" i="3"/>
  <c r="E1841" i="3" l="1"/>
  <c r="C1840" i="3"/>
  <c r="D1840" i="3"/>
  <c r="H1841" i="3"/>
  <c r="F1841" i="3"/>
  <c r="D1839" i="3" l="1"/>
  <c r="C1839" i="3"/>
  <c r="F1840" i="3"/>
  <c r="H1840" i="3"/>
  <c r="E1840" i="3"/>
  <c r="E1839" i="3" l="1"/>
  <c r="H1839" i="3"/>
  <c r="F1839" i="3"/>
  <c r="C1838" i="3"/>
  <c r="D1838" i="3"/>
  <c r="C1837" i="3" l="1"/>
  <c r="D1837" i="3"/>
  <c r="H1838" i="3"/>
  <c r="F1838" i="3"/>
  <c r="E1838" i="3"/>
  <c r="E1837" i="3" l="1"/>
  <c r="C1836" i="3"/>
  <c r="D1836" i="3"/>
  <c r="E1836" i="3" s="1"/>
  <c r="H1837" i="3"/>
  <c r="F1837" i="3"/>
  <c r="C1835" i="3" l="1"/>
  <c r="D1835" i="3"/>
  <c r="H1836" i="3"/>
  <c r="F1836" i="3"/>
  <c r="F1835" i="3" l="1"/>
  <c r="H1835" i="3"/>
  <c r="C1834" i="3"/>
  <c r="D1834" i="3"/>
  <c r="E1835" i="3"/>
  <c r="E1834" i="3" l="1"/>
  <c r="C1833" i="3"/>
  <c r="D1833" i="3"/>
  <c r="H1834" i="3"/>
  <c r="F1834" i="3"/>
  <c r="D1832" i="3" l="1"/>
  <c r="C1832" i="3"/>
  <c r="F1833" i="3"/>
  <c r="H1833" i="3"/>
  <c r="E1833" i="3"/>
  <c r="E1832" i="3" l="1"/>
  <c r="H1832" i="3"/>
  <c r="F1832" i="3"/>
  <c r="C1831" i="3"/>
  <c r="D1831" i="3"/>
  <c r="C1830" i="3" l="1"/>
  <c r="D1830" i="3"/>
  <c r="H1831" i="3"/>
  <c r="F1831" i="3"/>
  <c r="E1831" i="3"/>
  <c r="E1830" i="3" l="1"/>
  <c r="C1829" i="3"/>
  <c r="D1829" i="3"/>
  <c r="H1830" i="3"/>
  <c r="F1830" i="3"/>
  <c r="C1828" i="3" l="1"/>
  <c r="D1828" i="3"/>
  <c r="H1829" i="3"/>
  <c r="F1829" i="3"/>
  <c r="E1829" i="3"/>
  <c r="E1828" i="3" l="1"/>
  <c r="C1827" i="3"/>
  <c r="D1827" i="3"/>
  <c r="H1828" i="3"/>
  <c r="F1828" i="3"/>
  <c r="F1827" i="3" l="1"/>
  <c r="H1827" i="3"/>
  <c r="D1826" i="3"/>
  <c r="C1826" i="3"/>
  <c r="E1827" i="3"/>
  <c r="E1826" i="3" l="1"/>
  <c r="H1826" i="3"/>
  <c r="F1826" i="3"/>
  <c r="C1825" i="3"/>
  <c r="D1825" i="3"/>
  <c r="D1824" i="3" l="1"/>
  <c r="C1824" i="3"/>
  <c r="H1825" i="3"/>
  <c r="F1825" i="3"/>
  <c r="E1825" i="3"/>
  <c r="E1824" i="3" l="1"/>
  <c r="H1824" i="3"/>
  <c r="F1824" i="3"/>
  <c r="U143" i="1" s="1"/>
  <c r="D1823" i="3"/>
  <c r="C1823" i="3"/>
  <c r="AE9" i="2" l="1"/>
  <c r="AQ9" i="2" s="1"/>
  <c r="S143" i="1" s="1"/>
  <c r="R143" i="1"/>
  <c r="F1823" i="3"/>
  <c r="H1823" i="3"/>
  <c r="C1822" i="3"/>
  <c r="D1822" i="3"/>
  <c r="E1823" i="3"/>
  <c r="AG9" i="2" l="1"/>
  <c r="AF9" i="2"/>
  <c r="T143" i="1" s="1"/>
  <c r="BQ143" i="1" s="1"/>
  <c r="CK143" i="1"/>
  <c r="CL143" i="1" s="1"/>
  <c r="CI143" i="1"/>
  <c r="CJ143" i="1" s="1"/>
  <c r="CG143" i="1"/>
  <c r="CH143" i="1" s="1"/>
  <c r="CC143" i="1"/>
  <c r="CD143" i="1" s="1"/>
  <c r="BW143" i="1"/>
  <c r="BX143" i="1" s="1"/>
  <c r="BY143" i="1"/>
  <c r="BS143" i="1"/>
  <c r="BT143" i="1" s="1"/>
  <c r="BU143" i="1"/>
  <c r="BV143" i="1" s="1"/>
  <c r="CA143" i="1"/>
  <c r="CB143" i="1" s="1"/>
  <c r="DR143" i="1"/>
  <c r="E1822" i="3"/>
  <c r="F1822" i="3"/>
  <c r="H1822" i="3"/>
  <c r="C1821" i="3"/>
  <c r="D1821" i="3"/>
  <c r="BZ143" i="1" l="1"/>
  <c r="CE143" i="1"/>
  <c r="CF143" i="1" s="1"/>
  <c r="BO143" i="1"/>
  <c r="BP143" i="1" s="1"/>
  <c r="BM143" i="1"/>
  <c r="BN143" i="1" s="1"/>
  <c r="CY143" i="1"/>
  <c r="CZ143" i="1" s="1"/>
  <c r="DS143" i="1"/>
  <c r="BR143" i="1"/>
  <c r="DT143" i="1"/>
  <c r="H1821" i="3"/>
  <c r="F1821" i="3"/>
  <c r="D1820" i="3"/>
  <c r="C1820" i="3"/>
  <c r="E1821" i="3"/>
  <c r="DP143" i="1" l="1"/>
  <c r="ED143" i="1"/>
  <c r="EC143" i="1" s="1"/>
  <c r="EB143" i="1" s="1"/>
  <c r="EA143" i="1" s="1"/>
  <c r="CT143" i="1" s="1"/>
  <c r="CW143" i="1"/>
  <c r="DY143" i="1"/>
  <c r="DX143" i="1" s="1"/>
  <c r="DW143" i="1" s="1"/>
  <c r="DU143" i="1" s="1"/>
  <c r="CM143" i="1" s="1"/>
  <c r="CU143" i="1"/>
  <c r="CR143" i="1" s="1"/>
  <c r="CX143" i="1"/>
  <c r="C1819" i="3"/>
  <c r="D1819" i="3"/>
  <c r="E1820" i="3"/>
  <c r="H1820" i="3"/>
  <c r="F1820" i="3"/>
  <c r="DZ143" i="1" l="1"/>
  <c r="CP143" i="1" s="1"/>
  <c r="DV143" i="1"/>
  <c r="CQ143" i="1" s="1"/>
  <c r="E1819" i="3"/>
  <c r="C1818" i="3"/>
  <c r="D1818" i="3"/>
  <c r="F1819" i="3"/>
  <c r="H1819" i="3"/>
  <c r="D1817" i="3" l="1"/>
  <c r="C1817" i="3"/>
  <c r="F1818" i="3"/>
  <c r="H1818" i="3"/>
  <c r="E1818" i="3"/>
  <c r="E1817" i="3" l="1"/>
  <c r="F1817" i="3"/>
  <c r="H1817" i="3"/>
  <c r="D1816" i="3"/>
  <c r="C1816" i="3"/>
  <c r="D1815" i="3" l="1"/>
  <c r="C1815" i="3"/>
  <c r="F1816" i="3"/>
  <c r="H1816" i="3"/>
  <c r="E1816" i="3"/>
  <c r="E1815" i="3" l="1"/>
  <c r="F1815" i="3"/>
  <c r="H1815" i="3"/>
  <c r="C1814" i="3"/>
  <c r="D1814" i="3"/>
  <c r="D1813" i="3" l="1"/>
  <c r="C1813" i="3"/>
  <c r="F1814" i="3"/>
  <c r="H1814" i="3"/>
  <c r="E1814" i="3"/>
  <c r="E1813" i="3" l="1"/>
  <c r="F1813" i="3"/>
  <c r="H1813" i="3"/>
  <c r="D1812" i="3"/>
  <c r="C1812" i="3"/>
  <c r="F1812" i="3" l="1"/>
  <c r="H1812" i="3"/>
  <c r="D1811" i="3"/>
  <c r="C1811" i="3"/>
  <c r="E1812" i="3"/>
  <c r="E1811" i="3" l="1"/>
  <c r="F1811" i="3"/>
  <c r="H1811" i="3"/>
  <c r="C1810" i="3"/>
  <c r="D1810" i="3"/>
  <c r="D1809" i="3" l="1"/>
  <c r="C1809" i="3"/>
  <c r="F1810" i="3"/>
  <c r="H1810" i="3"/>
  <c r="E1810" i="3"/>
  <c r="E1809" i="3" l="1"/>
  <c r="H1809" i="3"/>
  <c r="F1809" i="3"/>
  <c r="D1808" i="3"/>
  <c r="C1808" i="3"/>
  <c r="C1807" i="3" l="1"/>
  <c r="D1807" i="3"/>
  <c r="F1808" i="3"/>
  <c r="H1808" i="3"/>
  <c r="E1808" i="3"/>
  <c r="E1807" i="3" l="1"/>
  <c r="D1806" i="3"/>
  <c r="C1806" i="3"/>
  <c r="F1807" i="3"/>
  <c r="H1807" i="3"/>
  <c r="D35" i="101"/>
  <c r="E35" i="101"/>
  <c r="H1806" i="3" l="1"/>
  <c r="F1806" i="3"/>
  <c r="E1806" i="3"/>
  <c r="C1805" i="3"/>
  <c r="D1805" i="3"/>
  <c r="F1805" i="3" l="1"/>
  <c r="H1805" i="3"/>
  <c r="E1805" i="3"/>
  <c r="D1804" i="3"/>
  <c r="C1804" i="3"/>
  <c r="C1803" i="3" l="1"/>
  <c r="D1803" i="3"/>
  <c r="E1804" i="3"/>
  <c r="H1804" i="3"/>
  <c r="F1804" i="3"/>
  <c r="E1803" i="3" l="1"/>
  <c r="D1802" i="3"/>
  <c r="C1802" i="3"/>
  <c r="H1803" i="3"/>
  <c r="F1803" i="3"/>
  <c r="C1801" i="3" l="1"/>
  <c r="D1801" i="3"/>
  <c r="H1802" i="3"/>
  <c r="F1802" i="3"/>
  <c r="E1802" i="3"/>
  <c r="E1801" i="3" l="1"/>
  <c r="C1800" i="3"/>
  <c r="D1800" i="3"/>
  <c r="F1801" i="3"/>
  <c r="H1801" i="3"/>
  <c r="E1800" i="3" l="1"/>
  <c r="D1799" i="3"/>
  <c r="C1799" i="3"/>
  <c r="H1800" i="3"/>
  <c r="F1800" i="3"/>
  <c r="F1799" i="3" l="1"/>
  <c r="H1799" i="3"/>
  <c r="C1798" i="3"/>
  <c r="D1798" i="3"/>
  <c r="E1799" i="3"/>
  <c r="C1797" i="3" l="1"/>
  <c r="D1797" i="3"/>
  <c r="F1798" i="3"/>
  <c r="H1798" i="3"/>
  <c r="E1798" i="3"/>
  <c r="E1797" i="3" l="1"/>
  <c r="C1796" i="3"/>
  <c r="D1796" i="3"/>
  <c r="H1797" i="3"/>
  <c r="F1797" i="3"/>
  <c r="D1795" i="3" l="1"/>
  <c r="C1795" i="3"/>
  <c r="H1796" i="3"/>
  <c r="F1796" i="3"/>
  <c r="E1796" i="3"/>
  <c r="E1795" i="3" l="1"/>
  <c r="H1795" i="3"/>
  <c r="F1795" i="3"/>
  <c r="C1794" i="3"/>
  <c r="D1794" i="3"/>
  <c r="D1793" i="3" l="1"/>
  <c r="C1793" i="3"/>
  <c r="H1794" i="3"/>
  <c r="F1794" i="3"/>
  <c r="E1794" i="3"/>
  <c r="E1793" i="3" l="1"/>
  <c r="H1793" i="3"/>
  <c r="F1793" i="3"/>
  <c r="C1792" i="3"/>
  <c r="D1792" i="3"/>
  <c r="D1791" i="3" l="1"/>
  <c r="C1791" i="3"/>
  <c r="F1792" i="3"/>
  <c r="H1792" i="3"/>
  <c r="E1792" i="3"/>
  <c r="E1791" i="3" l="1"/>
  <c r="F1791" i="3"/>
  <c r="H1791" i="3"/>
  <c r="D1790" i="3"/>
  <c r="C1790" i="3"/>
  <c r="F1790" i="3" l="1"/>
  <c r="H1790" i="3"/>
  <c r="D1789" i="3"/>
  <c r="C1789" i="3"/>
  <c r="E1790" i="3"/>
  <c r="E1789" i="3" l="1"/>
  <c r="F1789" i="3"/>
  <c r="H1789" i="3"/>
  <c r="C1788" i="3"/>
  <c r="D1788" i="3"/>
  <c r="C1787" i="3" l="1"/>
  <c r="D1787" i="3"/>
  <c r="H1788" i="3"/>
  <c r="F1788" i="3"/>
  <c r="E1788" i="3"/>
  <c r="E1787" i="3" l="1"/>
  <c r="D1786" i="3"/>
  <c r="C1786" i="3"/>
  <c r="H1787" i="3"/>
  <c r="F1787" i="3"/>
  <c r="D34" i="101"/>
  <c r="E34" i="101"/>
  <c r="F1786" i="3" l="1"/>
  <c r="H1786" i="3"/>
  <c r="D1785" i="3"/>
  <c r="C1785" i="3"/>
  <c r="E1786" i="3"/>
  <c r="E1785" i="3" l="1"/>
  <c r="H1785" i="3"/>
  <c r="F1785" i="3"/>
  <c r="D1784" i="3"/>
  <c r="C1784" i="3"/>
  <c r="H1784" i="3" l="1"/>
  <c r="F1784" i="3"/>
  <c r="E1784" i="3"/>
  <c r="C1783" i="3"/>
  <c r="D1783" i="3"/>
  <c r="H1783" i="3" l="1"/>
  <c r="F1783" i="3"/>
  <c r="D1782" i="3"/>
  <c r="C1782" i="3"/>
  <c r="E1783" i="3"/>
  <c r="D31" i="101"/>
  <c r="E31" i="101"/>
  <c r="E1782" i="3" l="1"/>
  <c r="H1782" i="3"/>
  <c r="F1782" i="3"/>
  <c r="D1781" i="3"/>
  <c r="C1781" i="3"/>
  <c r="H1781" i="3" l="1"/>
  <c r="F1781" i="3"/>
  <c r="C1780" i="3"/>
  <c r="D1780" i="3"/>
  <c r="E1781" i="3"/>
  <c r="E1780" i="3" l="1"/>
  <c r="F1780" i="3"/>
  <c r="H1780" i="3"/>
  <c r="C1779" i="3"/>
  <c r="D1779" i="3"/>
  <c r="H1779" i="3" l="1"/>
  <c r="F1779" i="3"/>
  <c r="C1778" i="3"/>
  <c r="D1778" i="3"/>
  <c r="E1779" i="3"/>
  <c r="C1777" i="3" l="1"/>
  <c r="D1777" i="3"/>
  <c r="F1778" i="3"/>
  <c r="H1778" i="3"/>
  <c r="E1778" i="3"/>
  <c r="E1777" i="3" l="1"/>
  <c r="C1776" i="3"/>
  <c r="D1776" i="3"/>
  <c r="H1777" i="3"/>
  <c r="F1777" i="3"/>
  <c r="C1775" i="3" l="1"/>
  <c r="D1775" i="3"/>
  <c r="H1776" i="3"/>
  <c r="F1776" i="3"/>
  <c r="E1776" i="3"/>
  <c r="E1775" i="3" l="1"/>
  <c r="C1774" i="3"/>
  <c r="D1774" i="3"/>
  <c r="H1775" i="3"/>
  <c r="F1775" i="3"/>
  <c r="F1774" i="3" l="1"/>
  <c r="H1774" i="3"/>
  <c r="C1773" i="3"/>
  <c r="D1773" i="3"/>
  <c r="E1774" i="3"/>
  <c r="C1772" i="3" l="1"/>
  <c r="D1772" i="3"/>
  <c r="H1773" i="3"/>
  <c r="F1773" i="3"/>
  <c r="E1773" i="3"/>
  <c r="E1772" i="3" l="1"/>
  <c r="D1771" i="3"/>
  <c r="C1771" i="3"/>
  <c r="H1772" i="3"/>
  <c r="F1772" i="3"/>
  <c r="C1770" i="3" l="1"/>
  <c r="D1770" i="3"/>
  <c r="H1771" i="3"/>
  <c r="F1771" i="3"/>
  <c r="E1771" i="3"/>
  <c r="E1770" i="3" l="1"/>
  <c r="D1769" i="3"/>
  <c r="C1769" i="3"/>
  <c r="H1770" i="3"/>
  <c r="F1770" i="3"/>
  <c r="C1768" i="3" l="1"/>
  <c r="D1768" i="3"/>
  <c r="H1769" i="3"/>
  <c r="F1769" i="3"/>
  <c r="E1769" i="3"/>
  <c r="E1768" i="3" l="1"/>
  <c r="C1767" i="3"/>
  <c r="D1767" i="3"/>
  <c r="H1768" i="3"/>
  <c r="F1768" i="3"/>
  <c r="H1767" i="3" l="1"/>
  <c r="F1767" i="3"/>
  <c r="C1766" i="3"/>
  <c r="D1766" i="3"/>
  <c r="E1767" i="3"/>
  <c r="E1766" i="3" l="1"/>
  <c r="C1765" i="3"/>
  <c r="D1765" i="3"/>
  <c r="H1766" i="3"/>
  <c r="F1766" i="3"/>
  <c r="C1764" i="3" l="1"/>
  <c r="D1764" i="3"/>
  <c r="F1765" i="3"/>
  <c r="H1765" i="3"/>
  <c r="E1765" i="3"/>
  <c r="E1764" i="3" l="1"/>
  <c r="D1763" i="3"/>
  <c r="C1763" i="3"/>
  <c r="F1764" i="3"/>
  <c r="H1764" i="3"/>
  <c r="C1762" i="3" l="1"/>
  <c r="D1762" i="3"/>
  <c r="H1763" i="3"/>
  <c r="F1763" i="3"/>
  <c r="E1763" i="3"/>
  <c r="E1762" i="3" l="1"/>
  <c r="C1761" i="3"/>
  <c r="D1761" i="3"/>
  <c r="F1762" i="3"/>
  <c r="H1762" i="3"/>
  <c r="D1760" i="3" l="1"/>
  <c r="C1760" i="3"/>
  <c r="E1761" i="3"/>
  <c r="H1761" i="3"/>
  <c r="F1761" i="3"/>
  <c r="E1760" i="3" l="1"/>
  <c r="F1760" i="3"/>
  <c r="H1760" i="3"/>
  <c r="D1759" i="3"/>
  <c r="C1759" i="3"/>
  <c r="F1759" i="3" l="1"/>
  <c r="H1759" i="3"/>
  <c r="E1759" i="3"/>
  <c r="D1758" i="3"/>
  <c r="C1758" i="3"/>
  <c r="E33" i="101"/>
  <c r="D33" i="101"/>
  <c r="H1758" i="3" l="1"/>
  <c r="F1758" i="3"/>
  <c r="D1757" i="3"/>
  <c r="C1757" i="3"/>
  <c r="E1758" i="3"/>
  <c r="E1757" i="3" l="1"/>
  <c r="H1757" i="3"/>
  <c r="F1757" i="3"/>
  <c r="C1756" i="3"/>
  <c r="D1756" i="3"/>
  <c r="D32" i="101"/>
  <c r="E32" i="101"/>
  <c r="F1756" i="3" l="1"/>
  <c r="H1756" i="3"/>
  <c r="D1755" i="3"/>
  <c r="C1755" i="3"/>
  <c r="E1756" i="3"/>
  <c r="E1755" i="3" l="1"/>
  <c r="F1755" i="3"/>
  <c r="H1755" i="3"/>
  <c r="C1754" i="3"/>
  <c r="D1754" i="3"/>
  <c r="F1754" i="3" l="1"/>
  <c r="H1754" i="3"/>
  <c r="C1753" i="3"/>
  <c r="D1753" i="3"/>
  <c r="E1754" i="3"/>
  <c r="E1753" i="3" l="1"/>
  <c r="C1752" i="3"/>
  <c r="D1752" i="3"/>
  <c r="F1753" i="3"/>
  <c r="H1753" i="3"/>
  <c r="C1751" i="3" l="1"/>
  <c r="D1751" i="3"/>
  <c r="E1752" i="3"/>
  <c r="F1752" i="3"/>
  <c r="H1752" i="3"/>
  <c r="E1751" i="3" l="1"/>
  <c r="C1750" i="3"/>
  <c r="D1750" i="3"/>
  <c r="F1751" i="3"/>
  <c r="H1751" i="3"/>
  <c r="D1749" i="3" l="1"/>
  <c r="C1749" i="3"/>
  <c r="F1750" i="3"/>
  <c r="H1750" i="3"/>
  <c r="E1750" i="3"/>
  <c r="E1749" i="3" l="1"/>
  <c r="H1749" i="3"/>
  <c r="F1749" i="3"/>
  <c r="D1748" i="3"/>
  <c r="C1748" i="3"/>
  <c r="F1748" i="3" l="1"/>
  <c r="H1748" i="3"/>
  <c r="C1747" i="3"/>
  <c r="D1747" i="3"/>
  <c r="E1748" i="3"/>
  <c r="C1746" i="3" l="1"/>
  <c r="D1746" i="3"/>
  <c r="H1747" i="3"/>
  <c r="F1747" i="3"/>
  <c r="E1747" i="3"/>
  <c r="E1746" i="3" l="1"/>
  <c r="C1745" i="3"/>
  <c r="D1745" i="3"/>
  <c r="H1746" i="3"/>
  <c r="F1746" i="3"/>
  <c r="C1744" i="3" l="1"/>
  <c r="D1744" i="3"/>
  <c r="H1745" i="3"/>
  <c r="F1745" i="3"/>
  <c r="E1745" i="3"/>
  <c r="E1744" i="3" l="1"/>
  <c r="D1743" i="3"/>
  <c r="C1743" i="3"/>
  <c r="H1744" i="3"/>
  <c r="F1744" i="3"/>
  <c r="F1743" i="3" l="1"/>
  <c r="H1743" i="3"/>
  <c r="C1742" i="3"/>
  <c r="D1742" i="3"/>
  <c r="E1743" i="3"/>
  <c r="C1741" i="3" l="1"/>
  <c r="D1741" i="3"/>
  <c r="F1742" i="3"/>
  <c r="H1742" i="3"/>
  <c r="E1742" i="3"/>
  <c r="E1741" i="3" l="1"/>
  <c r="D1740" i="3"/>
  <c r="C1740" i="3"/>
  <c r="H1741" i="3"/>
  <c r="F1741" i="3"/>
  <c r="D1739" i="3" l="1"/>
  <c r="C1739" i="3"/>
  <c r="H1740" i="3"/>
  <c r="F1740" i="3"/>
  <c r="E1740" i="3"/>
  <c r="E1739" i="3" s="1"/>
  <c r="F1739" i="3" l="1"/>
  <c r="H1739" i="3"/>
  <c r="C1738" i="3"/>
  <c r="D1738" i="3"/>
  <c r="H1738" i="3" l="1"/>
  <c r="F1738" i="3"/>
  <c r="D1737" i="3"/>
  <c r="C1737" i="3"/>
  <c r="E1738" i="3"/>
  <c r="H1737" i="3" l="1"/>
  <c r="F1737" i="3"/>
  <c r="D1736" i="3"/>
  <c r="C1736" i="3"/>
  <c r="E1737" i="3"/>
  <c r="E1736" i="3" l="1"/>
  <c r="H1736" i="3"/>
  <c r="F1736" i="3"/>
  <c r="D1735" i="3"/>
  <c r="E1735" i="3" s="1"/>
  <c r="C1735" i="3"/>
  <c r="C1734" i="3" l="1"/>
  <c r="D1734" i="3"/>
  <c r="F1735" i="3"/>
  <c r="H1735" i="3"/>
  <c r="C1733" i="3" l="1"/>
  <c r="D1733" i="3"/>
  <c r="H1734" i="3"/>
  <c r="F1734" i="3"/>
  <c r="E1734" i="3"/>
  <c r="E1733" i="3" l="1"/>
  <c r="D1732" i="3"/>
  <c r="C1732" i="3"/>
  <c r="F1733" i="3"/>
  <c r="H1733" i="3"/>
  <c r="H1732" i="3" l="1"/>
  <c r="F1732" i="3"/>
  <c r="D1731" i="3"/>
  <c r="C1731" i="3"/>
  <c r="E1732" i="3"/>
  <c r="E1731" i="3" l="1"/>
  <c r="F1731" i="3"/>
  <c r="H1731" i="3"/>
  <c r="C1730" i="3"/>
  <c r="D1730" i="3"/>
  <c r="F1730" i="3" l="1"/>
  <c r="H1730" i="3"/>
  <c r="D1729" i="3"/>
  <c r="C1729" i="3"/>
  <c r="E1730" i="3"/>
  <c r="E1729" i="3" l="1"/>
  <c r="F1729" i="3"/>
  <c r="H1729" i="3"/>
  <c r="D1728" i="3"/>
  <c r="C1728" i="3"/>
  <c r="H1728" i="3" l="1"/>
  <c r="F1728" i="3"/>
  <c r="C1727" i="3"/>
  <c r="D1727" i="3"/>
  <c r="E1728" i="3"/>
  <c r="E1727" i="3" l="1"/>
  <c r="C1726" i="3"/>
  <c r="D1726" i="3"/>
  <c r="F1727" i="3"/>
  <c r="H1727" i="3"/>
  <c r="D1725" i="3" l="1"/>
  <c r="C1725" i="3"/>
  <c r="H1726" i="3"/>
  <c r="F1726" i="3"/>
  <c r="E1726" i="3"/>
  <c r="E1725" i="3" l="1"/>
  <c r="H1725" i="3"/>
  <c r="F1725" i="3"/>
  <c r="D1724" i="3"/>
  <c r="C1724" i="3"/>
  <c r="F1724" i="3" l="1"/>
  <c r="H1724" i="3"/>
  <c r="D1723" i="3"/>
  <c r="C1723" i="3"/>
  <c r="E1724" i="3"/>
  <c r="F1723" i="3" l="1"/>
  <c r="H1723" i="3"/>
  <c r="C1722" i="3"/>
  <c r="D1722" i="3"/>
  <c r="E1723" i="3"/>
  <c r="C1721" i="3" l="1"/>
  <c r="D1721" i="3"/>
  <c r="H1722" i="3"/>
  <c r="F1722" i="3"/>
  <c r="E1722" i="3"/>
  <c r="E1721" i="3" l="1"/>
  <c r="C1720" i="3"/>
  <c r="D1720" i="3"/>
  <c r="F1721" i="3"/>
  <c r="H1721" i="3"/>
  <c r="H1720" i="3" l="1"/>
  <c r="F1720" i="3"/>
  <c r="C1719" i="3"/>
  <c r="D1719" i="3"/>
  <c r="E1720" i="3"/>
  <c r="E1719" i="3" l="1"/>
  <c r="C1718" i="3"/>
  <c r="D1718" i="3"/>
  <c r="F1719" i="3"/>
  <c r="H1719" i="3"/>
  <c r="E1718" i="3" l="1"/>
  <c r="C1717" i="3"/>
  <c r="D1717" i="3"/>
  <c r="H1718" i="3"/>
  <c r="F1718" i="3"/>
  <c r="D1716" i="3" l="1"/>
  <c r="C1716" i="3"/>
  <c r="F1717" i="3"/>
  <c r="H1717" i="3"/>
  <c r="E1717" i="3"/>
  <c r="E1716" i="3" l="1"/>
  <c r="F1716" i="3"/>
  <c r="H1716" i="3"/>
  <c r="C1715" i="3"/>
  <c r="D1715" i="3"/>
  <c r="F1715" i="3" l="1"/>
  <c r="H1715" i="3"/>
  <c r="C1714" i="3"/>
  <c r="D1714" i="3"/>
  <c r="E1715" i="3"/>
  <c r="E1714" i="3" l="1"/>
  <c r="F1714" i="3"/>
  <c r="H1714" i="3"/>
  <c r="C1713" i="3"/>
  <c r="D1713" i="3"/>
  <c r="F1713" i="3" l="1"/>
  <c r="H1713" i="3"/>
  <c r="C1712" i="3"/>
  <c r="D1712" i="3"/>
  <c r="E1713" i="3"/>
  <c r="D1711" i="3" l="1"/>
  <c r="C1711" i="3"/>
  <c r="H1712" i="3"/>
  <c r="F1712" i="3"/>
  <c r="E1712" i="3"/>
  <c r="E1711" i="3" l="1"/>
  <c r="H1711" i="3"/>
  <c r="F1711" i="3"/>
  <c r="C1710" i="3"/>
  <c r="D1710" i="3"/>
  <c r="C1709" i="3" l="1"/>
  <c r="D1709" i="3"/>
  <c r="H1710" i="3"/>
  <c r="F1710" i="3"/>
  <c r="E1710" i="3"/>
  <c r="E1709" i="3" l="1"/>
  <c r="D1708" i="3"/>
  <c r="C1708" i="3"/>
  <c r="F1709" i="3"/>
  <c r="H1709" i="3"/>
  <c r="F1708" i="3" l="1"/>
  <c r="H1708" i="3"/>
  <c r="C1707" i="3"/>
  <c r="D1707" i="3"/>
  <c r="E1708" i="3"/>
  <c r="E1707" i="3" l="1"/>
  <c r="D1706" i="3"/>
  <c r="C1706" i="3"/>
  <c r="F1707" i="3"/>
  <c r="H1707" i="3"/>
  <c r="F1706" i="3" l="1"/>
  <c r="H1706" i="3"/>
  <c r="C1705" i="3"/>
  <c r="D1705" i="3"/>
  <c r="E1706" i="3"/>
  <c r="E1705" i="3" l="1"/>
  <c r="C1704" i="3"/>
  <c r="D1704" i="3"/>
  <c r="H1705" i="3"/>
  <c r="F1705" i="3"/>
  <c r="D1703" i="3" l="1"/>
  <c r="C1703" i="3"/>
  <c r="H1704" i="3"/>
  <c r="F1704" i="3"/>
  <c r="E1704" i="3"/>
  <c r="E1703" i="3" l="1"/>
  <c r="F1703" i="3"/>
  <c r="H1703" i="3"/>
  <c r="C1702" i="3"/>
  <c r="D1702" i="3"/>
  <c r="C1701" i="3" l="1"/>
  <c r="D1701" i="3"/>
  <c r="H1702" i="3"/>
  <c r="F1702" i="3"/>
  <c r="E1702" i="3"/>
  <c r="E1701" i="3" l="1"/>
  <c r="D1700" i="3"/>
  <c r="C1700" i="3"/>
  <c r="H1701" i="3"/>
  <c r="F1701" i="3"/>
  <c r="H1700" i="3" l="1"/>
  <c r="F1700" i="3"/>
  <c r="C1699" i="3"/>
  <c r="D1699" i="3"/>
  <c r="E1700" i="3"/>
  <c r="E1699" i="3" l="1"/>
  <c r="C1698" i="3"/>
  <c r="D1698" i="3"/>
  <c r="H1699" i="3"/>
  <c r="F1699" i="3"/>
  <c r="C1697" i="3" l="1"/>
  <c r="D1697" i="3"/>
  <c r="H1698" i="3"/>
  <c r="F1698" i="3"/>
  <c r="E1698" i="3"/>
  <c r="E1697" i="3" l="1"/>
  <c r="C1696" i="3"/>
  <c r="D1696" i="3"/>
  <c r="H1697" i="3"/>
  <c r="F1697" i="3"/>
  <c r="C1695" i="3" l="1"/>
  <c r="D1695" i="3"/>
  <c r="F1696" i="3"/>
  <c r="H1696" i="3"/>
  <c r="E1696" i="3"/>
  <c r="E1695" i="3" l="1"/>
  <c r="C1694" i="3"/>
  <c r="D1694" i="3"/>
  <c r="F1695" i="3"/>
  <c r="H1695" i="3"/>
  <c r="C1693" i="3" l="1"/>
  <c r="D1693" i="3"/>
  <c r="F1694" i="3"/>
  <c r="H1694" i="3"/>
  <c r="E1694" i="3"/>
  <c r="E1693" i="3" l="1"/>
  <c r="D1692" i="3"/>
  <c r="C1692" i="3"/>
  <c r="F1693" i="3"/>
  <c r="H1693" i="3"/>
  <c r="D1691" i="3" l="1"/>
  <c r="C1691" i="3"/>
  <c r="F1692" i="3"/>
  <c r="H1692" i="3"/>
  <c r="E1692" i="3"/>
  <c r="E1691" i="3" l="1"/>
  <c r="H1691" i="3"/>
  <c r="F1691" i="3"/>
  <c r="D1690" i="3"/>
  <c r="C1690" i="3"/>
  <c r="H1690" i="3" l="1"/>
  <c r="F1690" i="3"/>
  <c r="C1689" i="3"/>
  <c r="D1689" i="3"/>
  <c r="E1690" i="3"/>
  <c r="C1688" i="3" l="1"/>
  <c r="D1688" i="3"/>
  <c r="H1689" i="3"/>
  <c r="F1689" i="3"/>
  <c r="E1689" i="3"/>
  <c r="E1688" i="3" l="1"/>
  <c r="C1687" i="3"/>
  <c r="D1687" i="3"/>
  <c r="F1688" i="3"/>
  <c r="H1688" i="3"/>
  <c r="H1687" i="3" l="1"/>
  <c r="F1687" i="3"/>
  <c r="C1686" i="3"/>
  <c r="D1686" i="3"/>
  <c r="E1687" i="3"/>
  <c r="E1686" i="3" l="1"/>
  <c r="C1685" i="3"/>
  <c r="D1685" i="3"/>
  <c r="F1686" i="3"/>
  <c r="H1686" i="3"/>
  <c r="C1684" i="3" l="1"/>
  <c r="D1684" i="3"/>
  <c r="H1685" i="3"/>
  <c r="F1685" i="3"/>
  <c r="E1685" i="3"/>
  <c r="E1684" i="3" l="1"/>
  <c r="D1683" i="3"/>
  <c r="C1683" i="3"/>
  <c r="H1684" i="3"/>
  <c r="F1684" i="3"/>
  <c r="F1683" i="3" l="1"/>
  <c r="H1683" i="3"/>
  <c r="C1682" i="3"/>
  <c r="D1682" i="3"/>
  <c r="E1683" i="3"/>
  <c r="E1682" i="3" l="1"/>
  <c r="F1682" i="3"/>
  <c r="H1682" i="3"/>
  <c r="C1681" i="3"/>
  <c r="D1681" i="3"/>
  <c r="E1681" i="3" l="1"/>
  <c r="D1680" i="3"/>
  <c r="C1680" i="3"/>
  <c r="H1681" i="3"/>
  <c r="F1681" i="3"/>
  <c r="F1680" i="3" l="1"/>
  <c r="H1680" i="3"/>
  <c r="C1679" i="3"/>
  <c r="D1679" i="3"/>
  <c r="E1680" i="3"/>
  <c r="E1679" i="3" l="1"/>
  <c r="D1678" i="3"/>
  <c r="C1678" i="3"/>
  <c r="F1679" i="3"/>
  <c r="H1679" i="3"/>
  <c r="H1678" i="3" l="1"/>
  <c r="F1678" i="3"/>
  <c r="D1677" i="3"/>
  <c r="C1677" i="3"/>
  <c r="E1678" i="3"/>
  <c r="E1677" i="3" l="1"/>
  <c r="C1676" i="3"/>
  <c r="D1676" i="3"/>
  <c r="F1677" i="3"/>
  <c r="H1677" i="3"/>
  <c r="D1675" i="3" l="1"/>
  <c r="C1675" i="3"/>
  <c r="F1676" i="3"/>
  <c r="H1676" i="3"/>
  <c r="E1676" i="3"/>
  <c r="D37" i="101"/>
  <c r="E37" i="101"/>
  <c r="E1675" i="3" l="1"/>
  <c r="H1675" i="3"/>
  <c r="F1675" i="3"/>
  <c r="C1674" i="3"/>
  <c r="D1674" i="3"/>
  <c r="D1673" i="3" l="1"/>
  <c r="C1673" i="3"/>
  <c r="E1674" i="3"/>
  <c r="F1674" i="3"/>
  <c r="H1674" i="3"/>
  <c r="E1673" i="3" l="1"/>
  <c r="H1673" i="3"/>
  <c r="F1673" i="3"/>
  <c r="D1672" i="3"/>
  <c r="C1672" i="3"/>
  <c r="H1672" i="3" l="1"/>
  <c r="F1672" i="3"/>
  <c r="E1672" i="3"/>
  <c r="C1671" i="3"/>
  <c r="D1671" i="3"/>
  <c r="C1670" i="3" l="1"/>
  <c r="D1670" i="3"/>
  <c r="H1671" i="3"/>
  <c r="F1671" i="3"/>
  <c r="E1671" i="3"/>
  <c r="E1670" i="3" l="1"/>
  <c r="D1669" i="3"/>
  <c r="C1669" i="3"/>
  <c r="H1670" i="3"/>
  <c r="F1670" i="3"/>
  <c r="F1669" i="3" l="1"/>
  <c r="H1669" i="3"/>
  <c r="D1668" i="3"/>
  <c r="C1668" i="3"/>
  <c r="E1669" i="3"/>
  <c r="E1668" i="3" l="1"/>
  <c r="H1668" i="3"/>
  <c r="F1668" i="3"/>
  <c r="D1667" i="3"/>
  <c r="C1667" i="3"/>
  <c r="H1667" i="3" l="1"/>
  <c r="F1667" i="3"/>
  <c r="C1666" i="3"/>
  <c r="D1666" i="3"/>
  <c r="E1667" i="3"/>
  <c r="E1666" i="3" l="1"/>
  <c r="D1665" i="3"/>
  <c r="C1665" i="3"/>
  <c r="H1666" i="3"/>
  <c r="F1666" i="3"/>
  <c r="H1665" i="3" l="1"/>
  <c r="F1665" i="3"/>
  <c r="C1664" i="3"/>
  <c r="D1664" i="3"/>
  <c r="E1665" i="3"/>
  <c r="E1664" i="3" l="1"/>
  <c r="C1663" i="3"/>
  <c r="D1663" i="3"/>
  <c r="H1664" i="3"/>
  <c r="F1664" i="3"/>
  <c r="E1663" i="3" l="1"/>
  <c r="D1662" i="3"/>
  <c r="C1662" i="3"/>
  <c r="F1663" i="3"/>
  <c r="H1663" i="3"/>
  <c r="F1662" i="3" l="1"/>
  <c r="H1662" i="3"/>
  <c r="D1661" i="3"/>
  <c r="C1661" i="3"/>
  <c r="E1662" i="3"/>
  <c r="E1661" i="3" l="1"/>
  <c r="F1661" i="3"/>
  <c r="H1661" i="3"/>
  <c r="C1660" i="3"/>
  <c r="D1660" i="3"/>
  <c r="F1660" i="3" l="1"/>
  <c r="H1660" i="3"/>
  <c r="C1659" i="3"/>
  <c r="D1659" i="3"/>
  <c r="E1660" i="3"/>
  <c r="D36" i="101"/>
  <c r="E36" i="101"/>
  <c r="E1659" i="3" l="1"/>
  <c r="C1658" i="3"/>
  <c r="D1658" i="3"/>
  <c r="F1659" i="3"/>
  <c r="H1659" i="3"/>
  <c r="D1657" i="3" l="1"/>
  <c r="C1657" i="3"/>
  <c r="E1658" i="3"/>
  <c r="F1658" i="3"/>
  <c r="H1658" i="3"/>
  <c r="E1657" i="3" l="1"/>
  <c r="H1657" i="3"/>
  <c r="F1657" i="3"/>
  <c r="C1656" i="3"/>
  <c r="D1656" i="3"/>
  <c r="H1656" i="3" l="1"/>
  <c r="F1656" i="3"/>
  <c r="D1655" i="3"/>
  <c r="C1655" i="3"/>
  <c r="E1656" i="3"/>
  <c r="E1655" i="3" l="1"/>
  <c r="C1654" i="3"/>
  <c r="D1654" i="3"/>
  <c r="H1655" i="3"/>
  <c r="F1655" i="3"/>
  <c r="D1653" i="3" l="1"/>
  <c r="C1653" i="3"/>
  <c r="F1654" i="3"/>
  <c r="H1654" i="3"/>
  <c r="E1654" i="3"/>
  <c r="E1653" i="3" s="1"/>
  <c r="F1653" i="3" l="1"/>
  <c r="H1653" i="3"/>
  <c r="C1652" i="3"/>
  <c r="D1652" i="3"/>
  <c r="D1651" i="3" l="1"/>
  <c r="C1651" i="3"/>
  <c r="H1652" i="3"/>
  <c r="F1652" i="3"/>
  <c r="E1652" i="3"/>
  <c r="E1651" i="3" l="1"/>
  <c r="H1651" i="3"/>
  <c r="F1651" i="3"/>
  <c r="D1650" i="3"/>
  <c r="C1650" i="3"/>
  <c r="F1650" i="3" l="1"/>
  <c r="H1650" i="3"/>
  <c r="C1649" i="3"/>
  <c r="D1649" i="3"/>
  <c r="E1650" i="3"/>
  <c r="E1649" i="3" l="1"/>
  <c r="C1648" i="3"/>
  <c r="D1648" i="3"/>
  <c r="H1649" i="3"/>
  <c r="F1649" i="3"/>
  <c r="C1647" i="3" l="1"/>
  <c r="D1647" i="3"/>
  <c r="F1648" i="3"/>
  <c r="H1648" i="3"/>
  <c r="E1648" i="3"/>
  <c r="E1647" i="3" l="1"/>
  <c r="C1646" i="3"/>
  <c r="D1646" i="3"/>
  <c r="H1647" i="3"/>
  <c r="F1647" i="3"/>
  <c r="C1645" i="3" l="1"/>
  <c r="D1645" i="3"/>
  <c r="F1646" i="3"/>
  <c r="H1646" i="3"/>
  <c r="E1646" i="3"/>
  <c r="E1645" i="3" l="1"/>
  <c r="D1644" i="3"/>
  <c r="C1644" i="3"/>
  <c r="H1645" i="3"/>
  <c r="F1645" i="3"/>
  <c r="D1643" i="3" l="1"/>
  <c r="C1643" i="3"/>
  <c r="H1644" i="3"/>
  <c r="F1644" i="3"/>
  <c r="E1644" i="3"/>
  <c r="E1643" i="3" l="1"/>
  <c r="H1643" i="3"/>
  <c r="F1643" i="3"/>
  <c r="C1642" i="3"/>
  <c r="D1642" i="3"/>
  <c r="D1641" i="3" l="1"/>
  <c r="C1641" i="3"/>
  <c r="F1642" i="3"/>
  <c r="H1642" i="3"/>
  <c r="E1642" i="3"/>
  <c r="E1641" i="3" l="1"/>
  <c r="H1641" i="3"/>
  <c r="F1641" i="3"/>
  <c r="C1640" i="3"/>
  <c r="D1640" i="3"/>
  <c r="F1640" i="3" l="1"/>
  <c r="H1640" i="3"/>
  <c r="C1639" i="3"/>
  <c r="D1639" i="3"/>
  <c r="E1640" i="3"/>
  <c r="C1638" i="3" l="1"/>
  <c r="D1638" i="3"/>
  <c r="H1639" i="3"/>
  <c r="F1639" i="3"/>
  <c r="E1639" i="3"/>
  <c r="E1638" i="3" l="1"/>
  <c r="C1637" i="3"/>
  <c r="D1637" i="3"/>
  <c r="F1638" i="3"/>
  <c r="H1638" i="3"/>
  <c r="D1636" i="3" l="1"/>
  <c r="C1636" i="3"/>
  <c r="F1637" i="3"/>
  <c r="H1637" i="3"/>
  <c r="E1637" i="3"/>
  <c r="E1636" i="3" l="1"/>
  <c r="H1636" i="3"/>
  <c r="F1636" i="3"/>
  <c r="C1635" i="3"/>
  <c r="D1635" i="3"/>
  <c r="C1634" i="3" l="1"/>
  <c r="D1634" i="3"/>
  <c r="H1635" i="3"/>
  <c r="F1635" i="3"/>
  <c r="E1635" i="3"/>
  <c r="E1634" i="3" l="1"/>
  <c r="C1633" i="3"/>
  <c r="D1633" i="3"/>
  <c r="H1634" i="3"/>
  <c r="F1634" i="3"/>
  <c r="C1632" i="3" l="1"/>
  <c r="D1632" i="3"/>
  <c r="H1633" i="3"/>
  <c r="F1633" i="3"/>
  <c r="E1633" i="3"/>
  <c r="E1632" i="3" l="1"/>
  <c r="D1631" i="3"/>
  <c r="C1631" i="3"/>
  <c r="H1632" i="3"/>
  <c r="F1632" i="3"/>
  <c r="H1631" i="3" l="1"/>
  <c r="F1631" i="3"/>
  <c r="C1630" i="3"/>
  <c r="D1630" i="3"/>
  <c r="E1631" i="3"/>
  <c r="E1630" i="3" l="1"/>
  <c r="C1629" i="3"/>
  <c r="D1629" i="3"/>
  <c r="F1630" i="3"/>
  <c r="H1630" i="3"/>
  <c r="D1628" i="3" l="1"/>
  <c r="C1628" i="3"/>
  <c r="F1629" i="3"/>
  <c r="H1629" i="3"/>
  <c r="E1629" i="3"/>
  <c r="E1628" i="3" l="1"/>
  <c r="F1628" i="3"/>
  <c r="H1628" i="3"/>
  <c r="D1627" i="3"/>
  <c r="C1627" i="3"/>
  <c r="F1627" i="3" l="1"/>
  <c r="H1627" i="3"/>
  <c r="D1626" i="3"/>
  <c r="C1626" i="3"/>
  <c r="E1627" i="3"/>
  <c r="E1626" i="3" l="1"/>
  <c r="F1626" i="3"/>
  <c r="H1626" i="3"/>
  <c r="D1625" i="3"/>
  <c r="C1625" i="3"/>
  <c r="C1624" i="3" l="1"/>
  <c r="D1624" i="3"/>
  <c r="H1625" i="3"/>
  <c r="F1625" i="3"/>
  <c r="E1625" i="3"/>
  <c r="E1624" i="3" l="1"/>
  <c r="C1623" i="3"/>
  <c r="D1623" i="3"/>
  <c r="H1624" i="3"/>
  <c r="F1624" i="3"/>
  <c r="C1622" i="3" l="1"/>
  <c r="D1622" i="3"/>
  <c r="H1623" i="3"/>
  <c r="F1623" i="3"/>
  <c r="E1623" i="3"/>
  <c r="E1622" i="3" l="1"/>
  <c r="D1621" i="3"/>
  <c r="C1621" i="3"/>
  <c r="F1622" i="3"/>
  <c r="H1622" i="3"/>
  <c r="D1620" i="3" l="1"/>
  <c r="C1620" i="3"/>
  <c r="F1621" i="3"/>
  <c r="H1621" i="3"/>
  <c r="E1621" i="3"/>
  <c r="E1620" i="3" l="1"/>
  <c r="H1620" i="3"/>
  <c r="F1620" i="3"/>
  <c r="D1619" i="3"/>
  <c r="C1619" i="3"/>
  <c r="C1618" i="3" l="1"/>
  <c r="D1618" i="3"/>
  <c r="H1619" i="3"/>
  <c r="F1619" i="3"/>
  <c r="E1619" i="3"/>
  <c r="E1618" i="3" l="1"/>
  <c r="D1617" i="3"/>
  <c r="C1617" i="3"/>
  <c r="H1618" i="3"/>
  <c r="F1618" i="3"/>
  <c r="F1617" i="3" l="1"/>
  <c r="H1617" i="3"/>
  <c r="D1616" i="3"/>
  <c r="C1616" i="3"/>
  <c r="E1617" i="3"/>
  <c r="E1616" i="3" l="1"/>
  <c r="H1616" i="3"/>
  <c r="F1616" i="3"/>
  <c r="D1615" i="3"/>
  <c r="C1615" i="3"/>
  <c r="F1615" i="3" l="1"/>
  <c r="H1615" i="3"/>
  <c r="C1614" i="3"/>
  <c r="D1614" i="3"/>
  <c r="E1615" i="3"/>
  <c r="C1613" i="3" l="1"/>
  <c r="D1613" i="3"/>
  <c r="E1614" i="3"/>
  <c r="H1614" i="3"/>
  <c r="F1614" i="3"/>
  <c r="E1613" i="3" l="1"/>
  <c r="D1612" i="3"/>
  <c r="C1612" i="3"/>
  <c r="F1613" i="3"/>
  <c r="H1613" i="3"/>
  <c r="F1612" i="3" l="1"/>
  <c r="H1612" i="3"/>
  <c r="D1611" i="3"/>
  <c r="C1611" i="3"/>
  <c r="E1612" i="3"/>
  <c r="E1611" i="3" l="1"/>
  <c r="F1611" i="3"/>
  <c r="H1611" i="3"/>
  <c r="D1610" i="3"/>
  <c r="C1610" i="3"/>
  <c r="C1609" i="3" l="1"/>
  <c r="D1609" i="3"/>
  <c r="F1610" i="3"/>
  <c r="H1610" i="3"/>
  <c r="E1610" i="3"/>
  <c r="E1609" i="3" l="1"/>
  <c r="C1608" i="3"/>
  <c r="D1608" i="3"/>
  <c r="H1609" i="3"/>
  <c r="F1609" i="3"/>
  <c r="E1608" i="3" l="1"/>
  <c r="D1607" i="3"/>
  <c r="C1607" i="3"/>
  <c r="H1608" i="3"/>
  <c r="F1608" i="3"/>
  <c r="F1607" i="3" l="1"/>
  <c r="H1607" i="3"/>
  <c r="D1606" i="3"/>
  <c r="C1606" i="3"/>
  <c r="E1607" i="3"/>
  <c r="H1606" i="3" l="1"/>
  <c r="F1606" i="3"/>
  <c r="C1605" i="3"/>
  <c r="D1605" i="3"/>
  <c r="E1606" i="3"/>
  <c r="E1605" i="3" l="1"/>
  <c r="H1605" i="3"/>
  <c r="F1605" i="3"/>
  <c r="D1604" i="3"/>
  <c r="C1604" i="3"/>
  <c r="H1604" i="3" l="1"/>
  <c r="F1604" i="3"/>
  <c r="U144" i="1" s="1"/>
  <c r="C1603" i="3"/>
  <c r="D1603" i="3"/>
  <c r="E1604" i="3"/>
  <c r="AE8" i="2" l="1"/>
  <c r="AG8" i="2" s="1"/>
  <c r="R144" i="1"/>
  <c r="C1602" i="3"/>
  <c r="D1602" i="3"/>
  <c r="H1603" i="3"/>
  <c r="F1603" i="3"/>
  <c r="E1603" i="3"/>
  <c r="AQ8" i="2" l="1"/>
  <c r="S144" i="1" s="1"/>
  <c r="AF8" i="2"/>
  <c r="T144" i="1" s="1"/>
  <c r="CY144" i="1" s="1"/>
  <c r="CK144" i="1"/>
  <c r="CL144" i="1" s="1"/>
  <c r="CI144" i="1"/>
  <c r="CJ144" i="1" s="1"/>
  <c r="CG144" i="1"/>
  <c r="CH144" i="1" s="1"/>
  <c r="CC144" i="1"/>
  <c r="CD144" i="1" s="1"/>
  <c r="CA144" i="1"/>
  <c r="CB144" i="1" s="1"/>
  <c r="BY144" i="1"/>
  <c r="BW144" i="1"/>
  <c r="BX144" i="1" s="1"/>
  <c r="BS144" i="1"/>
  <c r="BT144" i="1" s="1"/>
  <c r="BU144" i="1"/>
  <c r="BV144" i="1" s="1"/>
  <c r="DR144" i="1"/>
  <c r="E1602" i="3"/>
  <c r="C1601" i="3"/>
  <c r="D1601" i="3"/>
  <c r="H1602" i="3"/>
  <c r="F1602" i="3"/>
  <c r="BZ144" i="1" l="1"/>
  <c r="CE144" i="1"/>
  <c r="CF144" i="1" s="1"/>
  <c r="BO144" i="1"/>
  <c r="BP144" i="1" s="1"/>
  <c r="BQ144" i="1"/>
  <c r="BR144" i="1" s="1"/>
  <c r="BM144" i="1"/>
  <c r="BN144" i="1" s="1"/>
  <c r="DY144" i="1"/>
  <c r="DX144" i="1" s="1"/>
  <c r="DW144" i="1" s="1"/>
  <c r="CW144" i="1"/>
  <c r="ED144" i="1"/>
  <c r="EC144" i="1" s="1"/>
  <c r="EB144" i="1" s="1"/>
  <c r="CZ144" i="1"/>
  <c r="EE144" i="1" s="1"/>
  <c r="DP144" i="1"/>
  <c r="H1601" i="3"/>
  <c r="F1601" i="3"/>
  <c r="C1600" i="3"/>
  <c r="D1600" i="3"/>
  <c r="E1601" i="3"/>
  <c r="DS144" i="1" l="1"/>
  <c r="DT144" i="1"/>
  <c r="EA144" i="1"/>
  <c r="CT144" i="1" s="1"/>
  <c r="DZ144" i="1"/>
  <c r="CP144" i="1" s="1"/>
  <c r="CU144" i="1"/>
  <c r="CR144" i="1" s="1"/>
  <c r="CS144" i="1" s="1"/>
  <c r="CX144" i="1"/>
  <c r="DV144" i="1"/>
  <c r="CQ144" i="1" s="1"/>
  <c r="DU144" i="1"/>
  <c r="CM144" i="1" s="1"/>
  <c r="C1599" i="3"/>
  <c r="D1599" i="3"/>
  <c r="E1600" i="3"/>
  <c r="H1600" i="3"/>
  <c r="F1600" i="3"/>
  <c r="E1599" i="3" l="1"/>
  <c r="C1598" i="3"/>
  <c r="D1598" i="3"/>
  <c r="H1599" i="3"/>
  <c r="F1599" i="3"/>
  <c r="C1597" i="3" l="1"/>
  <c r="D1597" i="3"/>
  <c r="F1598" i="3"/>
  <c r="H1598" i="3"/>
  <c r="E1598" i="3"/>
  <c r="E1597" i="3" l="1"/>
  <c r="D1596" i="3"/>
  <c r="C1596" i="3"/>
  <c r="H1597" i="3"/>
  <c r="F1597" i="3"/>
  <c r="H1596" i="3" l="1"/>
  <c r="F1596" i="3"/>
  <c r="D1595" i="3"/>
  <c r="C1595" i="3"/>
  <c r="E1596" i="3"/>
  <c r="E1595" i="3" l="1"/>
  <c r="D1594" i="3"/>
  <c r="C1594" i="3"/>
  <c r="F1595" i="3"/>
  <c r="H1595" i="3"/>
  <c r="F1594" i="3" l="1"/>
  <c r="H1594" i="3"/>
  <c r="C1593" i="3"/>
  <c r="D1593" i="3"/>
  <c r="E1594" i="3"/>
  <c r="C1592" i="3" l="1"/>
  <c r="D1592" i="3"/>
  <c r="F1593" i="3"/>
  <c r="H1593" i="3"/>
  <c r="E1593" i="3"/>
  <c r="E1592" i="3" l="1"/>
  <c r="D1591" i="3"/>
  <c r="C1591" i="3"/>
  <c r="F1592" i="3"/>
  <c r="H1592" i="3"/>
  <c r="F1591" i="3" l="1"/>
  <c r="H1591" i="3"/>
  <c r="C1590" i="3"/>
  <c r="D1590" i="3"/>
  <c r="E1591" i="3"/>
  <c r="C1589" i="3" l="1"/>
  <c r="D1589" i="3"/>
  <c r="E1590" i="3"/>
  <c r="H1590" i="3"/>
  <c r="F1590" i="3"/>
  <c r="E1589" i="3" l="1"/>
  <c r="C1588" i="3"/>
  <c r="D1588" i="3"/>
  <c r="H1589" i="3"/>
  <c r="F1589" i="3"/>
  <c r="D1587" i="3" l="1"/>
  <c r="C1587" i="3"/>
  <c r="H1588" i="3"/>
  <c r="F1588" i="3"/>
  <c r="E1588" i="3"/>
  <c r="E1587" i="3" l="1"/>
  <c r="F1587" i="3"/>
  <c r="H1587" i="3"/>
  <c r="C1586" i="3"/>
  <c r="D1586" i="3"/>
  <c r="D1585" i="3" l="1"/>
  <c r="C1585" i="3"/>
  <c r="F1586" i="3"/>
  <c r="H1586" i="3"/>
  <c r="E1586" i="3"/>
  <c r="E1585" i="3" l="1"/>
  <c r="H1585" i="3"/>
  <c r="F1585" i="3"/>
  <c r="C1584" i="3"/>
  <c r="D1584" i="3"/>
  <c r="C1583" i="3" l="1"/>
  <c r="D1583" i="3"/>
  <c r="F1584" i="3"/>
  <c r="H1584" i="3"/>
  <c r="E1584" i="3"/>
  <c r="E1583" i="3" l="1"/>
  <c r="C1582" i="3"/>
  <c r="D1582" i="3"/>
  <c r="H1583" i="3"/>
  <c r="F1583" i="3"/>
  <c r="D1581" i="3" l="1"/>
  <c r="C1581" i="3"/>
  <c r="F1582" i="3"/>
  <c r="H1582" i="3"/>
  <c r="E1582" i="3"/>
  <c r="E1581" i="3" l="1"/>
  <c r="H1581" i="3"/>
  <c r="F1581" i="3"/>
  <c r="U145" i="1" s="1"/>
  <c r="D1580" i="3"/>
  <c r="C1580" i="3"/>
  <c r="AE7" i="2" l="1"/>
  <c r="AG7" i="2" s="1"/>
  <c r="R145" i="1"/>
  <c r="F1580" i="3"/>
  <c r="H1580" i="3"/>
  <c r="C1579" i="3"/>
  <c r="E1580" i="3"/>
  <c r="D1579" i="3"/>
  <c r="AQ7" i="2" l="1"/>
  <c r="S145" i="1" s="1"/>
  <c r="AF7" i="2"/>
  <c r="T145" i="1" s="1"/>
  <c r="BM145" i="1" s="1"/>
  <c r="BN145" i="1" s="1"/>
  <c r="CI145" i="1"/>
  <c r="CJ145" i="1" s="1"/>
  <c r="CK145" i="1"/>
  <c r="CL145" i="1" s="1"/>
  <c r="CA145" i="1"/>
  <c r="CB145" i="1" s="1"/>
  <c r="CG145" i="1"/>
  <c r="CH145" i="1" s="1"/>
  <c r="BW145" i="1"/>
  <c r="BX145" i="1" s="1"/>
  <c r="CC145" i="1"/>
  <c r="CD145" i="1" s="1"/>
  <c r="BY145" i="1"/>
  <c r="BU145" i="1"/>
  <c r="BV145" i="1" s="1"/>
  <c r="BS145" i="1"/>
  <c r="BT145" i="1" s="1"/>
  <c r="DR145" i="1"/>
  <c r="D1578" i="3"/>
  <c r="C1578" i="3"/>
  <c r="E1579" i="3"/>
  <c r="F1579" i="3"/>
  <c r="H1579" i="3"/>
  <c r="BZ145" i="1" l="1"/>
  <c r="CE145" i="1"/>
  <c r="CF145" i="1" s="1"/>
  <c r="BQ145" i="1"/>
  <c r="BR145" i="1" s="1"/>
  <c r="CY145" i="1"/>
  <c r="DY145" i="1" s="1"/>
  <c r="DX145" i="1" s="1"/>
  <c r="DW145" i="1" s="1"/>
  <c r="BO145" i="1"/>
  <c r="BP145" i="1" s="1"/>
  <c r="E1578" i="3"/>
  <c r="F1578" i="3"/>
  <c r="H1578" i="3"/>
  <c r="D1577" i="3"/>
  <c r="C1577" i="3"/>
  <c r="DT145" i="1" l="1"/>
  <c r="DS145" i="1"/>
  <c r="CZ145" i="1"/>
  <c r="DP145" i="1"/>
  <c r="ED145" i="1"/>
  <c r="EC145" i="1" s="1"/>
  <c r="EB145" i="1" s="1"/>
  <c r="EA145" i="1" s="1"/>
  <c r="CT145" i="1" s="1"/>
  <c r="CW145" i="1"/>
  <c r="CU145" i="1" s="1"/>
  <c r="DV145" i="1"/>
  <c r="CQ145" i="1" s="1"/>
  <c r="DU145" i="1"/>
  <c r="CM145" i="1" s="1"/>
  <c r="H1577" i="3"/>
  <c r="F1577" i="3"/>
  <c r="C1576" i="3"/>
  <c r="D1576" i="3"/>
  <c r="E1577" i="3"/>
  <c r="CX145" i="1" l="1"/>
  <c r="DZ145" i="1"/>
  <c r="CP145" i="1" s="1"/>
  <c r="CR145" i="1"/>
  <c r="CN145" i="1"/>
  <c r="E1576" i="3"/>
  <c r="H1576" i="3"/>
  <c r="F1576" i="3"/>
  <c r="C1575" i="3"/>
  <c r="D1575" i="3"/>
  <c r="CS145" i="1" l="1"/>
  <c r="DH145" i="1"/>
  <c r="C1574" i="3"/>
  <c r="D1574" i="3"/>
  <c r="H1575" i="3"/>
  <c r="F1575" i="3"/>
  <c r="E1575" i="3"/>
  <c r="E1574" i="3" l="1"/>
  <c r="C1573" i="3"/>
  <c r="D1573" i="3"/>
  <c r="E1573" i="3" s="1"/>
  <c r="F1574" i="3"/>
  <c r="H1574" i="3"/>
  <c r="D1572" i="3" l="1"/>
  <c r="C1572" i="3"/>
  <c r="H1573" i="3"/>
  <c r="F1573" i="3"/>
  <c r="F1572" i="3" l="1"/>
  <c r="H1572" i="3"/>
  <c r="D1571" i="3"/>
  <c r="C1571" i="3"/>
  <c r="E1572" i="3"/>
  <c r="E1571" i="3" l="1"/>
  <c r="H1571" i="3"/>
  <c r="F1571" i="3"/>
  <c r="C1570" i="3"/>
  <c r="D1570" i="3"/>
  <c r="F1570" i="3" l="1"/>
  <c r="H1570" i="3"/>
  <c r="C1569" i="3"/>
  <c r="D1569" i="3"/>
  <c r="E1570" i="3"/>
  <c r="E1569" i="3" l="1"/>
  <c r="C1568" i="3"/>
  <c r="D1568" i="3"/>
  <c r="H1569" i="3"/>
  <c r="F1569" i="3"/>
  <c r="E1568" i="3" l="1"/>
  <c r="C1567" i="3"/>
  <c r="D1567" i="3"/>
  <c r="F1568" i="3"/>
  <c r="H1568" i="3"/>
  <c r="D1566" i="3" l="1"/>
  <c r="C1566" i="3"/>
  <c r="H1567" i="3"/>
  <c r="F1567" i="3"/>
  <c r="E1567" i="3"/>
  <c r="E1566" i="3" l="1"/>
  <c r="H1566" i="3"/>
  <c r="F1566" i="3"/>
  <c r="C1565" i="3"/>
  <c r="D1565" i="3"/>
  <c r="D1564" i="3" l="1"/>
  <c r="C1564" i="3"/>
  <c r="H1565" i="3"/>
  <c r="F1565" i="3"/>
  <c r="E1565" i="3"/>
  <c r="E1564" i="3" l="1"/>
  <c r="F1564" i="3"/>
  <c r="H1564" i="3"/>
  <c r="C1563" i="3"/>
  <c r="D1563" i="3"/>
  <c r="D1562" i="3" l="1"/>
  <c r="C1562" i="3"/>
  <c r="H1563" i="3"/>
  <c r="F1563" i="3"/>
  <c r="E1563" i="3"/>
  <c r="E1562" i="3" l="1"/>
  <c r="F1562" i="3"/>
  <c r="H1562" i="3"/>
  <c r="C1561" i="3"/>
  <c r="D1561" i="3"/>
  <c r="C1560" i="3" l="1"/>
  <c r="D1560" i="3"/>
  <c r="F1561" i="3"/>
  <c r="H1561" i="3"/>
  <c r="E1561" i="3"/>
  <c r="E1560" i="3" l="1"/>
  <c r="D1559" i="3"/>
  <c r="C1559" i="3"/>
  <c r="F1560" i="3"/>
  <c r="H1560" i="3"/>
  <c r="F1559" i="3" l="1"/>
  <c r="H1559" i="3"/>
  <c r="E1559" i="3"/>
  <c r="C1558" i="3"/>
  <c r="D1558" i="3"/>
  <c r="D1557" i="3" l="1"/>
  <c r="C1557" i="3"/>
  <c r="F1558" i="3"/>
  <c r="H1558" i="3"/>
  <c r="E1558" i="3"/>
  <c r="E1557" i="3" l="1"/>
  <c r="F1557" i="3"/>
  <c r="H1557" i="3"/>
  <c r="D1556" i="3"/>
  <c r="C1556" i="3"/>
  <c r="F1556" i="3" l="1"/>
  <c r="H1556" i="3"/>
  <c r="D1555" i="3"/>
  <c r="C1555" i="3"/>
  <c r="E1556" i="3"/>
  <c r="E1555" i="3" l="1"/>
  <c r="H1555" i="3"/>
  <c r="F1555" i="3"/>
  <c r="C1554" i="3"/>
  <c r="D1554" i="3"/>
  <c r="F1554" i="3" l="1"/>
  <c r="H1554" i="3"/>
  <c r="C1553" i="3"/>
  <c r="D1553" i="3"/>
  <c r="E1554" i="3"/>
  <c r="C1552" i="3" l="1"/>
  <c r="D1552" i="3"/>
  <c r="F1553" i="3"/>
  <c r="H1553" i="3"/>
  <c r="E1553" i="3"/>
  <c r="E1552" i="3" l="1"/>
  <c r="C1551" i="3"/>
  <c r="D1551" i="3"/>
  <c r="H1552" i="3"/>
  <c r="F1552" i="3"/>
  <c r="C1550" i="3" l="1"/>
  <c r="D1550" i="3"/>
  <c r="F1551" i="3"/>
  <c r="H1551" i="3"/>
  <c r="E1551" i="3"/>
  <c r="E1550" i="3" l="1"/>
  <c r="C1549" i="3"/>
  <c r="D1549" i="3"/>
  <c r="H1550" i="3"/>
  <c r="F1550" i="3"/>
  <c r="D1548" i="3" l="1"/>
  <c r="C1548" i="3"/>
  <c r="H1549" i="3"/>
  <c r="F1549" i="3"/>
  <c r="E1549" i="3"/>
  <c r="E1548" i="3" l="1"/>
  <c r="F1548" i="3"/>
  <c r="H1548" i="3"/>
  <c r="D1547" i="3"/>
  <c r="C1547" i="3"/>
  <c r="F1547" i="3" l="1"/>
  <c r="H1547" i="3"/>
  <c r="C1546" i="3"/>
  <c r="D1546" i="3"/>
  <c r="E1547" i="3"/>
  <c r="E1546" i="3" l="1"/>
  <c r="H1546" i="3"/>
  <c r="F1546" i="3"/>
  <c r="C1545" i="3"/>
  <c r="D1545" i="3"/>
  <c r="H1545" i="3" l="1"/>
  <c r="F1545" i="3"/>
  <c r="D1544" i="3"/>
  <c r="C1544" i="3"/>
  <c r="E1545" i="3"/>
  <c r="E1544" i="3" l="1"/>
  <c r="F1544" i="3"/>
  <c r="H1544" i="3"/>
  <c r="C1543" i="3"/>
  <c r="D1543" i="3"/>
  <c r="H1543" i="3" l="1"/>
  <c r="F1543" i="3"/>
  <c r="C1542" i="3"/>
  <c r="D1542" i="3"/>
  <c r="E1543" i="3"/>
  <c r="E1542" i="3" l="1"/>
  <c r="H1542" i="3"/>
  <c r="F1542" i="3"/>
  <c r="C1541" i="3"/>
  <c r="D1541" i="3"/>
  <c r="D1540" i="3" l="1"/>
  <c r="C1540" i="3"/>
  <c r="F1541" i="3"/>
  <c r="H1541" i="3"/>
  <c r="E1541" i="3"/>
  <c r="E1540" i="3" l="1"/>
  <c r="H1540" i="3"/>
  <c r="F1540" i="3"/>
  <c r="D1539" i="3"/>
  <c r="C1539" i="3"/>
  <c r="D1538" i="3" l="1"/>
  <c r="C1538" i="3"/>
  <c r="E1539" i="3"/>
  <c r="F1539" i="3"/>
  <c r="H1539" i="3"/>
  <c r="E1538" i="3" l="1"/>
  <c r="F1538" i="3"/>
  <c r="H1538" i="3"/>
  <c r="D1537" i="3"/>
  <c r="C1537" i="3"/>
  <c r="F1537" i="3" l="1"/>
  <c r="H1537" i="3"/>
  <c r="C1536" i="3"/>
  <c r="D1536" i="3"/>
  <c r="E1537" i="3"/>
  <c r="E1536" i="3" l="1"/>
  <c r="C1535" i="3"/>
  <c r="D1535" i="3"/>
  <c r="F1536" i="3"/>
  <c r="H1536" i="3"/>
  <c r="C1534" i="3" l="1"/>
  <c r="D1534" i="3"/>
  <c r="F1535" i="3"/>
  <c r="H1535" i="3"/>
  <c r="E1535" i="3"/>
  <c r="E1534" i="3" l="1"/>
  <c r="C1533" i="3"/>
  <c r="D1533" i="3"/>
  <c r="F1534" i="3"/>
  <c r="H1534" i="3"/>
  <c r="D1532" i="3" l="1"/>
  <c r="C1532" i="3"/>
  <c r="F1533" i="3"/>
  <c r="H1533" i="3"/>
  <c r="E1533" i="3"/>
  <c r="E1532" i="3" l="1"/>
  <c r="F1532" i="3"/>
  <c r="H1532" i="3"/>
  <c r="D1531" i="3"/>
  <c r="C1531" i="3"/>
  <c r="H1531" i="3" l="1"/>
  <c r="F1531" i="3"/>
  <c r="C1530" i="3"/>
  <c r="D1530" i="3"/>
  <c r="E1531" i="3"/>
  <c r="E1530" i="3" l="1"/>
  <c r="F1530" i="3"/>
  <c r="H1530" i="3"/>
  <c r="C1529" i="3"/>
  <c r="D1529" i="3"/>
  <c r="C1528" i="3" l="1"/>
  <c r="D1528" i="3"/>
  <c r="F1529" i="3"/>
  <c r="H1529" i="3"/>
  <c r="E1529" i="3"/>
  <c r="E1528" i="3" l="1"/>
  <c r="C1527" i="3"/>
  <c r="D1527" i="3"/>
  <c r="E1527" i="3" s="1"/>
  <c r="F1528" i="3"/>
  <c r="H1528" i="3"/>
  <c r="C1526" i="3" l="1"/>
  <c r="D1526" i="3"/>
  <c r="F1527" i="3"/>
  <c r="H1527" i="3"/>
  <c r="C1525" i="3" l="1"/>
  <c r="D1525" i="3"/>
  <c r="F1526" i="3"/>
  <c r="H1526" i="3"/>
  <c r="E1526" i="3"/>
  <c r="E1525" i="3" l="1"/>
  <c r="D1524" i="3"/>
  <c r="C1524" i="3"/>
  <c r="F1525" i="3"/>
  <c r="H1525" i="3"/>
  <c r="H1524" i="3" l="1"/>
  <c r="F1524" i="3"/>
  <c r="D1523" i="3"/>
  <c r="C1523" i="3"/>
  <c r="E1524" i="3"/>
  <c r="H1523" i="3" l="1"/>
  <c r="F1523" i="3"/>
  <c r="D1522" i="3"/>
  <c r="C1522" i="3"/>
  <c r="E1523" i="3"/>
  <c r="E1522" i="3" l="1"/>
  <c r="H1522" i="3"/>
  <c r="F1522" i="3"/>
  <c r="D1521" i="3"/>
  <c r="C1521" i="3"/>
  <c r="H1521" i="3" l="1"/>
  <c r="F1521" i="3"/>
  <c r="C1520" i="3"/>
  <c r="D1520" i="3"/>
  <c r="E1521" i="3"/>
  <c r="E1520" i="3" l="1"/>
  <c r="C1519" i="3"/>
  <c r="D1519" i="3"/>
  <c r="F1520" i="3"/>
  <c r="H1520" i="3"/>
  <c r="C1518" i="3" l="1"/>
  <c r="D1518" i="3"/>
  <c r="H1519" i="3"/>
  <c r="F1519" i="3"/>
  <c r="E1519" i="3"/>
  <c r="E1518" i="3" l="1"/>
  <c r="D1517" i="3"/>
  <c r="C1517" i="3"/>
  <c r="H1518" i="3"/>
  <c r="F1518" i="3"/>
  <c r="H1517" i="3" l="1"/>
  <c r="F1517" i="3"/>
  <c r="D1516" i="3"/>
  <c r="C1516" i="3"/>
  <c r="E1517" i="3"/>
  <c r="E1516" i="3" l="1"/>
  <c r="H1516" i="3"/>
  <c r="F1516" i="3"/>
  <c r="D1515" i="3"/>
  <c r="C1515" i="3"/>
  <c r="H1515" i="3" l="1"/>
  <c r="F1515" i="3"/>
  <c r="C1514" i="3"/>
  <c r="D1514" i="3"/>
  <c r="E1515" i="3"/>
  <c r="C1513" i="3" l="1"/>
  <c r="D1513" i="3"/>
  <c r="F1514" i="3"/>
  <c r="H1514" i="3"/>
  <c r="E1514" i="3"/>
  <c r="E1513" i="3" l="1"/>
  <c r="C1512" i="3"/>
  <c r="D1512" i="3"/>
  <c r="H1513" i="3"/>
  <c r="F1513" i="3"/>
  <c r="C1511" i="3" l="1"/>
  <c r="D1511" i="3"/>
  <c r="F1512" i="3"/>
  <c r="H1512" i="3"/>
  <c r="E1512" i="3"/>
  <c r="E1511" i="3" l="1"/>
  <c r="D1510" i="3"/>
  <c r="C1510" i="3"/>
  <c r="F1511" i="3"/>
  <c r="H1511" i="3"/>
  <c r="F1510" i="3" l="1"/>
  <c r="H1510" i="3"/>
  <c r="C1509" i="3"/>
  <c r="D1509" i="3"/>
  <c r="E1510" i="3"/>
  <c r="E1509" i="3" l="1"/>
  <c r="C1508" i="3"/>
  <c r="D1508" i="3"/>
  <c r="F1509" i="3"/>
  <c r="H1509" i="3"/>
  <c r="C1507" i="3" l="1"/>
  <c r="D1507" i="3"/>
  <c r="H1508" i="3"/>
  <c r="F1508" i="3"/>
  <c r="E1508" i="3"/>
  <c r="E1507" i="3" l="1"/>
  <c r="C1506" i="3"/>
  <c r="D1506" i="3"/>
  <c r="H1507" i="3"/>
  <c r="F1507" i="3"/>
  <c r="D1505" i="3" l="1"/>
  <c r="C1505" i="3"/>
  <c r="F1506" i="3"/>
  <c r="H1506" i="3"/>
  <c r="E1506" i="3"/>
  <c r="E1505" i="3" l="1"/>
  <c r="H1505" i="3"/>
  <c r="F1505" i="3"/>
  <c r="C1504" i="3"/>
  <c r="D1504" i="3"/>
  <c r="H1504" i="3" l="1"/>
  <c r="F1504" i="3"/>
  <c r="C1503" i="3"/>
  <c r="D1503" i="3"/>
  <c r="E1504" i="3"/>
  <c r="E1503" i="3" l="1"/>
  <c r="H1503" i="3"/>
  <c r="F1503" i="3"/>
  <c r="C1502" i="3"/>
  <c r="D1502" i="3"/>
  <c r="D1501" i="3" l="1"/>
  <c r="C1501" i="3"/>
  <c r="F1502" i="3"/>
  <c r="H1502" i="3"/>
  <c r="E1502" i="3"/>
  <c r="E1501" i="3" l="1"/>
  <c r="H1501" i="3"/>
  <c r="F1501" i="3"/>
  <c r="D1500" i="3"/>
  <c r="C1500" i="3"/>
  <c r="F1500" i="3" l="1"/>
  <c r="H1500" i="3"/>
  <c r="D1499" i="3"/>
  <c r="C1499" i="3"/>
  <c r="E1500" i="3"/>
  <c r="E1499" i="3" l="1"/>
  <c r="F1499" i="3"/>
  <c r="H1499" i="3"/>
  <c r="C1498" i="3"/>
  <c r="D1498" i="3"/>
  <c r="H1498" i="3" l="1"/>
  <c r="F1498" i="3"/>
  <c r="E1498" i="3"/>
  <c r="D1497" i="3"/>
  <c r="C1497" i="3"/>
  <c r="F1497" i="3" l="1"/>
  <c r="H1497" i="3"/>
  <c r="E1497" i="3"/>
  <c r="D1496" i="3"/>
  <c r="C1496" i="3"/>
  <c r="D1495" i="3" l="1"/>
  <c r="C1495" i="3"/>
  <c r="E1496" i="3"/>
  <c r="H1496" i="3"/>
  <c r="F1496" i="3"/>
  <c r="E1495" i="3" l="1"/>
  <c r="H1495" i="3"/>
  <c r="F1495" i="3"/>
  <c r="C1494" i="3"/>
  <c r="D1494" i="3"/>
  <c r="F1494" i="3" l="1"/>
  <c r="H1494" i="3"/>
  <c r="C1493" i="3"/>
  <c r="D1493" i="3"/>
  <c r="E1494" i="3"/>
  <c r="E1493" i="3" l="1"/>
  <c r="D1492" i="3"/>
  <c r="C1492" i="3"/>
  <c r="F1493" i="3"/>
  <c r="H1493" i="3"/>
  <c r="H1492" i="3" l="1"/>
  <c r="F1492" i="3"/>
  <c r="D1491" i="3"/>
  <c r="C1491" i="3"/>
  <c r="E1492" i="3"/>
  <c r="E1491" i="3" l="1"/>
  <c r="D1490" i="3"/>
  <c r="C1490" i="3"/>
  <c r="H1491" i="3"/>
  <c r="F1491" i="3"/>
  <c r="F1490" i="3" l="1"/>
  <c r="H1490" i="3"/>
  <c r="C1489" i="3"/>
  <c r="D1489" i="3"/>
  <c r="E1490" i="3"/>
  <c r="E1489" i="3" l="1"/>
  <c r="D1488" i="3"/>
  <c r="C1488" i="3"/>
  <c r="H1489" i="3"/>
  <c r="F1489" i="3"/>
  <c r="C1487" i="3" l="1"/>
  <c r="D1487" i="3"/>
  <c r="H1488" i="3"/>
  <c r="F1488" i="3"/>
  <c r="E1488" i="3"/>
  <c r="C1486" i="3" l="1"/>
  <c r="D1486" i="3"/>
  <c r="E1487" i="3"/>
  <c r="F1487" i="3"/>
  <c r="H1487" i="3"/>
  <c r="E1486" i="3" l="1"/>
  <c r="D1485" i="3"/>
  <c r="C1485" i="3"/>
  <c r="H1486" i="3"/>
  <c r="F1486" i="3"/>
  <c r="F1485" i="3" l="1"/>
  <c r="H1485" i="3"/>
  <c r="D1484" i="3"/>
  <c r="C1484" i="3"/>
  <c r="E1485" i="3"/>
  <c r="E1484" i="3" l="1"/>
  <c r="D1483" i="3"/>
  <c r="C1483" i="3"/>
  <c r="H1484" i="3"/>
  <c r="F1484" i="3"/>
  <c r="C1482" i="3" l="1"/>
  <c r="D1482" i="3"/>
  <c r="H1483" i="3"/>
  <c r="F1483" i="3"/>
  <c r="E1483" i="3"/>
  <c r="E1482" i="3" l="1"/>
  <c r="D1481" i="3"/>
  <c r="C1481" i="3"/>
  <c r="F1482" i="3"/>
  <c r="H1482" i="3"/>
  <c r="H1481" i="3" l="1"/>
  <c r="F1481" i="3"/>
  <c r="C1480" i="3"/>
  <c r="D1480" i="3"/>
  <c r="E1481" i="3"/>
  <c r="E1480" i="3" l="1"/>
  <c r="D1479" i="3"/>
  <c r="C1479" i="3"/>
  <c r="H1480" i="3"/>
  <c r="F1480" i="3"/>
  <c r="E1479" i="3" l="1"/>
  <c r="H1479" i="3"/>
  <c r="F1479" i="3"/>
  <c r="C1478" i="3"/>
  <c r="D1478" i="3"/>
  <c r="H1478" i="3" l="1"/>
  <c r="F1478" i="3"/>
  <c r="C1477" i="3"/>
  <c r="D1477" i="3"/>
  <c r="E1478" i="3"/>
  <c r="D1476" i="3" l="1"/>
  <c r="C1476" i="3"/>
  <c r="H1477" i="3"/>
  <c r="F1477" i="3"/>
  <c r="E1477" i="3"/>
  <c r="E1476" i="3" l="1"/>
  <c r="H1476" i="3"/>
  <c r="F1476" i="3"/>
  <c r="C1475" i="3"/>
  <c r="D1475" i="3"/>
  <c r="D1474" i="3" l="1"/>
  <c r="C1474" i="3"/>
  <c r="F1475" i="3"/>
  <c r="H1475" i="3"/>
  <c r="E1475" i="3"/>
  <c r="E1474" i="3" l="1"/>
  <c r="F1474" i="3"/>
  <c r="H1474" i="3"/>
  <c r="C1473" i="3"/>
  <c r="D1473" i="3"/>
  <c r="C1472" i="3" l="1"/>
  <c r="D1472" i="3"/>
  <c r="H1473" i="3"/>
  <c r="F1473" i="3"/>
  <c r="E1473" i="3"/>
  <c r="E1472" i="3" l="1"/>
  <c r="D1471" i="3"/>
  <c r="C1471" i="3"/>
  <c r="H1472" i="3"/>
  <c r="F1472" i="3"/>
  <c r="H1471" i="3" l="1"/>
  <c r="F1471" i="3"/>
  <c r="C1470" i="3"/>
  <c r="D1470" i="3"/>
  <c r="E1471" i="3"/>
  <c r="E1470" i="3" l="1"/>
  <c r="H1470" i="3"/>
  <c r="F1470" i="3"/>
  <c r="C1469" i="3"/>
  <c r="D1469" i="3"/>
  <c r="C1468" i="3" l="1"/>
  <c r="D1468" i="3"/>
  <c r="H1469" i="3"/>
  <c r="F1469" i="3"/>
  <c r="E1469" i="3"/>
  <c r="E1468" i="3" l="1"/>
  <c r="D1467" i="3"/>
  <c r="C1467" i="3"/>
  <c r="H1468" i="3"/>
  <c r="F1468" i="3"/>
  <c r="C1466" i="3" l="1"/>
  <c r="D1466" i="3"/>
  <c r="H1467" i="3"/>
  <c r="F1467" i="3"/>
  <c r="E1467" i="3"/>
  <c r="E1466" i="3" l="1"/>
  <c r="D1465" i="3"/>
  <c r="C1465" i="3"/>
  <c r="F1466" i="3"/>
  <c r="H1466" i="3"/>
  <c r="F1465" i="3" l="1"/>
  <c r="H1465" i="3"/>
  <c r="C1464" i="3"/>
  <c r="D1464" i="3"/>
  <c r="E1465" i="3"/>
  <c r="C1463" i="3" l="1"/>
  <c r="D1463" i="3"/>
  <c r="E1464" i="3"/>
  <c r="F1464" i="3"/>
  <c r="H1464" i="3"/>
  <c r="E1463" i="3" l="1"/>
  <c r="C1462" i="3"/>
  <c r="D1462" i="3"/>
  <c r="F1463" i="3"/>
  <c r="H1463" i="3"/>
  <c r="C1461" i="3" l="1"/>
  <c r="D1461" i="3"/>
  <c r="H1462" i="3"/>
  <c r="F1462" i="3"/>
  <c r="E1462" i="3"/>
  <c r="E1461" i="3" l="1"/>
  <c r="D1460" i="3"/>
  <c r="C1460" i="3"/>
  <c r="H1461" i="3"/>
  <c r="F1461" i="3"/>
  <c r="D1459" i="3" l="1"/>
  <c r="C1459" i="3"/>
  <c r="F1460" i="3"/>
  <c r="H1460" i="3"/>
  <c r="E1460" i="3"/>
  <c r="E1459" i="3" l="1"/>
  <c r="F1459" i="3"/>
  <c r="H1459" i="3"/>
  <c r="D1458" i="3"/>
  <c r="C1458" i="3"/>
  <c r="F1458" i="3" l="1"/>
  <c r="H1458" i="3"/>
  <c r="C1457" i="3"/>
  <c r="D1457" i="3"/>
  <c r="E1458" i="3"/>
  <c r="E1457" i="3" l="1"/>
  <c r="C1456" i="3"/>
  <c r="D1456" i="3"/>
  <c r="F1457" i="3"/>
  <c r="H1457" i="3"/>
  <c r="C1455" i="3" l="1"/>
  <c r="D1455" i="3"/>
  <c r="H1456" i="3"/>
  <c r="F1456" i="3"/>
  <c r="E1456" i="3"/>
  <c r="E1455" i="3" l="1"/>
  <c r="C1454" i="3"/>
  <c r="D1454" i="3"/>
  <c r="F1455" i="3"/>
  <c r="H1455" i="3"/>
  <c r="C1453" i="3" l="1"/>
  <c r="D1453" i="3"/>
  <c r="F1454" i="3"/>
  <c r="H1454" i="3"/>
  <c r="E1454" i="3"/>
  <c r="E1453" i="3" l="1"/>
  <c r="D1452" i="3"/>
  <c r="C1452" i="3"/>
  <c r="F1453" i="3"/>
  <c r="H1453" i="3"/>
  <c r="F1452" i="3" l="1"/>
  <c r="H1452" i="3"/>
  <c r="C1451" i="3"/>
  <c r="D1451" i="3"/>
  <c r="E1452" i="3"/>
  <c r="D1450" i="3" l="1"/>
  <c r="C1450" i="3"/>
  <c r="F1451" i="3"/>
  <c r="H1451" i="3"/>
  <c r="E1451" i="3"/>
  <c r="E1450" i="3" s="1"/>
  <c r="H1450" i="3" l="1"/>
  <c r="F1450" i="3"/>
  <c r="C1449" i="3"/>
  <c r="D1449" i="3"/>
  <c r="C1448" i="3" l="1"/>
  <c r="D1448" i="3"/>
  <c r="H1449" i="3"/>
  <c r="F1449" i="3"/>
  <c r="E1449" i="3"/>
  <c r="E1448" i="3" l="1"/>
  <c r="C1447" i="3"/>
  <c r="D1447" i="3"/>
  <c r="F1448" i="3"/>
  <c r="H1448" i="3"/>
  <c r="D1446" i="3" l="1"/>
  <c r="C1446" i="3"/>
  <c r="F1447" i="3"/>
  <c r="H1447" i="3"/>
  <c r="E1447" i="3"/>
  <c r="E1446" i="3" l="1"/>
  <c r="F1446" i="3"/>
  <c r="H1446" i="3"/>
  <c r="C1445" i="3"/>
  <c r="D1445" i="3"/>
  <c r="D1444" i="3" l="1"/>
  <c r="C1444" i="3"/>
  <c r="F1445" i="3"/>
  <c r="H1445" i="3"/>
  <c r="E1445" i="3"/>
  <c r="E1444" i="3" l="1"/>
  <c r="H1444" i="3"/>
  <c r="F1444" i="3"/>
  <c r="D1443" i="3"/>
  <c r="C1443" i="3"/>
  <c r="D1442" i="3" l="1"/>
  <c r="C1442" i="3"/>
  <c r="F1443" i="3"/>
  <c r="H1443" i="3"/>
  <c r="E1443" i="3"/>
  <c r="E1442" i="3" l="1"/>
  <c r="H1442" i="3"/>
  <c r="F1442" i="3"/>
  <c r="C1441" i="3"/>
  <c r="D1441" i="3"/>
  <c r="F1441" i="3" l="1"/>
  <c r="H1441" i="3"/>
  <c r="C1440" i="3"/>
  <c r="D1440" i="3"/>
  <c r="E1441" i="3"/>
  <c r="E1440" i="3" l="1"/>
  <c r="H1440" i="3"/>
  <c r="F1440" i="3"/>
  <c r="C1439" i="3"/>
  <c r="D1439" i="3"/>
  <c r="H1439" i="3" l="1"/>
  <c r="F1439" i="3"/>
  <c r="C1438" i="3"/>
  <c r="D1438" i="3"/>
  <c r="E1439" i="3"/>
  <c r="C1437" i="3" l="1"/>
  <c r="D1437" i="3"/>
  <c r="H1438" i="3"/>
  <c r="F1438" i="3"/>
  <c r="E1438" i="3"/>
  <c r="E1437" i="3" l="1"/>
  <c r="D1436" i="3"/>
  <c r="C1436" i="3"/>
  <c r="H1437" i="3"/>
  <c r="F1437" i="3"/>
  <c r="H1436" i="3" l="1"/>
  <c r="F1436" i="3"/>
  <c r="C1435" i="3"/>
  <c r="D1435" i="3"/>
  <c r="E1436" i="3"/>
  <c r="E1435" i="3" l="1"/>
  <c r="H1435" i="3"/>
  <c r="F1435" i="3"/>
  <c r="D1434" i="3"/>
  <c r="C1434" i="3"/>
  <c r="F1434" i="3" l="1"/>
  <c r="H1434" i="3"/>
  <c r="D1433" i="3"/>
  <c r="C1433" i="3"/>
  <c r="E1434" i="3"/>
  <c r="E1433" i="3" l="1"/>
  <c r="F1433" i="3"/>
  <c r="H1433" i="3"/>
  <c r="D1432" i="3"/>
  <c r="C1432" i="3"/>
  <c r="C1431" i="3" l="1"/>
  <c r="D1431" i="3"/>
  <c r="F1432" i="3"/>
  <c r="H1432" i="3"/>
  <c r="E1432" i="3"/>
  <c r="E1431" i="3" l="1"/>
  <c r="C1430" i="3"/>
  <c r="D1430" i="3"/>
  <c r="H1431" i="3"/>
  <c r="F1431" i="3"/>
  <c r="D1429" i="3" l="1"/>
  <c r="C1429" i="3"/>
  <c r="F1430" i="3"/>
  <c r="H1430" i="3"/>
  <c r="E1430" i="3"/>
  <c r="E1429" i="3" s="1"/>
  <c r="H1429" i="3" l="1"/>
  <c r="F1429" i="3"/>
  <c r="D1428" i="3"/>
  <c r="C1428" i="3"/>
  <c r="H1428" i="3" l="1"/>
  <c r="F1428" i="3"/>
  <c r="D1427" i="3"/>
  <c r="C1427" i="3"/>
  <c r="E1428" i="3"/>
  <c r="E1427" i="3" l="1"/>
  <c r="D1426" i="3"/>
  <c r="C1426" i="3"/>
  <c r="F1427" i="3"/>
  <c r="H1427" i="3"/>
  <c r="H1426" i="3" l="1"/>
  <c r="F1426" i="3"/>
  <c r="D1425" i="3"/>
  <c r="C1425" i="3"/>
  <c r="E1426" i="3"/>
  <c r="E1425" i="3" l="1"/>
  <c r="C1424" i="3"/>
  <c r="D1424" i="3"/>
  <c r="F1425" i="3"/>
  <c r="H1425" i="3"/>
  <c r="C1423" i="3" l="1"/>
  <c r="D1423" i="3"/>
  <c r="H1424" i="3"/>
  <c r="F1424" i="3"/>
  <c r="E1424" i="3"/>
  <c r="E1423" i="3" l="1"/>
  <c r="C1422" i="3"/>
  <c r="D1422" i="3"/>
  <c r="H1423" i="3"/>
  <c r="F1423" i="3"/>
  <c r="F1422" i="3" l="1"/>
  <c r="H1422" i="3"/>
  <c r="D1421" i="3"/>
  <c r="C1421" i="3"/>
  <c r="E1422" i="3"/>
  <c r="E1421" i="3" l="1"/>
  <c r="H1421" i="3"/>
  <c r="F1421" i="3"/>
  <c r="D1420" i="3"/>
  <c r="C1420" i="3"/>
  <c r="F1420" i="3" l="1"/>
  <c r="H1420" i="3"/>
  <c r="C1419" i="3"/>
  <c r="D1419" i="3"/>
  <c r="E1420" i="3"/>
  <c r="E1419" i="3" l="1"/>
  <c r="C1418" i="3"/>
  <c r="D1418" i="3"/>
  <c r="F1419" i="3"/>
  <c r="H1419" i="3"/>
  <c r="C1417" i="3" l="1"/>
  <c r="D1417" i="3"/>
  <c r="F1418" i="3"/>
  <c r="H1418" i="3"/>
  <c r="E1418" i="3"/>
  <c r="E1417" i="3" l="1"/>
  <c r="D1416" i="3"/>
  <c r="C1416" i="3"/>
  <c r="H1417" i="3"/>
  <c r="F1417" i="3"/>
  <c r="H1416" i="3" l="1"/>
  <c r="F1416" i="3"/>
  <c r="D1415" i="3"/>
  <c r="C1415" i="3"/>
  <c r="E1416" i="3"/>
  <c r="F1415" i="3" l="1"/>
  <c r="H1415" i="3"/>
  <c r="C1414" i="3"/>
  <c r="D1414" i="3"/>
  <c r="E1415" i="3"/>
  <c r="E1414" i="3" l="1"/>
  <c r="C1413" i="3"/>
  <c r="D1413" i="3"/>
  <c r="F1414" i="3"/>
  <c r="H1414" i="3"/>
  <c r="D1412" i="3" l="1"/>
  <c r="C1412" i="3"/>
  <c r="F1413" i="3"/>
  <c r="H1413" i="3"/>
  <c r="E1413" i="3"/>
  <c r="E1412" i="3" l="1"/>
  <c r="F1412" i="3"/>
  <c r="H1412" i="3"/>
  <c r="C1411" i="3"/>
  <c r="D1411" i="3"/>
  <c r="F1411" i="3" l="1"/>
  <c r="H1411" i="3"/>
  <c r="D1410" i="3"/>
  <c r="C1410" i="3"/>
  <c r="E1411" i="3"/>
  <c r="H1410" i="3" l="1"/>
  <c r="F1410" i="3"/>
  <c r="C1409" i="3"/>
  <c r="D1409" i="3"/>
  <c r="E1410" i="3"/>
  <c r="C1408" i="3" l="1"/>
  <c r="D1408" i="3"/>
  <c r="H1409" i="3"/>
  <c r="F1409" i="3"/>
  <c r="E1409" i="3"/>
  <c r="E1408" i="3" l="1"/>
  <c r="C1407" i="3"/>
  <c r="D1407" i="3"/>
  <c r="F1408" i="3"/>
  <c r="H1408" i="3"/>
  <c r="E1407" i="3" l="1"/>
  <c r="C1406" i="3"/>
  <c r="D1406" i="3"/>
  <c r="H1407" i="3"/>
  <c r="F1407" i="3"/>
  <c r="C1405" i="3" l="1"/>
  <c r="D1405" i="3"/>
  <c r="H1406" i="3"/>
  <c r="F1406" i="3"/>
  <c r="E1406" i="3"/>
  <c r="E1405" i="3" l="1"/>
  <c r="D1404" i="3"/>
  <c r="C1404" i="3"/>
  <c r="F1405" i="3"/>
  <c r="H1405" i="3"/>
  <c r="F1404" i="3" l="1"/>
  <c r="H1404" i="3"/>
  <c r="C1403" i="3"/>
  <c r="D1403" i="3"/>
  <c r="E1404" i="3"/>
  <c r="D1402" i="3" l="1"/>
  <c r="C1402" i="3"/>
  <c r="F1403" i="3"/>
  <c r="H1403" i="3"/>
  <c r="E1403" i="3"/>
  <c r="E1402" i="3" s="1"/>
  <c r="F1402" i="3" l="1"/>
  <c r="H1402" i="3"/>
  <c r="C1401" i="3"/>
  <c r="D1401" i="3"/>
  <c r="H1401" i="3" l="1"/>
  <c r="F1401" i="3"/>
  <c r="C1400" i="3"/>
  <c r="D1400" i="3"/>
  <c r="E1401" i="3"/>
  <c r="C1399" i="3" l="1"/>
  <c r="D1399" i="3"/>
  <c r="F1400" i="3"/>
  <c r="H1400" i="3"/>
  <c r="E1400" i="3"/>
  <c r="E1399" i="3" l="1"/>
  <c r="D1398" i="3"/>
  <c r="C1398" i="3"/>
  <c r="H1399" i="3"/>
  <c r="F1399" i="3"/>
  <c r="H1398" i="3" l="1"/>
  <c r="F1398" i="3"/>
  <c r="D1397" i="3"/>
  <c r="C1397" i="3"/>
  <c r="E1398" i="3"/>
  <c r="F1397" i="3" l="1"/>
  <c r="H1397" i="3"/>
  <c r="D1396" i="3"/>
  <c r="C1396" i="3"/>
  <c r="E1397" i="3"/>
  <c r="E1396" i="3" l="1"/>
  <c r="H1396" i="3"/>
  <c r="F1396" i="3"/>
  <c r="D1395" i="3"/>
  <c r="C1395" i="3"/>
  <c r="H1395" i="3" l="1"/>
  <c r="F1395" i="3"/>
  <c r="C1394" i="3"/>
  <c r="D1394" i="3"/>
  <c r="E1395" i="3"/>
  <c r="F1394" i="3" l="1"/>
  <c r="H1394" i="3"/>
  <c r="E1394" i="3"/>
  <c r="D1393" i="3"/>
  <c r="C1393" i="3"/>
  <c r="D1392" i="3" l="1"/>
  <c r="C1392" i="3"/>
  <c r="E1393" i="3"/>
  <c r="H1393" i="3"/>
  <c r="F1393" i="3"/>
  <c r="E1392" i="3" l="1"/>
  <c r="F1392" i="3"/>
  <c r="H1392" i="3"/>
  <c r="C1391" i="3"/>
  <c r="D1391" i="3"/>
  <c r="D1390" i="3" l="1"/>
  <c r="C1390" i="3"/>
  <c r="F1391" i="3"/>
  <c r="H1391" i="3"/>
  <c r="E1391" i="3"/>
  <c r="E1390" i="3" l="1"/>
  <c r="F1390" i="3"/>
  <c r="H1390" i="3"/>
  <c r="C1389" i="3"/>
  <c r="D1389" i="3"/>
  <c r="C1388" i="3" l="1"/>
  <c r="D1388" i="3"/>
  <c r="H1389" i="3"/>
  <c r="F1389" i="3"/>
  <c r="E1389" i="3"/>
  <c r="E1388" i="3" l="1"/>
  <c r="C1387" i="3"/>
  <c r="D1387" i="3"/>
  <c r="F1388" i="3"/>
  <c r="H1388" i="3"/>
  <c r="D1386" i="3" l="1"/>
  <c r="C1386" i="3"/>
  <c r="H1387" i="3"/>
  <c r="F1387" i="3"/>
  <c r="E1387" i="3"/>
  <c r="E1386" i="3" l="1"/>
  <c r="H1386" i="3"/>
  <c r="F1386" i="3"/>
  <c r="C1385" i="3"/>
  <c r="D1385" i="3"/>
  <c r="C1384" i="3" l="1"/>
  <c r="D1384" i="3"/>
  <c r="F1385" i="3"/>
  <c r="H1385" i="3"/>
  <c r="E1385" i="3"/>
  <c r="E1384" i="3" l="1"/>
  <c r="C1383" i="3"/>
  <c r="D1383" i="3"/>
  <c r="F1384" i="3"/>
  <c r="H1384" i="3"/>
  <c r="D1382" i="3" l="1"/>
  <c r="C1382" i="3"/>
  <c r="F1383" i="3"/>
  <c r="H1383" i="3"/>
  <c r="E1383" i="3"/>
  <c r="E1382" i="3" l="1"/>
  <c r="H1382" i="3"/>
  <c r="F1382" i="3"/>
  <c r="C1381" i="3"/>
  <c r="D1381" i="3"/>
  <c r="F1381" i="3" l="1"/>
  <c r="H1381" i="3"/>
  <c r="D1380" i="3"/>
  <c r="C1380" i="3"/>
  <c r="E1381" i="3"/>
  <c r="H1380" i="3" l="1"/>
  <c r="F1380" i="3"/>
  <c r="D1379" i="3"/>
  <c r="C1379" i="3"/>
  <c r="E1380" i="3"/>
  <c r="F1379" i="3" l="1"/>
  <c r="H1379" i="3"/>
  <c r="D1378" i="3"/>
  <c r="C1378" i="3"/>
  <c r="E1379" i="3"/>
  <c r="E1378" i="3" l="1"/>
  <c r="F1378" i="3"/>
  <c r="H1378" i="3"/>
  <c r="D1377" i="3"/>
  <c r="C1377" i="3"/>
  <c r="C1376" i="3" l="1"/>
  <c r="D1376" i="3"/>
  <c r="H1377" i="3"/>
  <c r="F1377" i="3"/>
  <c r="E1377" i="3"/>
  <c r="E1376" i="3" l="1"/>
  <c r="C1375" i="3"/>
  <c r="D1375" i="3"/>
  <c r="H1376" i="3"/>
  <c r="F1376" i="3"/>
  <c r="C1374" i="3" l="1"/>
  <c r="D1374" i="3"/>
  <c r="H1375" i="3"/>
  <c r="F1375" i="3"/>
  <c r="E1375" i="3"/>
  <c r="E1374" i="3" l="1"/>
  <c r="C1373" i="3"/>
  <c r="D1373" i="3"/>
  <c r="F1374" i="3"/>
  <c r="H1374" i="3"/>
  <c r="D1372" i="3" l="1"/>
  <c r="C1372" i="3"/>
  <c r="H1373" i="3"/>
  <c r="F1373" i="3"/>
  <c r="E1373" i="3"/>
  <c r="E1372" i="3" l="1"/>
  <c r="F1372" i="3"/>
  <c r="H1372" i="3"/>
  <c r="C1371" i="3"/>
  <c r="D1371" i="3"/>
  <c r="F1371" i="3" l="1"/>
  <c r="H1371" i="3"/>
  <c r="C1370" i="3"/>
  <c r="D1370" i="3"/>
  <c r="E1371" i="3"/>
  <c r="E1370" i="3" l="1"/>
  <c r="C1369" i="3"/>
  <c r="D1369" i="3"/>
  <c r="F1370" i="3"/>
  <c r="H1370" i="3"/>
  <c r="C1368" i="3" l="1"/>
  <c r="D1368" i="3"/>
  <c r="H1369" i="3"/>
  <c r="F1369" i="3"/>
  <c r="E1369" i="3"/>
  <c r="E1368" i="3" l="1"/>
  <c r="D1367" i="3"/>
  <c r="C1367" i="3"/>
  <c r="H1368" i="3"/>
  <c r="F1368" i="3"/>
  <c r="H1367" i="3" l="1"/>
  <c r="F1367" i="3"/>
  <c r="C1366" i="3"/>
  <c r="D1366" i="3"/>
  <c r="E1367" i="3"/>
  <c r="C1365" i="3" l="1"/>
  <c r="D1365" i="3"/>
  <c r="F1366" i="3"/>
  <c r="H1366" i="3"/>
  <c r="E1366" i="3"/>
  <c r="E1365" i="3" l="1"/>
  <c r="C1364" i="3"/>
  <c r="D1364" i="3"/>
  <c r="H1365" i="3"/>
  <c r="F1365" i="3"/>
  <c r="D1363" i="3" l="1"/>
  <c r="C1363" i="3"/>
  <c r="F1364" i="3"/>
  <c r="H1364" i="3"/>
  <c r="E1364" i="3"/>
  <c r="E1363" i="3" l="1"/>
  <c r="H1363" i="3"/>
  <c r="F1363" i="3"/>
  <c r="C1362" i="3"/>
  <c r="D1362" i="3"/>
  <c r="C1361" i="3" l="1"/>
  <c r="D1361" i="3"/>
  <c r="H1362" i="3"/>
  <c r="F1362" i="3"/>
  <c r="E1362" i="3"/>
  <c r="E1361" i="3" l="1"/>
  <c r="C1360" i="3"/>
  <c r="D1360" i="3"/>
  <c r="H1361" i="3"/>
  <c r="F1361" i="3"/>
  <c r="C1359" i="3" l="1"/>
  <c r="D1359" i="3"/>
  <c r="F1360" i="3"/>
  <c r="H1360" i="3"/>
  <c r="E1360" i="3"/>
  <c r="E1359" i="3" l="1"/>
  <c r="C1358" i="3"/>
  <c r="D1358" i="3"/>
  <c r="F1359" i="3"/>
  <c r="H1359" i="3"/>
  <c r="E1358" i="3" l="1"/>
  <c r="C1357" i="3"/>
  <c r="D1357" i="3"/>
  <c r="F1358" i="3"/>
  <c r="H1358" i="3"/>
  <c r="D1356" i="3" l="1"/>
  <c r="C1356" i="3"/>
  <c r="H1357" i="3"/>
  <c r="F1357" i="3"/>
  <c r="E1357" i="3"/>
  <c r="E1356" i="3" l="1"/>
  <c r="H1356" i="3"/>
  <c r="F1356" i="3"/>
  <c r="C1355" i="3"/>
  <c r="D1355" i="3"/>
  <c r="F1355" i="3" l="1"/>
  <c r="H1355" i="3"/>
  <c r="C1354" i="3"/>
  <c r="D1354" i="3"/>
  <c r="E1355" i="3"/>
  <c r="E1354" i="3" l="1"/>
  <c r="C1353" i="3"/>
  <c r="D1353" i="3"/>
  <c r="H1354" i="3"/>
  <c r="F1354" i="3"/>
  <c r="C1352" i="3" l="1"/>
  <c r="D1352" i="3"/>
  <c r="H1353" i="3"/>
  <c r="F1353" i="3"/>
  <c r="E1353" i="3"/>
  <c r="E1352" i="3" l="1"/>
  <c r="C1351" i="3"/>
  <c r="D1351" i="3"/>
  <c r="F1352" i="3"/>
  <c r="H1352" i="3"/>
  <c r="C1350" i="3" l="1"/>
  <c r="D1350" i="3"/>
  <c r="F1351" i="3"/>
  <c r="H1351" i="3"/>
  <c r="E1351" i="3"/>
  <c r="E1350" i="3" l="1"/>
  <c r="C1349" i="3"/>
  <c r="D1349" i="3"/>
  <c r="H1350" i="3"/>
  <c r="F1350" i="3"/>
  <c r="D1348" i="3" l="1"/>
  <c r="C1348" i="3"/>
  <c r="H1349" i="3"/>
  <c r="F1349" i="3"/>
  <c r="E1349" i="3"/>
  <c r="E1348" i="3" l="1"/>
  <c r="H1348" i="3"/>
  <c r="F1348" i="3"/>
  <c r="D1347" i="3"/>
  <c r="C1347" i="3"/>
  <c r="H1347" i="3" l="1"/>
  <c r="F1347" i="3"/>
  <c r="C1346" i="3"/>
  <c r="D1346" i="3"/>
  <c r="E1347" i="3"/>
  <c r="D1345" i="3" l="1"/>
  <c r="C1345" i="3"/>
  <c r="E1346" i="3"/>
  <c r="F1346" i="3"/>
  <c r="H1346" i="3"/>
  <c r="E1345" i="3" l="1"/>
  <c r="H1345" i="3"/>
  <c r="F1345" i="3"/>
  <c r="C1344" i="3"/>
  <c r="D1344" i="3"/>
  <c r="D1343" i="3" l="1"/>
  <c r="C1343" i="3"/>
  <c r="H1344" i="3"/>
  <c r="F1344" i="3"/>
  <c r="E1344" i="3"/>
  <c r="E1343" i="3" l="1"/>
  <c r="H1343" i="3"/>
  <c r="F1343" i="3"/>
  <c r="C1342" i="3"/>
  <c r="D1342" i="3"/>
  <c r="C1341" i="3" l="1"/>
  <c r="D1341" i="3"/>
  <c r="F1342" i="3"/>
  <c r="H1342" i="3"/>
  <c r="E1342" i="3"/>
  <c r="E1341" i="3" l="1"/>
  <c r="D1340" i="3"/>
  <c r="C1340" i="3"/>
  <c r="H1341" i="3"/>
  <c r="F1341" i="3"/>
  <c r="C1339" i="3" l="1"/>
  <c r="D1339" i="3"/>
  <c r="F1340" i="3"/>
  <c r="H1340" i="3"/>
  <c r="E1340" i="3"/>
  <c r="E1339" i="3" l="1"/>
  <c r="C1338" i="3"/>
  <c r="D1338" i="3"/>
  <c r="H1339" i="3"/>
  <c r="F1339" i="3"/>
  <c r="D1337" i="3" l="1"/>
  <c r="C1337" i="3"/>
  <c r="H1338" i="3"/>
  <c r="F1338" i="3"/>
  <c r="E1338" i="3"/>
  <c r="E1337" i="3" l="1"/>
  <c r="H1337" i="3"/>
  <c r="F1337" i="3"/>
  <c r="C1336" i="3"/>
  <c r="D1336" i="3"/>
  <c r="C1335" i="3" l="1"/>
  <c r="D1335" i="3"/>
  <c r="F1336" i="3"/>
  <c r="H1336" i="3"/>
  <c r="E1336" i="3"/>
  <c r="E1335" i="3" l="1"/>
  <c r="C1334" i="3"/>
  <c r="D1334" i="3"/>
  <c r="F1335" i="3"/>
  <c r="H1335" i="3"/>
  <c r="C1333" i="3" l="1"/>
  <c r="D1333" i="3"/>
  <c r="F1334" i="3"/>
  <c r="H1334" i="3"/>
  <c r="E1334" i="3"/>
  <c r="E1333" i="3" l="1"/>
  <c r="D1332" i="3"/>
  <c r="C1332" i="3"/>
  <c r="H1333" i="3"/>
  <c r="F1333" i="3"/>
  <c r="F1332" i="3" l="1"/>
  <c r="H1332" i="3"/>
  <c r="D1331" i="3"/>
  <c r="C1331" i="3"/>
  <c r="E1332" i="3"/>
  <c r="E1331" i="3" l="1"/>
  <c r="H1331" i="3"/>
  <c r="F1331" i="3"/>
  <c r="C1330" i="3"/>
  <c r="D1330" i="3"/>
  <c r="D1329" i="3" l="1"/>
  <c r="C1329" i="3"/>
  <c r="H1330" i="3"/>
  <c r="F1330" i="3"/>
  <c r="E1330" i="3"/>
  <c r="E1329" i="3" l="1"/>
  <c r="H1329" i="3"/>
  <c r="F1329" i="3"/>
  <c r="C1328" i="3"/>
  <c r="D1328" i="3"/>
  <c r="D1327" i="3" l="1"/>
  <c r="C1327" i="3"/>
  <c r="H1328" i="3"/>
  <c r="F1328" i="3"/>
  <c r="E1328" i="3"/>
  <c r="E1327" i="3" l="1"/>
  <c r="F1327" i="3"/>
  <c r="H1327" i="3"/>
  <c r="C1326" i="3"/>
  <c r="D1326" i="3"/>
  <c r="D1325" i="3" l="1"/>
  <c r="C1325" i="3"/>
  <c r="H1326" i="3"/>
  <c r="F1326" i="3"/>
  <c r="E1326" i="3"/>
  <c r="E1325" i="3" l="1"/>
  <c r="F1325" i="3"/>
  <c r="H1325" i="3"/>
  <c r="D1324" i="3"/>
  <c r="C1324" i="3"/>
  <c r="H1324" i="3" l="1"/>
  <c r="F1324" i="3"/>
  <c r="C1323" i="3"/>
  <c r="D1323" i="3"/>
  <c r="E1324" i="3"/>
  <c r="D1322" i="3" l="1"/>
  <c r="C1322" i="3"/>
  <c r="E1323" i="3"/>
  <c r="H1323" i="3"/>
  <c r="F1323" i="3"/>
  <c r="E1322" i="3" l="1"/>
  <c r="F1322" i="3"/>
  <c r="H1322" i="3"/>
  <c r="D1321" i="3"/>
  <c r="C1321" i="3"/>
  <c r="C1320" i="3" l="1"/>
  <c r="D1320" i="3"/>
  <c r="H1321" i="3"/>
  <c r="F1321" i="3"/>
  <c r="E1321" i="3"/>
  <c r="E1320" i="3" l="1"/>
  <c r="C1319" i="3"/>
  <c r="D1319" i="3"/>
  <c r="H1320" i="3"/>
  <c r="F1320" i="3"/>
  <c r="C1318" i="3" l="1"/>
  <c r="D1318" i="3"/>
  <c r="F1319" i="3"/>
  <c r="H1319" i="3"/>
  <c r="E1319" i="3"/>
  <c r="E1318" i="3" l="1"/>
  <c r="C1317" i="3"/>
  <c r="D1317" i="3"/>
  <c r="H1318" i="3"/>
  <c r="F1318" i="3"/>
  <c r="S109" i="1" l="1"/>
  <c r="D1316" i="3"/>
  <c r="C1316" i="3"/>
  <c r="H1317" i="3"/>
  <c r="F1317" i="3"/>
  <c r="E1317" i="3"/>
  <c r="E1316" i="3" l="1"/>
  <c r="H1316" i="3"/>
  <c r="F1316" i="3"/>
  <c r="C1315" i="3"/>
  <c r="D1315" i="3"/>
  <c r="H1315" i="3" l="1"/>
  <c r="F1315" i="3"/>
  <c r="D1314" i="3"/>
  <c r="C1314" i="3"/>
  <c r="E1315" i="3"/>
  <c r="E1314" i="3" l="1"/>
  <c r="F1314" i="3"/>
  <c r="H1314" i="3"/>
  <c r="C1313" i="3"/>
  <c r="D1313" i="3"/>
  <c r="D1312" i="3" l="1"/>
  <c r="C1312" i="3"/>
  <c r="H1313" i="3"/>
  <c r="F1313" i="3"/>
  <c r="E1313" i="3"/>
  <c r="E1312" i="3" l="1"/>
  <c r="H1312" i="3"/>
  <c r="F1312" i="3"/>
  <c r="C1311" i="3"/>
  <c r="D1311" i="3"/>
  <c r="C1310" i="3" l="1"/>
  <c r="D1310" i="3"/>
  <c r="H1311" i="3"/>
  <c r="F1311" i="3"/>
  <c r="E1311" i="3"/>
  <c r="E1310" i="3" l="1"/>
  <c r="D1309" i="3"/>
  <c r="C1309" i="3"/>
  <c r="H1310" i="3"/>
  <c r="F1310" i="3"/>
  <c r="F1309" i="3" l="1"/>
  <c r="H1309" i="3"/>
  <c r="D1308" i="3"/>
  <c r="C1308" i="3"/>
  <c r="E1309" i="3"/>
  <c r="E1308" i="3" l="1"/>
  <c r="C1307" i="3"/>
  <c r="D1307" i="3"/>
  <c r="H1308" i="3"/>
  <c r="F1308" i="3"/>
  <c r="C1306" i="3" l="1"/>
  <c r="D1306" i="3"/>
  <c r="H1307" i="3"/>
  <c r="F1307" i="3"/>
  <c r="E1307" i="3"/>
  <c r="E1306" i="3" l="1"/>
  <c r="C1305" i="3"/>
  <c r="D1305" i="3"/>
  <c r="E1305" i="3" s="1"/>
  <c r="H1306" i="3"/>
  <c r="F1306" i="3"/>
  <c r="C1304" i="3" l="1"/>
  <c r="D1304" i="3"/>
  <c r="H1305" i="3"/>
  <c r="F1305" i="3"/>
  <c r="D1303" i="3" l="1"/>
  <c r="C1303" i="3"/>
  <c r="H1304" i="3"/>
  <c r="F1304" i="3"/>
  <c r="E1304" i="3"/>
  <c r="E1303" i="3" l="1"/>
  <c r="F1303" i="3"/>
  <c r="H1303" i="3"/>
  <c r="C1302" i="3"/>
  <c r="D1302" i="3"/>
  <c r="H1302" i="3" l="1"/>
  <c r="F1302" i="3"/>
  <c r="D1301" i="3"/>
  <c r="C1301" i="3"/>
  <c r="E1302" i="3"/>
  <c r="F1301" i="3" l="1"/>
  <c r="H1301" i="3"/>
  <c r="D1300" i="3"/>
  <c r="C1300" i="3"/>
  <c r="E1301" i="3"/>
  <c r="E1300" i="3" l="1"/>
  <c r="F1300" i="3"/>
  <c r="H1300" i="3"/>
  <c r="C1299" i="3"/>
  <c r="D1299" i="3"/>
  <c r="D1298" i="3" l="1"/>
  <c r="C1298" i="3"/>
  <c r="H1299" i="3"/>
  <c r="F1299" i="3"/>
  <c r="E1299" i="3"/>
  <c r="E1298" i="3" l="1"/>
  <c r="H1298" i="3"/>
  <c r="F1298" i="3"/>
  <c r="C1297" i="3"/>
  <c r="D1297" i="3"/>
  <c r="C1296" i="3" l="1"/>
  <c r="D1296" i="3"/>
  <c r="H1297" i="3"/>
  <c r="F1297" i="3"/>
  <c r="E1297" i="3"/>
  <c r="E1296" i="3" l="1"/>
  <c r="D1295" i="3"/>
  <c r="C1295" i="3"/>
  <c r="H1296" i="3"/>
  <c r="F1296" i="3"/>
  <c r="F1295" i="3" l="1"/>
  <c r="H1295" i="3"/>
  <c r="C1294" i="3"/>
  <c r="D1294" i="3"/>
  <c r="E1295" i="3"/>
  <c r="D1293" i="3" l="1"/>
  <c r="C1293" i="3"/>
  <c r="H1294" i="3"/>
  <c r="F1294" i="3"/>
  <c r="E1294" i="3"/>
  <c r="E1293" i="3" l="1"/>
  <c r="H1293" i="3"/>
  <c r="F1293" i="3"/>
  <c r="D1292" i="3"/>
  <c r="C1292" i="3"/>
  <c r="D1291" i="3" l="1"/>
  <c r="C1291" i="3"/>
  <c r="F1292" i="3"/>
  <c r="H1292" i="3"/>
  <c r="E1292" i="3"/>
  <c r="E1291" i="3" l="1"/>
  <c r="H1291" i="3"/>
  <c r="F1291" i="3"/>
  <c r="D1290" i="3"/>
  <c r="C1290" i="3"/>
  <c r="H1290" i="3" l="1"/>
  <c r="F1290" i="3"/>
  <c r="C1289" i="3"/>
  <c r="D1289" i="3"/>
  <c r="E1290" i="3"/>
  <c r="C1288" i="3" l="1"/>
  <c r="D1288" i="3"/>
  <c r="F1289" i="3"/>
  <c r="H1289" i="3"/>
  <c r="E1289" i="3"/>
  <c r="E1288" i="3" l="1"/>
  <c r="C1287" i="3"/>
  <c r="D1287" i="3"/>
  <c r="H1288" i="3"/>
  <c r="F1288" i="3"/>
  <c r="D1286" i="3" l="1"/>
  <c r="C1286" i="3"/>
  <c r="H1287" i="3"/>
  <c r="F1287" i="3"/>
  <c r="E1287" i="3"/>
  <c r="E1286" i="3" l="1"/>
  <c r="H1286" i="3"/>
  <c r="F1286" i="3"/>
  <c r="C1285" i="3"/>
  <c r="D1285" i="3"/>
  <c r="D1284" i="3" l="1"/>
  <c r="C1284" i="3"/>
  <c r="H1285" i="3"/>
  <c r="F1285" i="3"/>
  <c r="U156" i="1" s="1"/>
  <c r="E1285" i="3"/>
  <c r="AE6" i="2" l="1"/>
  <c r="AG6" i="2" s="1"/>
  <c r="R156" i="1"/>
  <c r="E1284" i="3"/>
  <c r="H1284" i="3"/>
  <c r="F1284" i="3"/>
  <c r="D1283" i="3"/>
  <c r="C1283" i="3"/>
  <c r="AQ6" i="2" l="1"/>
  <c r="S156" i="1" s="1"/>
  <c r="AF6" i="2"/>
  <c r="T156" i="1" s="1"/>
  <c r="CY156" i="1" s="1"/>
  <c r="CK156" i="1"/>
  <c r="CL156" i="1" s="1"/>
  <c r="CI156" i="1"/>
  <c r="CJ156" i="1" s="1"/>
  <c r="CG156" i="1"/>
  <c r="CH156" i="1" s="1"/>
  <c r="CA156" i="1"/>
  <c r="CB156" i="1" s="1"/>
  <c r="BY156" i="1"/>
  <c r="CC156" i="1"/>
  <c r="CD156" i="1" s="1"/>
  <c r="BW156" i="1"/>
  <c r="BX156" i="1" s="1"/>
  <c r="BU156" i="1"/>
  <c r="BV156" i="1" s="1"/>
  <c r="BS156" i="1"/>
  <c r="BT156" i="1" s="1"/>
  <c r="DR156" i="1"/>
  <c r="BM156" i="1"/>
  <c r="BN156" i="1" s="1"/>
  <c r="BO156" i="1"/>
  <c r="BP156" i="1" s="1"/>
  <c r="BQ156" i="1"/>
  <c r="O9" i="80"/>
  <c r="B9" i="80" s="1"/>
  <c r="E3" i="9"/>
  <c r="E4" i="9"/>
  <c r="E5" i="9"/>
  <c r="E6" i="9"/>
  <c r="F1283" i="3"/>
  <c r="H1283" i="3"/>
  <c r="C1282" i="3"/>
  <c r="D1282" i="3"/>
  <c r="E1283" i="3"/>
  <c r="BZ156" i="1" l="1"/>
  <c r="CE156" i="1"/>
  <c r="CF156" i="1" s="1"/>
  <c r="DS156" i="1"/>
  <c r="BR156" i="1"/>
  <c r="L8" i="47" s="1"/>
  <c r="DT156" i="1"/>
  <c r="DY156" i="1"/>
  <c r="DX156" i="1" s="1"/>
  <c r="DW156" i="1" s="1"/>
  <c r="CZ156" i="1"/>
  <c r="DP156" i="1"/>
  <c r="O8" i="80" s="1"/>
  <c r="B7" i="80" s="1"/>
  <c r="ED156" i="1"/>
  <c r="EC156" i="1" s="1"/>
  <c r="EB156" i="1" s="1"/>
  <c r="CW156" i="1"/>
  <c r="D1281" i="3"/>
  <c r="C1281" i="3"/>
  <c r="H1282" i="3"/>
  <c r="F1282" i="3"/>
  <c r="E1282" i="3"/>
  <c r="CU156" i="1" l="1"/>
  <c r="CR156" i="1" s="1"/>
  <c r="CX156" i="1"/>
  <c r="EA156" i="1"/>
  <c r="CT156" i="1" s="1"/>
  <c r="DZ156" i="1"/>
  <c r="CP156" i="1" s="1"/>
  <c r="DV156" i="1"/>
  <c r="CQ156" i="1" s="1"/>
  <c r="DU156" i="1"/>
  <c r="CM156" i="1" s="1"/>
  <c r="E1281" i="3"/>
  <c r="H1281" i="3"/>
  <c r="F1281" i="3"/>
  <c r="C1280" i="3"/>
  <c r="D1280" i="3"/>
  <c r="F1280" i="3" l="1"/>
  <c r="H1280" i="3"/>
  <c r="E1280" i="3"/>
  <c r="C1279" i="3"/>
  <c r="D1279" i="3"/>
  <c r="F1279" i="3" l="1"/>
  <c r="H1279" i="3"/>
  <c r="E1279" i="3"/>
  <c r="D1278" i="3"/>
  <c r="C1278" i="3"/>
  <c r="F1278" i="3" l="1"/>
  <c r="H1278" i="3"/>
  <c r="E1278" i="3"/>
  <c r="C1277" i="3"/>
  <c r="D1277" i="3"/>
  <c r="C1276" i="3" l="1"/>
  <c r="D1276" i="3"/>
  <c r="E1277" i="3"/>
  <c r="H1277" i="3"/>
  <c r="F1277" i="3"/>
  <c r="E1276" i="3" l="1"/>
  <c r="D1275" i="3"/>
  <c r="C1275" i="3"/>
  <c r="F1276" i="3"/>
  <c r="H1276" i="3"/>
  <c r="H1275" i="3" l="1"/>
  <c r="F1275" i="3"/>
  <c r="C1274" i="3"/>
  <c r="D1274" i="3"/>
  <c r="E1275" i="3"/>
  <c r="C1273" i="3" l="1"/>
  <c r="D1273" i="3"/>
  <c r="F1274" i="3"/>
  <c r="H1274" i="3"/>
  <c r="E1274" i="3"/>
  <c r="E1273" i="3" l="1"/>
  <c r="D1272" i="3"/>
  <c r="C1272" i="3"/>
  <c r="H1273" i="3"/>
  <c r="F1273" i="3"/>
  <c r="H1272" i="3" l="1"/>
  <c r="F1272" i="3"/>
  <c r="C1271" i="3"/>
  <c r="D1271" i="3"/>
  <c r="E1272" i="3"/>
  <c r="E1271" i="3" l="1"/>
  <c r="H1271" i="3"/>
  <c r="F1271" i="3"/>
  <c r="D1270" i="3"/>
  <c r="C1270" i="3"/>
  <c r="D1269" i="3" l="1"/>
  <c r="C1269" i="3"/>
  <c r="F1270" i="3"/>
  <c r="H1270" i="3"/>
  <c r="E1270" i="3"/>
  <c r="E1269" i="3" l="1"/>
  <c r="H1269" i="3"/>
  <c r="F1269" i="3"/>
  <c r="D1268" i="3"/>
  <c r="C1268" i="3"/>
  <c r="F1268" i="3" l="1"/>
  <c r="H1268" i="3"/>
  <c r="D1267" i="3"/>
  <c r="C1267" i="3"/>
  <c r="E1268" i="3"/>
  <c r="E1267" i="3" l="1"/>
  <c r="H1267" i="3"/>
  <c r="F1267" i="3"/>
  <c r="C1266" i="3"/>
  <c r="D1266" i="3"/>
  <c r="E1266" i="3" s="1"/>
  <c r="C1265" i="3" l="1"/>
  <c r="D1265" i="3"/>
  <c r="H1266" i="3"/>
  <c r="F1266" i="3"/>
  <c r="C1264" i="3" l="1"/>
  <c r="D1264" i="3"/>
  <c r="F1265" i="3"/>
  <c r="H1265" i="3"/>
  <c r="E1265" i="3"/>
  <c r="E1264" i="3" l="1"/>
  <c r="C1263" i="3"/>
  <c r="D1263" i="3"/>
  <c r="F1264" i="3"/>
  <c r="H1264" i="3"/>
  <c r="C1262" i="3" l="1"/>
  <c r="D1262" i="3"/>
  <c r="F1263" i="3"/>
  <c r="H1263" i="3"/>
  <c r="E1263" i="3"/>
  <c r="E1262" i="3" l="1"/>
  <c r="C1261" i="3"/>
  <c r="D1261" i="3"/>
  <c r="F1262" i="3"/>
  <c r="H1262" i="3"/>
  <c r="I8" i="47" l="1"/>
  <c r="I16" i="47"/>
  <c r="I17" i="47"/>
  <c r="I10" i="47"/>
  <c r="I11" i="47"/>
  <c r="I15" i="47"/>
  <c r="I12" i="47"/>
  <c r="I13" i="47"/>
  <c r="I9" i="47"/>
  <c r="I14" i="47"/>
  <c r="D1260" i="3"/>
  <c r="C1260" i="3"/>
  <c r="H1261" i="3"/>
  <c r="F1261" i="3"/>
  <c r="E1261" i="3"/>
  <c r="D48" i="47" l="1"/>
  <c r="D51" i="50"/>
  <c r="D50" i="47"/>
  <c r="D55" i="50"/>
  <c r="D50" i="50"/>
  <c r="D54" i="50"/>
  <c r="D52" i="50"/>
  <c r="D51" i="47"/>
  <c r="D46" i="47"/>
  <c r="D47" i="47"/>
  <c r="J45" i="47"/>
  <c r="K45" i="47"/>
  <c r="L45" i="47"/>
  <c r="D49" i="47"/>
  <c r="I18" i="47"/>
  <c r="J8" i="47" s="1"/>
  <c r="E1260" i="3"/>
  <c r="H1260" i="3"/>
  <c r="F1260" i="3"/>
  <c r="D1259" i="3"/>
  <c r="C1259" i="3"/>
  <c r="O35" i="50" l="1"/>
  <c r="F34" i="50"/>
  <c r="O33" i="50"/>
  <c r="I40" i="50"/>
  <c r="L32" i="50"/>
  <c r="I37" i="50"/>
  <c r="O38" i="50"/>
  <c r="I39" i="50"/>
  <c r="O40" i="50"/>
  <c r="I31" i="50"/>
  <c r="L34" i="50"/>
  <c r="I35" i="50"/>
  <c r="F37" i="50"/>
  <c r="O37" i="50"/>
  <c r="I34" i="50"/>
  <c r="I38" i="50"/>
  <c r="F36" i="50"/>
  <c r="O36" i="50"/>
  <c r="F35" i="50"/>
  <c r="L36" i="50"/>
  <c r="I36" i="50"/>
  <c r="L38" i="50"/>
  <c r="L31" i="50"/>
  <c r="O32" i="50"/>
  <c r="F40" i="50"/>
  <c r="I32" i="50"/>
  <c r="I33" i="50"/>
  <c r="O31" i="50"/>
  <c r="O34" i="50"/>
  <c r="F39" i="50"/>
  <c r="F33" i="50"/>
  <c r="F32" i="50"/>
  <c r="O39" i="50"/>
  <c r="L40" i="50"/>
  <c r="L33" i="50"/>
  <c r="L37" i="50"/>
  <c r="L39" i="50"/>
  <c r="L35" i="50"/>
  <c r="F31" i="50"/>
  <c r="F38" i="50"/>
  <c r="D53" i="50"/>
  <c r="P53" i="50" s="1"/>
  <c r="O10" i="80"/>
  <c r="B11" i="80" s="1"/>
  <c r="O11" i="80"/>
  <c r="B13" i="80" s="1"/>
  <c r="J16" i="47"/>
  <c r="J17" i="47"/>
  <c r="J13" i="47"/>
  <c r="P62" i="50"/>
  <c r="P61" i="50"/>
  <c r="P63" i="50"/>
  <c r="P52" i="50"/>
  <c r="N52" i="50"/>
  <c r="L18" i="50"/>
  <c r="P51" i="50"/>
  <c r="O61" i="50"/>
  <c r="O51" i="50"/>
  <c r="O52" i="50"/>
  <c r="N51" i="50"/>
  <c r="N62" i="50"/>
  <c r="N61" i="50"/>
  <c r="L20" i="50"/>
  <c r="P55" i="50"/>
  <c r="O62" i="50"/>
  <c r="P50" i="50"/>
  <c r="N55" i="50"/>
  <c r="L19" i="50"/>
  <c r="L21" i="50"/>
  <c r="L14" i="50"/>
  <c r="N63" i="50"/>
  <c r="L23" i="50"/>
  <c r="L16" i="50"/>
  <c r="O50" i="50"/>
  <c r="N50" i="50"/>
  <c r="L22" i="50"/>
  <c r="O55" i="50"/>
  <c r="O63" i="50"/>
  <c r="L15" i="50"/>
  <c r="L17" i="50"/>
  <c r="J10" i="47"/>
  <c r="J11" i="47"/>
  <c r="J9" i="47"/>
  <c r="J15" i="47"/>
  <c r="J12" i="47"/>
  <c r="J14" i="47"/>
  <c r="J47" i="47"/>
  <c r="K47" i="47"/>
  <c r="L47" i="47"/>
  <c r="J49" i="47"/>
  <c r="K49" i="47"/>
  <c r="L49" i="47"/>
  <c r="K51" i="47"/>
  <c r="L51" i="47"/>
  <c r="J51" i="47"/>
  <c r="L48" i="47"/>
  <c r="J48" i="47"/>
  <c r="K48" i="47"/>
  <c r="L46" i="47"/>
  <c r="J46" i="47"/>
  <c r="K46" i="47"/>
  <c r="F1259" i="3"/>
  <c r="H1259" i="3"/>
  <c r="D1258" i="3"/>
  <c r="C1258" i="3"/>
  <c r="E1259" i="3"/>
  <c r="J5" i="101"/>
  <c r="F5" i="101"/>
  <c r="G6" i="101"/>
  <c r="I4" i="101"/>
  <c r="G5" i="101"/>
  <c r="D6" i="101"/>
  <c r="H5" i="101"/>
  <c r="H6" i="101"/>
  <c r="I5" i="101"/>
  <c r="I6" i="101"/>
  <c r="E4" i="101"/>
  <c r="F6" i="101"/>
  <c r="K6" i="101"/>
  <c r="F4" i="101"/>
  <c r="K5" i="101"/>
  <c r="G4" i="101"/>
  <c r="J4" i="101"/>
  <c r="E5" i="101"/>
  <c r="E6" i="101"/>
  <c r="D4" i="101"/>
  <c r="J6" i="101"/>
  <c r="K4" i="101"/>
  <c r="D5" i="101"/>
  <c r="H4" i="101"/>
  <c r="N53" i="50" l="1"/>
  <c r="O53" i="50"/>
  <c r="O49" i="50"/>
  <c r="O60" i="50" s="1"/>
  <c r="P49" i="50"/>
  <c r="P60" i="50" s="1"/>
  <c r="N49" i="50"/>
  <c r="N60" i="50" s="1"/>
  <c r="K15" i="47"/>
  <c r="J44" i="47" s="1"/>
  <c r="L50" i="50"/>
  <c r="I23" i="50"/>
  <c r="J61" i="50"/>
  <c r="I14" i="50"/>
  <c r="I22" i="50"/>
  <c r="L53" i="50"/>
  <c r="I16" i="50"/>
  <c r="L52" i="50"/>
  <c r="L63" i="50"/>
  <c r="J62" i="50"/>
  <c r="K51" i="50"/>
  <c r="J51" i="50"/>
  <c r="I21" i="50"/>
  <c r="I20" i="50"/>
  <c r="K63" i="50"/>
  <c r="K53" i="50"/>
  <c r="J53" i="50"/>
  <c r="K62" i="50"/>
  <c r="L51" i="50"/>
  <c r="L55" i="50"/>
  <c r="J52" i="50"/>
  <c r="K52" i="50"/>
  <c r="I17" i="50"/>
  <c r="K61" i="50"/>
  <c r="I19" i="50"/>
  <c r="K50" i="50"/>
  <c r="J50" i="50"/>
  <c r="I15" i="50"/>
  <c r="I18" i="50"/>
  <c r="K55" i="50"/>
  <c r="J63" i="50"/>
  <c r="L62" i="50"/>
  <c r="L61" i="50"/>
  <c r="J55" i="50"/>
  <c r="J50" i="47"/>
  <c r="J54" i="50"/>
  <c r="L26" i="47"/>
  <c r="L10" i="47"/>
  <c r="I28" i="47"/>
  <c r="O35" i="47"/>
  <c r="L29" i="47"/>
  <c r="L17" i="47"/>
  <c r="P48" i="47"/>
  <c r="O51" i="47"/>
  <c r="O26" i="47"/>
  <c r="O28" i="47"/>
  <c r="L30" i="47"/>
  <c r="I34" i="47"/>
  <c r="I31" i="47"/>
  <c r="F33" i="47"/>
  <c r="I30" i="47"/>
  <c r="P51" i="47"/>
  <c r="O27" i="47"/>
  <c r="I35" i="47"/>
  <c r="I32" i="47"/>
  <c r="L35" i="47"/>
  <c r="L9" i="47"/>
  <c r="L28" i="47"/>
  <c r="O29" i="47"/>
  <c r="L13" i="47"/>
  <c r="F29" i="47"/>
  <c r="F34" i="47"/>
  <c r="I29" i="47"/>
  <c r="O33" i="47"/>
  <c r="F35" i="47"/>
  <c r="I33" i="47"/>
  <c r="O31" i="47"/>
  <c r="L33" i="47"/>
  <c r="F31" i="47"/>
  <c r="L16" i="47"/>
  <c r="P46" i="47"/>
  <c r="L31" i="47"/>
  <c r="F27" i="47"/>
  <c r="F32" i="47"/>
  <c r="I27" i="47"/>
  <c r="F28" i="47"/>
  <c r="L15" i="47"/>
  <c r="O32" i="47"/>
  <c r="O46" i="47"/>
  <c r="O34" i="47"/>
  <c r="L12" i="47"/>
  <c r="F26" i="47"/>
  <c r="O30" i="47"/>
  <c r="L11" i="47"/>
  <c r="L34" i="47"/>
  <c r="N48" i="47"/>
  <c r="N51" i="47"/>
  <c r="L14" i="47"/>
  <c r="I26" i="47"/>
  <c r="L27" i="47"/>
  <c r="L32" i="47"/>
  <c r="F30" i="47"/>
  <c r="N46" i="47"/>
  <c r="O48" i="47"/>
  <c r="N49" i="47"/>
  <c r="O49" i="47"/>
  <c r="P49" i="47"/>
  <c r="N47" i="47"/>
  <c r="O47" i="47"/>
  <c r="P47" i="47"/>
  <c r="F46" i="47"/>
  <c r="F48" i="47"/>
  <c r="F15" i="47"/>
  <c r="F17" i="47"/>
  <c r="F12" i="47"/>
  <c r="F11" i="47"/>
  <c r="G51" i="47"/>
  <c r="F9" i="47"/>
  <c r="F14" i="47"/>
  <c r="F51" i="47"/>
  <c r="F13" i="47"/>
  <c r="H46" i="47"/>
  <c r="F16" i="47"/>
  <c r="G46" i="47"/>
  <c r="F8" i="47"/>
  <c r="G48" i="47"/>
  <c r="F10" i="47"/>
  <c r="H48" i="47"/>
  <c r="H51" i="47"/>
  <c r="H49" i="47"/>
  <c r="F49" i="47"/>
  <c r="G49" i="47"/>
  <c r="G47" i="47"/>
  <c r="H47" i="47"/>
  <c r="F47" i="47"/>
  <c r="K8" i="47"/>
  <c r="L44" i="47" s="1"/>
  <c r="K11" i="47"/>
  <c r="K44" i="47" s="1"/>
  <c r="E1258" i="3"/>
  <c r="H1258" i="3"/>
  <c r="F1258" i="3"/>
  <c r="D1257" i="3"/>
  <c r="C1257" i="3"/>
  <c r="I41" i="50"/>
  <c r="I7" i="101"/>
  <c r="I10" i="101" s="1"/>
  <c r="D7" i="101"/>
  <c r="D9" i="101" s="1"/>
  <c r="O41" i="50"/>
  <c r="E7" i="101"/>
  <c r="E9" i="101" s="1"/>
  <c r="H7" i="101"/>
  <c r="H9" i="101" s="1"/>
  <c r="F7" i="101"/>
  <c r="F9" i="101" s="1"/>
  <c r="F41" i="50"/>
  <c r="J18" i="47"/>
  <c r="J7" i="101"/>
  <c r="J10" i="101" s="1"/>
  <c r="G7" i="101"/>
  <c r="G10" i="101" s="1"/>
  <c r="L24" i="50"/>
  <c r="K7" i="101"/>
  <c r="K10" i="101" s="1"/>
  <c r="L41" i="50"/>
  <c r="N45" i="47" l="1"/>
  <c r="P45" i="47"/>
  <c r="F45" i="47"/>
  <c r="O45" i="47"/>
  <c r="G45" i="47"/>
  <c r="H45" i="47"/>
  <c r="J49" i="50"/>
  <c r="J60" i="50" s="1"/>
  <c r="K49" i="50"/>
  <c r="K60" i="50" s="1"/>
  <c r="L49" i="50"/>
  <c r="L60" i="50" s="1"/>
  <c r="O50" i="47"/>
  <c r="H50" i="47"/>
  <c r="N50" i="47"/>
  <c r="G50" i="47"/>
  <c r="L50" i="47"/>
  <c r="F50" i="47"/>
  <c r="K50" i="47"/>
  <c r="P50" i="47"/>
  <c r="K54" i="50"/>
  <c r="O54" i="50"/>
  <c r="P54" i="50"/>
  <c r="N54" i="50"/>
  <c r="L54" i="50"/>
  <c r="G31" i="50"/>
  <c r="G38" i="50"/>
  <c r="G40" i="50"/>
  <c r="G34" i="50"/>
  <c r="G39" i="50"/>
  <c r="G37" i="50"/>
  <c r="G35" i="50"/>
  <c r="G32" i="50"/>
  <c r="G36" i="50"/>
  <c r="G33" i="50"/>
  <c r="P35" i="50"/>
  <c r="P34" i="50"/>
  <c r="P33" i="50"/>
  <c r="P40" i="50"/>
  <c r="P32" i="50"/>
  <c r="P39" i="50"/>
  <c r="P38" i="50"/>
  <c r="P37" i="50"/>
  <c r="P36" i="50"/>
  <c r="P31" i="50"/>
  <c r="M35" i="50"/>
  <c r="M34" i="50"/>
  <c r="M33" i="50"/>
  <c r="M39" i="50"/>
  <c r="M36" i="50"/>
  <c r="M40" i="50"/>
  <c r="M32" i="50"/>
  <c r="M38" i="50"/>
  <c r="M37" i="50"/>
  <c r="M31" i="50"/>
  <c r="J35" i="50"/>
  <c r="J34" i="50"/>
  <c r="J33" i="50"/>
  <c r="J39" i="50"/>
  <c r="J36" i="50"/>
  <c r="J40" i="50"/>
  <c r="J32" i="50"/>
  <c r="J38" i="50"/>
  <c r="J37" i="50"/>
  <c r="J31" i="50"/>
  <c r="M23" i="50"/>
  <c r="M17" i="50"/>
  <c r="M16" i="50"/>
  <c r="M22" i="50"/>
  <c r="M15" i="50"/>
  <c r="M20" i="50"/>
  <c r="M19" i="50"/>
  <c r="M18" i="50"/>
  <c r="M21" i="50"/>
  <c r="M14" i="50"/>
  <c r="D59" i="50"/>
  <c r="F18" i="47"/>
  <c r="F36" i="47"/>
  <c r="L36" i="47"/>
  <c r="F1257" i="3"/>
  <c r="H1257" i="3"/>
  <c r="D1256" i="3"/>
  <c r="C1256" i="3"/>
  <c r="L18" i="47"/>
  <c r="O36" i="47"/>
  <c r="I36" i="47"/>
  <c r="E1257" i="3"/>
  <c r="K18" i="47"/>
  <c r="D11" i="101"/>
  <c r="E10" i="101"/>
  <c r="J11" i="101"/>
  <c r="E11" i="101"/>
  <c r="I11" i="101"/>
  <c r="H10" i="101"/>
  <c r="F10" i="101"/>
  <c r="G9" i="101"/>
  <c r="H11" i="101"/>
  <c r="F11" i="101"/>
  <c r="K9" i="101"/>
  <c r="K11" i="101"/>
  <c r="G11" i="101"/>
  <c r="J9" i="101"/>
  <c r="D10" i="101"/>
  <c r="D48" i="50"/>
  <c r="I9" i="101"/>
  <c r="D44" i="47"/>
  <c r="I24" i="50"/>
  <c r="Q38" i="50" l="1"/>
  <c r="H34" i="50"/>
  <c r="H38" i="50"/>
  <c r="H31" i="50"/>
  <c r="Q31" i="50"/>
  <c r="Q34" i="50"/>
  <c r="N38" i="50"/>
  <c r="N31" i="50"/>
  <c r="N34" i="50"/>
  <c r="K38" i="50"/>
  <c r="K31" i="50"/>
  <c r="K34" i="50"/>
  <c r="N14" i="50"/>
  <c r="P48" i="50" s="1"/>
  <c r="P59" i="50" s="1"/>
  <c r="N17" i="50"/>
  <c r="Q23" i="50" s="1"/>
  <c r="N21" i="50"/>
  <c r="N48" i="50" s="1"/>
  <c r="N59" i="50" s="1"/>
  <c r="J18" i="50"/>
  <c r="J23" i="50"/>
  <c r="J16" i="50"/>
  <c r="J22" i="50"/>
  <c r="J15" i="50"/>
  <c r="J21" i="50"/>
  <c r="J20" i="50"/>
  <c r="J17" i="50"/>
  <c r="J19" i="50"/>
  <c r="J14" i="50"/>
  <c r="M8" i="47"/>
  <c r="M14" i="47"/>
  <c r="M15" i="47"/>
  <c r="M13" i="47"/>
  <c r="M16" i="47"/>
  <c r="M12" i="47"/>
  <c r="M10" i="47"/>
  <c r="M11" i="47"/>
  <c r="M17" i="47"/>
  <c r="M9" i="47"/>
  <c r="G8" i="47"/>
  <c r="G14" i="47"/>
  <c r="G16" i="47"/>
  <c r="G9" i="47"/>
  <c r="G10" i="47"/>
  <c r="G13" i="47"/>
  <c r="G11" i="47"/>
  <c r="G15" i="47"/>
  <c r="G17" i="47"/>
  <c r="G12" i="47"/>
  <c r="P31" i="47"/>
  <c r="P32" i="47"/>
  <c r="P30" i="47"/>
  <c r="P29" i="47"/>
  <c r="P28" i="47"/>
  <c r="P35" i="47"/>
  <c r="P27" i="47"/>
  <c r="P34" i="47"/>
  <c r="P33" i="47"/>
  <c r="P26" i="47"/>
  <c r="M31" i="47"/>
  <c r="M32" i="47"/>
  <c r="M30" i="47"/>
  <c r="M34" i="47"/>
  <c r="M33" i="47"/>
  <c r="M29" i="47"/>
  <c r="M28" i="47"/>
  <c r="M35" i="47"/>
  <c r="M27" i="47"/>
  <c r="M26" i="47"/>
  <c r="J30" i="47"/>
  <c r="J28" i="47"/>
  <c r="J31" i="47"/>
  <c r="J35" i="47"/>
  <c r="J27" i="47"/>
  <c r="J34" i="47"/>
  <c r="J33" i="47"/>
  <c r="J32" i="47"/>
  <c r="J29" i="47"/>
  <c r="J26" i="47"/>
  <c r="G26" i="47"/>
  <c r="G35" i="47"/>
  <c r="G28" i="47"/>
  <c r="G29" i="47"/>
  <c r="G30" i="47"/>
  <c r="G31" i="47"/>
  <c r="G33" i="47"/>
  <c r="G32" i="47"/>
  <c r="G34" i="47"/>
  <c r="G27" i="47"/>
  <c r="E1256" i="3"/>
  <c r="H1256" i="3"/>
  <c r="F1256" i="3"/>
  <c r="D1255" i="3"/>
  <c r="C1255" i="3"/>
  <c r="J41" i="50"/>
  <c r="M41" i="50"/>
  <c r="G41" i="50"/>
  <c r="M24" i="50"/>
  <c r="P41" i="50"/>
  <c r="N15" i="47" l="1"/>
  <c r="N44" i="47" s="1"/>
  <c r="O48" i="50"/>
  <c r="O59" i="50" s="1"/>
  <c r="Q26" i="47"/>
  <c r="K33" i="47"/>
  <c r="Q21" i="50"/>
  <c r="R21" i="50"/>
  <c r="H11" i="47"/>
  <c r="G44" i="47" s="1"/>
  <c r="N26" i="47"/>
  <c r="K14" i="50"/>
  <c r="K21" i="50"/>
  <c r="J48" i="50" s="1"/>
  <c r="J59" i="50" s="1"/>
  <c r="K17" i="50"/>
  <c r="K48" i="50" s="1"/>
  <c r="K59" i="50" s="1"/>
  <c r="Q29" i="47"/>
  <c r="Q33" i="47"/>
  <c r="N29" i="47"/>
  <c r="H26" i="47"/>
  <c r="N33" i="47"/>
  <c r="H8" i="47"/>
  <c r="H44" i="47" s="1"/>
  <c r="K26" i="47"/>
  <c r="H15" i="47"/>
  <c r="F44" i="47" s="1"/>
  <c r="H29" i="47"/>
  <c r="H33" i="47"/>
  <c r="K29" i="47"/>
  <c r="N8" i="47"/>
  <c r="P44" i="47" s="1"/>
  <c r="N11" i="47"/>
  <c r="G18" i="47"/>
  <c r="E1255" i="3"/>
  <c r="F1255" i="3"/>
  <c r="H1255" i="3"/>
  <c r="G36" i="47"/>
  <c r="D1254" i="3"/>
  <c r="C1254" i="3"/>
  <c r="P36" i="47"/>
  <c r="M18" i="47"/>
  <c r="M36" i="47"/>
  <c r="J36" i="47"/>
  <c r="K41" i="50"/>
  <c r="H41" i="50"/>
  <c r="Q41" i="50"/>
  <c r="N24" i="50"/>
  <c r="J24" i="50"/>
  <c r="N41" i="50"/>
  <c r="Q17" i="47" l="1"/>
  <c r="Q15" i="47" s="1"/>
  <c r="O44" i="47"/>
  <c r="H18" i="47"/>
  <c r="N18" i="47"/>
  <c r="K36" i="47"/>
  <c r="H36" i="47"/>
  <c r="C1253" i="3"/>
  <c r="D1253" i="3"/>
  <c r="F1254" i="3"/>
  <c r="H1254" i="3"/>
  <c r="N36" i="47"/>
  <c r="Q36" i="47"/>
  <c r="E1254" i="3"/>
  <c r="K24" i="50"/>
  <c r="L48" i="50"/>
  <c r="L59" i="50" s="1"/>
  <c r="R15" i="47" l="1"/>
  <c r="E1253" i="3"/>
  <c r="D1252" i="3"/>
  <c r="C1252" i="3"/>
  <c r="H1253" i="3"/>
  <c r="F1253" i="3"/>
  <c r="F1252" i="3" l="1"/>
  <c r="H1252" i="3"/>
  <c r="D1251" i="3"/>
  <c r="C1251" i="3"/>
  <c r="E1252" i="3"/>
  <c r="E1251" i="3" l="1"/>
  <c r="F1251" i="3"/>
  <c r="H1251" i="3"/>
  <c r="D1250" i="3"/>
  <c r="C1250" i="3"/>
  <c r="F1250" i="3" l="1"/>
  <c r="H1250" i="3"/>
  <c r="C1249" i="3"/>
  <c r="D1249" i="3"/>
  <c r="E1250" i="3"/>
  <c r="E1249" i="3" l="1"/>
  <c r="D1248" i="3"/>
  <c r="C1248" i="3"/>
  <c r="H1249" i="3"/>
  <c r="F1249" i="3"/>
  <c r="F1248" i="3" l="1"/>
  <c r="H1248" i="3"/>
  <c r="C1247" i="3"/>
  <c r="D1247" i="3"/>
  <c r="E1248" i="3"/>
  <c r="E1247" i="3" l="1"/>
  <c r="C1246" i="3"/>
  <c r="D1246" i="3"/>
  <c r="F1247" i="3"/>
  <c r="H1247" i="3"/>
  <c r="C1245" i="3" l="1"/>
  <c r="D1245" i="3"/>
  <c r="H1246" i="3"/>
  <c r="F1246" i="3"/>
  <c r="E1246" i="3"/>
  <c r="E1245" i="3" l="1"/>
  <c r="D1244" i="3"/>
  <c r="C1244" i="3"/>
  <c r="F1245" i="3"/>
  <c r="H1245" i="3"/>
  <c r="F1244" i="3" l="1"/>
  <c r="H1244" i="3"/>
  <c r="D1243" i="3"/>
  <c r="C1243" i="3"/>
  <c r="E1244" i="3"/>
  <c r="E1243" i="3" l="1"/>
  <c r="F1243" i="3"/>
  <c r="H1243" i="3"/>
  <c r="C1242" i="3"/>
  <c r="D1242" i="3"/>
  <c r="C1241" i="3" l="1"/>
  <c r="D1241" i="3"/>
  <c r="H1242" i="3"/>
  <c r="F1242" i="3"/>
  <c r="E1242" i="3"/>
  <c r="E1241" i="3" l="1"/>
  <c r="C1240" i="3"/>
  <c r="D1240" i="3"/>
  <c r="H1241" i="3"/>
  <c r="F1241" i="3"/>
  <c r="D1239" i="3" l="1"/>
  <c r="E1240" i="3"/>
  <c r="C1239" i="3"/>
  <c r="F1240" i="3"/>
  <c r="H1240" i="3"/>
  <c r="E1239" i="3" l="1"/>
  <c r="H1239" i="3"/>
  <c r="F1239" i="3"/>
  <c r="D1238" i="3"/>
  <c r="C1238" i="3"/>
  <c r="F1238" i="3" l="1"/>
  <c r="H1238" i="3"/>
  <c r="C1237" i="3"/>
  <c r="E1238" i="3"/>
  <c r="D1237" i="3"/>
  <c r="E1237" i="3" l="1"/>
  <c r="F1237" i="3"/>
  <c r="H1237" i="3"/>
  <c r="C1236" i="3"/>
  <c r="D1236" i="3"/>
  <c r="F1236" i="3" l="1"/>
  <c r="H1236" i="3"/>
  <c r="D1235" i="3"/>
  <c r="C1235" i="3"/>
  <c r="E1236" i="3"/>
  <c r="E1235" i="3" l="1"/>
  <c r="F1235" i="3"/>
  <c r="H1235" i="3"/>
  <c r="C1234" i="3"/>
  <c r="D1234" i="3"/>
  <c r="H1234" i="3" l="1"/>
  <c r="F1234" i="3"/>
  <c r="C1233" i="3"/>
  <c r="D1233" i="3"/>
  <c r="E1234" i="3"/>
  <c r="C1232" i="3" l="1"/>
  <c r="D1232" i="3"/>
  <c r="E1233" i="3"/>
  <c r="F1233" i="3"/>
  <c r="H1233" i="3"/>
  <c r="E1232" i="3" l="1"/>
  <c r="D1231" i="3"/>
  <c r="C1231" i="3"/>
  <c r="H1232" i="3"/>
  <c r="F1232" i="3"/>
  <c r="H1231" i="3" l="1"/>
  <c r="F1231" i="3"/>
  <c r="C1230" i="3"/>
  <c r="D1230" i="3"/>
  <c r="E1231" i="3"/>
  <c r="E1230" i="3" l="1"/>
  <c r="F1230" i="3"/>
  <c r="H1230" i="3"/>
  <c r="C1229" i="3"/>
  <c r="D1229" i="3"/>
  <c r="D1228" i="3" l="1"/>
  <c r="C1228" i="3"/>
  <c r="F1229" i="3"/>
  <c r="H1229" i="3"/>
  <c r="E1229" i="3"/>
  <c r="E1228" i="3" l="1"/>
  <c r="F1228" i="3"/>
  <c r="H1228" i="3"/>
  <c r="C1227" i="3"/>
  <c r="D1227" i="3"/>
  <c r="F1227" i="3" l="1"/>
  <c r="H1227" i="3"/>
  <c r="C1226" i="3"/>
  <c r="D1226" i="3"/>
  <c r="E1227" i="3"/>
  <c r="D1225" i="3" l="1"/>
  <c r="C1225" i="3"/>
  <c r="H1226" i="3"/>
  <c r="F1226" i="3"/>
  <c r="E1226" i="3"/>
  <c r="E1225" i="3" l="1"/>
  <c r="H1225" i="3"/>
  <c r="F1225" i="3"/>
  <c r="C1224" i="3"/>
  <c r="D1224" i="3"/>
  <c r="D1223" i="3" l="1"/>
  <c r="C1223" i="3"/>
  <c r="H1224" i="3"/>
  <c r="F1224" i="3"/>
  <c r="E1224" i="3"/>
  <c r="E1223" i="3" l="1"/>
  <c r="H1223" i="3"/>
  <c r="F1223" i="3"/>
  <c r="C1222" i="3"/>
  <c r="D1222" i="3"/>
  <c r="D1221" i="3" l="1"/>
  <c r="C1221" i="3"/>
  <c r="H1222" i="3"/>
  <c r="F1222" i="3"/>
  <c r="E1222" i="3"/>
  <c r="E1221" i="3" l="1"/>
  <c r="H1221" i="3"/>
  <c r="F1221" i="3"/>
  <c r="D1220" i="3"/>
  <c r="C1220" i="3"/>
  <c r="C1219" i="3" l="1"/>
  <c r="D1219" i="3"/>
  <c r="H1220" i="3"/>
  <c r="F1220" i="3"/>
  <c r="E1220" i="3"/>
  <c r="E1219" i="3" l="1"/>
  <c r="C1218" i="3"/>
  <c r="D1218" i="3"/>
  <c r="H1219" i="3"/>
  <c r="F1219" i="3"/>
  <c r="E1218" i="3" l="1"/>
  <c r="C1217" i="3"/>
  <c r="D1217" i="3"/>
  <c r="F1218" i="3"/>
  <c r="H1218" i="3"/>
  <c r="D1216" i="3" l="1"/>
  <c r="C1216" i="3"/>
  <c r="F1217" i="3"/>
  <c r="H1217" i="3"/>
  <c r="E1217" i="3"/>
  <c r="E1216" i="3" l="1"/>
  <c r="F1216" i="3"/>
  <c r="H1216" i="3"/>
  <c r="C1215" i="3"/>
  <c r="D1215" i="3"/>
  <c r="H1215" i="3" l="1"/>
  <c r="F1215" i="3"/>
  <c r="C1214" i="3"/>
  <c r="D1214" i="3"/>
  <c r="E1215" i="3"/>
  <c r="C1213" i="3" l="1"/>
  <c r="D1213" i="3"/>
  <c r="F1214" i="3"/>
  <c r="H1214" i="3"/>
  <c r="E1214" i="3"/>
  <c r="E1213" i="3" l="1"/>
  <c r="C1212" i="3"/>
  <c r="D1212" i="3"/>
  <c r="H1213" i="3"/>
  <c r="F1213" i="3"/>
  <c r="E1212" i="3" l="1"/>
  <c r="C1211" i="3"/>
  <c r="D1211" i="3"/>
  <c r="F1212" i="3"/>
  <c r="H1212" i="3"/>
  <c r="C1210" i="3" l="1"/>
  <c r="D1210" i="3"/>
  <c r="H1211" i="3"/>
  <c r="F1211" i="3"/>
  <c r="E1211" i="3"/>
  <c r="E1210" i="3" l="1"/>
  <c r="C1209" i="3"/>
  <c r="D1209" i="3"/>
  <c r="F1210" i="3"/>
  <c r="H1210" i="3"/>
  <c r="C1208" i="3" l="1"/>
  <c r="D1208" i="3"/>
  <c r="F1209" i="3"/>
  <c r="H1209" i="3"/>
  <c r="E1209" i="3"/>
  <c r="E1208" i="3" l="1"/>
  <c r="C1207" i="3"/>
  <c r="D1207" i="3"/>
  <c r="F1208" i="3"/>
  <c r="H1208" i="3"/>
  <c r="C1206" i="3" l="1"/>
  <c r="D1206" i="3"/>
  <c r="H1207" i="3"/>
  <c r="F1207" i="3"/>
  <c r="E1207" i="3"/>
  <c r="E1206" i="3" l="1"/>
  <c r="C1205" i="3"/>
  <c r="D1205" i="3"/>
  <c r="F1206" i="3"/>
  <c r="H1206" i="3"/>
  <c r="H1205" i="3" l="1"/>
  <c r="F1205" i="3"/>
  <c r="C1204" i="3"/>
  <c r="D1204" i="3"/>
  <c r="E1205" i="3"/>
  <c r="D1203" i="3" l="1"/>
  <c r="C1203" i="3"/>
  <c r="F1204" i="3"/>
  <c r="H1204" i="3"/>
  <c r="E1204" i="3"/>
  <c r="E1203" i="3" l="1"/>
  <c r="F1203" i="3"/>
  <c r="H1203" i="3"/>
  <c r="C1202" i="3"/>
  <c r="D1202" i="3"/>
  <c r="C1201" i="3" l="1"/>
  <c r="D1201" i="3"/>
  <c r="F1202" i="3"/>
  <c r="H1202" i="3"/>
  <c r="E1202" i="3"/>
  <c r="E1201" i="3" l="1"/>
  <c r="C1200" i="3"/>
  <c r="D1200" i="3"/>
  <c r="F1201" i="3"/>
  <c r="H1201" i="3"/>
  <c r="C1199" i="3" l="1"/>
  <c r="D1199" i="3"/>
  <c r="F1200" i="3"/>
  <c r="H1200" i="3"/>
  <c r="E1200" i="3"/>
  <c r="E1199" i="3" l="1"/>
  <c r="C1198" i="3"/>
  <c r="D1198" i="3"/>
  <c r="F1199" i="3"/>
  <c r="H1199" i="3"/>
  <c r="C1197" i="3" l="1"/>
  <c r="D1197" i="3"/>
  <c r="H1198" i="3"/>
  <c r="F1198" i="3"/>
  <c r="E1198" i="3"/>
  <c r="E1197" i="3" l="1"/>
  <c r="D1196" i="3"/>
  <c r="C1196" i="3"/>
  <c r="F1197" i="3"/>
  <c r="H1197" i="3"/>
  <c r="E1196" i="3" l="1"/>
  <c r="F1196" i="3"/>
  <c r="H1196" i="3"/>
  <c r="D1195" i="3"/>
  <c r="C1195" i="3"/>
  <c r="C1194" i="3" l="1"/>
  <c r="E1195" i="3"/>
  <c r="D1194" i="3"/>
  <c r="F1195" i="3"/>
  <c r="H1195" i="3"/>
  <c r="C1193" i="3" l="1"/>
  <c r="D1193" i="3"/>
  <c r="E1194" i="3"/>
  <c r="H1194" i="3"/>
  <c r="F1194" i="3"/>
  <c r="E1193" i="3" l="1"/>
  <c r="D1192" i="3"/>
  <c r="C1192" i="3"/>
  <c r="H1193" i="3"/>
  <c r="F1193" i="3"/>
  <c r="H1192" i="3" l="1"/>
  <c r="F1192" i="3"/>
  <c r="C1191" i="3"/>
  <c r="D1191" i="3"/>
  <c r="E1192" i="3"/>
  <c r="E1191" i="3" l="1"/>
  <c r="H1191" i="3"/>
  <c r="F1191" i="3"/>
  <c r="C1190" i="3"/>
  <c r="D1190" i="3"/>
  <c r="F1190" i="3" l="1"/>
  <c r="H1190" i="3"/>
  <c r="C1189" i="3"/>
  <c r="D1189" i="3"/>
  <c r="E1190" i="3"/>
  <c r="D1188" i="3" l="1"/>
  <c r="C1188" i="3"/>
  <c r="F1189" i="3"/>
  <c r="H1189" i="3"/>
  <c r="E1189" i="3"/>
  <c r="E1188" i="3" l="1"/>
  <c r="H1188" i="3"/>
  <c r="F1188" i="3"/>
  <c r="C1187" i="3"/>
  <c r="D1187" i="3"/>
  <c r="C1186" i="3" l="1"/>
  <c r="D1186" i="3"/>
  <c r="H1187" i="3"/>
  <c r="F1187" i="3"/>
  <c r="E1187" i="3"/>
  <c r="E1186" i="3" l="1"/>
  <c r="D1185" i="3"/>
  <c r="C1185" i="3"/>
  <c r="H1186" i="3"/>
  <c r="F1186" i="3"/>
  <c r="F1185" i="3" l="1"/>
  <c r="H1185" i="3"/>
  <c r="C1184" i="3"/>
  <c r="D1184" i="3"/>
  <c r="E1185" i="3"/>
  <c r="D1183" i="3" l="1"/>
  <c r="C1183" i="3"/>
  <c r="H1184" i="3"/>
  <c r="F1184" i="3"/>
  <c r="E1184" i="3"/>
  <c r="E1183" i="3" l="1"/>
  <c r="H1183" i="3"/>
  <c r="F1183" i="3"/>
  <c r="C1182" i="3"/>
  <c r="D1182" i="3"/>
  <c r="D1181" i="3" l="1"/>
  <c r="C1181" i="3"/>
  <c r="H1182" i="3"/>
  <c r="F1182" i="3"/>
  <c r="E1182" i="3"/>
  <c r="E1181" i="3" l="1"/>
  <c r="H1181" i="3"/>
  <c r="F1181" i="3"/>
  <c r="D1180" i="3"/>
  <c r="C1180" i="3"/>
  <c r="H1180" i="3" l="1"/>
  <c r="F1180" i="3"/>
  <c r="C1179" i="3"/>
  <c r="D1179" i="3"/>
  <c r="E1180" i="3"/>
  <c r="D1178" i="3" l="1"/>
  <c r="C1178" i="3"/>
  <c r="H1179" i="3"/>
  <c r="F1179" i="3"/>
  <c r="E1179" i="3"/>
  <c r="E1178" i="3" l="1"/>
  <c r="F1178" i="3"/>
  <c r="H1178" i="3"/>
  <c r="D1177" i="3"/>
  <c r="C1177" i="3"/>
  <c r="F1177" i="3" l="1"/>
  <c r="H1177" i="3"/>
  <c r="C1176" i="3"/>
  <c r="D1176" i="3"/>
  <c r="E1177" i="3"/>
  <c r="C1175" i="3" l="1"/>
  <c r="D1175" i="3"/>
  <c r="F1176" i="3"/>
  <c r="H1176" i="3"/>
  <c r="E1176" i="3"/>
  <c r="E1175" i="3" l="1"/>
  <c r="C1174" i="3"/>
  <c r="D1174" i="3"/>
  <c r="F1175" i="3"/>
  <c r="H1175" i="3"/>
  <c r="E1174" i="3" l="1"/>
  <c r="C1173" i="3"/>
  <c r="D1173" i="3"/>
  <c r="H1174" i="3"/>
  <c r="F1174" i="3"/>
  <c r="D1172" i="3" l="1"/>
  <c r="C1172" i="3"/>
  <c r="F1173" i="3"/>
  <c r="H1173" i="3"/>
  <c r="E1173" i="3"/>
  <c r="E1172" i="3" l="1"/>
  <c r="H1172" i="3"/>
  <c r="F1172" i="3"/>
  <c r="D1171" i="3"/>
  <c r="C1171" i="3"/>
  <c r="F1171" i="3" l="1"/>
  <c r="H1171" i="3"/>
  <c r="C1170" i="3"/>
  <c r="D1170" i="3"/>
  <c r="E1171" i="3"/>
  <c r="C1169" i="3" l="1"/>
  <c r="D1169" i="3"/>
  <c r="F1170" i="3"/>
  <c r="H1170" i="3"/>
  <c r="E1170" i="3"/>
  <c r="E1169" i="3" l="1"/>
  <c r="C1168" i="3"/>
  <c r="D1168" i="3"/>
  <c r="H1169" i="3"/>
  <c r="F1169" i="3"/>
  <c r="C1167" i="3" l="1"/>
  <c r="D1167" i="3"/>
  <c r="F1168" i="3"/>
  <c r="H1168" i="3"/>
  <c r="E1168" i="3"/>
  <c r="E1167" i="3" l="1"/>
  <c r="D1166" i="3"/>
  <c r="C1166" i="3"/>
  <c r="F1167" i="3"/>
  <c r="H1167" i="3"/>
  <c r="F1166" i="3" l="1"/>
  <c r="H1166" i="3"/>
  <c r="C1165" i="3"/>
  <c r="D1165" i="3"/>
  <c r="E1166" i="3"/>
  <c r="E1165" i="3" l="1"/>
  <c r="D1164" i="3"/>
  <c r="C1164" i="3"/>
  <c r="F1165" i="3"/>
  <c r="H1165" i="3"/>
  <c r="H1164" i="3" l="1"/>
  <c r="F1164" i="3"/>
  <c r="C1163" i="3"/>
  <c r="D1163" i="3"/>
  <c r="E1164" i="3"/>
  <c r="E1163" i="3" l="1"/>
  <c r="H1163" i="3"/>
  <c r="F1163" i="3"/>
  <c r="C1162" i="3"/>
  <c r="D1162" i="3"/>
  <c r="D1161" i="3" l="1"/>
  <c r="C1161" i="3"/>
  <c r="H1162" i="3"/>
  <c r="F1162" i="3"/>
  <c r="E1162" i="3"/>
  <c r="E1161" i="3" l="1"/>
  <c r="H1161" i="3"/>
  <c r="F1161" i="3"/>
  <c r="D1160" i="3"/>
  <c r="C1160" i="3"/>
  <c r="F1160" i="3" l="1"/>
  <c r="H1160" i="3"/>
  <c r="C1159" i="3"/>
  <c r="D1159" i="3"/>
  <c r="E1160" i="3"/>
  <c r="D1158" i="3" l="1"/>
  <c r="C1158" i="3"/>
  <c r="F1159" i="3"/>
  <c r="H1159" i="3"/>
  <c r="E1159" i="3"/>
  <c r="E1158" i="3" l="1"/>
  <c r="F1158" i="3"/>
  <c r="H1158" i="3"/>
  <c r="C1157" i="3"/>
  <c r="D1157" i="3"/>
  <c r="D1156" i="3" l="1"/>
  <c r="C1156" i="3"/>
  <c r="H1157" i="3"/>
  <c r="F1157" i="3"/>
  <c r="E1157" i="3"/>
  <c r="E1156" i="3" l="1"/>
  <c r="H1156" i="3"/>
  <c r="F1156" i="3"/>
  <c r="D1155" i="3"/>
  <c r="C1155" i="3"/>
  <c r="C1154" i="3" l="1"/>
  <c r="D1154" i="3"/>
  <c r="F1155" i="3"/>
  <c r="H1155" i="3"/>
  <c r="E1155" i="3"/>
  <c r="E1154" i="3" l="1"/>
  <c r="C1153" i="3"/>
  <c r="D1153" i="3"/>
  <c r="F1154" i="3"/>
  <c r="H1154" i="3"/>
  <c r="C1152" i="3" l="1"/>
  <c r="D1152" i="3"/>
  <c r="H1153" i="3"/>
  <c r="F1153" i="3"/>
  <c r="E1153" i="3"/>
  <c r="E1152" i="3" l="1"/>
  <c r="C1151" i="3"/>
  <c r="D1151" i="3"/>
  <c r="F1152" i="3"/>
  <c r="H1152" i="3"/>
  <c r="D1150" i="3" l="1"/>
  <c r="C1150" i="3"/>
  <c r="F1151" i="3"/>
  <c r="H1151" i="3"/>
  <c r="E1151" i="3"/>
  <c r="E1150" i="3" l="1"/>
  <c r="H1150" i="3"/>
  <c r="F1150" i="3"/>
  <c r="C1149" i="3"/>
  <c r="D1149" i="3"/>
  <c r="D1148" i="3" l="1"/>
  <c r="C1148" i="3"/>
  <c r="F1149" i="3"/>
  <c r="H1149" i="3"/>
  <c r="E1149" i="3"/>
  <c r="E1148" i="3" l="1"/>
  <c r="H1148" i="3"/>
  <c r="F1148" i="3"/>
  <c r="C1147" i="3"/>
  <c r="D1147" i="3"/>
  <c r="C1146" i="3" l="1"/>
  <c r="D1146" i="3"/>
  <c r="F1147" i="3"/>
  <c r="H1147" i="3"/>
  <c r="E1147" i="3"/>
  <c r="E1146" i="3" l="1"/>
  <c r="C1145" i="3"/>
  <c r="D1145" i="3"/>
  <c r="F1146" i="3"/>
  <c r="H1146" i="3"/>
  <c r="D1144" i="3" l="1"/>
  <c r="C1144" i="3"/>
  <c r="H1145" i="3"/>
  <c r="F1145" i="3"/>
  <c r="E1145" i="3"/>
  <c r="E1144" i="3" l="1"/>
  <c r="F1144" i="3"/>
  <c r="H1144" i="3"/>
  <c r="C1143" i="3"/>
  <c r="D1143" i="3"/>
  <c r="F1143" i="3" l="1"/>
  <c r="H1143" i="3"/>
  <c r="C1142" i="3"/>
  <c r="D1142" i="3"/>
  <c r="E1143" i="3"/>
  <c r="C1141" i="3" l="1"/>
  <c r="D1141" i="3"/>
  <c r="E1142" i="3"/>
  <c r="F1142" i="3"/>
  <c r="H1142" i="3"/>
  <c r="E1141" i="3" l="1"/>
  <c r="D1140" i="3"/>
  <c r="C1140" i="3"/>
  <c r="F1141" i="3"/>
  <c r="H1141" i="3"/>
  <c r="F1140" i="3" l="1"/>
  <c r="H1140" i="3"/>
  <c r="D1139" i="3"/>
  <c r="C1139" i="3"/>
  <c r="E1140" i="3"/>
  <c r="E1139" i="3" l="1"/>
  <c r="F1139" i="3"/>
  <c r="H1139" i="3"/>
  <c r="C1138" i="3"/>
  <c r="D1138" i="3"/>
  <c r="H1138" i="3" l="1"/>
  <c r="F1138" i="3"/>
  <c r="D1137" i="3"/>
  <c r="C1137" i="3"/>
  <c r="E1138" i="3"/>
  <c r="E1137" i="3" l="1"/>
  <c r="F1137" i="3"/>
  <c r="H1137" i="3"/>
  <c r="C1136" i="3"/>
  <c r="D1136" i="3"/>
  <c r="D1135" i="3" l="1"/>
  <c r="C1135" i="3"/>
  <c r="F1136" i="3"/>
  <c r="H1136" i="3"/>
  <c r="E1136" i="3"/>
  <c r="E1135" i="3" l="1"/>
  <c r="H1135" i="3"/>
  <c r="F1135" i="3"/>
  <c r="C1134" i="3"/>
  <c r="D1134" i="3"/>
  <c r="D1133" i="3" l="1"/>
  <c r="C1133" i="3"/>
  <c r="H1134" i="3"/>
  <c r="F1134" i="3"/>
  <c r="E1134" i="3"/>
  <c r="E1133" i="3" l="1"/>
  <c r="F1133" i="3"/>
  <c r="H1133" i="3"/>
  <c r="D1132" i="3"/>
  <c r="C1132" i="3"/>
  <c r="C1131" i="3" l="1"/>
  <c r="D1131" i="3"/>
  <c r="H1132" i="3"/>
  <c r="F1132" i="3"/>
  <c r="E1132" i="3"/>
  <c r="E1131" i="3" l="1"/>
  <c r="C1130" i="3"/>
  <c r="D1130" i="3"/>
  <c r="H1131" i="3"/>
  <c r="F1131" i="3"/>
  <c r="C1129" i="3" l="1"/>
  <c r="D1129" i="3"/>
  <c r="F1130" i="3"/>
  <c r="H1130" i="3"/>
  <c r="E1130" i="3"/>
  <c r="E1129" i="3" l="1"/>
  <c r="C1128" i="3"/>
  <c r="D1128" i="3"/>
  <c r="F1129" i="3"/>
  <c r="H1129" i="3"/>
  <c r="C1127" i="3" l="1"/>
  <c r="D1127" i="3"/>
  <c r="F1128" i="3"/>
  <c r="H1128" i="3"/>
  <c r="E1128" i="3"/>
  <c r="E1127" i="3" l="1"/>
  <c r="C1126" i="3"/>
  <c r="D1126" i="3"/>
  <c r="H1127" i="3"/>
  <c r="F1127" i="3"/>
  <c r="C1125" i="3" l="1"/>
  <c r="D1125" i="3"/>
  <c r="H1126" i="3"/>
  <c r="F1126" i="3"/>
  <c r="E1126" i="3"/>
  <c r="E1125" i="3" l="1"/>
  <c r="D1124" i="3"/>
  <c r="C1124" i="3"/>
  <c r="F1125" i="3"/>
  <c r="H1125" i="3"/>
  <c r="F1124" i="3" l="1"/>
  <c r="H1124" i="3"/>
  <c r="D1123" i="3"/>
  <c r="C1123" i="3"/>
  <c r="E1124" i="3"/>
  <c r="E1123" i="3" l="1"/>
  <c r="C1122" i="3"/>
  <c r="D1122" i="3"/>
  <c r="H1123" i="3"/>
  <c r="F1123" i="3"/>
  <c r="C1121" i="3" l="1"/>
  <c r="D1121" i="3"/>
  <c r="H1122" i="3"/>
  <c r="F1122" i="3"/>
  <c r="E1122" i="3"/>
  <c r="E1121" i="3" l="1"/>
  <c r="C1120" i="3"/>
  <c r="D1120" i="3"/>
  <c r="H1121" i="3"/>
  <c r="F1121" i="3"/>
  <c r="C1119" i="3" l="1"/>
  <c r="D1119" i="3"/>
  <c r="F1120" i="3"/>
  <c r="H1120" i="3"/>
  <c r="E1120" i="3"/>
  <c r="E1119" i="3" l="1"/>
  <c r="C1118" i="3"/>
  <c r="D1118" i="3"/>
  <c r="H1119" i="3"/>
  <c r="F1119" i="3"/>
  <c r="E1118" i="3" l="1"/>
  <c r="C1117" i="3"/>
  <c r="D1117" i="3"/>
  <c r="H1118" i="3"/>
  <c r="F1118" i="3"/>
  <c r="C1116" i="3" l="1"/>
  <c r="D1116" i="3"/>
  <c r="H1117" i="3"/>
  <c r="F1117" i="3"/>
  <c r="E1117" i="3"/>
  <c r="E1116" i="3" l="1"/>
  <c r="D1115" i="3"/>
  <c r="C1115" i="3"/>
  <c r="F1116" i="3"/>
  <c r="H1116" i="3"/>
  <c r="F1115" i="3" l="1"/>
  <c r="H1115" i="3"/>
  <c r="C1114" i="3"/>
  <c r="D1114" i="3"/>
  <c r="E1115" i="3"/>
  <c r="C1113" i="3" l="1"/>
  <c r="D1113" i="3"/>
  <c r="F1114" i="3"/>
  <c r="H1114" i="3"/>
  <c r="E1114" i="3"/>
  <c r="E1113" i="3" l="1"/>
  <c r="C1112" i="3"/>
  <c r="D1112" i="3"/>
  <c r="F1113" i="3"/>
  <c r="H1113" i="3"/>
  <c r="C1111" i="3" l="1"/>
  <c r="D1111" i="3"/>
  <c r="F1112" i="3"/>
  <c r="H1112" i="3"/>
  <c r="E1112" i="3"/>
  <c r="E1111" i="3" l="1"/>
  <c r="C1110" i="3"/>
  <c r="D1110" i="3"/>
  <c r="H1111" i="3"/>
  <c r="F1111" i="3"/>
  <c r="C1109" i="3" l="1"/>
  <c r="D1109" i="3"/>
  <c r="H1110" i="3"/>
  <c r="F1110" i="3"/>
  <c r="E1110" i="3"/>
  <c r="E1109" i="3" l="1"/>
  <c r="D1108" i="3"/>
  <c r="C1108" i="3"/>
  <c r="F1109" i="3"/>
  <c r="H1109" i="3"/>
  <c r="F1108" i="3" l="1"/>
  <c r="H1108" i="3"/>
  <c r="D1107" i="3"/>
  <c r="C1107" i="3"/>
  <c r="E1108" i="3"/>
  <c r="E1107" i="3" l="1"/>
  <c r="H1107" i="3"/>
  <c r="F1107" i="3"/>
  <c r="C1106" i="3"/>
  <c r="D1106" i="3"/>
  <c r="C1105" i="3" l="1"/>
  <c r="D1105" i="3"/>
  <c r="H1106" i="3"/>
  <c r="F1106" i="3"/>
  <c r="E1106" i="3"/>
  <c r="E1105" i="3" l="1"/>
  <c r="C1104" i="3"/>
  <c r="D1104" i="3"/>
  <c r="H1105" i="3"/>
  <c r="F1105" i="3"/>
  <c r="C1103" i="3" l="1"/>
  <c r="D1103" i="3"/>
  <c r="F1104" i="3"/>
  <c r="H1104" i="3"/>
  <c r="E1104" i="3"/>
  <c r="E1103" i="3" l="1"/>
  <c r="C1102" i="3"/>
  <c r="D1102" i="3"/>
  <c r="H1103" i="3"/>
  <c r="F1103" i="3"/>
  <c r="C1101" i="3" l="1"/>
  <c r="D1101" i="3"/>
  <c r="H1102" i="3"/>
  <c r="F1102" i="3"/>
  <c r="E1102" i="3"/>
  <c r="E1101" i="3" l="1"/>
  <c r="D1100" i="3"/>
  <c r="C1100" i="3"/>
  <c r="F1101" i="3"/>
  <c r="H1101" i="3"/>
  <c r="H1100" i="3" l="1"/>
  <c r="F1100" i="3"/>
  <c r="C1099" i="3"/>
  <c r="D1099" i="3"/>
  <c r="E1100" i="3"/>
  <c r="E1099" i="3" l="1"/>
  <c r="F1099" i="3"/>
  <c r="H1099" i="3"/>
  <c r="C1098" i="3"/>
  <c r="D1098" i="3"/>
  <c r="C1097" i="3" l="1"/>
  <c r="D1097" i="3"/>
  <c r="H1098" i="3"/>
  <c r="F1098" i="3"/>
  <c r="E1098" i="3"/>
  <c r="E1097" i="3" l="1"/>
  <c r="C1096" i="3"/>
  <c r="D1096" i="3"/>
  <c r="F1097" i="3"/>
  <c r="H1097" i="3"/>
  <c r="C1095" i="3" l="1"/>
  <c r="D1095" i="3"/>
  <c r="H1096" i="3"/>
  <c r="F1096" i="3"/>
  <c r="E1096" i="3"/>
  <c r="E1095" i="3" l="1"/>
  <c r="C1094" i="3"/>
  <c r="D1094" i="3"/>
  <c r="H1095" i="3"/>
  <c r="F1095" i="3"/>
  <c r="H1094" i="3" l="1"/>
  <c r="F1094" i="3"/>
  <c r="D1093" i="3"/>
  <c r="C1093" i="3"/>
  <c r="E1094" i="3"/>
  <c r="E1093" i="3" l="1"/>
  <c r="H1093" i="3"/>
  <c r="F1093" i="3"/>
  <c r="D1092" i="3"/>
  <c r="C1092" i="3"/>
  <c r="F1092" i="3" l="1"/>
  <c r="H1092" i="3"/>
  <c r="D1091" i="3"/>
  <c r="C1091" i="3"/>
  <c r="E1092" i="3"/>
  <c r="E1091" i="3" l="1"/>
  <c r="H1091" i="3"/>
  <c r="F1091" i="3"/>
  <c r="C1090" i="3"/>
  <c r="D1090" i="3"/>
  <c r="C1089" i="3" l="1"/>
  <c r="D1089" i="3"/>
  <c r="H1090" i="3"/>
  <c r="F1090" i="3"/>
  <c r="E1090" i="3"/>
  <c r="E1089" i="3" l="1"/>
  <c r="C1088" i="3"/>
  <c r="D1088" i="3"/>
  <c r="F1089" i="3"/>
  <c r="H1089" i="3"/>
  <c r="H1088" i="3" l="1"/>
  <c r="F1088" i="3"/>
  <c r="D1087" i="3"/>
  <c r="C1087" i="3"/>
  <c r="E1088" i="3"/>
  <c r="E1087" i="3" l="1"/>
  <c r="C1086" i="3"/>
  <c r="D1086" i="3"/>
  <c r="F1087" i="3"/>
  <c r="H1087" i="3"/>
  <c r="D1085" i="3" l="1"/>
  <c r="C1085" i="3"/>
  <c r="F1086" i="3"/>
  <c r="H1086" i="3"/>
  <c r="E1086" i="3"/>
  <c r="E1085" i="3" l="1"/>
  <c r="F1085" i="3"/>
  <c r="H1085" i="3"/>
  <c r="D1084" i="3"/>
  <c r="C1084" i="3"/>
  <c r="H1084" i="3" l="1"/>
  <c r="F1084" i="3"/>
  <c r="C1083" i="3"/>
  <c r="D1083" i="3"/>
  <c r="E1084" i="3"/>
  <c r="C1082" i="3" l="1"/>
  <c r="D1082" i="3"/>
  <c r="H1083" i="3"/>
  <c r="F1083" i="3"/>
  <c r="E1083" i="3"/>
  <c r="E1082" i="3" l="1"/>
  <c r="F1082" i="3"/>
  <c r="H1082" i="3"/>
  <c r="D1081" i="3"/>
  <c r="C1081" i="3"/>
  <c r="H1081" i="3" l="1"/>
  <c r="F1081" i="3"/>
  <c r="C1080" i="3"/>
  <c r="D1080" i="3"/>
  <c r="E1081" i="3"/>
  <c r="C1079" i="3" l="1"/>
  <c r="D1079" i="3"/>
  <c r="F1080" i="3"/>
  <c r="H1080" i="3"/>
  <c r="E1080" i="3"/>
  <c r="E1079" i="3" l="1"/>
  <c r="D1078" i="3"/>
  <c r="C1078" i="3"/>
  <c r="F1079" i="3"/>
  <c r="H1079" i="3"/>
  <c r="F1078" i="3" l="1"/>
  <c r="H1078" i="3"/>
  <c r="E1078" i="3"/>
  <c r="D1077" i="3"/>
  <c r="C1077" i="3"/>
  <c r="D1076" i="3" l="1"/>
  <c r="C1076" i="3"/>
  <c r="E1077" i="3"/>
  <c r="F1077" i="3"/>
  <c r="H1077" i="3"/>
  <c r="E1076" i="3" l="1"/>
  <c r="F1076" i="3"/>
  <c r="H1076" i="3"/>
  <c r="D1075" i="3"/>
  <c r="C1075" i="3"/>
  <c r="F1075" i="3" l="1"/>
  <c r="H1075" i="3"/>
  <c r="C1074" i="3"/>
  <c r="D1074" i="3"/>
  <c r="E1075" i="3"/>
  <c r="E1074" i="3" l="1"/>
  <c r="C1073" i="3"/>
  <c r="D1073" i="3"/>
  <c r="H1074" i="3"/>
  <c r="F1074" i="3"/>
  <c r="C1072" i="3" l="1"/>
  <c r="D1072" i="3"/>
  <c r="F1073" i="3"/>
  <c r="H1073" i="3"/>
  <c r="E1073" i="3"/>
  <c r="E1072" i="3" l="1"/>
  <c r="C1071" i="3"/>
  <c r="D1071" i="3"/>
  <c r="E1071" i="3" s="1"/>
  <c r="F1072" i="3"/>
  <c r="H1072" i="3"/>
  <c r="C1070" i="3" l="1"/>
  <c r="D1070" i="3"/>
  <c r="H1071" i="3"/>
  <c r="F1071" i="3"/>
  <c r="H1070" i="3" l="1"/>
  <c r="F1070" i="3"/>
  <c r="D1069" i="3"/>
  <c r="C1069" i="3"/>
  <c r="E1070" i="3"/>
  <c r="E1069" i="3" l="1"/>
  <c r="F1069" i="3"/>
  <c r="H1069" i="3"/>
  <c r="D1068" i="3"/>
  <c r="C1068" i="3"/>
  <c r="H1068" i="3" l="1"/>
  <c r="F1068" i="3"/>
  <c r="C1067" i="3"/>
  <c r="D1067" i="3"/>
  <c r="E1068" i="3"/>
  <c r="C1066" i="3" l="1"/>
  <c r="D1066" i="3"/>
  <c r="F1067" i="3"/>
  <c r="H1067" i="3"/>
  <c r="E1067" i="3"/>
  <c r="E1066" i="3" l="1"/>
  <c r="D1065" i="3"/>
  <c r="C1065" i="3"/>
  <c r="H1066" i="3"/>
  <c r="F1066" i="3"/>
  <c r="F1065" i="3" l="1"/>
  <c r="H1065" i="3"/>
  <c r="C1064" i="3"/>
  <c r="D1064" i="3"/>
  <c r="E1065" i="3"/>
  <c r="C1063" i="3" l="1"/>
  <c r="D1063" i="3"/>
  <c r="H1064" i="3"/>
  <c r="F1064" i="3"/>
  <c r="E1064" i="3"/>
  <c r="E1063" i="3" l="1"/>
  <c r="C1062" i="3"/>
  <c r="D1062" i="3"/>
  <c r="H1063" i="3"/>
  <c r="F1063" i="3"/>
  <c r="C1061" i="3" l="1"/>
  <c r="D1061" i="3"/>
  <c r="H1062" i="3"/>
  <c r="F1062" i="3"/>
  <c r="E1062" i="3"/>
  <c r="E1061" i="3" l="1"/>
  <c r="D1060" i="3"/>
  <c r="C1060" i="3"/>
  <c r="F1061" i="3"/>
  <c r="H1061" i="3"/>
  <c r="H1060" i="3" l="1"/>
  <c r="F1060" i="3"/>
  <c r="E1060" i="3"/>
  <c r="C1059" i="3"/>
  <c r="D1059" i="3"/>
  <c r="D1058" i="3" l="1"/>
  <c r="C1058" i="3"/>
  <c r="E1059" i="3"/>
  <c r="F1059" i="3"/>
  <c r="H1059" i="3"/>
  <c r="E1058" i="3" l="1"/>
  <c r="H1058" i="3"/>
  <c r="F1058" i="3"/>
  <c r="C1057" i="3"/>
  <c r="D1057" i="3"/>
  <c r="C1056" i="3" l="1"/>
  <c r="D1056" i="3"/>
  <c r="H1057" i="3"/>
  <c r="F1057" i="3"/>
  <c r="E1057" i="3"/>
  <c r="E1056" i="3" l="1"/>
  <c r="C1055" i="3"/>
  <c r="D1055" i="3"/>
  <c r="F1056" i="3"/>
  <c r="H1056" i="3"/>
  <c r="C1054" i="3" l="1"/>
  <c r="D1054" i="3"/>
  <c r="F1055" i="3"/>
  <c r="H1055" i="3"/>
  <c r="E1055" i="3"/>
  <c r="E1054" i="3" l="1"/>
  <c r="C1053" i="3"/>
  <c r="D1053" i="3"/>
  <c r="F1054" i="3"/>
  <c r="H1054" i="3"/>
  <c r="D1052" i="3" l="1"/>
  <c r="C1052" i="3"/>
  <c r="F1053" i="3"/>
  <c r="H1053" i="3"/>
  <c r="E1053" i="3"/>
  <c r="E1052" i="3" l="1"/>
  <c r="H1052" i="3"/>
  <c r="F1052" i="3"/>
  <c r="D1051" i="3"/>
  <c r="C1051" i="3"/>
  <c r="H1051" i="3" l="1"/>
  <c r="F1051" i="3"/>
  <c r="C1050" i="3"/>
  <c r="D1050" i="3"/>
  <c r="E1051" i="3"/>
  <c r="E1050" i="3" l="1"/>
  <c r="F1050" i="3"/>
  <c r="H1050" i="3"/>
  <c r="C1049" i="3"/>
  <c r="D1049" i="3"/>
  <c r="E1049" i="3" l="1"/>
  <c r="C1048" i="3"/>
  <c r="D1048" i="3"/>
  <c r="F1049" i="3"/>
  <c r="H1049" i="3"/>
  <c r="D1047" i="3" l="1"/>
  <c r="C1047" i="3"/>
  <c r="F1048" i="3"/>
  <c r="H1048" i="3"/>
  <c r="E1048" i="3"/>
  <c r="E1047" i="3" l="1"/>
  <c r="F1047" i="3"/>
  <c r="H1047" i="3"/>
  <c r="C1046" i="3"/>
  <c r="D1046" i="3"/>
  <c r="E1046" i="3" l="1"/>
  <c r="C1045" i="3"/>
  <c r="D1045" i="3"/>
  <c r="F1046" i="3"/>
  <c r="H1046" i="3"/>
  <c r="C1044" i="3" l="1"/>
  <c r="D1044" i="3"/>
  <c r="F1045" i="3"/>
  <c r="H1045" i="3"/>
  <c r="E1045" i="3"/>
  <c r="E1044" i="3" l="1"/>
  <c r="C1043" i="3"/>
  <c r="D1043" i="3"/>
  <c r="F1044" i="3"/>
  <c r="H1044" i="3"/>
  <c r="D1042" i="3" l="1"/>
  <c r="C1042" i="3"/>
  <c r="F1043" i="3"/>
  <c r="H1043" i="3"/>
  <c r="E1043" i="3"/>
  <c r="E1042" i="3" l="1"/>
  <c r="F1042" i="3"/>
  <c r="H1042" i="3"/>
  <c r="C1041" i="3"/>
  <c r="D1041" i="3"/>
  <c r="D1040" i="3" l="1"/>
  <c r="C1040" i="3"/>
  <c r="H1041" i="3"/>
  <c r="F1041" i="3"/>
  <c r="E1041" i="3"/>
  <c r="E1040" i="3" l="1"/>
  <c r="F1040" i="3"/>
  <c r="H1040" i="3"/>
  <c r="C1039" i="3"/>
  <c r="D1039" i="3"/>
  <c r="F1039" i="3" l="1"/>
  <c r="H1039" i="3"/>
  <c r="C1038" i="3"/>
  <c r="D1038" i="3"/>
  <c r="E1039" i="3"/>
  <c r="C1037" i="3" l="1"/>
  <c r="D1037" i="3"/>
  <c r="H1038" i="3"/>
  <c r="F1038" i="3"/>
  <c r="E1038" i="3"/>
  <c r="E1037" i="3" l="1"/>
  <c r="C1036" i="3"/>
  <c r="D1036" i="3"/>
  <c r="H1037" i="3"/>
  <c r="F1037" i="3"/>
  <c r="D1035" i="3" l="1"/>
  <c r="C1035" i="3"/>
  <c r="F1036" i="3"/>
  <c r="H1036" i="3"/>
  <c r="E1036" i="3"/>
  <c r="E1035" i="3" l="1"/>
  <c r="H1035" i="3"/>
  <c r="F1035" i="3"/>
  <c r="D1034" i="3"/>
  <c r="C1034" i="3"/>
  <c r="H1034" i="3" l="1"/>
  <c r="F1034" i="3"/>
  <c r="C1033" i="3"/>
  <c r="D1033" i="3"/>
  <c r="E1034" i="3"/>
  <c r="E1033" i="3" l="1"/>
  <c r="H1033" i="3"/>
  <c r="F1033" i="3"/>
  <c r="C1032" i="3"/>
  <c r="D1032" i="3"/>
  <c r="F1032" i="3" l="1"/>
  <c r="H1032" i="3"/>
  <c r="C1031" i="3"/>
  <c r="D1031" i="3"/>
  <c r="E1032" i="3"/>
  <c r="E1031" i="3" l="1"/>
  <c r="C1030" i="3"/>
  <c r="D1030" i="3"/>
  <c r="H1031" i="3"/>
  <c r="F1031" i="3"/>
  <c r="E1030" i="3" l="1"/>
  <c r="C1029" i="3"/>
  <c r="D1029" i="3"/>
  <c r="F1030" i="3"/>
  <c r="H1030" i="3"/>
  <c r="E1029" i="3" l="1"/>
  <c r="D1028" i="3"/>
  <c r="C1028" i="3"/>
  <c r="H1029" i="3"/>
  <c r="F1029" i="3"/>
  <c r="H1028" i="3" l="1"/>
  <c r="F1028" i="3"/>
  <c r="C1027" i="3"/>
  <c r="D1027" i="3"/>
  <c r="E1028" i="3"/>
  <c r="C1026" i="3" l="1"/>
  <c r="D1026" i="3"/>
  <c r="F1027" i="3"/>
  <c r="H1027" i="3"/>
  <c r="E1027" i="3"/>
  <c r="E1026" i="3" l="1"/>
  <c r="D1025" i="3"/>
  <c r="C1025" i="3"/>
  <c r="F1026" i="3"/>
  <c r="H1026" i="3"/>
  <c r="H1025" i="3" l="1"/>
  <c r="F1025" i="3"/>
  <c r="D1024" i="3"/>
  <c r="C1024" i="3"/>
  <c r="E1025" i="3"/>
  <c r="E1024" i="3" l="1"/>
  <c r="C1023" i="3"/>
  <c r="D1023" i="3"/>
  <c r="H1024" i="3"/>
  <c r="F1024" i="3"/>
  <c r="D1022" i="3" l="1"/>
  <c r="C1022" i="3"/>
  <c r="F1023" i="3"/>
  <c r="H1023" i="3"/>
  <c r="E1023" i="3"/>
  <c r="E1022" i="3" l="1"/>
  <c r="H1022" i="3"/>
  <c r="F1022" i="3"/>
  <c r="C1021" i="3"/>
  <c r="D1021" i="3"/>
  <c r="D1020" i="3" l="1"/>
  <c r="C1020" i="3"/>
  <c r="H1021" i="3"/>
  <c r="F1021" i="3"/>
  <c r="E1021" i="3"/>
  <c r="E1020" i="3" l="1"/>
  <c r="F1020" i="3"/>
  <c r="H1020" i="3"/>
  <c r="C1019" i="3"/>
  <c r="D1019" i="3"/>
  <c r="F1019" i="3" l="1"/>
  <c r="H1019" i="3"/>
  <c r="C1018" i="3"/>
  <c r="D1018" i="3"/>
  <c r="E1019" i="3"/>
  <c r="C1017" i="3" l="1"/>
  <c r="D1017" i="3"/>
  <c r="F1018" i="3"/>
  <c r="H1018" i="3"/>
  <c r="E1018" i="3"/>
  <c r="E1017" i="3" l="1"/>
  <c r="C1016" i="3"/>
  <c r="D1016" i="3"/>
  <c r="F1017" i="3"/>
  <c r="H1017" i="3"/>
  <c r="H1016" i="3" l="1"/>
  <c r="F1016" i="3"/>
  <c r="D1015" i="3"/>
  <c r="C1015" i="3"/>
  <c r="E1016" i="3"/>
  <c r="E1015" i="3" l="1"/>
  <c r="C1014" i="3"/>
  <c r="D1014" i="3"/>
  <c r="F1015" i="3"/>
  <c r="H1015" i="3"/>
  <c r="D1013" i="3" l="1"/>
  <c r="C1013" i="3"/>
  <c r="F1014" i="3"/>
  <c r="H1014" i="3"/>
  <c r="E1014" i="3"/>
  <c r="E1013" i="3" l="1"/>
  <c r="H1013" i="3"/>
  <c r="F1013" i="3"/>
  <c r="D1012" i="3"/>
  <c r="C1012" i="3"/>
  <c r="F1012" i="3" l="1"/>
  <c r="H1012" i="3"/>
  <c r="C1011" i="3"/>
  <c r="D1011" i="3"/>
  <c r="E1012" i="3"/>
  <c r="C1010" i="3" l="1"/>
  <c r="D1010" i="3"/>
  <c r="H1011" i="3"/>
  <c r="F1011" i="3"/>
  <c r="E1011" i="3"/>
  <c r="E1010" i="3" l="1"/>
  <c r="C1009" i="3"/>
  <c r="D1009" i="3"/>
  <c r="F1010" i="3"/>
  <c r="H1010" i="3"/>
  <c r="C1008" i="3" l="1"/>
  <c r="D1008" i="3"/>
  <c r="H1009" i="3"/>
  <c r="F1009" i="3"/>
  <c r="E1009" i="3"/>
  <c r="E1008" i="3" l="1"/>
  <c r="C1007" i="3"/>
  <c r="D1007" i="3"/>
  <c r="F1008" i="3"/>
  <c r="H1008" i="3"/>
  <c r="C1006" i="3" l="1"/>
  <c r="D1006" i="3"/>
  <c r="F1007" i="3"/>
  <c r="H1007" i="3"/>
  <c r="E1007" i="3"/>
  <c r="E1006" i="3" l="1"/>
  <c r="C1005" i="3"/>
  <c r="D1005" i="3"/>
  <c r="H1006" i="3"/>
  <c r="F1006" i="3"/>
  <c r="H1005" i="3" l="1"/>
  <c r="F1005" i="3"/>
  <c r="C1004" i="3"/>
  <c r="D1004" i="3"/>
  <c r="E1005" i="3"/>
  <c r="E1004" i="3" l="1"/>
  <c r="F1004" i="3"/>
  <c r="H1004" i="3"/>
  <c r="C1003" i="3"/>
  <c r="D1003" i="3"/>
  <c r="F1003" i="3" l="1"/>
  <c r="H1003" i="3"/>
  <c r="D1002" i="3"/>
  <c r="C1002" i="3"/>
  <c r="E1003" i="3"/>
  <c r="E1002" i="3" l="1"/>
  <c r="C1001" i="3"/>
  <c r="D1001" i="3"/>
  <c r="F1002" i="3"/>
  <c r="H1002" i="3"/>
  <c r="C1000" i="3" l="1"/>
  <c r="D1000" i="3"/>
  <c r="H1001" i="3"/>
  <c r="F1001" i="3"/>
  <c r="E1001" i="3"/>
  <c r="E1000" i="3" l="1"/>
  <c r="C999" i="3"/>
  <c r="D999" i="3"/>
  <c r="H1000" i="3"/>
  <c r="F1000" i="3"/>
  <c r="D998" i="3" l="1"/>
  <c r="C998" i="3"/>
  <c r="F999" i="3"/>
  <c r="H999" i="3"/>
  <c r="E999" i="3"/>
  <c r="E998" i="3" l="1"/>
  <c r="H998" i="3"/>
  <c r="F998" i="3"/>
  <c r="C997" i="3"/>
  <c r="D997" i="3"/>
  <c r="D996" i="3" l="1"/>
  <c r="C996" i="3"/>
  <c r="H997" i="3"/>
  <c r="F997" i="3"/>
  <c r="E997" i="3"/>
  <c r="E996" i="3" l="1"/>
  <c r="H996" i="3"/>
  <c r="F996" i="3"/>
  <c r="C995" i="3"/>
  <c r="D995" i="3"/>
  <c r="F995" i="3" l="1"/>
  <c r="H995" i="3"/>
  <c r="C994" i="3"/>
  <c r="D994" i="3"/>
  <c r="E995" i="3"/>
  <c r="E994" i="3" l="1"/>
  <c r="H994" i="3"/>
  <c r="F994" i="3"/>
  <c r="D993" i="3"/>
  <c r="C993" i="3"/>
  <c r="C992" i="3" l="1"/>
  <c r="D992" i="3"/>
  <c r="F993" i="3"/>
  <c r="H993" i="3"/>
  <c r="E993" i="3"/>
  <c r="E992" i="3" l="1"/>
  <c r="C991" i="3"/>
  <c r="D991" i="3"/>
  <c r="F992" i="3"/>
  <c r="H992" i="3"/>
  <c r="E991" i="3" l="1"/>
  <c r="C990" i="3"/>
  <c r="D990" i="3"/>
  <c r="H991" i="3"/>
  <c r="F991" i="3"/>
  <c r="C989" i="3" l="1"/>
  <c r="D989" i="3"/>
  <c r="F990" i="3"/>
  <c r="H990" i="3"/>
  <c r="E990" i="3"/>
  <c r="E989" i="3" l="1"/>
  <c r="D988" i="3"/>
  <c r="C988" i="3"/>
  <c r="F989" i="3"/>
  <c r="H989" i="3"/>
  <c r="H988" i="3" l="1"/>
  <c r="F988" i="3"/>
  <c r="C987" i="3"/>
  <c r="D987" i="3"/>
  <c r="E988" i="3"/>
  <c r="E987" i="3" l="1"/>
  <c r="F987" i="3"/>
  <c r="H987" i="3"/>
  <c r="C986" i="3"/>
  <c r="D986" i="3"/>
  <c r="C985" i="3" l="1"/>
  <c r="D985" i="3"/>
  <c r="F986" i="3"/>
  <c r="H986" i="3"/>
  <c r="E986" i="3"/>
  <c r="E985" i="3" l="1"/>
  <c r="C984" i="3"/>
  <c r="D984" i="3"/>
  <c r="F985" i="3"/>
  <c r="H985" i="3"/>
  <c r="C983" i="3" l="1"/>
  <c r="D983" i="3"/>
  <c r="F984" i="3"/>
  <c r="H984" i="3"/>
  <c r="E984" i="3"/>
  <c r="E983" i="3" l="1"/>
  <c r="C982" i="3"/>
  <c r="D982" i="3"/>
  <c r="F983" i="3"/>
  <c r="H983" i="3"/>
  <c r="C981" i="3" l="1"/>
  <c r="D981" i="3"/>
  <c r="F982" i="3"/>
  <c r="H982" i="3"/>
  <c r="E982" i="3"/>
  <c r="E981" i="3" l="1"/>
  <c r="C980" i="3"/>
  <c r="D980" i="3"/>
  <c r="H981" i="3"/>
  <c r="F981" i="3"/>
  <c r="C979" i="3" l="1"/>
  <c r="D979" i="3"/>
  <c r="H980" i="3"/>
  <c r="F980" i="3"/>
  <c r="E980" i="3"/>
  <c r="E979" i="3" l="1"/>
  <c r="C978" i="3"/>
  <c r="D978" i="3"/>
  <c r="H979" i="3"/>
  <c r="F979" i="3"/>
  <c r="C977" i="3" l="1"/>
  <c r="D977" i="3"/>
  <c r="H978" i="3"/>
  <c r="F978" i="3"/>
  <c r="E978" i="3"/>
  <c r="E977" i="3" l="1"/>
  <c r="C976" i="3"/>
  <c r="D976" i="3"/>
  <c r="H977" i="3"/>
  <c r="F977" i="3"/>
  <c r="D975" i="3" l="1"/>
  <c r="C975" i="3"/>
  <c r="F976" i="3"/>
  <c r="H976" i="3"/>
  <c r="E976" i="3"/>
  <c r="E975" i="3" l="1"/>
  <c r="F975" i="3"/>
  <c r="H975" i="3"/>
  <c r="C974" i="3"/>
  <c r="D974" i="3"/>
  <c r="C973" i="3" l="1"/>
  <c r="D973" i="3"/>
  <c r="F974" i="3"/>
  <c r="H974" i="3"/>
  <c r="E974" i="3"/>
  <c r="E973" i="3" l="1"/>
  <c r="D972" i="3"/>
  <c r="C972" i="3"/>
  <c r="F973" i="3"/>
  <c r="H973" i="3"/>
  <c r="F972" i="3" l="1"/>
  <c r="H972" i="3"/>
  <c r="C971" i="3"/>
  <c r="D971" i="3"/>
  <c r="E972" i="3"/>
  <c r="C970" i="3" l="1"/>
  <c r="D970" i="3"/>
  <c r="E971" i="3"/>
  <c r="F971" i="3"/>
  <c r="H971" i="3"/>
  <c r="E970" i="3" l="1"/>
  <c r="C969" i="3"/>
  <c r="D969" i="3"/>
  <c r="F970" i="3"/>
  <c r="H970" i="3"/>
  <c r="C968" i="3" l="1"/>
  <c r="D968" i="3"/>
  <c r="F969" i="3"/>
  <c r="H969" i="3"/>
  <c r="E969" i="3"/>
  <c r="E968" i="3" l="1"/>
  <c r="C967" i="3"/>
  <c r="D967" i="3"/>
  <c r="F968" i="3"/>
  <c r="H968" i="3"/>
  <c r="H967" i="3" l="1"/>
  <c r="F967" i="3"/>
  <c r="C966" i="3"/>
  <c r="D966" i="3"/>
  <c r="E967" i="3"/>
  <c r="E966" i="3" l="1"/>
  <c r="H966" i="3"/>
  <c r="F966" i="3"/>
  <c r="D965" i="3"/>
  <c r="C965" i="3"/>
  <c r="D964" i="3" l="1"/>
  <c r="C964" i="3"/>
  <c r="F965" i="3"/>
  <c r="H965" i="3"/>
  <c r="E965" i="3"/>
  <c r="E964" i="3" l="1"/>
  <c r="F964" i="3"/>
  <c r="H964" i="3"/>
  <c r="C963" i="3"/>
  <c r="D963" i="3"/>
  <c r="F963" i="3" l="1"/>
  <c r="H963" i="3"/>
  <c r="C962" i="3"/>
  <c r="D962" i="3"/>
  <c r="E963" i="3"/>
  <c r="F962" i="3" l="1"/>
  <c r="H962" i="3"/>
  <c r="E962" i="3"/>
  <c r="C961" i="3"/>
  <c r="D961" i="3"/>
  <c r="H961" i="3" l="1"/>
  <c r="F961" i="3"/>
  <c r="E961" i="3"/>
  <c r="C960" i="3"/>
  <c r="D960" i="3"/>
  <c r="F960" i="3" l="1"/>
  <c r="H960" i="3"/>
  <c r="E960" i="3"/>
  <c r="C959" i="3"/>
  <c r="D959" i="3"/>
  <c r="F959" i="3" l="1"/>
  <c r="H959" i="3"/>
  <c r="D958" i="3"/>
  <c r="C958" i="3"/>
  <c r="E959" i="3"/>
  <c r="F958" i="3" l="1"/>
  <c r="H958" i="3"/>
  <c r="C957" i="3"/>
  <c r="D957" i="3"/>
  <c r="E958" i="3"/>
  <c r="E957" i="3" l="1"/>
  <c r="H957" i="3"/>
  <c r="F957" i="3"/>
  <c r="D956" i="3"/>
  <c r="C956" i="3"/>
  <c r="C955" i="3" l="1"/>
  <c r="D955" i="3"/>
  <c r="H956" i="3"/>
  <c r="F956" i="3"/>
  <c r="E956" i="3"/>
  <c r="E955" i="3" l="1"/>
  <c r="C954" i="3"/>
  <c r="D954" i="3"/>
  <c r="F955" i="3"/>
  <c r="H955" i="3"/>
  <c r="C953" i="3" l="1"/>
  <c r="D953" i="3"/>
  <c r="H954" i="3"/>
  <c r="F954" i="3"/>
  <c r="E954" i="3"/>
  <c r="C952" i="3" l="1"/>
  <c r="D952" i="3"/>
  <c r="E953" i="3"/>
  <c r="F953" i="3"/>
  <c r="H953" i="3"/>
  <c r="E952" i="3" l="1"/>
  <c r="C951" i="3"/>
  <c r="D951" i="3"/>
  <c r="H952" i="3"/>
  <c r="F952" i="3"/>
  <c r="D950" i="3" l="1"/>
  <c r="C950" i="3"/>
  <c r="F951" i="3"/>
  <c r="H951" i="3"/>
  <c r="E951" i="3"/>
  <c r="E950" i="3" l="1"/>
  <c r="H950" i="3"/>
  <c r="F950" i="3"/>
  <c r="C949" i="3"/>
  <c r="D949" i="3"/>
  <c r="C948" i="3" l="1"/>
  <c r="D948" i="3"/>
  <c r="H949" i="3"/>
  <c r="F949" i="3"/>
  <c r="E949" i="3"/>
  <c r="E948" i="3" l="1"/>
  <c r="D947" i="3"/>
  <c r="C947" i="3"/>
  <c r="H948" i="3"/>
  <c r="F948" i="3"/>
  <c r="F947" i="3" l="1"/>
  <c r="H947" i="3"/>
  <c r="C946" i="3"/>
  <c r="D946" i="3"/>
  <c r="E947" i="3"/>
  <c r="D945" i="3" l="1"/>
  <c r="C945" i="3"/>
  <c r="H946" i="3"/>
  <c r="F946" i="3"/>
  <c r="E946" i="3"/>
  <c r="E945" i="3" l="1"/>
  <c r="F945" i="3"/>
  <c r="H945" i="3"/>
  <c r="C944" i="3"/>
  <c r="D944" i="3"/>
  <c r="C943" i="3" l="1"/>
  <c r="D943" i="3"/>
  <c r="E944" i="3"/>
  <c r="H944" i="3"/>
  <c r="F944" i="3"/>
  <c r="E943" i="3" l="1"/>
  <c r="D942" i="3"/>
  <c r="C942" i="3"/>
  <c r="H943" i="3"/>
  <c r="F943" i="3"/>
  <c r="C941" i="3" l="1"/>
  <c r="D941" i="3"/>
  <c r="F942" i="3"/>
  <c r="H942" i="3"/>
  <c r="E942" i="3"/>
  <c r="E941" i="3" l="1"/>
  <c r="D940" i="3"/>
  <c r="C940" i="3"/>
  <c r="H941" i="3"/>
  <c r="F941" i="3"/>
  <c r="H940" i="3" l="1"/>
  <c r="F940" i="3"/>
  <c r="C939" i="3"/>
  <c r="D939" i="3"/>
  <c r="E940" i="3"/>
  <c r="E939" i="3" l="1"/>
  <c r="H939" i="3"/>
  <c r="F939" i="3"/>
  <c r="C938" i="3"/>
  <c r="D938" i="3"/>
  <c r="C937" i="3" l="1"/>
  <c r="D937" i="3"/>
  <c r="H938" i="3"/>
  <c r="F938" i="3"/>
  <c r="E938" i="3"/>
  <c r="E937" i="3" l="1"/>
  <c r="C936" i="3"/>
  <c r="D936" i="3"/>
  <c r="F937" i="3"/>
  <c r="H937" i="3"/>
  <c r="H936" i="3" l="1"/>
  <c r="F936" i="3"/>
  <c r="C935" i="3"/>
  <c r="D935" i="3"/>
  <c r="E936" i="3"/>
  <c r="E935" i="3" l="1"/>
  <c r="H935" i="3"/>
  <c r="F935" i="3"/>
  <c r="D934" i="3"/>
  <c r="C934" i="3"/>
  <c r="H934" i="3" l="1"/>
  <c r="F934" i="3"/>
  <c r="C933" i="3"/>
  <c r="D933" i="3"/>
  <c r="E934" i="3"/>
  <c r="E933" i="3" l="1"/>
  <c r="H933" i="3"/>
  <c r="F933" i="3"/>
  <c r="C932" i="3"/>
  <c r="D932" i="3"/>
  <c r="F932" i="3" l="1"/>
  <c r="H932" i="3"/>
  <c r="D931" i="3"/>
  <c r="C931" i="3"/>
  <c r="E932" i="3"/>
  <c r="E931" i="3" l="1"/>
  <c r="C930" i="3"/>
  <c r="D930" i="3"/>
  <c r="F931" i="3"/>
  <c r="H931" i="3"/>
  <c r="C929" i="3" l="1"/>
  <c r="D929" i="3"/>
  <c r="H930" i="3"/>
  <c r="F930" i="3"/>
  <c r="E930" i="3"/>
  <c r="E929" i="3" l="1"/>
  <c r="C928" i="3"/>
  <c r="D928" i="3"/>
  <c r="H929" i="3"/>
  <c r="F929" i="3"/>
  <c r="H928" i="3" l="1"/>
  <c r="F928" i="3"/>
  <c r="C927" i="3"/>
  <c r="D927" i="3"/>
  <c r="E928" i="3"/>
  <c r="E927" i="3" l="1"/>
  <c r="D926" i="3"/>
  <c r="C926" i="3"/>
  <c r="H927" i="3"/>
  <c r="F927" i="3"/>
  <c r="H926" i="3" l="1"/>
  <c r="F926" i="3"/>
  <c r="C925" i="3"/>
  <c r="D925" i="3"/>
  <c r="E926" i="3"/>
  <c r="E925" i="3" l="1"/>
  <c r="C924" i="3"/>
  <c r="D924" i="3"/>
  <c r="H925" i="3"/>
  <c r="F925" i="3"/>
  <c r="D923" i="3" l="1"/>
  <c r="C923" i="3"/>
  <c r="H924" i="3"/>
  <c r="F924" i="3"/>
  <c r="E924" i="3"/>
  <c r="E923" i="3" l="1"/>
  <c r="H923" i="3"/>
  <c r="F923" i="3"/>
  <c r="C922" i="3"/>
  <c r="D922" i="3"/>
  <c r="H922" i="3" l="1"/>
  <c r="F922" i="3"/>
  <c r="D921" i="3"/>
  <c r="C921" i="3"/>
  <c r="E922" i="3"/>
  <c r="E921" i="3" l="1"/>
  <c r="C920" i="3"/>
  <c r="D920" i="3"/>
  <c r="F921" i="3"/>
  <c r="H921" i="3"/>
  <c r="C919" i="3" l="1"/>
  <c r="D919" i="3"/>
  <c r="F920" i="3"/>
  <c r="H920" i="3"/>
  <c r="E920" i="3"/>
  <c r="E919" i="3" l="1"/>
  <c r="D918" i="3"/>
  <c r="C918" i="3"/>
  <c r="H919" i="3"/>
  <c r="F919" i="3"/>
  <c r="C917" i="3" l="1"/>
  <c r="D917" i="3"/>
  <c r="F918" i="3"/>
  <c r="H918" i="3"/>
  <c r="E918" i="3"/>
  <c r="E917" i="3" l="1"/>
  <c r="D916" i="3"/>
  <c r="C916" i="3"/>
  <c r="H917" i="3"/>
  <c r="F917" i="3"/>
  <c r="H916" i="3" l="1"/>
  <c r="F916" i="3"/>
  <c r="C915" i="3"/>
  <c r="D915" i="3"/>
  <c r="E916" i="3"/>
  <c r="E915" i="3" l="1"/>
  <c r="F915" i="3"/>
  <c r="H915" i="3"/>
  <c r="D914" i="3"/>
  <c r="C914" i="3"/>
  <c r="D913" i="3" l="1"/>
  <c r="C913" i="3"/>
  <c r="F914" i="3"/>
  <c r="H914" i="3"/>
  <c r="E914" i="3"/>
  <c r="E913" i="3" l="1"/>
  <c r="F913" i="3"/>
  <c r="H913" i="3"/>
  <c r="C912" i="3"/>
  <c r="D912" i="3"/>
  <c r="F912" i="3" l="1"/>
  <c r="H912" i="3"/>
  <c r="C911" i="3"/>
  <c r="D911" i="3"/>
  <c r="E912" i="3"/>
  <c r="C910" i="3" l="1"/>
  <c r="D910" i="3"/>
  <c r="F911" i="3"/>
  <c r="H911" i="3"/>
  <c r="E911" i="3"/>
  <c r="E910" i="3" l="1"/>
  <c r="C909" i="3"/>
  <c r="D909" i="3"/>
  <c r="F910" i="3"/>
  <c r="H910" i="3"/>
  <c r="H909" i="3" l="1"/>
  <c r="F909" i="3"/>
  <c r="C908" i="3"/>
  <c r="D908" i="3"/>
  <c r="E909" i="3"/>
  <c r="D907" i="3" l="1"/>
  <c r="C907" i="3"/>
  <c r="H908" i="3"/>
  <c r="F908" i="3"/>
  <c r="E908" i="3"/>
  <c r="E907" i="3" s="1"/>
  <c r="H907" i="3" l="1"/>
  <c r="F907" i="3"/>
  <c r="D906" i="3"/>
  <c r="C906" i="3"/>
  <c r="D905" i="3" l="1"/>
  <c r="C905" i="3"/>
  <c r="H906" i="3"/>
  <c r="F906" i="3"/>
  <c r="E906" i="3"/>
  <c r="E905" i="3" l="1"/>
  <c r="F905" i="3"/>
  <c r="H905" i="3"/>
  <c r="C904" i="3"/>
  <c r="D904" i="3"/>
  <c r="C903" i="3" l="1"/>
  <c r="D903" i="3"/>
  <c r="E904" i="3"/>
  <c r="H904" i="3"/>
  <c r="F904" i="3"/>
  <c r="E903" i="3" l="1"/>
  <c r="C902" i="3"/>
  <c r="D902" i="3"/>
  <c r="H903" i="3"/>
  <c r="F903" i="3"/>
  <c r="C901" i="3" l="1"/>
  <c r="D901" i="3"/>
  <c r="H902" i="3"/>
  <c r="F902" i="3"/>
  <c r="E902" i="3"/>
  <c r="E901" i="3" l="1"/>
  <c r="C900" i="3"/>
  <c r="D900" i="3"/>
  <c r="E900" i="3" s="1"/>
  <c r="H901" i="3"/>
  <c r="F901" i="3"/>
  <c r="D899" i="3" l="1"/>
  <c r="C899" i="3"/>
  <c r="H900" i="3"/>
  <c r="F900" i="3"/>
  <c r="F899" i="3" l="1"/>
  <c r="H899" i="3"/>
  <c r="C898" i="3"/>
  <c r="D898" i="3"/>
  <c r="E899" i="3"/>
  <c r="C897" i="3" l="1"/>
  <c r="D897" i="3"/>
  <c r="H898" i="3"/>
  <c r="F898" i="3"/>
  <c r="E898" i="3"/>
  <c r="E897" i="3" l="1"/>
  <c r="C896" i="3"/>
  <c r="D896" i="3"/>
  <c r="E896" i="3" s="1"/>
  <c r="F897" i="3"/>
  <c r="H897" i="3"/>
  <c r="C895" i="3" l="1"/>
  <c r="D895" i="3"/>
  <c r="H896" i="3"/>
  <c r="F896" i="3"/>
  <c r="C894" i="3" l="1"/>
  <c r="D894" i="3"/>
  <c r="H895" i="3"/>
  <c r="F895" i="3"/>
  <c r="E895" i="3"/>
  <c r="E894" i="3" l="1"/>
  <c r="C893" i="3"/>
  <c r="D893" i="3"/>
  <c r="F894" i="3"/>
  <c r="H894" i="3"/>
  <c r="H893" i="3" l="1"/>
  <c r="F893" i="3"/>
  <c r="D892" i="3"/>
  <c r="C892" i="3"/>
  <c r="E893" i="3"/>
  <c r="E892" i="3" l="1"/>
  <c r="H892" i="3"/>
  <c r="F892" i="3"/>
  <c r="C891" i="3"/>
  <c r="D891" i="3"/>
  <c r="D890" i="3" l="1"/>
  <c r="C890" i="3"/>
  <c r="H891" i="3"/>
  <c r="F891" i="3"/>
  <c r="E891" i="3"/>
  <c r="E890" i="3" l="1"/>
  <c r="H890" i="3"/>
  <c r="F890" i="3"/>
  <c r="C889" i="3"/>
  <c r="D889" i="3"/>
  <c r="C888" i="3" l="1"/>
  <c r="D888" i="3"/>
  <c r="H889" i="3"/>
  <c r="F889" i="3"/>
  <c r="E889" i="3"/>
  <c r="E888" i="3" l="1"/>
  <c r="C887" i="3"/>
  <c r="D887" i="3"/>
  <c r="H888" i="3"/>
  <c r="F888" i="3"/>
  <c r="C886" i="3" l="1"/>
  <c r="D886" i="3"/>
  <c r="H887" i="3"/>
  <c r="F887" i="3"/>
  <c r="E887" i="3"/>
  <c r="E886" i="3" l="1"/>
  <c r="C885" i="3"/>
  <c r="D885" i="3"/>
  <c r="F886" i="3"/>
  <c r="H886" i="3"/>
  <c r="H885" i="3" l="1"/>
  <c r="F885" i="3"/>
  <c r="C884" i="3"/>
  <c r="D884" i="3"/>
  <c r="E885" i="3"/>
  <c r="E884" i="3" l="1"/>
  <c r="H884" i="3"/>
  <c r="F884" i="3"/>
  <c r="C883" i="3"/>
  <c r="D883" i="3"/>
  <c r="H883" i="3" l="1"/>
  <c r="F883" i="3"/>
  <c r="E883" i="3"/>
  <c r="D882" i="3"/>
  <c r="C882" i="3"/>
  <c r="H882" i="3" l="1"/>
  <c r="F882" i="3"/>
  <c r="E882" i="3"/>
  <c r="C881" i="3"/>
  <c r="D881" i="3"/>
  <c r="C880" i="3" l="1"/>
  <c r="D880" i="3"/>
  <c r="E881" i="3"/>
  <c r="H881" i="3"/>
  <c r="F881" i="3"/>
  <c r="E880" i="3" l="1"/>
  <c r="D879" i="3"/>
  <c r="C879" i="3"/>
  <c r="H880" i="3"/>
  <c r="F880" i="3"/>
  <c r="F879" i="3" l="1"/>
  <c r="H879" i="3"/>
  <c r="C878" i="3"/>
  <c r="D878" i="3"/>
  <c r="E879" i="3"/>
  <c r="C877" i="3" l="1"/>
  <c r="D877" i="3"/>
  <c r="F878" i="3"/>
  <c r="H878" i="3"/>
  <c r="E878" i="3"/>
  <c r="E877" i="3" l="1"/>
  <c r="D876" i="3"/>
  <c r="C876" i="3"/>
  <c r="H877" i="3"/>
  <c r="F877" i="3"/>
  <c r="H876" i="3" l="1"/>
  <c r="F876" i="3"/>
  <c r="D875" i="3"/>
  <c r="C875" i="3"/>
  <c r="E876" i="3"/>
  <c r="E875" i="3" l="1"/>
  <c r="H875" i="3"/>
  <c r="F875" i="3"/>
  <c r="C874" i="3"/>
  <c r="D874" i="3"/>
  <c r="F874" i="3" l="1"/>
  <c r="H874" i="3"/>
  <c r="C873" i="3"/>
  <c r="D873" i="3"/>
  <c r="E874" i="3"/>
  <c r="E873" i="3" l="1"/>
  <c r="F873" i="3"/>
  <c r="H873" i="3"/>
  <c r="C872" i="3"/>
  <c r="D872" i="3"/>
  <c r="F872" i="3" l="1"/>
  <c r="H872" i="3"/>
  <c r="C871" i="3"/>
  <c r="D871" i="3"/>
  <c r="E872" i="3"/>
  <c r="C870" i="3" l="1"/>
  <c r="D870" i="3"/>
  <c r="E871" i="3"/>
  <c r="F871" i="3"/>
  <c r="H871" i="3"/>
  <c r="E870" i="3" l="1"/>
  <c r="D869" i="3"/>
  <c r="C869" i="3"/>
  <c r="H870" i="3"/>
  <c r="F870" i="3"/>
  <c r="H869" i="3" l="1"/>
  <c r="F869" i="3"/>
  <c r="D868" i="3"/>
  <c r="C868" i="3"/>
  <c r="E869" i="3"/>
  <c r="E868" i="3" l="1"/>
  <c r="F868" i="3"/>
  <c r="H868" i="3"/>
  <c r="C867" i="3"/>
  <c r="D867" i="3"/>
  <c r="C866" i="3" l="1"/>
  <c r="D866" i="3"/>
  <c r="E867" i="3"/>
  <c r="H867" i="3"/>
  <c r="F867" i="3"/>
  <c r="E866" i="3" l="1"/>
  <c r="C865" i="3"/>
  <c r="D865" i="3"/>
  <c r="F866" i="3"/>
  <c r="H866" i="3"/>
  <c r="C864" i="3" l="1"/>
  <c r="D864" i="3"/>
  <c r="H865" i="3"/>
  <c r="F865" i="3"/>
  <c r="E865" i="3"/>
  <c r="E864" i="3" l="1"/>
  <c r="C863" i="3"/>
  <c r="D863" i="3"/>
  <c r="H864" i="3"/>
  <c r="F864" i="3"/>
  <c r="D862" i="3" l="1"/>
  <c r="C862" i="3"/>
  <c r="H863" i="3"/>
  <c r="F863" i="3"/>
  <c r="E863" i="3"/>
  <c r="E862" i="3" l="1"/>
  <c r="H862" i="3"/>
  <c r="F862" i="3"/>
  <c r="C861" i="3"/>
  <c r="D861" i="3"/>
  <c r="C860" i="3" l="1"/>
  <c r="D860" i="3"/>
  <c r="H861" i="3"/>
  <c r="F861" i="3"/>
  <c r="E861" i="3"/>
  <c r="E860" i="3" l="1"/>
  <c r="D859" i="3"/>
  <c r="C859" i="3"/>
  <c r="F860" i="3"/>
  <c r="H860" i="3"/>
  <c r="E859" i="3" l="1"/>
  <c r="H859" i="3"/>
  <c r="F859" i="3"/>
  <c r="C858" i="3"/>
  <c r="D858" i="3"/>
  <c r="E858" i="3" l="1"/>
  <c r="C857" i="3"/>
  <c r="D857" i="3"/>
  <c r="H858" i="3"/>
  <c r="F858" i="3"/>
  <c r="D856" i="3" l="1"/>
  <c r="C856" i="3"/>
  <c r="F857" i="3"/>
  <c r="H857" i="3"/>
  <c r="E857" i="3"/>
  <c r="E856" i="3" l="1"/>
  <c r="H856" i="3"/>
  <c r="F856" i="3"/>
  <c r="C855" i="3"/>
  <c r="D855" i="3"/>
  <c r="F855" i="3" l="1"/>
  <c r="H855" i="3"/>
  <c r="D854" i="3"/>
  <c r="C854" i="3"/>
  <c r="E855" i="3"/>
  <c r="E854" i="3" l="1"/>
  <c r="F854" i="3"/>
  <c r="H854" i="3"/>
  <c r="C853" i="3"/>
  <c r="D853" i="3"/>
  <c r="C852" i="3" l="1"/>
  <c r="D852" i="3"/>
  <c r="F853" i="3"/>
  <c r="H853" i="3"/>
  <c r="E853" i="3"/>
  <c r="E852" i="3" l="1"/>
  <c r="C851" i="3"/>
  <c r="D851" i="3"/>
  <c r="H852" i="3"/>
  <c r="F852" i="3"/>
  <c r="C850" i="3" l="1"/>
  <c r="D850" i="3"/>
  <c r="F851" i="3"/>
  <c r="H851" i="3"/>
  <c r="E851" i="3"/>
  <c r="E850" i="3" l="1"/>
  <c r="D849" i="3"/>
  <c r="C849" i="3"/>
  <c r="H850" i="3"/>
  <c r="F850" i="3"/>
  <c r="H849" i="3" l="1"/>
  <c r="F849" i="3"/>
  <c r="C848" i="3"/>
  <c r="D848" i="3"/>
  <c r="E849" i="3"/>
  <c r="C847" i="3" l="1"/>
  <c r="D847" i="3"/>
  <c r="E848" i="3"/>
  <c r="H848" i="3"/>
  <c r="F848" i="3"/>
  <c r="E847" i="3" l="1"/>
  <c r="C846" i="3"/>
  <c r="D846" i="3"/>
  <c r="H847" i="3"/>
  <c r="F847" i="3"/>
  <c r="C845" i="3" l="1"/>
  <c r="D845" i="3"/>
  <c r="H846" i="3"/>
  <c r="F846" i="3"/>
  <c r="E846" i="3"/>
  <c r="E845" i="3" l="1"/>
  <c r="C844" i="3"/>
  <c r="D844" i="3"/>
  <c r="H845" i="3"/>
  <c r="F845" i="3"/>
  <c r="D843" i="3" l="1"/>
  <c r="C843" i="3"/>
  <c r="E844" i="3"/>
  <c r="F844" i="3"/>
  <c r="H844" i="3"/>
  <c r="E843" i="3" l="1"/>
  <c r="F843" i="3"/>
  <c r="H843" i="3"/>
  <c r="D842" i="3"/>
  <c r="C842" i="3"/>
  <c r="H842" i="3" l="1"/>
  <c r="F842" i="3"/>
  <c r="D841" i="3"/>
  <c r="C841" i="3"/>
  <c r="E842" i="3"/>
  <c r="E841" i="3" l="1"/>
  <c r="C840" i="3"/>
  <c r="D840" i="3"/>
  <c r="H841" i="3"/>
  <c r="F841" i="3"/>
  <c r="C839" i="3" l="1"/>
  <c r="D839" i="3"/>
  <c r="F840" i="3"/>
  <c r="H840" i="3"/>
  <c r="E840" i="3"/>
  <c r="E839" i="3" l="1"/>
  <c r="C838" i="3"/>
  <c r="D838" i="3"/>
  <c r="F839" i="3"/>
  <c r="H839" i="3"/>
  <c r="D837" i="3" l="1"/>
  <c r="C837" i="3"/>
  <c r="H838" i="3"/>
  <c r="F838" i="3"/>
  <c r="E838" i="3"/>
  <c r="E837" i="3" l="1"/>
  <c r="F837" i="3"/>
  <c r="H837" i="3"/>
  <c r="D836" i="3"/>
  <c r="C836" i="3"/>
  <c r="H836" i="3" l="1"/>
  <c r="F836" i="3"/>
  <c r="D835" i="3"/>
  <c r="C835" i="3"/>
  <c r="E836" i="3"/>
  <c r="E835" i="3" l="1"/>
  <c r="F835" i="3"/>
  <c r="H835" i="3"/>
  <c r="C834" i="3"/>
  <c r="D834" i="3"/>
  <c r="F834" i="3" l="1"/>
  <c r="H834" i="3"/>
  <c r="C833" i="3"/>
  <c r="D833" i="3"/>
  <c r="E834" i="3"/>
  <c r="C832" i="3" l="1"/>
  <c r="D832" i="3"/>
  <c r="F833" i="3"/>
  <c r="H833" i="3"/>
  <c r="E833" i="3"/>
  <c r="E832" i="3" l="1"/>
  <c r="D831" i="3"/>
  <c r="C831" i="3"/>
  <c r="F832" i="3"/>
  <c r="H832" i="3"/>
  <c r="F831" i="3" l="1"/>
  <c r="H831" i="3"/>
  <c r="D830" i="3"/>
  <c r="C830" i="3"/>
  <c r="E831" i="3"/>
  <c r="E830" i="3" l="1"/>
  <c r="H830" i="3"/>
  <c r="F830" i="3"/>
  <c r="D829" i="3"/>
  <c r="C829" i="3"/>
  <c r="F829" i="3" l="1"/>
  <c r="H829" i="3"/>
  <c r="D828" i="3"/>
  <c r="C828" i="3"/>
  <c r="E829" i="3"/>
  <c r="E828" i="3" l="1"/>
  <c r="F828" i="3"/>
  <c r="H828" i="3"/>
  <c r="C827" i="3"/>
  <c r="D827" i="3"/>
  <c r="H827" i="3" l="1"/>
  <c r="F827" i="3"/>
  <c r="E827" i="3"/>
  <c r="C826" i="3"/>
  <c r="D826" i="3"/>
  <c r="F826" i="3" l="1"/>
  <c r="H826" i="3"/>
  <c r="E826" i="3"/>
  <c r="C825" i="3"/>
  <c r="D825" i="3"/>
  <c r="F825" i="3" l="1"/>
  <c r="H825" i="3"/>
  <c r="D824" i="3"/>
  <c r="C824" i="3"/>
  <c r="E825" i="3"/>
  <c r="E824" i="3" l="1"/>
  <c r="H824" i="3"/>
  <c r="F824" i="3"/>
  <c r="C823" i="3"/>
  <c r="D823" i="3"/>
  <c r="C822" i="3" l="1"/>
  <c r="D822" i="3"/>
  <c r="E823" i="3"/>
  <c r="F823" i="3"/>
  <c r="H823" i="3"/>
  <c r="E822" i="3" l="1"/>
  <c r="D821" i="3"/>
  <c r="C821" i="3"/>
  <c r="F822" i="3"/>
  <c r="H822" i="3"/>
  <c r="F821" i="3" l="1"/>
  <c r="H821" i="3"/>
  <c r="C820" i="3"/>
  <c r="D820" i="3"/>
  <c r="E821" i="3"/>
  <c r="C819" i="3" l="1"/>
  <c r="D819" i="3"/>
  <c r="F820" i="3"/>
  <c r="H820" i="3"/>
  <c r="E820" i="3"/>
  <c r="E819" i="3" l="1"/>
  <c r="C818" i="3"/>
  <c r="D818" i="3"/>
  <c r="F819" i="3"/>
  <c r="H819" i="3"/>
  <c r="C817" i="3" l="1"/>
  <c r="D817" i="3"/>
  <c r="F818" i="3"/>
  <c r="H818" i="3"/>
  <c r="E818" i="3"/>
  <c r="E817" i="3" l="1"/>
  <c r="C816" i="3"/>
  <c r="D816" i="3"/>
  <c r="F817" i="3"/>
  <c r="H817" i="3"/>
  <c r="D815" i="3" l="1"/>
  <c r="C815" i="3"/>
  <c r="F816" i="3"/>
  <c r="H816" i="3"/>
  <c r="E816" i="3"/>
  <c r="E815" i="3" l="1"/>
  <c r="F815" i="3"/>
  <c r="H815" i="3"/>
  <c r="C814" i="3"/>
  <c r="D814" i="3"/>
  <c r="C813" i="3" l="1"/>
  <c r="D813" i="3"/>
  <c r="H814" i="3"/>
  <c r="F814" i="3"/>
  <c r="E814" i="3"/>
  <c r="E813" i="3" l="1"/>
  <c r="D812" i="3"/>
  <c r="C812" i="3"/>
  <c r="H813" i="3"/>
  <c r="F813" i="3"/>
  <c r="F812" i="3" l="1"/>
  <c r="H812" i="3"/>
  <c r="E812" i="3"/>
  <c r="C811" i="3"/>
  <c r="D811" i="3"/>
  <c r="H811" i="3" l="1"/>
  <c r="F811" i="3"/>
  <c r="E811" i="3"/>
  <c r="C810" i="3"/>
  <c r="D810" i="3"/>
  <c r="C809" i="3" l="1"/>
  <c r="D809" i="3"/>
  <c r="F810" i="3"/>
  <c r="H810" i="3"/>
  <c r="E810" i="3"/>
  <c r="E809" i="3" l="1"/>
  <c r="C808" i="3"/>
  <c r="D808" i="3"/>
  <c r="H809" i="3"/>
  <c r="F809" i="3"/>
  <c r="C807" i="3" l="1"/>
  <c r="D807" i="3"/>
  <c r="F808" i="3"/>
  <c r="H808" i="3"/>
  <c r="E808" i="3"/>
  <c r="E807" i="3" l="1"/>
  <c r="D806" i="3"/>
  <c r="C806" i="3"/>
  <c r="H807" i="3"/>
  <c r="F807" i="3"/>
  <c r="F806" i="3" l="1"/>
  <c r="H806" i="3"/>
  <c r="C805" i="3"/>
  <c r="D805" i="3"/>
  <c r="E806" i="3"/>
  <c r="E805" i="3" l="1"/>
  <c r="H805" i="3"/>
  <c r="F805" i="3"/>
  <c r="C804" i="3"/>
  <c r="D804" i="3"/>
  <c r="C803" i="3" l="1"/>
  <c r="D803" i="3"/>
  <c r="H804" i="3"/>
  <c r="F804" i="3"/>
  <c r="E804" i="3"/>
  <c r="E803" i="3" l="1"/>
  <c r="D802" i="3"/>
  <c r="C802" i="3"/>
  <c r="F803" i="3"/>
  <c r="H803" i="3"/>
  <c r="E802" i="3" l="1"/>
  <c r="H802" i="3"/>
  <c r="F802" i="3"/>
  <c r="C801" i="3"/>
  <c r="D801" i="3"/>
  <c r="D800" i="3" l="1"/>
  <c r="C800" i="3"/>
  <c r="H801" i="3"/>
  <c r="F801" i="3"/>
  <c r="E801" i="3"/>
  <c r="E800" i="3" l="1"/>
  <c r="H800" i="3"/>
  <c r="F800" i="3"/>
  <c r="C799" i="3"/>
  <c r="D799" i="3"/>
  <c r="D798" i="3" l="1"/>
  <c r="C798" i="3"/>
  <c r="H799" i="3"/>
  <c r="F799" i="3"/>
  <c r="E799" i="3"/>
  <c r="E798" i="3" l="1"/>
  <c r="H798" i="3"/>
  <c r="F798" i="3"/>
  <c r="C797" i="3"/>
  <c r="D797" i="3"/>
  <c r="D796" i="3" l="1"/>
  <c r="C796" i="3"/>
  <c r="H797" i="3"/>
  <c r="F797" i="3"/>
  <c r="E797" i="3"/>
  <c r="E796" i="3" l="1"/>
  <c r="F796" i="3"/>
  <c r="H796" i="3"/>
  <c r="D795" i="3"/>
  <c r="C795" i="3"/>
  <c r="H795" i="3" l="1"/>
  <c r="F795" i="3"/>
  <c r="C794" i="3"/>
  <c r="D794" i="3"/>
  <c r="E795" i="3"/>
  <c r="D793" i="3" l="1"/>
  <c r="C793" i="3"/>
  <c r="H794" i="3"/>
  <c r="F794" i="3"/>
  <c r="E794" i="3"/>
  <c r="E793" i="3" l="1"/>
  <c r="H793" i="3"/>
  <c r="F793" i="3"/>
  <c r="C792" i="3"/>
  <c r="D792" i="3"/>
  <c r="C791" i="3" l="1"/>
  <c r="D791" i="3"/>
  <c r="F792" i="3"/>
  <c r="H792" i="3"/>
  <c r="E792" i="3"/>
  <c r="E791" i="3" l="1"/>
  <c r="C790" i="3"/>
  <c r="D790" i="3"/>
  <c r="F791" i="3"/>
  <c r="H791" i="3"/>
  <c r="C789" i="3" l="1"/>
  <c r="D789" i="3"/>
  <c r="F790" i="3"/>
  <c r="H790" i="3"/>
  <c r="E790" i="3"/>
  <c r="E789" i="3" l="1"/>
  <c r="C788" i="3"/>
  <c r="D788" i="3"/>
  <c r="H789" i="3"/>
  <c r="F789" i="3"/>
  <c r="C787" i="3" l="1"/>
  <c r="D787" i="3"/>
  <c r="H788" i="3"/>
  <c r="F788" i="3"/>
  <c r="E788" i="3"/>
  <c r="E787" i="3" l="1"/>
  <c r="C786" i="3"/>
  <c r="D786" i="3"/>
  <c r="H787" i="3"/>
  <c r="F787" i="3"/>
  <c r="E786" i="3" l="1"/>
  <c r="C785" i="3"/>
  <c r="D785" i="3"/>
  <c r="F786" i="3"/>
  <c r="H786" i="3"/>
  <c r="C784" i="3" l="1"/>
  <c r="D784" i="3"/>
  <c r="F785" i="3"/>
  <c r="H785" i="3"/>
  <c r="E785" i="3"/>
  <c r="E784" i="3" l="1"/>
  <c r="C783" i="3"/>
  <c r="D783" i="3"/>
  <c r="H784" i="3"/>
  <c r="F784" i="3"/>
  <c r="C782" i="3" l="1"/>
  <c r="D782" i="3"/>
  <c r="H783" i="3"/>
  <c r="F783" i="3"/>
  <c r="E783" i="3"/>
  <c r="E782" i="3" l="1"/>
  <c r="C781" i="3"/>
  <c r="D781" i="3"/>
  <c r="F782" i="3"/>
  <c r="H782" i="3"/>
  <c r="D780" i="3" l="1"/>
  <c r="C780" i="3"/>
  <c r="H781" i="3"/>
  <c r="F781" i="3"/>
  <c r="E781" i="3"/>
  <c r="E780" i="3" l="1"/>
  <c r="F780" i="3"/>
  <c r="H780" i="3"/>
  <c r="C779" i="3"/>
  <c r="D779" i="3"/>
  <c r="F779" i="3" l="1"/>
  <c r="H779" i="3"/>
  <c r="D778" i="3"/>
  <c r="C778" i="3"/>
  <c r="E779" i="3"/>
  <c r="E778" i="3" l="1"/>
  <c r="H778" i="3"/>
  <c r="F778" i="3"/>
  <c r="C777" i="3"/>
  <c r="D777" i="3"/>
  <c r="C776" i="3" l="1"/>
  <c r="D776" i="3"/>
  <c r="F777" i="3"/>
  <c r="H777" i="3"/>
  <c r="E777" i="3"/>
  <c r="E776" i="3" l="1"/>
  <c r="C775" i="3"/>
  <c r="D775" i="3"/>
  <c r="H776" i="3"/>
  <c r="F776" i="3"/>
  <c r="D774" i="3" l="1"/>
  <c r="C774" i="3"/>
  <c r="H775" i="3"/>
  <c r="F775" i="3"/>
  <c r="E775" i="3"/>
  <c r="E774" i="3" l="1"/>
  <c r="F774" i="3"/>
  <c r="H774" i="3"/>
  <c r="C773" i="3"/>
  <c r="D773" i="3"/>
  <c r="C772" i="3" l="1"/>
  <c r="D772" i="3"/>
  <c r="F773" i="3"/>
  <c r="H773" i="3"/>
  <c r="E773" i="3"/>
  <c r="E772" i="3" l="1"/>
  <c r="C771" i="3"/>
  <c r="D771" i="3"/>
  <c r="F772" i="3"/>
  <c r="H772" i="3"/>
  <c r="C770" i="3" l="1"/>
  <c r="D770" i="3"/>
  <c r="H771" i="3"/>
  <c r="F771" i="3"/>
  <c r="E771" i="3"/>
  <c r="E770" i="3" l="1"/>
  <c r="D769" i="3"/>
  <c r="C769" i="3"/>
  <c r="H770" i="3"/>
  <c r="F770" i="3"/>
  <c r="F769" i="3" l="1"/>
  <c r="H769" i="3"/>
  <c r="C768" i="3"/>
  <c r="D768" i="3"/>
  <c r="E769" i="3"/>
  <c r="E768" i="3" l="1"/>
  <c r="C767" i="3"/>
  <c r="D767" i="3"/>
  <c r="H768" i="3"/>
  <c r="F768" i="3"/>
  <c r="C766" i="3" l="1"/>
  <c r="D766" i="3"/>
  <c r="H767" i="3"/>
  <c r="F767" i="3"/>
  <c r="E767" i="3"/>
  <c r="E766" i="3" l="1"/>
  <c r="C765" i="3"/>
  <c r="D765" i="3"/>
  <c r="F766" i="3"/>
  <c r="H766" i="3"/>
  <c r="C764" i="3" l="1"/>
  <c r="D764" i="3"/>
  <c r="H765" i="3"/>
  <c r="F765" i="3"/>
  <c r="E765" i="3"/>
  <c r="E764" i="3" l="1"/>
  <c r="C763" i="3"/>
  <c r="D763" i="3"/>
  <c r="F764" i="3"/>
  <c r="H764" i="3"/>
  <c r="E763" i="3" l="1"/>
  <c r="D762" i="3"/>
  <c r="C762" i="3"/>
  <c r="F763" i="3"/>
  <c r="H763" i="3"/>
  <c r="C761" i="3" l="1"/>
  <c r="D761" i="3"/>
  <c r="F762" i="3"/>
  <c r="H762" i="3"/>
  <c r="E762" i="3"/>
  <c r="E761" i="3" l="1"/>
  <c r="D760" i="3"/>
  <c r="C760" i="3"/>
  <c r="H761" i="3"/>
  <c r="F761" i="3"/>
  <c r="F760" i="3" l="1"/>
  <c r="H760" i="3"/>
  <c r="C759" i="3"/>
  <c r="D759" i="3"/>
  <c r="E760" i="3"/>
  <c r="C758" i="3" l="1"/>
  <c r="D758" i="3"/>
  <c r="F759" i="3"/>
  <c r="H759" i="3"/>
  <c r="E759" i="3"/>
  <c r="E758" i="3" l="1"/>
  <c r="D757" i="3"/>
  <c r="C757" i="3"/>
  <c r="H758" i="3"/>
  <c r="F758" i="3"/>
  <c r="F757" i="3" l="1"/>
  <c r="H757" i="3"/>
  <c r="C756" i="3"/>
  <c r="D756" i="3"/>
  <c r="E757" i="3"/>
  <c r="C755" i="3" l="1"/>
  <c r="D755" i="3"/>
  <c r="F756" i="3"/>
  <c r="H756" i="3"/>
  <c r="E756" i="3"/>
  <c r="E755" i="3" l="1"/>
  <c r="D754" i="3"/>
  <c r="C754" i="3"/>
  <c r="H755" i="3"/>
  <c r="F755" i="3"/>
  <c r="H754" i="3" l="1"/>
  <c r="F754" i="3"/>
  <c r="D753" i="3"/>
  <c r="C753" i="3"/>
  <c r="E754" i="3"/>
  <c r="E753" i="3" l="1"/>
  <c r="F753" i="3"/>
  <c r="H753" i="3"/>
  <c r="C752" i="3"/>
  <c r="D752" i="3"/>
  <c r="D751" i="3" l="1"/>
  <c r="C751" i="3"/>
  <c r="F752" i="3"/>
  <c r="H752" i="3"/>
  <c r="E752" i="3"/>
  <c r="E751" i="3" l="1"/>
  <c r="F751" i="3"/>
  <c r="H751" i="3"/>
  <c r="C750" i="3"/>
  <c r="D750" i="3"/>
  <c r="F750" i="3" l="1"/>
  <c r="H750" i="3"/>
  <c r="C749" i="3"/>
  <c r="D749" i="3"/>
  <c r="E750" i="3"/>
  <c r="E749" i="3" l="1"/>
  <c r="H749" i="3"/>
  <c r="F749" i="3"/>
  <c r="C748" i="3"/>
  <c r="D748" i="3"/>
  <c r="D747" i="3" l="1"/>
  <c r="C747" i="3"/>
  <c r="H748" i="3"/>
  <c r="F748" i="3"/>
  <c r="E748" i="3"/>
  <c r="E747" i="3" l="1"/>
  <c r="F747" i="3"/>
  <c r="H747" i="3"/>
  <c r="C746" i="3"/>
  <c r="D746" i="3"/>
  <c r="F746" i="3" l="1"/>
  <c r="H746" i="3"/>
  <c r="C745" i="3"/>
  <c r="D745" i="3"/>
  <c r="E746" i="3"/>
  <c r="E745" i="3" l="1"/>
  <c r="F745" i="3"/>
  <c r="H745" i="3"/>
  <c r="C744" i="3"/>
  <c r="D744" i="3"/>
  <c r="C743" i="3" l="1"/>
  <c r="D743" i="3"/>
  <c r="H744" i="3"/>
  <c r="F744" i="3"/>
  <c r="E744" i="3"/>
  <c r="E743" i="3" l="1"/>
  <c r="C742" i="3"/>
  <c r="D742" i="3"/>
  <c r="F743" i="3"/>
  <c r="H743" i="3"/>
  <c r="D741" i="3" l="1"/>
  <c r="C741" i="3"/>
  <c r="H742" i="3"/>
  <c r="F742" i="3"/>
  <c r="E742" i="3"/>
  <c r="E741" i="3" l="1"/>
  <c r="F741" i="3"/>
  <c r="H741" i="3"/>
  <c r="C740" i="3"/>
  <c r="D740" i="3"/>
  <c r="C739" i="3" l="1"/>
  <c r="D739" i="3"/>
  <c r="H740" i="3"/>
  <c r="F740" i="3"/>
  <c r="E740" i="3"/>
  <c r="E739" i="3" l="1"/>
  <c r="D738" i="3"/>
  <c r="C738" i="3"/>
  <c r="H739" i="3"/>
  <c r="F739" i="3"/>
  <c r="C737" i="3" l="1"/>
  <c r="D737" i="3"/>
  <c r="H738" i="3"/>
  <c r="F738" i="3"/>
  <c r="E738" i="3"/>
  <c r="D736" i="3" l="1"/>
  <c r="C736" i="3"/>
  <c r="E737" i="3"/>
  <c r="H737" i="3"/>
  <c r="F737" i="3"/>
  <c r="E736" i="3" l="1"/>
  <c r="F736" i="3"/>
  <c r="H736" i="3"/>
  <c r="C735" i="3"/>
  <c r="D735" i="3"/>
  <c r="D734" i="3" l="1"/>
  <c r="C734" i="3"/>
  <c r="F735" i="3"/>
  <c r="H735" i="3"/>
  <c r="E735" i="3"/>
  <c r="E734" i="3" l="1"/>
  <c r="F734" i="3"/>
  <c r="H734" i="3"/>
  <c r="C733" i="3"/>
  <c r="D733" i="3"/>
  <c r="C732" i="3" l="1"/>
  <c r="D732" i="3"/>
  <c r="F733" i="3"/>
  <c r="H733" i="3"/>
  <c r="E733" i="3"/>
  <c r="E732" i="3" l="1"/>
  <c r="C731" i="3"/>
  <c r="D731" i="3"/>
  <c r="H732" i="3"/>
  <c r="F732" i="3"/>
  <c r="C730" i="3" l="1"/>
  <c r="D730" i="3"/>
  <c r="F731" i="3"/>
  <c r="H731" i="3"/>
  <c r="E731" i="3"/>
  <c r="E730" i="3" l="1"/>
  <c r="C729" i="3"/>
  <c r="D729" i="3"/>
  <c r="F730" i="3"/>
  <c r="H730" i="3"/>
  <c r="C728" i="3" l="1"/>
  <c r="D728" i="3"/>
  <c r="H729" i="3"/>
  <c r="F729" i="3"/>
  <c r="E729" i="3"/>
  <c r="E728" i="3" l="1"/>
  <c r="C727" i="3"/>
  <c r="D727" i="3"/>
  <c r="H728" i="3"/>
  <c r="F728" i="3"/>
  <c r="H727" i="3" l="1"/>
  <c r="F727" i="3"/>
  <c r="C726" i="3"/>
  <c r="D726" i="3"/>
  <c r="E727" i="3"/>
  <c r="E726" i="3" l="1"/>
  <c r="C725" i="3"/>
  <c r="D725" i="3"/>
  <c r="F726" i="3"/>
  <c r="H726" i="3"/>
  <c r="D724" i="3" l="1"/>
  <c r="C724" i="3"/>
  <c r="F725" i="3"/>
  <c r="H725" i="3"/>
  <c r="E725" i="3"/>
  <c r="E724" i="3" l="1"/>
  <c r="F724" i="3"/>
  <c r="H724" i="3"/>
  <c r="D723" i="3"/>
  <c r="C723" i="3"/>
  <c r="F723" i="3" l="1"/>
  <c r="H723" i="3"/>
  <c r="C722" i="3"/>
  <c r="D722" i="3"/>
  <c r="E723" i="3"/>
  <c r="E722" i="3" l="1"/>
  <c r="D721" i="3"/>
  <c r="C721" i="3"/>
  <c r="F722" i="3"/>
  <c r="H722" i="3"/>
  <c r="F721" i="3" l="1"/>
  <c r="H721" i="3"/>
  <c r="D720" i="3"/>
  <c r="C720" i="3"/>
  <c r="E721" i="3"/>
  <c r="E720" i="3" l="1"/>
  <c r="D719" i="3"/>
  <c r="C719" i="3"/>
  <c r="H720" i="3"/>
  <c r="F720" i="3"/>
  <c r="H719" i="3" l="1"/>
  <c r="F719" i="3"/>
  <c r="C718" i="3"/>
  <c r="D718" i="3"/>
  <c r="E719" i="3"/>
  <c r="E718" i="3" l="1"/>
  <c r="H718" i="3"/>
  <c r="F718" i="3"/>
  <c r="C717" i="3"/>
  <c r="D717" i="3"/>
  <c r="F717" i="3" l="1"/>
  <c r="H717" i="3"/>
  <c r="D716" i="3"/>
  <c r="C716" i="3"/>
  <c r="E717" i="3"/>
  <c r="E716" i="3" l="1"/>
  <c r="F716" i="3"/>
  <c r="H716" i="3"/>
  <c r="C715" i="3"/>
  <c r="D715" i="3"/>
  <c r="H715" i="3" l="1"/>
  <c r="F715" i="3"/>
  <c r="C714" i="3"/>
  <c r="D714" i="3"/>
  <c r="E715" i="3"/>
  <c r="C713" i="3" l="1"/>
  <c r="D713" i="3"/>
  <c r="F714" i="3"/>
  <c r="H714" i="3"/>
  <c r="E714" i="3"/>
  <c r="E713" i="3" l="1"/>
  <c r="D712" i="3"/>
  <c r="C712" i="3"/>
  <c r="F713" i="3"/>
  <c r="H713" i="3"/>
  <c r="E712" i="3" l="1"/>
  <c r="F712" i="3"/>
  <c r="H712" i="3"/>
  <c r="C711" i="3"/>
  <c r="D711" i="3"/>
  <c r="E711" i="3" l="1"/>
  <c r="C710" i="3"/>
  <c r="D710" i="3"/>
  <c r="H711" i="3"/>
  <c r="F711" i="3"/>
  <c r="D709" i="3" l="1"/>
  <c r="C709" i="3"/>
  <c r="H710" i="3"/>
  <c r="F710" i="3"/>
  <c r="E710" i="3"/>
  <c r="E709" i="3" l="1"/>
  <c r="H709" i="3"/>
  <c r="F709" i="3"/>
  <c r="D708" i="3"/>
  <c r="C708" i="3"/>
  <c r="F708" i="3" l="1"/>
  <c r="H708" i="3"/>
  <c r="C707" i="3"/>
  <c r="D707" i="3"/>
  <c r="E708" i="3"/>
  <c r="E707" i="3" l="1"/>
  <c r="D706" i="3"/>
  <c r="C706" i="3"/>
  <c r="H707" i="3"/>
  <c r="F707" i="3"/>
  <c r="C705" i="3" l="1"/>
  <c r="D705" i="3"/>
  <c r="F706" i="3"/>
  <c r="H706" i="3"/>
  <c r="E706" i="3"/>
  <c r="E705" i="3" l="1"/>
  <c r="C704" i="3"/>
  <c r="D704" i="3"/>
  <c r="F705" i="3"/>
  <c r="H705" i="3"/>
  <c r="E704" i="3" l="1"/>
  <c r="C703" i="3"/>
  <c r="D703" i="3"/>
  <c r="F704" i="3"/>
  <c r="H704" i="3"/>
  <c r="C702" i="3" l="1"/>
  <c r="D702" i="3"/>
  <c r="H703" i="3"/>
  <c r="F703" i="3"/>
  <c r="E703" i="3"/>
  <c r="E702" i="3" l="1"/>
  <c r="C701" i="3"/>
  <c r="D701" i="3"/>
  <c r="H702" i="3"/>
  <c r="F702" i="3"/>
  <c r="C700" i="3" l="1"/>
  <c r="D700" i="3"/>
  <c r="H701" i="3"/>
  <c r="F701" i="3"/>
  <c r="E701" i="3"/>
  <c r="C699" i="3" l="1"/>
  <c r="D699" i="3"/>
  <c r="E700" i="3"/>
  <c r="F700" i="3"/>
  <c r="H700" i="3"/>
  <c r="E699" i="3" l="1"/>
  <c r="D698" i="3"/>
  <c r="C698" i="3"/>
  <c r="H699" i="3"/>
  <c r="F699" i="3"/>
  <c r="C697" i="3" l="1"/>
  <c r="D697" i="3"/>
  <c r="F698" i="3"/>
  <c r="H698" i="3"/>
  <c r="E698" i="3"/>
  <c r="E697" i="3" l="1"/>
  <c r="C696" i="3"/>
  <c r="D696" i="3"/>
  <c r="H697" i="3"/>
  <c r="F697" i="3"/>
  <c r="C695" i="3" l="1"/>
  <c r="D695" i="3"/>
  <c r="F696" i="3"/>
  <c r="H696" i="3"/>
  <c r="E696" i="3"/>
  <c r="E695" i="3" l="1"/>
  <c r="C694" i="3"/>
  <c r="D694" i="3"/>
  <c r="H695" i="3"/>
  <c r="F695" i="3"/>
  <c r="D693" i="3" l="1"/>
  <c r="C693" i="3"/>
  <c r="H694" i="3"/>
  <c r="F694" i="3"/>
  <c r="E694" i="3"/>
  <c r="E693" i="3" l="1"/>
  <c r="F693" i="3"/>
  <c r="H693" i="3"/>
  <c r="C692" i="3"/>
  <c r="D692" i="3"/>
  <c r="C691" i="3" l="1"/>
  <c r="D691" i="3"/>
  <c r="F692" i="3"/>
  <c r="H692" i="3"/>
  <c r="E692" i="3"/>
  <c r="E691" i="3" l="1"/>
  <c r="C690" i="3"/>
  <c r="D690" i="3"/>
  <c r="H691" i="3"/>
  <c r="F691" i="3"/>
  <c r="C689" i="3" l="1"/>
  <c r="D689" i="3"/>
  <c r="H690" i="3"/>
  <c r="F690" i="3"/>
  <c r="E690" i="3"/>
  <c r="E689" i="3" l="1"/>
  <c r="C688" i="3"/>
  <c r="D688" i="3"/>
  <c r="F689" i="3"/>
  <c r="H689" i="3"/>
  <c r="D687" i="3" l="1"/>
  <c r="C687" i="3"/>
  <c r="F688" i="3"/>
  <c r="H688" i="3"/>
  <c r="E688" i="3"/>
  <c r="E687" i="3" l="1"/>
  <c r="H687" i="3"/>
  <c r="F687" i="3"/>
  <c r="D686" i="3"/>
  <c r="C686" i="3"/>
  <c r="C685" i="3" l="1"/>
  <c r="D685" i="3"/>
  <c r="H686" i="3"/>
  <c r="F686" i="3"/>
  <c r="E686" i="3"/>
  <c r="E685" i="3" l="1"/>
  <c r="C684" i="3"/>
  <c r="D684" i="3"/>
  <c r="H685" i="3"/>
  <c r="F685" i="3"/>
  <c r="C683" i="3" l="1"/>
  <c r="D683" i="3"/>
  <c r="F684" i="3"/>
  <c r="H684" i="3"/>
  <c r="E684" i="3"/>
  <c r="E683" i="3" l="1"/>
  <c r="C682" i="3"/>
  <c r="D682" i="3"/>
  <c r="H683" i="3"/>
  <c r="F683" i="3"/>
  <c r="C681" i="3" l="1"/>
  <c r="D681" i="3"/>
  <c r="F682" i="3"/>
  <c r="H682" i="3"/>
  <c r="E682" i="3"/>
  <c r="E681" i="3" l="1"/>
  <c r="C680" i="3"/>
  <c r="D680" i="3"/>
  <c r="H681" i="3"/>
  <c r="F681" i="3"/>
  <c r="H680" i="3" l="1"/>
  <c r="F680" i="3"/>
  <c r="C679" i="3"/>
  <c r="D679" i="3"/>
  <c r="E680" i="3"/>
  <c r="E679" i="3" l="1"/>
  <c r="H679" i="3"/>
  <c r="F679" i="3"/>
  <c r="C678" i="3"/>
  <c r="D678" i="3"/>
  <c r="D677" i="3" l="1"/>
  <c r="C677" i="3"/>
  <c r="H678" i="3"/>
  <c r="F678" i="3"/>
  <c r="E678" i="3"/>
  <c r="E677" i="3" l="1"/>
  <c r="H677" i="3"/>
  <c r="F677" i="3"/>
  <c r="D676" i="3"/>
  <c r="C676" i="3"/>
  <c r="F676" i="3" l="1"/>
  <c r="H676" i="3"/>
  <c r="C675" i="3"/>
  <c r="D675" i="3"/>
  <c r="E676" i="3"/>
  <c r="E675" i="3" l="1"/>
  <c r="C674" i="3"/>
  <c r="D674" i="3"/>
  <c r="H675" i="3"/>
  <c r="F675" i="3"/>
  <c r="E674" i="3" l="1"/>
  <c r="C673" i="3"/>
  <c r="D673" i="3"/>
  <c r="F674" i="3"/>
  <c r="H674" i="3"/>
  <c r="C672" i="3" l="1"/>
  <c r="D672" i="3"/>
  <c r="H673" i="3"/>
  <c r="F673" i="3"/>
  <c r="E673" i="3"/>
  <c r="E672" i="3" l="1"/>
  <c r="C671" i="3"/>
  <c r="D671" i="3"/>
  <c r="F672" i="3"/>
  <c r="H672" i="3"/>
  <c r="D670" i="3" l="1"/>
  <c r="C670" i="3"/>
  <c r="H671" i="3"/>
  <c r="F671" i="3"/>
  <c r="E671" i="3"/>
  <c r="E670" i="3" l="1"/>
  <c r="F670" i="3"/>
  <c r="H670" i="3"/>
  <c r="C669" i="3"/>
  <c r="D669" i="3"/>
  <c r="F669" i="3" l="1"/>
  <c r="H669" i="3"/>
  <c r="C668" i="3"/>
  <c r="D668" i="3"/>
  <c r="E669" i="3"/>
  <c r="C667" i="3" l="1"/>
  <c r="D667" i="3"/>
  <c r="F668" i="3"/>
  <c r="H668" i="3"/>
  <c r="E668" i="3"/>
  <c r="E667" i="3" l="1"/>
  <c r="C666" i="3"/>
  <c r="D666" i="3"/>
  <c r="H667" i="3"/>
  <c r="F667" i="3"/>
  <c r="C665" i="3" l="1"/>
  <c r="D665" i="3"/>
  <c r="H666" i="3"/>
  <c r="F666" i="3"/>
  <c r="E666" i="3"/>
  <c r="E665" i="3" l="1"/>
  <c r="C664" i="3"/>
  <c r="D664" i="3"/>
  <c r="H665" i="3"/>
  <c r="F665" i="3"/>
  <c r="C663" i="3" l="1"/>
  <c r="D663" i="3"/>
  <c r="H664" i="3"/>
  <c r="F664" i="3"/>
  <c r="E664" i="3"/>
  <c r="E663" i="3" l="1"/>
  <c r="C662" i="3"/>
  <c r="D662" i="3"/>
  <c r="H663" i="3"/>
  <c r="F663" i="3"/>
  <c r="C661" i="3" l="1"/>
  <c r="D661" i="3"/>
  <c r="F662" i="3"/>
  <c r="H662" i="3"/>
  <c r="E662" i="3"/>
  <c r="E661" i="3" l="1"/>
  <c r="D660" i="3"/>
  <c r="C660" i="3"/>
  <c r="H661" i="3"/>
  <c r="F661" i="3"/>
  <c r="H660" i="3" l="1"/>
  <c r="F660" i="3"/>
  <c r="C659" i="3"/>
  <c r="D659" i="3"/>
  <c r="E660" i="3"/>
  <c r="E659" i="3" l="1"/>
  <c r="H659" i="3"/>
  <c r="F659" i="3"/>
  <c r="C658" i="3"/>
  <c r="D658" i="3"/>
  <c r="C657" i="3" l="1"/>
  <c r="D657" i="3"/>
  <c r="H658" i="3"/>
  <c r="F658" i="3"/>
  <c r="E658" i="3"/>
  <c r="E657" i="3" l="1"/>
  <c r="D656" i="3"/>
  <c r="C656" i="3"/>
  <c r="H657" i="3"/>
  <c r="F657" i="3"/>
  <c r="C655" i="3" l="1"/>
  <c r="D655" i="3"/>
  <c r="F656" i="3"/>
  <c r="H656" i="3"/>
  <c r="E656" i="3"/>
  <c r="E655" i="3" l="1"/>
  <c r="C654" i="3"/>
  <c r="D654" i="3"/>
  <c r="H655" i="3"/>
  <c r="F655" i="3"/>
  <c r="C653" i="3" l="1"/>
  <c r="D653" i="3"/>
  <c r="H654" i="3"/>
  <c r="F654" i="3"/>
  <c r="E654" i="3"/>
  <c r="E653" i="3" l="1"/>
  <c r="C652" i="3"/>
  <c r="D652" i="3"/>
  <c r="E652" i="3" s="1"/>
  <c r="H653" i="3"/>
  <c r="F653" i="3"/>
  <c r="C651" i="3" l="1"/>
  <c r="D651" i="3"/>
  <c r="H652" i="3"/>
  <c r="F652" i="3"/>
  <c r="D650" i="3" l="1"/>
  <c r="C650" i="3"/>
  <c r="H651" i="3"/>
  <c r="F651" i="3"/>
  <c r="E651" i="3"/>
  <c r="E650" i="3" l="1"/>
  <c r="F650" i="3"/>
  <c r="H650" i="3"/>
  <c r="C649" i="3"/>
  <c r="D649" i="3"/>
  <c r="H649" i="3" l="1"/>
  <c r="F649" i="3"/>
  <c r="D648" i="3"/>
  <c r="C648" i="3"/>
  <c r="E649" i="3"/>
  <c r="E648" i="3" l="1"/>
  <c r="H648" i="3"/>
  <c r="F648" i="3"/>
  <c r="C647" i="3"/>
  <c r="D647" i="3"/>
  <c r="D646" i="3" l="1"/>
  <c r="C646" i="3"/>
  <c r="F647" i="3"/>
  <c r="H647" i="3"/>
  <c r="E647" i="3"/>
  <c r="E646" i="3" l="1"/>
  <c r="F646" i="3"/>
  <c r="H646" i="3"/>
  <c r="C645" i="3"/>
  <c r="D645" i="3"/>
  <c r="D644" i="3" l="1"/>
  <c r="C644" i="3"/>
  <c r="H645" i="3"/>
  <c r="F645" i="3"/>
  <c r="E645" i="3"/>
  <c r="E644" i="3" l="1"/>
  <c r="F644" i="3"/>
  <c r="H644" i="3"/>
  <c r="C643" i="3"/>
  <c r="D643" i="3"/>
  <c r="C642" i="3" l="1"/>
  <c r="D642" i="3"/>
  <c r="H643" i="3"/>
  <c r="F643" i="3"/>
  <c r="E643" i="3"/>
  <c r="E642" i="3" l="1"/>
  <c r="C641" i="3"/>
  <c r="D641" i="3"/>
  <c r="H642" i="3"/>
  <c r="F642" i="3"/>
  <c r="C640" i="3" l="1"/>
  <c r="D640" i="3"/>
  <c r="H641" i="3"/>
  <c r="F641" i="3"/>
  <c r="E641" i="3"/>
  <c r="E640" i="3" l="1"/>
  <c r="C639" i="3"/>
  <c r="D639" i="3"/>
  <c r="F640" i="3"/>
  <c r="H640" i="3"/>
  <c r="D638" i="3" l="1"/>
  <c r="C638" i="3"/>
  <c r="H639" i="3"/>
  <c r="F639" i="3"/>
  <c r="E639" i="3"/>
  <c r="E638" i="3" l="1"/>
  <c r="H638" i="3"/>
  <c r="F638" i="3"/>
  <c r="C637" i="3"/>
  <c r="D637" i="3"/>
  <c r="C636" i="3" l="1"/>
  <c r="D636" i="3"/>
  <c r="H637" i="3"/>
  <c r="F637" i="3"/>
  <c r="E637" i="3"/>
  <c r="E636" i="3" l="1"/>
  <c r="C635" i="3"/>
  <c r="D635" i="3"/>
  <c r="F636" i="3"/>
  <c r="H636" i="3"/>
  <c r="C634" i="3" l="1"/>
  <c r="D634" i="3"/>
  <c r="H635" i="3"/>
  <c r="F635" i="3"/>
  <c r="E635" i="3"/>
  <c r="E634" i="3" l="1"/>
  <c r="C633" i="3"/>
  <c r="D633" i="3"/>
  <c r="F634" i="3"/>
  <c r="H634" i="3"/>
  <c r="C632" i="3" l="1"/>
  <c r="D632" i="3"/>
  <c r="F633" i="3"/>
  <c r="H633" i="3"/>
  <c r="E633" i="3"/>
  <c r="E632" i="3" l="1"/>
  <c r="C631" i="3"/>
  <c r="D631" i="3"/>
  <c r="H632" i="3"/>
  <c r="F632" i="3"/>
  <c r="C630" i="3" l="1"/>
  <c r="D630" i="3"/>
  <c r="H631" i="3"/>
  <c r="F631" i="3"/>
  <c r="E631" i="3"/>
  <c r="E630" i="3" l="1"/>
  <c r="C629" i="3"/>
  <c r="D629" i="3"/>
  <c r="H630" i="3"/>
  <c r="F630" i="3"/>
  <c r="D628" i="3" l="1"/>
  <c r="C628" i="3"/>
  <c r="H629" i="3"/>
  <c r="F629" i="3"/>
  <c r="E629" i="3"/>
  <c r="E628" i="3" l="1"/>
  <c r="F628" i="3"/>
  <c r="H628" i="3"/>
  <c r="C627" i="3"/>
  <c r="D627" i="3"/>
  <c r="H627" i="3" l="1"/>
  <c r="F627" i="3"/>
  <c r="C626" i="3"/>
  <c r="D626" i="3"/>
  <c r="E627" i="3"/>
  <c r="E626" i="3" l="1"/>
  <c r="F626" i="3"/>
  <c r="H626" i="3"/>
  <c r="C625" i="3"/>
  <c r="D625" i="3"/>
  <c r="C624" i="3" l="1"/>
  <c r="D624" i="3"/>
  <c r="F625" i="3"/>
  <c r="H625" i="3"/>
  <c r="E625" i="3"/>
  <c r="E624" i="3" l="1"/>
  <c r="C623" i="3"/>
  <c r="D623" i="3"/>
  <c r="H624" i="3"/>
  <c r="F624" i="3"/>
  <c r="D622" i="3" l="1"/>
  <c r="C622" i="3"/>
  <c r="H623" i="3"/>
  <c r="F623" i="3"/>
  <c r="E623" i="3"/>
  <c r="E622" i="3" l="1"/>
  <c r="F622" i="3"/>
  <c r="H622" i="3"/>
  <c r="C621" i="3"/>
  <c r="D621" i="3"/>
  <c r="C620" i="3" l="1"/>
  <c r="D620" i="3"/>
  <c r="H621" i="3"/>
  <c r="F621" i="3"/>
  <c r="E621" i="3"/>
  <c r="E620" i="3" l="1"/>
  <c r="C619" i="3"/>
  <c r="D619" i="3"/>
  <c r="H620" i="3"/>
  <c r="F620" i="3"/>
  <c r="C618" i="3" l="1"/>
  <c r="D618" i="3"/>
  <c r="H619" i="3"/>
  <c r="F619" i="3"/>
  <c r="E619" i="3"/>
  <c r="E618" i="3" l="1"/>
  <c r="C617" i="3"/>
  <c r="D617" i="3"/>
  <c r="F618" i="3"/>
  <c r="H618" i="3"/>
  <c r="D616" i="3" l="1"/>
  <c r="C616" i="3"/>
  <c r="H617" i="3"/>
  <c r="F617" i="3"/>
  <c r="E617" i="3"/>
  <c r="E616" i="3" l="1"/>
  <c r="H616" i="3"/>
  <c r="F616" i="3"/>
  <c r="C615" i="3"/>
  <c r="D615" i="3"/>
  <c r="F615" i="3" l="1"/>
  <c r="H615" i="3"/>
  <c r="C614" i="3"/>
  <c r="D614" i="3"/>
  <c r="E615" i="3"/>
  <c r="C613" i="3" l="1"/>
  <c r="D613" i="3"/>
  <c r="H614" i="3"/>
  <c r="F614" i="3"/>
  <c r="E614" i="3"/>
  <c r="E613" i="3" l="1"/>
  <c r="D612" i="3"/>
  <c r="C612" i="3"/>
  <c r="H613" i="3"/>
  <c r="F613" i="3"/>
  <c r="C611" i="3" l="1"/>
  <c r="D611" i="3"/>
  <c r="F612" i="3"/>
  <c r="H612" i="3"/>
  <c r="E612" i="3"/>
  <c r="E611" i="3" l="1"/>
  <c r="C610" i="3"/>
  <c r="D610" i="3"/>
  <c r="H611" i="3"/>
  <c r="F611" i="3"/>
  <c r="C609" i="3" l="1"/>
  <c r="D609" i="3"/>
  <c r="F610" i="3"/>
  <c r="H610" i="3"/>
  <c r="E610" i="3"/>
  <c r="E609" i="3" l="1"/>
  <c r="D608" i="3"/>
  <c r="C608" i="3"/>
  <c r="H609" i="3"/>
  <c r="F609" i="3"/>
  <c r="E608" i="3" l="1"/>
  <c r="F608" i="3"/>
  <c r="H608" i="3"/>
  <c r="C607" i="3"/>
  <c r="D607" i="3"/>
  <c r="E607" i="3" l="1"/>
  <c r="C606" i="3"/>
  <c r="D606" i="3"/>
  <c r="H607" i="3"/>
  <c r="F607" i="3"/>
  <c r="C605" i="3" l="1"/>
  <c r="D605" i="3"/>
  <c r="H606" i="3"/>
  <c r="F606" i="3"/>
  <c r="E606" i="3"/>
  <c r="E605" i="3" l="1"/>
  <c r="D604" i="3"/>
  <c r="C604" i="3"/>
  <c r="H605" i="3"/>
  <c r="F605" i="3"/>
  <c r="F604" i="3" l="1"/>
  <c r="H604" i="3"/>
  <c r="C603" i="3"/>
  <c r="D603" i="3"/>
  <c r="E604" i="3"/>
  <c r="D602" i="3" l="1"/>
  <c r="C602" i="3"/>
  <c r="H603" i="3"/>
  <c r="F603" i="3"/>
  <c r="E603" i="3"/>
  <c r="E602" i="3" l="1"/>
  <c r="F602" i="3"/>
  <c r="H602" i="3"/>
  <c r="C601" i="3"/>
  <c r="D601" i="3"/>
  <c r="D600" i="3" l="1"/>
  <c r="C600" i="3"/>
  <c r="H601" i="3"/>
  <c r="F601" i="3"/>
  <c r="E601" i="3"/>
  <c r="E600" i="3" l="1"/>
  <c r="H600" i="3"/>
  <c r="F600" i="3"/>
  <c r="C599" i="3"/>
  <c r="D599" i="3"/>
  <c r="H599" i="3" l="1"/>
  <c r="F599" i="3"/>
  <c r="D598" i="3"/>
  <c r="C598" i="3"/>
  <c r="E599" i="3"/>
  <c r="E598" i="3" l="1"/>
  <c r="H598" i="3"/>
  <c r="F598" i="3"/>
  <c r="C597" i="3"/>
  <c r="D597" i="3"/>
  <c r="D596" i="3" l="1"/>
  <c r="C596" i="3"/>
  <c r="F597" i="3"/>
  <c r="H597" i="3"/>
  <c r="E597" i="3"/>
  <c r="E596" i="3" l="1"/>
  <c r="H596" i="3"/>
  <c r="F596" i="3"/>
  <c r="C595" i="3"/>
  <c r="D595" i="3"/>
  <c r="D594" i="3" l="1"/>
  <c r="C594" i="3"/>
  <c r="H595" i="3"/>
  <c r="F595" i="3"/>
  <c r="E595" i="3"/>
  <c r="E594" i="3" l="1"/>
  <c r="H594" i="3"/>
  <c r="F594" i="3"/>
  <c r="C593" i="3"/>
  <c r="D593" i="3"/>
  <c r="D592" i="3" l="1"/>
  <c r="C592" i="3"/>
  <c r="H593" i="3"/>
  <c r="F593" i="3"/>
  <c r="E593" i="3"/>
  <c r="E592" i="3" s="1"/>
  <c r="H592" i="3" l="1"/>
  <c r="F592" i="3"/>
  <c r="C591" i="3"/>
  <c r="D591" i="3"/>
  <c r="H591" i="3" l="1"/>
  <c r="F591" i="3"/>
  <c r="D590" i="3"/>
  <c r="C590" i="3"/>
  <c r="E591" i="3"/>
  <c r="E590" i="3" l="1"/>
  <c r="H590" i="3"/>
  <c r="F590" i="3"/>
  <c r="C589" i="3"/>
  <c r="D589" i="3"/>
  <c r="H589" i="3" l="1"/>
  <c r="F589" i="3"/>
  <c r="D588" i="3"/>
  <c r="C588" i="3"/>
  <c r="E589" i="3"/>
  <c r="F588" i="3" l="1"/>
  <c r="H588" i="3"/>
  <c r="C587" i="3"/>
  <c r="D587" i="3"/>
  <c r="E588" i="3"/>
  <c r="E587" i="3" l="1"/>
  <c r="C586" i="3"/>
  <c r="D586" i="3"/>
  <c r="E586" i="3" s="1"/>
  <c r="F587" i="3"/>
  <c r="H587" i="3"/>
  <c r="C585" i="3" l="1"/>
  <c r="D585" i="3"/>
  <c r="F586" i="3"/>
  <c r="H586" i="3"/>
  <c r="D584" i="3" l="1"/>
  <c r="C584" i="3"/>
  <c r="H585" i="3"/>
  <c r="F585" i="3"/>
  <c r="E585" i="3"/>
  <c r="E584" i="3" l="1"/>
  <c r="H584" i="3"/>
  <c r="F584" i="3"/>
  <c r="C583" i="3"/>
  <c r="D583" i="3"/>
  <c r="D582" i="3" l="1"/>
  <c r="C582" i="3"/>
  <c r="H583" i="3"/>
  <c r="F583" i="3"/>
  <c r="E583" i="3"/>
  <c r="E582" i="3" l="1"/>
  <c r="H582" i="3"/>
  <c r="F582" i="3"/>
  <c r="C581" i="3"/>
  <c r="D581" i="3"/>
  <c r="D580" i="3" l="1"/>
  <c r="C580" i="3"/>
  <c r="H581" i="3"/>
  <c r="F581" i="3"/>
  <c r="E581" i="3"/>
  <c r="E580" i="3" l="1"/>
  <c r="H580" i="3"/>
  <c r="F580" i="3"/>
  <c r="C579" i="3"/>
  <c r="D579" i="3"/>
  <c r="C578" i="3" l="1"/>
  <c r="D578" i="3"/>
  <c r="F579" i="3"/>
  <c r="H579" i="3"/>
  <c r="E579" i="3"/>
  <c r="E578" i="3" l="1"/>
  <c r="C577" i="3"/>
  <c r="D577" i="3"/>
  <c r="H578" i="3"/>
  <c r="F578" i="3"/>
  <c r="D576" i="3" l="1"/>
  <c r="C576" i="3"/>
  <c r="H577" i="3"/>
  <c r="F577" i="3"/>
  <c r="E577" i="3"/>
  <c r="E576" i="3" l="1"/>
  <c r="F576" i="3"/>
  <c r="H576" i="3"/>
  <c r="C575" i="3"/>
  <c r="D575" i="3"/>
  <c r="D574" i="3" l="1"/>
  <c r="C574" i="3"/>
  <c r="H575" i="3"/>
  <c r="F575" i="3"/>
  <c r="E575" i="3"/>
  <c r="E574" i="3" l="1"/>
  <c r="F574" i="3"/>
  <c r="H574" i="3"/>
  <c r="C573" i="3"/>
  <c r="D573" i="3"/>
  <c r="D572" i="3" l="1"/>
  <c r="C572" i="3"/>
  <c r="H573" i="3"/>
  <c r="F573" i="3"/>
  <c r="E573" i="3"/>
  <c r="E572" i="3" l="1"/>
  <c r="H572" i="3"/>
  <c r="F572" i="3"/>
  <c r="C571" i="3"/>
  <c r="D571" i="3"/>
  <c r="H571" i="3" l="1"/>
  <c r="F571" i="3"/>
  <c r="D570" i="3"/>
  <c r="C570" i="3"/>
  <c r="E571" i="3"/>
  <c r="E570" i="3" l="1"/>
  <c r="F570" i="3"/>
  <c r="H570" i="3"/>
  <c r="C569" i="3"/>
  <c r="D569" i="3"/>
  <c r="D568" i="3" l="1"/>
  <c r="C568" i="3"/>
  <c r="F569" i="3"/>
  <c r="H569" i="3"/>
  <c r="E569" i="3"/>
  <c r="E568" i="3" l="1"/>
  <c r="F568" i="3"/>
  <c r="H568" i="3"/>
  <c r="C567" i="3"/>
  <c r="D567" i="3"/>
  <c r="C566" i="3" l="1"/>
  <c r="D566" i="3"/>
  <c r="H567" i="3"/>
  <c r="F567" i="3"/>
  <c r="E567" i="3"/>
  <c r="E566" i="3" l="1"/>
  <c r="C565" i="3"/>
  <c r="D565" i="3"/>
  <c r="F566" i="3"/>
  <c r="H566" i="3"/>
  <c r="D564" i="3" l="1"/>
  <c r="C564" i="3"/>
  <c r="H565" i="3"/>
  <c r="F565" i="3"/>
  <c r="E565" i="3"/>
  <c r="E564" i="3" l="1"/>
  <c r="F564" i="3"/>
  <c r="H564" i="3"/>
  <c r="C563" i="3"/>
  <c r="D563" i="3"/>
  <c r="H563" i="3" l="1"/>
  <c r="F563" i="3"/>
  <c r="D562" i="3"/>
  <c r="C562" i="3"/>
  <c r="E563" i="3"/>
  <c r="E562" i="3" l="1"/>
  <c r="F562" i="3"/>
  <c r="H562" i="3"/>
  <c r="C561" i="3"/>
  <c r="D561" i="3"/>
  <c r="D560" i="3" l="1"/>
  <c r="C560" i="3"/>
  <c r="F561" i="3"/>
  <c r="H561" i="3"/>
  <c r="E561" i="3"/>
  <c r="E560" i="3" l="1"/>
  <c r="F560" i="3"/>
  <c r="H560" i="3"/>
  <c r="C559" i="3"/>
  <c r="D559" i="3"/>
  <c r="H559" i="3" l="1"/>
  <c r="F559" i="3"/>
  <c r="D558" i="3"/>
  <c r="C558" i="3"/>
  <c r="E559" i="3"/>
  <c r="E558" i="3" l="1"/>
  <c r="H558" i="3"/>
  <c r="F558" i="3"/>
  <c r="C557" i="3"/>
  <c r="D557" i="3"/>
  <c r="F557" i="3" l="1"/>
  <c r="H557" i="3"/>
  <c r="D556" i="3"/>
  <c r="C556" i="3"/>
  <c r="E557" i="3"/>
  <c r="E556" i="3" l="1"/>
  <c r="F556" i="3"/>
  <c r="H556" i="3"/>
  <c r="C555" i="3"/>
  <c r="D555" i="3"/>
  <c r="H555" i="3" l="1"/>
  <c r="F555" i="3"/>
  <c r="D554" i="3"/>
  <c r="C554" i="3"/>
  <c r="E555" i="3"/>
  <c r="E554" i="3" l="1"/>
  <c r="F554" i="3"/>
  <c r="H554" i="3"/>
  <c r="C553" i="3"/>
  <c r="D553" i="3"/>
  <c r="D552" i="3" l="1"/>
  <c r="C552" i="3"/>
  <c r="F553" i="3"/>
  <c r="H553" i="3"/>
  <c r="E553" i="3"/>
  <c r="E552" i="3" l="1"/>
  <c r="F552" i="3"/>
  <c r="H552" i="3"/>
  <c r="C551" i="3"/>
  <c r="D551" i="3"/>
  <c r="H551" i="3" l="1"/>
  <c r="F551" i="3"/>
  <c r="C550" i="3"/>
  <c r="D550" i="3"/>
  <c r="E551" i="3"/>
  <c r="C549" i="3" l="1"/>
  <c r="D549" i="3"/>
  <c r="H550" i="3"/>
  <c r="F550" i="3"/>
  <c r="E550" i="3"/>
  <c r="E549" i="3" l="1"/>
  <c r="C548" i="3"/>
  <c r="D548" i="3"/>
  <c r="F549" i="3"/>
  <c r="H549" i="3"/>
  <c r="C547" i="3" l="1"/>
  <c r="D547" i="3"/>
  <c r="F548" i="3"/>
  <c r="H548" i="3"/>
  <c r="E548" i="3"/>
  <c r="E547" i="3" l="1"/>
  <c r="C546" i="3"/>
  <c r="D546" i="3"/>
  <c r="H547" i="3"/>
  <c r="F547" i="3"/>
  <c r="C545" i="3" l="1"/>
  <c r="D545" i="3"/>
  <c r="F546" i="3"/>
  <c r="H546" i="3"/>
  <c r="E546" i="3"/>
  <c r="E545" i="3" l="1"/>
  <c r="C544" i="3"/>
  <c r="D544" i="3"/>
  <c r="F545" i="3"/>
  <c r="H545" i="3"/>
  <c r="C543" i="3" l="1"/>
  <c r="D543" i="3"/>
  <c r="H544" i="3"/>
  <c r="F544" i="3"/>
  <c r="E544" i="3"/>
  <c r="E543" i="3" l="1"/>
  <c r="C542" i="3"/>
  <c r="D542" i="3"/>
  <c r="H543" i="3"/>
  <c r="F543" i="3"/>
  <c r="H542" i="3" l="1"/>
  <c r="F542" i="3"/>
  <c r="C541" i="3"/>
  <c r="D541" i="3"/>
  <c r="E542" i="3"/>
  <c r="C540" i="3" l="1"/>
  <c r="D540" i="3"/>
  <c r="H541" i="3"/>
  <c r="F541" i="3"/>
  <c r="E541" i="3"/>
  <c r="E540" i="3" l="1"/>
  <c r="D539" i="3"/>
  <c r="C539" i="3"/>
  <c r="F540" i="3"/>
  <c r="H540" i="3"/>
  <c r="H539" i="3" l="1"/>
  <c r="F539" i="3"/>
  <c r="D538" i="3"/>
  <c r="C538" i="3"/>
  <c r="E539" i="3"/>
  <c r="E538" i="3" l="1"/>
  <c r="C537" i="3"/>
  <c r="D537" i="3"/>
  <c r="F538" i="3"/>
  <c r="H538" i="3"/>
  <c r="C536" i="3" l="1"/>
  <c r="D536" i="3"/>
  <c r="F537" i="3"/>
  <c r="H537" i="3"/>
  <c r="E537" i="3"/>
  <c r="E536" i="3" l="1"/>
  <c r="C535" i="3"/>
  <c r="D535" i="3"/>
  <c r="F536" i="3"/>
  <c r="H536" i="3"/>
  <c r="D534" i="3" l="1"/>
  <c r="C534" i="3"/>
  <c r="H535" i="3"/>
  <c r="F535" i="3"/>
  <c r="E535" i="3"/>
  <c r="E534" i="3" l="1"/>
  <c r="F534" i="3"/>
  <c r="H534" i="3"/>
  <c r="C533" i="3"/>
  <c r="D533" i="3"/>
  <c r="D532" i="3" l="1"/>
  <c r="C532" i="3"/>
  <c r="H533" i="3"/>
  <c r="F533" i="3"/>
  <c r="E533" i="3"/>
  <c r="E532" i="3" l="1"/>
  <c r="H532" i="3"/>
  <c r="F532" i="3"/>
  <c r="C531" i="3"/>
  <c r="D531" i="3"/>
  <c r="C530" i="3" l="1"/>
  <c r="D530" i="3"/>
  <c r="H531" i="3"/>
  <c r="F531" i="3"/>
  <c r="E531" i="3"/>
  <c r="E530" i="3" l="1"/>
  <c r="C529" i="3"/>
  <c r="D529" i="3"/>
  <c r="H530" i="3"/>
  <c r="F530" i="3"/>
  <c r="D528" i="3" l="1"/>
  <c r="C528" i="3"/>
  <c r="H529" i="3"/>
  <c r="F529" i="3"/>
  <c r="E529" i="3"/>
  <c r="E528" i="3" l="1"/>
  <c r="F528" i="3"/>
  <c r="H528" i="3"/>
  <c r="C527" i="3"/>
  <c r="D527" i="3"/>
  <c r="H527" i="3" l="1"/>
  <c r="F527" i="3"/>
  <c r="C526" i="3"/>
  <c r="D526" i="3"/>
  <c r="E527" i="3"/>
  <c r="C525" i="3" l="1"/>
  <c r="D525" i="3"/>
  <c r="F526" i="3"/>
  <c r="H526" i="3"/>
  <c r="E526" i="3"/>
  <c r="E525" i="3" l="1"/>
  <c r="D524" i="3"/>
  <c r="C524" i="3"/>
  <c r="F525" i="3"/>
  <c r="H525" i="3"/>
  <c r="H524" i="3" l="1"/>
  <c r="F524" i="3"/>
  <c r="C523" i="3"/>
  <c r="D523" i="3"/>
  <c r="E524" i="3"/>
  <c r="E523" i="3" l="1"/>
  <c r="H523" i="3"/>
  <c r="F523" i="3"/>
  <c r="C522" i="3"/>
  <c r="D522" i="3"/>
  <c r="D521" i="3" l="1"/>
  <c r="C521" i="3"/>
  <c r="F522" i="3"/>
  <c r="H522" i="3"/>
  <c r="E522" i="3"/>
  <c r="E521" i="3" s="1"/>
  <c r="H521" i="3" l="1"/>
  <c r="F521" i="3"/>
  <c r="D520" i="3"/>
  <c r="C520" i="3"/>
  <c r="F520" i="3" l="1"/>
  <c r="H520" i="3"/>
  <c r="C519" i="3"/>
  <c r="D519" i="3"/>
  <c r="E520" i="3"/>
  <c r="E519" i="3" l="1"/>
  <c r="D518" i="3"/>
  <c r="C518" i="3"/>
  <c r="H519" i="3"/>
  <c r="F519" i="3"/>
  <c r="E518" i="3" l="1"/>
  <c r="F518" i="3"/>
  <c r="H518" i="3"/>
  <c r="C517" i="3"/>
  <c r="D517" i="3"/>
  <c r="H517" i="3" l="1"/>
  <c r="F517" i="3"/>
  <c r="C516" i="3"/>
  <c r="D516" i="3"/>
  <c r="E517" i="3"/>
  <c r="C515" i="3" l="1"/>
  <c r="D515" i="3"/>
  <c r="F516" i="3"/>
  <c r="H516" i="3"/>
  <c r="E516" i="3"/>
  <c r="E515" i="3" l="1"/>
  <c r="C514" i="3"/>
  <c r="D514" i="3"/>
  <c r="F515" i="3"/>
  <c r="H515" i="3"/>
  <c r="C513" i="3" l="1"/>
  <c r="D513" i="3"/>
  <c r="H514" i="3"/>
  <c r="F514" i="3"/>
  <c r="E514" i="3"/>
  <c r="E513" i="3" l="1"/>
  <c r="C512" i="3"/>
  <c r="D512" i="3"/>
  <c r="H513" i="3"/>
  <c r="F513" i="3"/>
  <c r="F512" i="3" l="1"/>
  <c r="H512" i="3"/>
  <c r="C511" i="3"/>
  <c r="D511" i="3"/>
  <c r="E512" i="3"/>
  <c r="C510" i="3" l="1"/>
  <c r="D510" i="3"/>
  <c r="H511" i="3"/>
  <c r="F511" i="3"/>
  <c r="E511" i="3"/>
  <c r="E510" i="3" l="1"/>
  <c r="C509" i="3"/>
  <c r="D509" i="3"/>
  <c r="H510" i="3"/>
  <c r="F510" i="3"/>
  <c r="D508" i="3" l="1"/>
  <c r="C508" i="3"/>
  <c r="H509" i="3"/>
  <c r="F509" i="3"/>
  <c r="E509" i="3"/>
  <c r="E508" i="3" l="1"/>
  <c r="F508" i="3"/>
  <c r="H508" i="3"/>
  <c r="C507" i="3"/>
  <c r="D507" i="3"/>
  <c r="C506" i="3" l="1"/>
  <c r="D506" i="3"/>
  <c r="H507" i="3"/>
  <c r="F507" i="3"/>
  <c r="E507" i="3"/>
  <c r="E506" i="3" l="1"/>
  <c r="C505" i="3"/>
  <c r="D505" i="3"/>
  <c r="H506" i="3"/>
  <c r="F506" i="3"/>
  <c r="C504" i="3" l="1"/>
  <c r="D504" i="3"/>
  <c r="F505" i="3"/>
  <c r="H505" i="3"/>
  <c r="E505" i="3"/>
  <c r="E504" i="3" l="1"/>
  <c r="C503" i="3"/>
  <c r="D503" i="3"/>
  <c r="F504" i="3"/>
  <c r="H504" i="3"/>
  <c r="C502" i="3" l="1"/>
  <c r="D502" i="3"/>
  <c r="F503" i="3"/>
  <c r="H503" i="3"/>
  <c r="E503" i="3"/>
  <c r="E502" i="3" l="1"/>
  <c r="C501" i="3"/>
  <c r="D501" i="3"/>
  <c r="F502" i="3"/>
  <c r="H502" i="3"/>
  <c r="D500" i="3" l="1"/>
  <c r="C500" i="3"/>
  <c r="H501" i="3"/>
  <c r="F501" i="3"/>
  <c r="E501" i="3"/>
  <c r="E500" i="3" l="1"/>
  <c r="H500" i="3"/>
  <c r="F500" i="3"/>
  <c r="C499" i="3"/>
  <c r="D499" i="3"/>
  <c r="D498" i="3" l="1"/>
  <c r="C498" i="3"/>
  <c r="H499" i="3"/>
  <c r="F499" i="3"/>
  <c r="E499" i="3"/>
  <c r="E498" i="3" l="1"/>
  <c r="H498" i="3"/>
  <c r="F498" i="3"/>
  <c r="C497" i="3"/>
  <c r="D497" i="3"/>
  <c r="D496" i="3" l="1"/>
  <c r="C496" i="3"/>
  <c r="H497" i="3"/>
  <c r="F497" i="3"/>
  <c r="E497" i="3"/>
  <c r="E496" i="3" l="1"/>
  <c r="H496" i="3"/>
  <c r="F496" i="3"/>
  <c r="C495" i="3"/>
  <c r="D495" i="3"/>
  <c r="E495" i="3" l="1"/>
  <c r="C494" i="3"/>
  <c r="D494" i="3"/>
  <c r="F495" i="3"/>
  <c r="H495" i="3"/>
  <c r="D493" i="3" l="1"/>
  <c r="C493" i="3"/>
  <c r="H494" i="3"/>
  <c r="F494" i="3"/>
  <c r="E494" i="3"/>
  <c r="E493" i="3" l="1"/>
  <c r="F493" i="3"/>
  <c r="H493" i="3"/>
  <c r="C492" i="3"/>
  <c r="D492" i="3"/>
  <c r="F492" i="3" l="1"/>
  <c r="H492" i="3"/>
  <c r="C491" i="3"/>
  <c r="D491" i="3"/>
  <c r="E492" i="3"/>
  <c r="E491" i="3" l="1"/>
  <c r="C490" i="3"/>
  <c r="D490" i="3"/>
  <c r="F491" i="3"/>
  <c r="H491" i="3"/>
  <c r="C489" i="3" l="1"/>
  <c r="D489" i="3"/>
  <c r="F490" i="3"/>
  <c r="H490" i="3"/>
  <c r="E490" i="3"/>
  <c r="E489" i="3" l="1"/>
  <c r="C488" i="3"/>
  <c r="D488" i="3"/>
  <c r="F489" i="3"/>
  <c r="H489" i="3"/>
  <c r="C487" i="3" l="1"/>
  <c r="D487" i="3"/>
  <c r="H488" i="3"/>
  <c r="F488" i="3"/>
  <c r="E488" i="3"/>
  <c r="E487" i="3" l="1"/>
  <c r="C486" i="3"/>
  <c r="D486" i="3"/>
  <c r="F487" i="3"/>
  <c r="H487" i="3"/>
  <c r="C485" i="3" l="1"/>
  <c r="D485" i="3"/>
  <c r="F486" i="3"/>
  <c r="H486" i="3"/>
  <c r="E486" i="3"/>
  <c r="E485" i="3" l="1"/>
  <c r="C484" i="3"/>
  <c r="D484" i="3"/>
  <c r="F485" i="3"/>
  <c r="H485" i="3"/>
  <c r="C483" i="3" l="1"/>
  <c r="D483" i="3"/>
  <c r="H484" i="3"/>
  <c r="F484" i="3"/>
  <c r="E484" i="3"/>
  <c r="E483" i="3" l="1"/>
  <c r="C482" i="3"/>
  <c r="D482" i="3"/>
  <c r="H483" i="3"/>
  <c r="F483" i="3"/>
  <c r="C481" i="3" l="1"/>
  <c r="D481" i="3"/>
  <c r="F482" i="3"/>
  <c r="H482" i="3"/>
  <c r="E482" i="3"/>
  <c r="E481" i="3" l="1"/>
  <c r="C480" i="3"/>
  <c r="D480" i="3"/>
  <c r="F481" i="3"/>
  <c r="H481" i="3"/>
  <c r="C479" i="3" l="1"/>
  <c r="D479" i="3"/>
  <c r="F480" i="3"/>
  <c r="H480" i="3"/>
  <c r="E480" i="3"/>
  <c r="E479" i="3" l="1"/>
  <c r="C478" i="3"/>
  <c r="D478" i="3"/>
  <c r="H479" i="3"/>
  <c r="F479" i="3"/>
  <c r="C477" i="3" l="1"/>
  <c r="D477" i="3"/>
  <c r="H478" i="3"/>
  <c r="F478" i="3"/>
  <c r="E478" i="3"/>
  <c r="E477" i="3" l="1"/>
  <c r="C476" i="3"/>
  <c r="D476" i="3"/>
  <c r="F477" i="3"/>
  <c r="H477" i="3"/>
  <c r="C475" i="3" l="1"/>
  <c r="D475" i="3"/>
  <c r="H476" i="3"/>
  <c r="F476" i="3"/>
  <c r="E476" i="3"/>
  <c r="E475" i="3" l="1"/>
  <c r="C474" i="3"/>
  <c r="D474" i="3"/>
  <c r="F475" i="3"/>
  <c r="H475" i="3"/>
  <c r="C473" i="3" l="1"/>
  <c r="D473" i="3"/>
  <c r="F474" i="3"/>
  <c r="H474" i="3"/>
  <c r="E474" i="3"/>
  <c r="E473" i="3" l="1"/>
  <c r="C472" i="3"/>
  <c r="D472" i="3"/>
  <c r="H473" i="3"/>
  <c r="F473" i="3"/>
  <c r="C471" i="3" l="1"/>
  <c r="D471" i="3"/>
  <c r="F472" i="3"/>
  <c r="H472" i="3"/>
  <c r="E472" i="3"/>
  <c r="E471" i="3" l="1"/>
  <c r="C470" i="3"/>
  <c r="D470" i="3"/>
  <c r="F471" i="3"/>
  <c r="H471" i="3"/>
  <c r="C469" i="3" l="1"/>
  <c r="D469" i="3"/>
  <c r="F470" i="3"/>
  <c r="H470" i="3"/>
  <c r="E470" i="3"/>
  <c r="E469" i="3" l="1"/>
  <c r="C468" i="3"/>
  <c r="D468" i="3"/>
  <c r="F469" i="3"/>
  <c r="H469" i="3"/>
  <c r="C467" i="3" l="1"/>
  <c r="D467" i="3"/>
  <c r="H468" i="3"/>
  <c r="F468" i="3"/>
  <c r="E468" i="3"/>
  <c r="E467" i="3" l="1"/>
  <c r="C466" i="3"/>
  <c r="D466" i="3"/>
  <c r="H467" i="3"/>
  <c r="F467" i="3"/>
  <c r="C465" i="3" l="1"/>
  <c r="D465" i="3"/>
  <c r="F466" i="3"/>
  <c r="H466" i="3"/>
  <c r="E466" i="3"/>
  <c r="E465" i="3" l="1"/>
  <c r="C464" i="3"/>
  <c r="D464" i="3"/>
  <c r="F465" i="3"/>
  <c r="H465" i="3"/>
  <c r="C463" i="3" l="1"/>
  <c r="D463" i="3"/>
  <c r="H464" i="3"/>
  <c r="F464" i="3"/>
  <c r="E464" i="3"/>
  <c r="E463" i="3" l="1"/>
  <c r="C462" i="3"/>
  <c r="D462" i="3"/>
  <c r="H463" i="3"/>
  <c r="F463" i="3"/>
  <c r="C461" i="3" l="1"/>
  <c r="D461" i="3"/>
  <c r="F462" i="3"/>
  <c r="H462" i="3"/>
  <c r="E462" i="3"/>
  <c r="E461" i="3" l="1"/>
  <c r="D460" i="3"/>
  <c r="C460" i="3"/>
  <c r="F461" i="3"/>
  <c r="H461" i="3"/>
  <c r="H460" i="3" l="1"/>
  <c r="F460" i="3"/>
  <c r="D459" i="3"/>
  <c r="C459" i="3"/>
  <c r="E460" i="3"/>
  <c r="E459" i="3" l="1"/>
  <c r="C458" i="3"/>
  <c r="D458" i="3"/>
  <c r="F459" i="3"/>
  <c r="H459" i="3"/>
  <c r="E458" i="3" l="1"/>
  <c r="C457" i="3"/>
  <c r="D457" i="3"/>
  <c r="F458" i="3"/>
  <c r="H458" i="3"/>
  <c r="D456" i="3" l="1"/>
  <c r="C456" i="3"/>
  <c r="H457" i="3"/>
  <c r="F457" i="3"/>
  <c r="E457" i="3"/>
  <c r="E456" i="3" l="1"/>
  <c r="F456" i="3"/>
  <c r="H456" i="3"/>
  <c r="C455" i="3"/>
  <c r="D455" i="3"/>
  <c r="H455" i="3" l="1"/>
  <c r="F455" i="3"/>
  <c r="D454" i="3"/>
  <c r="C454" i="3"/>
  <c r="E455" i="3"/>
  <c r="E454" i="3" l="1"/>
  <c r="C453" i="3"/>
  <c r="D453" i="3"/>
  <c r="H454" i="3"/>
  <c r="F454" i="3"/>
  <c r="E453" i="3" l="1"/>
  <c r="C452" i="3"/>
  <c r="D452" i="3"/>
  <c r="F453" i="3"/>
  <c r="H453" i="3"/>
  <c r="C451" i="3" l="1"/>
  <c r="D451" i="3"/>
  <c r="H452" i="3"/>
  <c r="F452" i="3"/>
  <c r="E452" i="3"/>
  <c r="E451" i="3" l="1"/>
  <c r="D450" i="3"/>
  <c r="C450" i="3"/>
  <c r="H451" i="3"/>
  <c r="F451" i="3"/>
  <c r="F450" i="3" l="1"/>
  <c r="H450" i="3"/>
  <c r="C449" i="3"/>
  <c r="D449" i="3"/>
  <c r="E450" i="3"/>
  <c r="E449" i="3" l="1"/>
  <c r="F449" i="3"/>
  <c r="H449" i="3"/>
  <c r="D448" i="3"/>
  <c r="C448" i="3"/>
  <c r="D447" i="3" l="1"/>
  <c r="C447" i="3"/>
  <c r="H448" i="3"/>
  <c r="F448" i="3"/>
  <c r="E448" i="3"/>
  <c r="E447" i="3" l="1"/>
  <c r="H447" i="3"/>
  <c r="F447" i="3"/>
  <c r="C446" i="3"/>
  <c r="D446" i="3"/>
  <c r="F446" i="3" l="1"/>
  <c r="H446" i="3"/>
  <c r="E446" i="3"/>
  <c r="C445" i="3"/>
  <c r="D445" i="3"/>
  <c r="H445" i="3" l="1"/>
  <c r="F445" i="3"/>
  <c r="D444" i="3"/>
  <c r="C444" i="3"/>
  <c r="E445" i="3"/>
  <c r="E444" i="3" l="1"/>
  <c r="F444" i="3"/>
  <c r="H444" i="3"/>
  <c r="C443" i="3"/>
  <c r="D443" i="3"/>
  <c r="C442" i="3" l="1"/>
  <c r="D442" i="3"/>
  <c r="H443" i="3"/>
  <c r="F443" i="3"/>
  <c r="E443" i="3"/>
  <c r="E442" i="3" l="1"/>
  <c r="C441" i="3"/>
  <c r="D441" i="3"/>
  <c r="F442" i="3"/>
  <c r="H442" i="3"/>
  <c r="F441" i="3" l="1"/>
  <c r="H441" i="3"/>
  <c r="D440" i="3"/>
  <c r="C440" i="3"/>
  <c r="E441" i="3"/>
  <c r="E440" i="3" l="1"/>
  <c r="H440" i="3"/>
  <c r="F440" i="3"/>
  <c r="C439" i="3"/>
  <c r="D439" i="3"/>
  <c r="C438" i="3" l="1"/>
  <c r="D438" i="3"/>
  <c r="F439" i="3"/>
  <c r="H439" i="3"/>
  <c r="E439" i="3"/>
  <c r="E438" i="3" l="1"/>
  <c r="C437" i="3"/>
  <c r="D437" i="3"/>
  <c r="H438" i="3"/>
  <c r="F438" i="3"/>
  <c r="D436" i="3" l="1"/>
  <c r="C436" i="3"/>
  <c r="H437" i="3"/>
  <c r="F437" i="3"/>
  <c r="E437" i="3"/>
  <c r="E436" i="3" l="1"/>
  <c r="H436" i="3"/>
  <c r="F436" i="3"/>
  <c r="C435" i="3"/>
  <c r="D435" i="3"/>
  <c r="F435" i="3" l="1"/>
  <c r="H435" i="3"/>
  <c r="E435" i="3"/>
  <c r="C434" i="3"/>
  <c r="D434" i="3"/>
  <c r="F434" i="3" l="1"/>
  <c r="H434" i="3"/>
  <c r="C433" i="3"/>
  <c r="D433" i="3"/>
  <c r="E434" i="3"/>
  <c r="C432" i="3" l="1"/>
  <c r="D432" i="3"/>
  <c r="E433" i="3"/>
  <c r="F433" i="3"/>
  <c r="H433" i="3"/>
  <c r="E432" i="3" l="1"/>
  <c r="C431" i="3"/>
  <c r="D431" i="3"/>
  <c r="F432" i="3"/>
  <c r="H432" i="3"/>
  <c r="C430" i="3" l="1"/>
  <c r="D430" i="3"/>
  <c r="F431" i="3"/>
  <c r="H431" i="3"/>
  <c r="E431" i="3"/>
  <c r="E430" i="3" l="1"/>
  <c r="C429" i="3"/>
  <c r="D429" i="3"/>
  <c r="F430" i="3"/>
  <c r="H430" i="3"/>
  <c r="C428" i="3" l="1"/>
  <c r="D428" i="3"/>
  <c r="H429" i="3"/>
  <c r="F429" i="3"/>
  <c r="E429" i="3"/>
  <c r="E428" i="3" l="1"/>
  <c r="C427" i="3"/>
  <c r="D427" i="3"/>
  <c r="F428" i="3"/>
  <c r="H428" i="3"/>
  <c r="E427" i="3" l="1"/>
  <c r="C426" i="3"/>
  <c r="D426" i="3"/>
  <c r="F427" i="3"/>
  <c r="H427" i="3"/>
  <c r="C425" i="3" l="1"/>
  <c r="D425" i="3"/>
  <c r="H426" i="3"/>
  <c r="F426" i="3"/>
  <c r="E426" i="3"/>
  <c r="E425" i="3" l="1"/>
  <c r="C424" i="3"/>
  <c r="D424" i="3"/>
  <c r="H425" i="3"/>
  <c r="F425" i="3"/>
  <c r="F424" i="3" l="1"/>
  <c r="H424" i="3"/>
  <c r="C423" i="3"/>
  <c r="D423" i="3"/>
  <c r="E424" i="3"/>
  <c r="C422" i="3" l="1"/>
  <c r="D422" i="3"/>
  <c r="H423" i="3"/>
  <c r="F423" i="3"/>
  <c r="E423" i="3"/>
  <c r="E422" i="3" l="1"/>
  <c r="D421" i="3"/>
  <c r="C421" i="3"/>
  <c r="H422" i="3"/>
  <c r="F422" i="3"/>
  <c r="F421" i="3" l="1"/>
  <c r="H421" i="3"/>
  <c r="C420" i="3"/>
  <c r="D420" i="3"/>
  <c r="E421" i="3"/>
  <c r="D419" i="3" l="1"/>
  <c r="C419" i="3"/>
  <c r="E420" i="3"/>
  <c r="H420" i="3"/>
  <c r="F420" i="3"/>
  <c r="E419" i="3" l="1"/>
  <c r="F419" i="3"/>
  <c r="H419" i="3"/>
  <c r="C418" i="3"/>
  <c r="D418" i="3"/>
  <c r="F418" i="3" l="1"/>
  <c r="H418" i="3"/>
  <c r="E418" i="3"/>
  <c r="C417" i="3"/>
  <c r="D417" i="3"/>
  <c r="H417" i="3" l="1"/>
  <c r="F417" i="3"/>
  <c r="E417" i="3"/>
  <c r="D416" i="3"/>
  <c r="C416" i="3"/>
  <c r="C415" i="3" l="1"/>
  <c r="D415" i="3"/>
  <c r="F416" i="3"/>
  <c r="H416" i="3"/>
  <c r="E416" i="3"/>
  <c r="E415" i="3" l="1"/>
  <c r="D414" i="3"/>
  <c r="C414" i="3"/>
  <c r="H415" i="3"/>
  <c r="F415" i="3"/>
  <c r="C413" i="3" l="1"/>
  <c r="D413" i="3"/>
  <c r="H414" i="3"/>
  <c r="F414" i="3"/>
  <c r="E414" i="3"/>
  <c r="E413" i="3" l="1"/>
  <c r="C412" i="3"/>
  <c r="D412" i="3"/>
  <c r="H413" i="3"/>
  <c r="F413" i="3"/>
  <c r="C411" i="3" l="1"/>
  <c r="D411" i="3"/>
  <c r="F412" i="3"/>
  <c r="H412" i="3"/>
  <c r="E412" i="3"/>
  <c r="E411" i="3" l="1"/>
  <c r="D410" i="3"/>
  <c r="C410" i="3"/>
  <c r="H411" i="3"/>
  <c r="F411" i="3"/>
  <c r="H410" i="3" l="1"/>
  <c r="F410" i="3"/>
  <c r="C409" i="3"/>
  <c r="D409" i="3"/>
  <c r="E410" i="3"/>
  <c r="E409" i="3" l="1"/>
  <c r="H409" i="3"/>
  <c r="F409" i="3"/>
  <c r="D408" i="3"/>
  <c r="C408" i="3"/>
  <c r="F408" i="3" l="1"/>
  <c r="H408" i="3"/>
  <c r="D407" i="3"/>
  <c r="C407" i="3"/>
  <c r="E408" i="3"/>
  <c r="E407" i="3" l="1"/>
  <c r="H407" i="3"/>
  <c r="F407" i="3"/>
  <c r="D406" i="3"/>
  <c r="C406" i="3"/>
  <c r="H406" i="3" l="1"/>
  <c r="F406" i="3"/>
  <c r="C405" i="3"/>
  <c r="D405" i="3"/>
  <c r="E406" i="3"/>
  <c r="D404" i="3" l="1"/>
  <c r="C404" i="3"/>
  <c r="H405" i="3"/>
  <c r="F405" i="3"/>
  <c r="E405" i="3"/>
  <c r="E404" i="3" l="1"/>
  <c r="F404" i="3"/>
  <c r="H404" i="3"/>
  <c r="D403" i="3"/>
  <c r="C403" i="3"/>
  <c r="D402" i="3" l="1"/>
  <c r="C402" i="3"/>
  <c r="H403" i="3"/>
  <c r="F403" i="3"/>
  <c r="E403" i="3"/>
  <c r="E402" i="3" l="1"/>
  <c r="F402" i="3"/>
  <c r="H402" i="3"/>
  <c r="C401" i="3"/>
  <c r="D401" i="3"/>
  <c r="D400" i="3" l="1"/>
  <c r="C400" i="3"/>
  <c r="H401" i="3"/>
  <c r="F401" i="3"/>
  <c r="E401" i="3"/>
  <c r="E400" i="3" l="1"/>
  <c r="H400" i="3"/>
  <c r="F400" i="3"/>
  <c r="C399" i="3"/>
  <c r="D399" i="3"/>
  <c r="H399" i="3" l="1"/>
  <c r="F399" i="3"/>
  <c r="D398" i="3"/>
  <c r="C398" i="3"/>
  <c r="E399" i="3"/>
  <c r="E398" i="3" l="1"/>
  <c r="F398" i="3"/>
  <c r="H398" i="3"/>
  <c r="C397" i="3"/>
  <c r="D397" i="3"/>
  <c r="F397" i="3" l="1"/>
  <c r="H397" i="3"/>
  <c r="D396" i="3"/>
  <c r="C396" i="3"/>
  <c r="E397" i="3"/>
  <c r="F396" i="3" l="1"/>
  <c r="H396" i="3"/>
  <c r="C395" i="3"/>
  <c r="D395" i="3"/>
  <c r="E396" i="3"/>
  <c r="E395" i="3" l="1"/>
  <c r="C394" i="3"/>
  <c r="D394" i="3"/>
  <c r="H395" i="3"/>
  <c r="F395" i="3"/>
  <c r="C393" i="3" l="1"/>
  <c r="D393" i="3"/>
  <c r="H394" i="3"/>
  <c r="F394" i="3"/>
  <c r="E394" i="3"/>
  <c r="E393" i="3" l="1"/>
  <c r="H393" i="3"/>
  <c r="F393" i="3"/>
  <c r="D392" i="3"/>
  <c r="C392" i="3"/>
  <c r="C391" i="3" l="1"/>
  <c r="D391" i="3"/>
  <c r="F392" i="3"/>
  <c r="H392" i="3"/>
  <c r="E392" i="3"/>
  <c r="E391" i="3" l="1"/>
  <c r="C390" i="3"/>
  <c r="D390" i="3"/>
  <c r="H391" i="3"/>
  <c r="F391" i="3"/>
  <c r="C389" i="3" l="1"/>
  <c r="D389" i="3"/>
  <c r="F390" i="3"/>
  <c r="H390" i="3"/>
  <c r="E390" i="3"/>
  <c r="E389" i="3" l="1"/>
  <c r="D388" i="3"/>
  <c r="C388" i="3"/>
  <c r="H389" i="3"/>
  <c r="F389" i="3"/>
  <c r="C387" i="3" l="1"/>
  <c r="D387" i="3"/>
  <c r="F388" i="3"/>
  <c r="H388" i="3"/>
  <c r="E388" i="3"/>
  <c r="E387" i="3" l="1"/>
  <c r="D386" i="3"/>
  <c r="C386" i="3"/>
  <c r="H387" i="3"/>
  <c r="F387" i="3"/>
  <c r="C385" i="3" l="1"/>
  <c r="D385" i="3"/>
  <c r="F386" i="3"/>
  <c r="H386" i="3"/>
  <c r="E386" i="3"/>
  <c r="E385" i="3" l="1"/>
  <c r="C384" i="3"/>
  <c r="D384" i="3"/>
  <c r="H385" i="3"/>
  <c r="F385" i="3"/>
  <c r="C383" i="3" l="1"/>
  <c r="D383" i="3"/>
  <c r="F384" i="3"/>
  <c r="H384" i="3"/>
  <c r="E384" i="3"/>
  <c r="E383" i="3" l="1"/>
  <c r="D382" i="3"/>
  <c r="C382" i="3"/>
  <c r="H383" i="3"/>
  <c r="F383" i="3"/>
  <c r="C381" i="3" l="1"/>
  <c r="D381" i="3"/>
  <c r="H382" i="3"/>
  <c r="F382" i="3"/>
  <c r="E382" i="3"/>
  <c r="E381" i="3" l="1"/>
  <c r="D380" i="3"/>
  <c r="C380" i="3"/>
  <c r="H381" i="3"/>
  <c r="F381" i="3"/>
  <c r="C379" i="3" l="1"/>
  <c r="D379" i="3"/>
  <c r="H380" i="3"/>
  <c r="F380" i="3"/>
  <c r="E380" i="3"/>
  <c r="E379" i="3" l="1"/>
  <c r="C378" i="3"/>
  <c r="D378" i="3"/>
  <c r="H379" i="3"/>
  <c r="F379" i="3"/>
  <c r="C377" i="3" l="1"/>
  <c r="D377" i="3"/>
  <c r="F378" i="3"/>
  <c r="H378" i="3"/>
  <c r="E378" i="3"/>
  <c r="E377" i="3" l="1"/>
  <c r="D376" i="3"/>
  <c r="C376" i="3"/>
  <c r="H377" i="3"/>
  <c r="F377" i="3"/>
  <c r="H376" i="3" l="1"/>
  <c r="F376" i="3"/>
  <c r="C375" i="3"/>
  <c r="D375" i="3"/>
  <c r="E376" i="3"/>
  <c r="C374" i="3" l="1"/>
  <c r="D374" i="3"/>
  <c r="H375" i="3"/>
  <c r="F375" i="3"/>
  <c r="E375" i="3"/>
  <c r="E374" i="3" l="1"/>
  <c r="D373" i="3"/>
  <c r="C373" i="3"/>
  <c r="H374" i="3"/>
  <c r="F374" i="3"/>
  <c r="H373" i="3" l="1"/>
  <c r="F373" i="3"/>
  <c r="D372" i="3"/>
  <c r="C372" i="3"/>
  <c r="E373" i="3"/>
  <c r="H372" i="3" l="1"/>
  <c r="F372" i="3"/>
  <c r="C371" i="3"/>
  <c r="D371" i="3"/>
  <c r="E372" i="3"/>
  <c r="C370" i="3" l="1"/>
  <c r="D370" i="3"/>
  <c r="H371" i="3"/>
  <c r="F371" i="3"/>
  <c r="E371" i="3"/>
  <c r="E370" i="3" l="1"/>
  <c r="C369" i="3"/>
  <c r="D369" i="3"/>
  <c r="H370" i="3"/>
  <c r="F370" i="3"/>
  <c r="C368" i="3" l="1"/>
  <c r="D368" i="3"/>
  <c r="F369" i="3"/>
  <c r="H369" i="3"/>
  <c r="E369" i="3"/>
  <c r="E368" i="3" l="1"/>
  <c r="C367" i="3"/>
  <c r="D367" i="3"/>
  <c r="H368" i="3"/>
  <c r="F368" i="3"/>
  <c r="C366" i="3" l="1"/>
  <c r="D366" i="3"/>
  <c r="H367" i="3"/>
  <c r="F367" i="3"/>
  <c r="E367" i="3"/>
  <c r="C365" i="3" l="1"/>
  <c r="D365" i="3"/>
  <c r="E366" i="3"/>
  <c r="F366" i="3"/>
  <c r="H366" i="3"/>
  <c r="E365" i="3" l="1"/>
  <c r="C364" i="3"/>
  <c r="D364" i="3"/>
  <c r="F365" i="3"/>
  <c r="H365" i="3"/>
  <c r="F364" i="3" l="1"/>
  <c r="H364" i="3"/>
  <c r="C363" i="3"/>
  <c r="D363" i="3"/>
  <c r="E364" i="3"/>
  <c r="E363" i="3" l="1"/>
  <c r="C362" i="3"/>
  <c r="D362" i="3"/>
  <c r="H363" i="3"/>
  <c r="F363" i="3"/>
  <c r="C361" i="3" l="1"/>
  <c r="D361" i="3"/>
  <c r="F362" i="3"/>
  <c r="H362" i="3"/>
  <c r="E362" i="3"/>
  <c r="E361" i="3" l="1"/>
  <c r="D360" i="3"/>
  <c r="C360" i="3"/>
  <c r="H361" i="3"/>
  <c r="F361" i="3"/>
  <c r="F360" i="3" l="1"/>
  <c r="H360" i="3"/>
  <c r="C359" i="3"/>
  <c r="D359" i="3"/>
  <c r="E360" i="3"/>
  <c r="E359" i="3" l="1"/>
  <c r="C358" i="3"/>
  <c r="D358" i="3"/>
  <c r="H359" i="3"/>
  <c r="F359" i="3"/>
  <c r="C357" i="3" l="1"/>
  <c r="D357" i="3"/>
  <c r="E358" i="3"/>
  <c r="F358" i="3"/>
  <c r="H358" i="3"/>
  <c r="E357" i="3" l="1"/>
  <c r="D356" i="3"/>
  <c r="C356" i="3"/>
  <c r="H357" i="3"/>
  <c r="F357" i="3"/>
  <c r="H356" i="3" l="1"/>
  <c r="F356" i="3"/>
  <c r="C355" i="3"/>
  <c r="D355" i="3"/>
  <c r="E356" i="3"/>
  <c r="D354" i="3" l="1"/>
  <c r="C354" i="3"/>
  <c r="H355" i="3"/>
  <c r="F355" i="3"/>
  <c r="E355" i="3"/>
  <c r="E354" i="3" l="1"/>
  <c r="H354" i="3"/>
  <c r="F354" i="3"/>
  <c r="C353" i="3"/>
  <c r="D353" i="3"/>
  <c r="D352" i="3" l="1"/>
  <c r="C352" i="3"/>
  <c r="H353" i="3"/>
  <c r="F353" i="3"/>
  <c r="E353" i="3"/>
  <c r="E352" i="3" l="1"/>
  <c r="H352" i="3"/>
  <c r="F352" i="3"/>
  <c r="C351" i="3"/>
  <c r="D351" i="3"/>
  <c r="D350" i="3" l="1"/>
  <c r="C350" i="3"/>
  <c r="H351" i="3"/>
  <c r="F351" i="3"/>
  <c r="E351" i="3"/>
  <c r="E350" i="3" l="1"/>
  <c r="F350" i="3"/>
  <c r="H350" i="3"/>
  <c r="C349" i="3"/>
  <c r="D349" i="3"/>
  <c r="D348" i="3" l="1"/>
  <c r="C348" i="3"/>
  <c r="H349" i="3"/>
  <c r="F349" i="3"/>
  <c r="E349" i="3"/>
  <c r="E348" i="3" s="1"/>
  <c r="H348" i="3" l="1"/>
  <c r="F348" i="3"/>
  <c r="C347" i="3"/>
  <c r="D347" i="3"/>
  <c r="C346" i="3" l="1"/>
  <c r="D346" i="3"/>
  <c r="H347" i="3"/>
  <c r="F347" i="3"/>
  <c r="E347" i="3"/>
  <c r="E346" i="3" l="1"/>
  <c r="C345" i="3"/>
  <c r="D345" i="3"/>
  <c r="H346" i="3"/>
  <c r="F346" i="3"/>
  <c r="C344" i="3" l="1"/>
  <c r="D344" i="3"/>
  <c r="H345" i="3"/>
  <c r="F345" i="3"/>
  <c r="E345" i="3"/>
  <c r="E344" i="3" l="1"/>
  <c r="C343" i="3"/>
  <c r="D343" i="3"/>
  <c r="F344" i="3"/>
  <c r="H344" i="3"/>
  <c r="F343" i="3" l="1"/>
  <c r="H343" i="3"/>
  <c r="C342" i="3"/>
  <c r="D342" i="3"/>
  <c r="E343" i="3"/>
  <c r="C341" i="3" l="1"/>
  <c r="D341" i="3"/>
  <c r="E342" i="3"/>
  <c r="H342" i="3"/>
  <c r="F342" i="3"/>
  <c r="E341" i="3" l="1"/>
  <c r="C340" i="3"/>
  <c r="D340" i="3"/>
  <c r="F341" i="3"/>
  <c r="H341" i="3"/>
  <c r="C339" i="3" l="1"/>
  <c r="D339" i="3"/>
  <c r="F340" i="3"/>
  <c r="H340" i="3"/>
  <c r="E340" i="3"/>
  <c r="E339" i="3" l="1"/>
  <c r="C338" i="3"/>
  <c r="D338" i="3"/>
  <c r="H339" i="3"/>
  <c r="F339" i="3"/>
  <c r="C337" i="3" l="1"/>
  <c r="D337" i="3"/>
  <c r="F338" i="3"/>
  <c r="H338" i="3"/>
  <c r="E338" i="3"/>
  <c r="E337" i="3" l="1"/>
  <c r="C336" i="3"/>
  <c r="D336" i="3"/>
  <c r="H337" i="3"/>
  <c r="F337" i="3"/>
  <c r="C335" i="3" l="1"/>
  <c r="D335" i="3"/>
  <c r="H336" i="3"/>
  <c r="F336" i="3"/>
  <c r="E336" i="3"/>
  <c r="E335" i="3" l="1"/>
  <c r="C334" i="3"/>
  <c r="D334" i="3"/>
  <c r="F335" i="3"/>
  <c r="H335" i="3"/>
  <c r="C333" i="3" l="1"/>
  <c r="D333" i="3"/>
  <c r="H334" i="3"/>
  <c r="F334" i="3"/>
  <c r="E334" i="3"/>
  <c r="E333" i="3" l="1"/>
  <c r="C332" i="3"/>
  <c r="D332" i="3"/>
  <c r="H333" i="3"/>
  <c r="F333" i="3"/>
  <c r="D331" i="3" l="1"/>
  <c r="C331" i="3"/>
  <c r="H332" i="3"/>
  <c r="F332" i="3"/>
  <c r="E332" i="3"/>
  <c r="E331" i="3" l="1"/>
  <c r="F331" i="3"/>
  <c r="H331" i="3"/>
  <c r="C330" i="3"/>
  <c r="D330" i="3"/>
  <c r="H330" i="3" l="1"/>
  <c r="F330" i="3"/>
  <c r="C329" i="3"/>
  <c r="D329" i="3"/>
  <c r="E330" i="3"/>
  <c r="C328" i="3" l="1"/>
  <c r="D328" i="3"/>
  <c r="H329" i="3"/>
  <c r="F329" i="3"/>
  <c r="E329" i="3"/>
  <c r="E328" i="3" l="1"/>
  <c r="C327" i="3"/>
  <c r="D327" i="3"/>
  <c r="F328" i="3"/>
  <c r="H328" i="3"/>
  <c r="C326" i="3" l="1"/>
  <c r="D326" i="3"/>
  <c r="F327" i="3"/>
  <c r="H327" i="3"/>
  <c r="E327" i="3"/>
  <c r="E326" i="3" l="1"/>
  <c r="C325" i="3"/>
  <c r="D325" i="3"/>
  <c r="H326" i="3"/>
  <c r="F326" i="3"/>
  <c r="F325" i="3" l="1"/>
  <c r="H325" i="3"/>
  <c r="C324" i="3"/>
  <c r="D324" i="3"/>
  <c r="E325" i="3"/>
  <c r="C323" i="3" l="1"/>
  <c r="D323" i="3"/>
  <c r="H324" i="3"/>
  <c r="F324" i="3"/>
  <c r="E324" i="3"/>
  <c r="E323" i="3" l="1"/>
  <c r="C322" i="3"/>
  <c r="D322" i="3"/>
  <c r="F323" i="3"/>
  <c r="H323" i="3"/>
  <c r="C321" i="3" l="1"/>
  <c r="D321" i="3"/>
  <c r="H322" i="3"/>
  <c r="F322" i="3"/>
  <c r="E322" i="3"/>
  <c r="E321" i="3" l="1"/>
  <c r="C320" i="3"/>
  <c r="D320" i="3"/>
  <c r="F321" i="3"/>
  <c r="H321" i="3"/>
  <c r="D319" i="3" l="1"/>
  <c r="C319" i="3"/>
  <c r="H320" i="3"/>
  <c r="F320" i="3"/>
  <c r="E320" i="3"/>
  <c r="E319" i="3" l="1"/>
  <c r="F319" i="3"/>
  <c r="H319" i="3"/>
  <c r="C318" i="3"/>
  <c r="D318" i="3"/>
  <c r="H318" i="3" l="1"/>
  <c r="F318" i="3"/>
  <c r="D317" i="3"/>
  <c r="C317" i="3"/>
  <c r="E318" i="3"/>
  <c r="F317" i="3" l="1"/>
  <c r="H317" i="3"/>
  <c r="C316" i="3"/>
  <c r="D316" i="3"/>
  <c r="E317" i="3"/>
  <c r="C315" i="3" l="1"/>
  <c r="D315" i="3"/>
  <c r="E316" i="3"/>
  <c r="F316" i="3"/>
  <c r="H316" i="3"/>
  <c r="E315" i="3" l="1"/>
  <c r="C314" i="3"/>
  <c r="D314" i="3"/>
  <c r="H315" i="3"/>
  <c r="F315" i="3"/>
  <c r="D313" i="3" l="1"/>
  <c r="C313" i="3"/>
  <c r="H314" i="3"/>
  <c r="F314" i="3"/>
  <c r="E314" i="3"/>
  <c r="E313" i="3" l="1"/>
  <c r="H313" i="3"/>
  <c r="F313" i="3"/>
  <c r="C312" i="3"/>
  <c r="D312" i="3"/>
  <c r="D311" i="3" l="1"/>
  <c r="C311" i="3"/>
  <c r="H312" i="3"/>
  <c r="F312" i="3"/>
  <c r="E312" i="3"/>
  <c r="E311" i="3" l="1"/>
  <c r="F311" i="3"/>
  <c r="H311" i="3"/>
  <c r="C310" i="3"/>
  <c r="D310" i="3"/>
  <c r="C309" i="3" l="1"/>
  <c r="D309" i="3"/>
  <c r="F310" i="3"/>
  <c r="H310" i="3"/>
  <c r="E310" i="3"/>
  <c r="E309" i="3" l="1"/>
  <c r="C308" i="3"/>
  <c r="D308" i="3"/>
  <c r="F309" i="3"/>
  <c r="H309" i="3"/>
  <c r="C307" i="3" l="1"/>
  <c r="D307" i="3"/>
  <c r="H308" i="3"/>
  <c r="F308" i="3"/>
  <c r="E308" i="3"/>
  <c r="E307" i="3" l="1"/>
  <c r="C306" i="3"/>
  <c r="D306" i="3"/>
  <c r="F307" i="3"/>
  <c r="H307" i="3"/>
  <c r="E306" i="3" l="1"/>
  <c r="C305" i="3"/>
  <c r="D305" i="3"/>
  <c r="F306" i="3"/>
  <c r="H306" i="3"/>
  <c r="D304" i="3" l="1"/>
  <c r="C304" i="3"/>
  <c r="F305" i="3"/>
  <c r="H305" i="3"/>
  <c r="E305" i="3"/>
  <c r="E304" i="3" l="1"/>
  <c r="F304" i="3"/>
  <c r="H304" i="3"/>
  <c r="C303" i="3"/>
  <c r="D303" i="3"/>
  <c r="H303" i="3" l="1"/>
  <c r="F303" i="3"/>
  <c r="C302" i="3"/>
  <c r="D302" i="3"/>
  <c r="E303" i="3"/>
  <c r="E302" i="3" l="1"/>
  <c r="H302" i="3"/>
  <c r="F302" i="3"/>
  <c r="C301" i="3"/>
  <c r="D301" i="3"/>
  <c r="C300" i="3" l="1"/>
  <c r="D300" i="3"/>
  <c r="F301" i="3"/>
  <c r="H301" i="3"/>
  <c r="E301" i="3"/>
  <c r="E300" i="3" l="1"/>
  <c r="C299" i="3"/>
  <c r="D299" i="3"/>
  <c r="H300" i="3"/>
  <c r="F300" i="3"/>
  <c r="C298" i="3" l="1"/>
  <c r="D298" i="3"/>
  <c r="F299" i="3"/>
  <c r="H299" i="3"/>
  <c r="E299" i="3"/>
  <c r="E298" i="3" l="1"/>
  <c r="C297" i="3"/>
  <c r="D297" i="3"/>
  <c r="H298" i="3"/>
  <c r="F298" i="3"/>
  <c r="D296" i="3" l="1"/>
  <c r="C296" i="3"/>
  <c r="H297" i="3"/>
  <c r="F297" i="3"/>
  <c r="E297" i="3"/>
  <c r="E296" i="3" l="1"/>
  <c r="H296" i="3"/>
  <c r="F296" i="3"/>
  <c r="C295" i="3"/>
  <c r="D295" i="3"/>
  <c r="H295" i="3" l="1"/>
  <c r="F295" i="3"/>
  <c r="D294" i="3"/>
  <c r="C294" i="3"/>
  <c r="E295" i="3"/>
  <c r="E294" i="3" l="1"/>
  <c r="F294" i="3"/>
  <c r="H294" i="3"/>
  <c r="C293" i="3"/>
  <c r="D293" i="3"/>
  <c r="D292" i="3" l="1"/>
  <c r="C292" i="3"/>
  <c r="F293" i="3"/>
  <c r="H293" i="3"/>
  <c r="E293" i="3"/>
  <c r="E292" i="3" l="1"/>
  <c r="F292" i="3"/>
  <c r="H292" i="3"/>
  <c r="C291" i="3"/>
  <c r="D291" i="3"/>
  <c r="H291" i="3" l="1"/>
  <c r="F291" i="3"/>
  <c r="D290" i="3"/>
  <c r="C290" i="3"/>
  <c r="E291" i="3"/>
  <c r="E290" i="3" l="1"/>
  <c r="H290" i="3"/>
  <c r="F290" i="3"/>
  <c r="C289" i="3"/>
  <c r="D289" i="3"/>
  <c r="H289" i="3" l="1"/>
  <c r="F289" i="3"/>
  <c r="D288" i="3"/>
  <c r="C288" i="3"/>
  <c r="E289" i="3"/>
  <c r="E288" i="3" l="1"/>
  <c r="H288" i="3"/>
  <c r="F288" i="3"/>
  <c r="C287" i="3"/>
  <c r="D287" i="3"/>
  <c r="C286" i="3" l="1"/>
  <c r="D286" i="3"/>
  <c r="H287" i="3"/>
  <c r="F287" i="3"/>
  <c r="E287" i="3"/>
  <c r="E286" i="3" l="1"/>
  <c r="C285" i="3"/>
  <c r="D285" i="3"/>
  <c r="H286" i="3"/>
  <c r="F286" i="3"/>
  <c r="D284" i="3" l="1"/>
  <c r="C284" i="3"/>
  <c r="H285" i="3"/>
  <c r="F285" i="3"/>
  <c r="E285" i="3"/>
  <c r="E284" i="3" l="1"/>
  <c r="F284" i="3"/>
  <c r="H284" i="3"/>
  <c r="C283" i="3"/>
  <c r="D283" i="3"/>
  <c r="D282" i="3" l="1"/>
  <c r="C282" i="3"/>
  <c r="H283" i="3"/>
  <c r="F283" i="3"/>
  <c r="E283" i="3"/>
  <c r="E282" i="3" s="1"/>
  <c r="H282" i="3" l="1"/>
  <c r="F282" i="3"/>
  <c r="C281" i="3"/>
  <c r="D281" i="3"/>
  <c r="C280" i="3" l="1"/>
  <c r="D280" i="3"/>
  <c r="H281" i="3"/>
  <c r="F281" i="3"/>
  <c r="E281" i="3"/>
  <c r="E280" i="3" l="1"/>
  <c r="C279" i="3"/>
  <c r="D279" i="3"/>
  <c r="F280" i="3"/>
  <c r="H280" i="3"/>
  <c r="H279" i="3" l="1"/>
  <c r="F279" i="3"/>
  <c r="C278" i="3"/>
  <c r="D278" i="3"/>
  <c r="E279" i="3"/>
  <c r="C277" i="3" l="1"/>
  <c r="D277" i="3"/>
  <c r="F278" i="3"/>
  <c r="H278" i="3"/>
  <c r="E278" i="3"/>
  <c r="E277" i="3" l="1"/>
  <c r="D276" i="3"/>
  <c r="C276" i="3"/>
  <c r="H277" i="3"/>
  <c r="F277" i="3"/>
  <c r="H276" i="3" l="1"/>
  <c r="F276" i="3"/>
  <c r="D275" i="3"/>
  <c r="C275" i="3"/>
  <c r="E276" i="3"/>
  <c r="F275" i="3" l="1"/>
  <c r="H275" i="3"/>
  <c r="C274" i="3"/>
  <c r="D274" i="3"/>
  <c r="E275" i="3"/>
  <c r="C273" i="3" l="1"/>
  <c r="D273" i="3"/>
  <c r="H274" i="3"/>
  <c r="F274" i="3"/>
  <c r="E274" i="3"/>
  <c r="E273" i="3" l="1"/>
  <c r="C272" i="3"/>
  <c r="D272" i="3"/>
  <c r="H273" i="3"/>
  <c r="F273" i="3"/>
  <c r="H272" i="3" l="1"/>
  <c r="F272" i="3"/>
  <c r="D271" i="3"/>
  <c r="C271" i="3"/>
  <c r="E272" i="3"/>
  <c r="H271" i="3" l="1"/>
  <c r="F271" i="3"/>
  <c r="C270" i="3"/>
  <c r="D270" i="3"/>
  <c r="E271" i="3"/>
  <c r="E270" i="3" l="1"/>
  <c r="H270" i="3"/>
  <c r="F270" i="3"/>
  <c r="C269" i="3"/>
  <c r="D269" i="3"/>
  <c r="C268" i="3" l="1"/>
  <c r="D268" i="3"/>
  <c r="H269" i="3"/>
  <c r="F269" i="3"/>
  <c r="E269" i="3"/>
  <c r="E268" i="3" l="1"/>
  <c r="C267" i="3"/>
  <c r="D267" i="3"/>
  <c r="H268" i="3"/>
  <c r="F268" i="3"/>
  <c r="F267" i="3" l="1"/>
  <c r="H267" i="3"/>
  <c r="C266" i="3"/>
  <c r="D266" i="3"/>
  <c r="E267" i="3"/>
  <c r="C265" i="3" l="1"/>
  <c r="D265" i="3"/>
  <c r="H266" i="3"/>
  <c r="F266" i="3"/>
  <c r="E266" i="3"/>
  <c r="E265" i="3" l="1"/>
  <c r="C264" i="3"/>
  <c r="D264" i="3"/>
  <c r="H265" i="3"/>
  <c r="F265" i="3"/>
  <c r="D263" i="3" l="1"/>
  <c r="C263" i="3"/>
  <c r="H264" i="3"/>
  <c r="F264" i="3"/>
  <c r="E264" i="3"/>
  <c r="E263" i="3" s="1"/>
  <c r="H263" i="3" l="1"/>
  <c r="F263" i="3"/>
  <c r="D262" i="3"/>
  <c r="C262" i="3"/>
  <c r="H262" i="3" l="1"/>
  <c r="F262" i="3"/>
  <c r="D261" i="3"/>
  <c r="C261" i="3"/>
  <c r="E262" i="3"/>
  <c r="F261" i="3" l="1"/>
  <c r="H261" i="3"/>
  <c r="C260" i="3"/>
  <c r="D260" i="3"/>
  <c r="E261" i="3"/>
  <c r="C259" i="3" l="1"/>
  <c r="D259" i="3"/>
  <c r="F260" i="3"/>
  <c r="H260" i="3"/>
  <c r="E260" i="3"/>
  <c r="E259" i="3" l="1"/>
  <c r="C258" i="3"/>
  <c r="D258" i="3"/>
  <c r="H259" i="3"/>
  <c r="F259" i="3"/>
  <c r="D257" i="3" l="1"/>
  <c r="C257" i="3"/>
  <c r="H258" i="3"/>
  <c r="F258" i="3"/>
  <c r="E258" i="3"/>
  <c r="E257" i="3" l="1"/>
  <c r="F257" i="3"/>
  <c r="H257" i="3"/>
  <c r="C256" i="3"/>
  <c r="D256" i="3"/>
  <c r="D255" i="3" l="1"/>
  <c r="C255" i="3"/>
  <c r="H256" i="3"/>
  <c r="F256" i="3"/>
  <c r="E256" i="3"/>
  <c r="E255" i="3" l="1"/>
  <c r="H255" i="3"/>
  <c r="F255" i="3"/>
  <c r="C254" i="3"/>
  <c r="D254" i="3"/>
  <c r="D253" i="3" l="1"/>
  <c r="C253" i="3"/>
  <c r="H254" i="3"/>
  <c r="F254" i="3"/>
  <c r="E254" i="3"/>
  <c r="E253" i="3" l="1"/>
  <c r="H253" i="3"/>
  <c r="F253" i="3"/>
  <c r="C252" i="3"/>
  <c r="D252" i="3"/>
  <c r="C251" i="3" l="1"/>
  <c r="D251" i="3"/>
  <c r="H252" i="3"/>
  <c r="F252" i="3"/>
  <c r="E252" i="3"/>
  <c r="E251" i="3" l="1"/>
  <c r="C250" i="3"/>
  <c r="D250" i="3"/>
  <c r="H251" i="3"/>
  <c r="F251" i="3"/>
  <c r="D249" i="3" l="1"/>
  <c r="C249" i="3"/>
  <c r="H250" i="3"/>
  <c r="F250" i="3"/>
  <c r="E250" i="3"/>
  <c r="E249" i="3" l="1"/>
  <c r="H249" i="3"/>
  <c r="F249" i="3"/>
  <c r="C248" i="3"/>
  <c r="D248" i="3"/>
  <c r="H248" i="3" l="1"/>
  <c r="F248" i="3"/>
  <c r="D247" i="3"/>
  <c r="C247" i="3"/>
  <c r="E248" i="3"/>
  <c r="E247" i="3" l="1"/>
  <c r="F247" i="3"/>
  <c r="H247" i="3"/>
  <c r="C246" i="3"/>
  <c r="D246" i="3"/>
  <c r="F246" i="3" l="1"/>
  <c r="H246" i="3"/>
  <c r="C245" i="3"/>
  <c r="D245" i="3"/>
  <c r="E246" i="3"/>
  <c r="C244" i="3" l="1"/>
  <c r="D244" i="3"/>
  <c r="H245" i="3"/>
  <c r="F245" i="3"/>
  <c r="E245" i="3"/>
  <c r="E244" i="3" l="1"/>
  <c r="D243" i="3"/>
  <c r="C243" i="3"/>
  <c r="H244" i="3"/>
  <c r="F244" i="3"/>
  <c r="F243" i="3" l="1"/>
  <c r="H243" i="3"/>
  <c r="C242" i="3"/>
  <c r="D242" i="3"/>
  <c r="E243" i="3"/>
  <c r="D241" i="3" l="1"/>
  <c r="C241" i="3"/>
  <c r="E242" i="3"/>
  <c r="H242" i="3"/>
  <c r="F242" i="3"/>
  <c r="E241" i="3" l="1"/>
  <c r="H241" i="3"/>
  <c r="F241" i="3"/>
  <c r="C240" i="3"/>
  <c r="D240" i="3"/>
  <c r="C239" i="3" l="1"/>
  <c r="D239" i="3"/>
  <c r="H240" i="3"/>
  <c r="F240" i="3"/>
  <c r="E240" i="3"/>
  <c r="E239" i="3" l="1"/>
  <c r="C238" i="3"/>
  <c r="D238" i="3"/>
  <c r="F239" i="3"/>
  <c r="H239" i="3"/>
  <c r="D237" i="3" l="1"/>
  <c r="C237" i="3"/>
  <c r="H238" i="3"/>
  <c r="F238" i="3"/>
  <c r="E238" i="3"/>
  <c r="E237" i="3" l="1"/>
  <c r="H237" i="3"/>
  <c r="F237" i="3"/>
  <c r="C236" i="3"/>
  <c r="D236" i="3"/>
  <c r="C235" i="3" l="1"/>
  <c r="D235" i="3"/>
  <c r="H236" i="3"/>
  <c r="F236" i="3"/>
  <c r="E236" i="3"/>
  <c r="E235" i="3" l="1"/>
  <c r="C234" i="3"/>
  <c r="D234" i="3"/>
  <c r="H235" i="3"/>
  <c r="F235" i="3"/>
  <c r="C233" i="3" l="1"/>
  <c r="D233" i="3"/>
  <c r="F234" i="3"/>
  <c r="H234" i="3"/>
  <c r="E234" i="3"/>
  <c r="E233" i="3" l="1"/>
  <c r="C232" i="3"/>
  <c r="D232" i="3"/>
  <c r="F233" i="3"/>
  <c r="H233" i="3"/>
  <c r="D231" i="3" l="1"/>
  <c r="C231" i="3"/>
  <c r="H232" i="3"/>
  <c r="F232" i="3"/>
  <c r="E232" i="3"/>
  <c r="E231" i="3" l="1"/>
  <c r="H231" i="3"/>
  <c r="F231" i="3"/>
  <c r="C230" i="3"/>
  <c r="D230" i="3"/>
  <c r="C229" i="3" l="1"/>
  <c r="D229" i="3"/>
  <c r="H230" i="3"/>
  <c r="F230" i="3"/>
  <c r="E230" i="3"/>
  <c r="E229" i="3" l="1"/>
  <c r="C228" i="3"/>
  <c r="D228" i="3"/>
  <c r="H229" i="3"/>
  <c r="F229" i="3"/>
  <c r="C227" i="3" l="1"/>
  <c r="D227" i="3"/>
  <c r="H228" i="3"/>
  <c r="F228" i="3"/>
  <c r="E228" i="3"/>
  <c r="E227" i="3" l="1"/>
  <c r="C226" i="3"/>
  <c r="D226" i="3"/>
  <c r="F227" i="3"/>
  <c r="H227" i="3"/>
  <c r="D225" i="3" l="1"/>
  <c r="C225" i="3"/>
  <c r="H226" i="3"/>
  <c r="F226" i="3"/>
  <c r="E226" i="3"/>
  <c r="E225" i="3" s="1"/>
  <c r="H225" i="3" l="1"/>
  <c r="F225" i="3"/>
  <c r="C224" i="3"/>
  <c r="D224" i="3"/>
  <c r="D223" i="3" l="1"/>
  <c r="C223" i="3"/>
  <c r="H224" i="3"/>
  <c r="F224" i="3"/>
  <c r="E224" i="3"/>
  <c r="E223" i="3" l="1"/>
  <c r="H223" i="3"/>
  <c r="F223" i="3"/>
  <c r="C222" i="3"/>
  <c r="D222" i="3"/>
  <c r="C221" i="3" l="1"/>
  <c r="D221" i="3"/>
  <c r="H222" i="3"/>
  <c r="F222" i="3"/>
  <c r="E222" i="3"/>
  <c r="E221" i="3" l="1"/>
  <c r="C220" i="3"/>
  <c r="D220" i="3"/>
  <c r="F221" i="3"/>
  <c r="H221" i="3"/>
  <c r="D219" i="3" l="1"/>
  <c r="C219" i="3"/>
  <c r="H220" i="3"/>
  <c r="F220" i="3"/>
  <c r="E220" i="3"/>
  <c r="E219" i="3" l="1"/>
  <c r="H219" i="3"/>
  <c r="F219" i="3"/>
  <c r="C218" i="3"/>
  <c r="D218" i="3"/>
  <c r="F218" i="3" l="1"/>
  <c r="H218" i="3"/>
  <c r="C217" i="3"/>
  <c r="D217" i="3"/>
  <c r="E218" i="3"/>
  <c r="D216" i="3" l="1"/>
  <c r="C216" i="3"/>
  <c r="F217" i="3"/>
  <c r="H217" i="3"/>
  <c r="E217" i="3"/>
  <c r="E216" i="3" l="1"/>
  <c r="F216" i="3"/>
  <c r="H216" i="3"/>
  <c r="C215" i="3"/>
  <c r="D215" i="3"/>
  <c r="H215" i="3" l="1"/>
  <c r="F215" i="3"/>
  <c r="C214" i="3"/>
  <c r="D214" i="3"/>
  <c r="E215" i="3"/>
  <c r="E214" i="3" l="1"/>
  <c r="H214" i="3"/>
  <c r="F214" i="3"/>
  <c r="C213" i="3"/>
  <c r="D213" i="3"/>
  <c r="H213" i="3" l="1"/>
  <c r="F213" i="3"/>
  <c r="C212" i="3"/>
  <c r="D212" i="3"/>
  <c r="E213" i="3"/>
  <c r="E212" i="3" l="1"/>
  <c r="F212" i="3"/>
  <c r="H212" i="3"/>
  <c r="C211" i="3"/>
  <c r="D211" i="3"/>
  <c r="D210" i="3" l="1"/>
  <c r="C210" i="3"/>
  <c r="F211" i="3"/>
  <c r="H211" i="3"/>
  <c r="E211" i="3"/>
  <c r="E210" i="3" l="1"/>
  <c r="H210" i="3"/>
  <c r="F210" i="3"/>
  <c r="C209" i="3"/>
  <c r="D209" i="3"/>
  <c r="C208" i="3" l="1"/>
  <c r="D208" i="3"/>
  <c r="H209" i="3"/>
  <c r="F209" i="3"/>
  <c r="E209" i="3"/>
  <c r="E208" i="3" l="1"/>
  <c r="D207" i="3"/>
  <c r="C207" i="3"/>
  <c r="H208" i="3"/>
  <c r="F208" i="3"/>
  <c r="F207" i="3" l="1"/>
  <c r="H207" i="3"/>
  <c r="C206" i="3"/>
  <c r="D206" i="3"/>
  <c r="E207" i="3"/>
  <c r="C205" i="3" l="1"/>
  <c r="D205" i="3"/>
  <c r="F206" i="3"/>
  <c r="H206" i="3"/>
  <c r="E206" i="3"/>
  <c r="E205" i="3" l="1"/>
  <c r="C204" i="3"/>
  <c r="D204" i="3"/>
  <c r="F205" i="3"/>
  <c r="H205" i="3"/>
  <c r="D203" i="3" l="1"/>
  <c r="C203" i="3"/>
  <c r="H204" i="3"/>
  <c r="F204" i="3"/>
  <c r="E204" i="3"/>
  <c r="E203" i="3" l="1"/>
  <c r="H203" i="3"/>
  <c r="F203" i="3"/>
  <c r="C202" i="3"/>
  <c r="D202" i="3"/>
  <c r="D201" i="3" l="1"/>
  <c r="C201" i="3"/>
  <c r="H202" i="3"/>
  <c r="F202" i="3"/>
  <c r="E202" i="3"/>
  <c r="E201" i="3" l="1"/>
  <c r="H201" i="3"/>
  <c r="F201" i="3"/>
  <c r="C200" i="3"/>
  <c r="D200" i="3"/>
  <c r="C199" i="3" l="1"/>
  <c r="D199" i="3"/>
  <c r="H200" i="3"/>
  <c r="F200" i="3"/>
  <c r="E200" i="3"/>
  <c r="E199" i="3" l="1"/>
  <c r="C198" i="3"/>
  <c r="D198" i="3"/>
  <c r="F199" i="3"/>
  <c r="H199" i="3"/>
  <c r="C197" i="3" l="1"/>
  <c r="D197" i="3"/>
  <c r="H198" i="3"/>
  <c r="F198" i="3"/>
  <c r="E198" i="3"/>
  <c r="E197" i="3" l="1"/>
  <c r="C196" i="3"/>
  <c r="D196" i="3"/>
  <c r="H197" i="3"/>
  <c r="F197" i="3"/>
  <c r="C195" i="3" l="1"/>
  <c r="D195" i="3"/>
  <c r="H196" i="3"/>
  <c r="F196" i="3"/>
  <c r="E196" i="3"/>
  <c r="E195" i="3" l="1"/>
  <c r="C194" i="3"/>
  <c r="D194" i="3"/>
  <c r="H195" i="3"/>
  <c r="F195" i="3"/>
  <c r="D193" i="3" l="1"/>
  <c r="C193" i="3"/>
  <c r="H194" i="3"/>
  <c r="F194" i="3"/>
  <c r="E194" i="3"/>
  <c r="E193" i="3" l="1"/>
  <c r="F193" i="3"/>
  <c r="H193" i="3"/>
  <c r="C192" i="3"/>
  <c r="D192" i="3"/>
  <c r="C191" i="3" l="1"/>
  <c r="D191" i="3"/>
  <c r="F192" i="3"/>
  <c r="H192" i="3"/>
  <c r="E192" i="3"/>
  <c r="E191" i="3" l="1"/>
  <c r="C190" i="3"/>
  <c r="D190" i="3"/>
  <c r="H191" i="3"/>
  <c r="F191" i="3"/>
  <c r="D189" i="3" l="1"/>
  <c r="C189" i="3"/>
  <c r="H190" i="3"/>
  <c r="F190" i="3"/>
  <c r="E190" i="3"/>
  <c r="E189" i="3" l="1"/>
  <c r="H189" i="3"/>
  <c r="F189" i="3"/>
  <c r="C188" i="3"/>
  <c r="D188" i="3"/>
  <c r="C187" i="3" l="1"/>
  <c r="D187" i="3"/>
  <c r="F188" i="3"/>
  <c r="H188" i="3"/>
  <c r="E188" i="3"/>
  <c r="E187" i="3" l="1"/>
  <c r="C186" i="3"/>
  <c r="D186" i="3"/>
  <c r="H187" i="3"/>
  <c r="F187" i="3"/>
  <c r="C185" i="3" l="1"/>
  <c r="D185" i="3"/>
  <c r="H186" i="3"/>
  <c r="F186" i="3"/>
  <c r="E186" i="3"/>
  <c r="E185" i="3" l="1"/>
  <c r="C184" i="3"/>
  <c r="D184" i="3"/>
  <c r="H185" i="3"/>
  <c r="F185" i="3"/>
  <c r="C183" i="3" l="1"/>
  <c r="D183" i="3"/>
  <c r="H184" i="3"/>
  <c r="F184" i="3"/>
  <c r="E184" i="3"/>
  <c r="E183" i="3" l="1"/>
  <c r="C182" i="3"/>
  <c r="D182" i="3"/>
  <c r="F183" i="3"/>
  <c r="H183" i="3"/>
  <c r="C181" i="3" l="1"/>
  <c r="D181" i="3"/>
  <c r="F182" i="3"/>
  <c r="H182" i="3"/>
  <c r="E182" i="3"/>
  <c r="E181" i="3" l="1"/>
  <c r="C180" i="3"/>
  <c r="D180" i="3"/>
  <c r="H181" i="3"/>
  <c r="F181" i="3"/>
  <c r="D179" i="3" l="1"/>
  <c r="C179" i="3"/>
  <c r="H180" i="3"/>
  <c r="F180" i="3"/>
  <c r="E180" i="3"/>
  <c r="E179" i="3" l="1"/>
  <c r="H179" i="3"/>
  <c r="F179" i="3"/>
  <c r="C178" i="3"/>
  <c r="D178" i="3"/>
  <c r="C177" i="3" l="1"/>
  <c r="D177" i="3"/>
  <c r="F178" i="3"/>
  <c r="H178" i="3"/>
  <c r="E178" i="3"/>
  <c r="E177" i="3" l="1"/>
  <c r="C176" i="3"/>
  <c r="D176" i="3"/>
  <c r="F177" i="3"/>
  <c r="H177" i="3"/>
  <c r="C175" i="3" l="1"/>
  <c r="D175" i="3"/>
  <c r="H176" i="3"/>
  <c r="F176" i="3"/>
  <c r="E176" i="3"/>
  <c r="E175" i="3" l="1"/>
  <c r="C174" i="3"/>
  <c r="D174" i="3"/>
  <c r="H175" i="3"/>
  <c r="F175" i="3"/>
  <c r="C173" i="3" l="1"/>
  <c r="D173" i="3"/>
  <c r="H174" i="3"/>
  <c r="F174" i="3"/>
  <c r="E174" i="3"/>
  <c r="E173" i="3" l="1"/>
  <c r="C172" i="3"/>
  <c r="D172" i="3"/>
  <c r="F173" i="3"/>
  <c r="H173" i="3"/>
  <c r="C171" i="3" l="1"/>
  <c r="D171" i="3"/>
  <c r="F172" i="3"/>
  <c r="H172" i="3"/>
  <c r="E172" i="3"/>
  <c r="E171" i="3" l="1"/>
  <c r="D170" i="3"/>
  <c r="C170" i="3"/>
  <c r="H171" i="3"/>
  <c r="F171" i="3"/>
  <c r="H170" i="3" l="1"/>
  <c r="F170" i="3"/>
  <c r="C169" i="3"/>
  <c r="D169" i="3"/>
  <c r="E170" i="3"/>
  <c r="C168" i="3" l="1"/>
  <c r="D168" i="3"/>
  <c r="H169" i="3"/>
  <c r="F169" i="3"/>
  <c r="E169" i="3"/>
  <c r="E168" i="3" l="1"/>
  <c r="C167" i="3"/>
  <c r="D167" i="3"/>
  <c r="E167" i="3" s="1"/>
  <c r="F168" i="3"/>
  <c r="H168" i="3"/>
  <c r="C166" i="3" l="1"/>
  <c r="D166" i="3"/>
  <c r="H167" i="3"/>
  <c r="F167" i="3"/>
  <c r="C165" i="3" l="1"/>
  <c r="D165" i="3"/>
  <c r="F166" i="3"/>
  <c r="H166" i="3"/>
  <c r="E166" i="3"/>
  <c r="E165" i="3" l="1"/>
  <c r="C164" i="3"/>
  <c r="D164" i="3"/>
  <c r="F165" i="3"/>
  <c r="H165" i="3"/>
  <c r="C163" i="3" l="1"/>
  <c r="D163" i="3"/>
  <c r="F164" i="3"/>
  <c r="H164" i="3"/>
  <c r="E164" i="3"/>
  <c r="E163" i="3" l="1"/>
  <c r="C162" i="3"/>
  <c r="D162" i="3"/>
  <c r="H163" i="3"/>
  <c r="F163" i="3"/>
  <c r="C161" i="3" l="1"/>
  <c r="D161" i="3"/>
  <c r="F162" i="3"/>
  <c r="H162" i="3"/>
  <c r="E162" i="3"/>
  <c r="E161" i="3" l="1"/>
  <c r="C160" i="3"/>
  <c r="D160" i="3"/>
  <c r="F161" i="3"/>
  <c r="H161" i="3"/>
  <c r="D159" i="3" l="1"/>
  <c r="C159" i="3"/>
  <c r="H160" i="3"/>
  <c r="F160" i="3"/>
  <c r="E160" i="3"/>
  <c r="E159" i="3" l="1"/>
  <c r="H159" i="3"/>
  <c r="F159" i="3"/>
  <c r="C158" i="3"/>
  <c r="D158" i="3"/>
  <c r="H158" i="3" l="1"/>
  <c r="F158" i="3"/>
  <c r="D157" i="3"/>
  <c r="C157" i="3"/>
  <c r="E158" i="3"/>
  <c r="F157" i="3" l="1"/>
  <c r="H157" i="3"/>
  <c r="C156" i="3"/>
  <c r="D156" i="3"/>
  <c r="E157" i="3"/>
  <c r="D155" i="3" l="1"/>
  <c r="C155" i="3"/>
  <c r="E156" i="3"/>
  <c r="F156" i="3"/>
  <c r="H156" i="3"/>
  <c r="E155" i="3" l="1"/>
  <c r="F155" i="3"/>
  <c r="H155" i="3"/>
  <c r="C154" i="3"/>
  <c r="D154" i="3"/>
  <c r="D153" i="3" l="1"/>
  <c r="C153" i="3"/>
  <c r="H154" i="3"/>
  <c r="F154" i="3"/>
  <c r="E154" i="3"/>
  <c r="E153" i="3" l="1"/>
  <c r="F153" i="3"/>
  <c r="H153" i="3"/>
  <c r="C152" i="3"/>
  <c r="D152" i="3"/>
  <c r="F152" i="3" l="1"/>
  <c r="H152" i="3"/>
  <c r="C151" i="3"/>
  <c r="D151" i="3"/>
  <c r="E152" i="3"/>
  <c r="C150" i="3" l="1"/>
  <c r="D150" i="3"/>
  <c r="H151" i="3"/>
  <c r="F151" i="3"/>
  <c r="E151" i="3"/>
  <c r="E150" i="3" l="1"/>
  <c r="D149" i="3"/>
  <c r="C149" i="3"/>
  <c r="H150" i="3"/>
  <c r="F150" i="3"/>
  <c r="F149" i="3" l="1"/>
  <c r="H149" i="3"/>
  <c r="C148" i="3"/>
  <c r="D148" i="3"/>
  <c r="E149" i="3"/>
  <c r="C147" i="3" l="1"/>
  <c r="D147" i="3"/>
  <c r="F148" i="3"/>
  <c r="H148" i="3"/>
  <c r="E148" i="3"/>
  <c r="E147" i="3" l="1"/>
  <c r="C146" i="3"/>
  <c r="D146" i="3"/>
  <c r="F147" i="3"/>
  <c r="H147" i="3"/>
  <c r="D145" i="3" l="1"/>
  <c r="C145" i="3"/>
  <c r="H146" i="3"/>
  <c r="F146" i="3"/>
  <c r="E146" i="3"/>
  <c r="E145" i="3" l="1"/>
  <c r="H145" i="3"/>
  <c r="F145" i="3"/>
  <c r="C144" i="3"/>
  <c r="D144" i="3"/>
  <c r="C143" i="3" l="1"/>
  <c r="D143" i="3"/>
  <c r="F144" i="3"/>
  <c r="H144" i="3"/>
  <c r="E144" i="3"/>
  <c r="E143" i="3" l="1"/>
  <c r="C142" i="3"/>
  <c r="D142" i="3"/>
  <c r="H143" i="3"/>
  <c r="F143" i="3"/>
  <c r="C141" i="3" l="1"/>
  <c r="D141" i="3"/>
  <c r="H142" i="3"/>
  <c r="F142" i="3"/>
  <c r="E142" i="3"/>
  <c r="E141" i="3" l="1"/>
  <c r="C140" i="3"/>
  <c r="D140" i="3"/>
  <c r="F141" i="3"/>
  <c r="H141" i="3"/>
  <c r="C139" i="3" l="1"/>
  <c r="D139" i="3"/>
  <c r="F140" i="3"/>
  <c r="H140" i="3"/>
  <c r="E140" i="3"/>
  <c r="E139" i="3" l="1"/>
  <c r="C138" i="3"/>
  <c r="D138" i="3"/>
  <c r="H139" i="3"/>
  <c r="F139" i="3"/>
  <c r="C137" i="3" l="1"/>
  <c r="D137" i="3"/>
  <c r="H138" i="3"/>
  <c r="F138" i="3"/>
  <c r="E138" i="3"/>
  <c r="E137" i="3" l="1"/>
  <c r="D136" i="3"/>
  <c r="C136" i="3"/>
  <c r="H137" i="3"/>
  <c r="F137" i="3"/>
  <c r="H136" i="3" l="1"/>
  <c r="F136" i="3"/>
  <c r="D135" i="3"/>
  <c r="C135" i="3"/>
  <c r="E136" i="3"/>
  <c r="E135" i="3" l="1"/>
  <c r="C134" i="3"/>
  <c r="D134" i="3"/>
  <c r="F135" i="3"/>
  <c r="H135" i="3"/>
  <c r="D133" i="3" l="1"/>
  <c r="C133" i="3"/>
  <c r="F134" i="3"/>
  <c r="H134" i="3"/>
  <c r="E134" i="3"/>
  <c r="E133" i="3" l="1"/>
  <c r="F133" i="3"/>
  <c r="H133" i="3"/>
  <c r="C132" i="3"/>
  <c r="D132" i="3"/>
  <c r="H132" i="3" l="1"/>
  <c r="F132" i="3"/>
  <c r="C131" i="3"/>
  <c r="D131" i="3"/>
  <c r="E132" i="3"/>
  <c r="E131" i="3" l="1"/>
  <c r="F131" i="3"/>
  <c r="H131" i="3"/>
  <c r="D130" i="3"/>
  <c r="C130" i="3"/>
  <c r="D129" i="3" l="1"/>
  <c r="C129" i="3"/>
  <c r="F130" i="3"/>
  <c r="H130" i="3"/>
  <c r="E130" i="3"/>
  <c r="E129" i="3" s="1"/>
  <c r="F129" i="3" l="1"/>
  <c r="H129" i="3"/>
  <c r="D128" i="3"/>
  <c r="C128" i="3"/>
  <c r="F128" i="3" l="1"/>
  <c r="H128" i="3"/>
  <c r="C127" i="3"/>
  <c r="D127" i="3"/>
  <c r="E128" i="3"/>
  <c r="E127" i="3" l="1"/>
  <c r="H127" i="3"/>
  <c r="F127" i="3"/>
  <c r="D126" i="3"/>
  <c r="C126" i="3"/>
  <c r="H126" i="3" l="1"/>
  <c r="F126" i="3"/>
  <c r="C125" i="3"/>
  <c r="D125" i="3"/>
  <c r="E126" i="3"/>
  <c r="E125" i="3" l="1"/>
  <c r="D124" i="3"/>
  <c r="C124" i="3"/>
  <c r="F125" i="3"/>
  <c r="H125" i="3"/>
  <c r="F124" i="3" l="1"/>
  <c r="H124" i="3"/>
  <c r="C123" i="3"/>
  <c r="D123" i="3"/>
  <c r="E124" i="3"/>
  <c r="E123" i="3" l="1"/>
  <c r="D122" i="3"/>
  <c r="C122" i="3"/>
  <c r="H123" i="3"/>
  <c r="F123" i="3"/>
  <c r="H122" i="3" l="1"/>
  <c r="F122" i="3"/>
  <c r="C121" i="3"/>
  <c r="D121" i="3"/>
  <c r="E122" i="3"/>
  <c r="E121" i="3" l="1"/>
  <c r="H121" i="3"/>
  <c r="F121" i="3"/>
  <c r="C120" i="3"/>
  <c r="D120" i="3"/>
  <c r="D119" i="3" l="1"/>
  <c r="C119" i="3"/>
  <c r="F120" i="3"/>
  <c r="H120" i="3"/>
  <c r="E120" i="3"/>
  <c r="E119" i="3" l="1"/>
  <c r="F119" i="3"/>
  <c r="H119" i="3"/>
  <c r="D118" i="3"/>
  <c r="C118" i="3"/>
  <c r="C117" i="3" l="1"/>
  <c r="D117" i="3"/>
  <c r="H118" i="3"/>
  <c r="F118" i="3"/>
  <c r="E118" i="3"/>
  <c r="E117" i="3" l="1"/>
  <c r="C116" i="3"/>
  <c r="D116" i="3"/>
  <c r="F117" i="3"/>
  <c r="H117" i="3"/>
  <c r="C115" i="3" l="1"/>
  <c r="D115" i="3"/>
  <c r="F116" i="3"/>
  <c r="H116" i="3"/>
  <c r="E116" i="3"/>
  <c r="E115" i="3" l="1"/>
  <c r="C114" i="3"/>
  <c r="D114" i="3"/>
  <c r="H115" i="3"/>
  <c r="F115" i="3"/>
  <c r="C113" i="3" l="1"/>
  <c r="D113" i="3"/>
  <c r="H114" i="3"/>
  <c r="F114" i="3"/>
  <c r="E114" i="3"/>
  <c r="E113" i="3" l="1"/>
  <c r="C112" i="3"/>
  <c r="D112" i="3"/>
  <c r="H113" i="3"/>
  <c r="F113" i="3"/>
  <c r="D111" i="3" l="1"/>
  <c r="C111" i="3"/>
  <c r="F112" i="3"/>
  <c r="H112" i="3"/>
  <c r="E112" i="3"/>
  <c r="E111" i="3" l="1"/>
  <c r="F111" i="3"/>
  <c r="H111" i="3"/>
  <c r="D110" i="3"/>
  <c r="C110" i="3"/>
  <c r="F110" i="3" l="1"/>
  <c r="H110" i="3"/>
  <c r="C109" i="3"/>
  <c r="D109" i="3"/>
  <c r="E110" i="3"/>
  <c r="E109" i="3" l="1"/>
  <c r="H109" i="3"/>
  <c r="F109" i="3"/>
  <c r="D108" i="3"/>
  <c r="C108" i="3"/>
  <c r="F108" i="3" l="1"/>
  <c r="H108" i="3"/>
  <c r="C107" i="3"/>
  <c r="D107" i="3"/>
  <c r="E108" i="3"/>
  <c r="E107" i="3" l="1"/>
  <c r="F107" i="3"/>
  <c r="H107" i="3"/>
  <c r="D106" i="3"/>
  <c r="C106" i="3"/>
  <c r="D105" i="3" l="1"/>
  <c r="C105" i="3"/>
  <c r="H106" i="3"/>
  <c r="F106" i="3"/>
  <c r="E106" i="3"/>
  <c r="E105" i="3" l="1"/>
  <c r="H105" i="3"/>
  <c r="F105" i="3"/>
  <c r="D104" i="3"/>
  <c r="C104" i="3"/>
  <c r="H104" i="3" l="1"/>
  <c r="F104" i="3"/>
  <c r="C103" i="3"/>
  <c r="D103" i="3"/>
  <c r="E104" i="3"/>
  <c r="E103" i="3" l="1"/>
  <c r="F103" i="3"/>
  <c r="H103" i="3"/>
  <c r="C102" i="3"/>
  <c r="D102" i="3"/>
  <c r="F102" i="3" l="1"/>
  <c r="H102" i="3"/>
  <c r="D101" i="3"/>
  <c r="C101" i="3"/>
  <c r="E102" i="3"/>
  <c r="E101" i="3" l="1"/>
  <c r="F101" i="3"/>
  <c r="H101" i="3"/>
  <c r="C100" i="3"/>
  <c r="D100" i="3"/>
  <c r="C99" i="3" l="1"/>
  <c r="D99" i="3"/>
  <c r="F100" i="3"/>
  <c r="H100" i="3"/>
  <c r="E100" i="3"/>
  <c r="E99" i="3" l="1"/>
  <c r="C98" i="3"/>
  <c r="D98" i="3"/>
  <c r="H99" i="3"/>
  <c r="F99" i="3"/>
  <c r="D97" i="3" l="1"/>
  <c r="C97" i="3"/>
  <c r="F98" i="3"/>
  <c r="H98" i="3"/>
  <c r="E98" i="3"/>
  <c r="E97" i="3" l="1"/>
  <c r="F97" i="3"/>
  <c r="H97" i="3"/>
  <c r="C96" i="3"/>
  <c r="D96" i="3"/>
  <c r="C95" i="3" l="1"/>
  <c r="D95" i="3"/>
  <c r="F96" i="3"/>
  <c r="H96" i="3"/>
  <c r="E96" i="3"/>
  <c r="E95" i="3" l="1"/>
  <c r="D94" i="3"/>
  <c r="C94" i="3"/>
  <c r="F95" i="3"/>
  <c r="H95" i="3"/>
  <c r="F94" i="3" l="1"/>
  <c r="H94" i="3"/>
  <c r="C93" i="3"/>
  <c r="D93" i="3"/>
  <c r="E94" i="3"/>
  <c r="E93" i="3" l="1"/>
  <c r="C92" i="3"/>
  <c r="D92" i="3"/>
  <c r="F93" i="3"/>
  <c r="H93" i="3"/>
  <c r="C91" i="3" l="1"/>
  <c r="D91" i="3"/>
  <c r="H92" i="3"/>
  <c r="F92" i="3"/>
  <c r="E92" i="3"/>
  <c r="E91" i="3" l="1"/>
  <c r="D90" i="3"/>
  <c r="C90" i="3"/>
  <c r="F91" i="3"/>
  <c r="H91" i="3"/>
  <c r="F90" i="3" l="1"/>
  <c r="H90" i="3"/>
  <c r="D89" i="3"/>
  <c r="C89" i="3"/>
  <c r="E90" i="3"/>
  <c r="E89" i="3" l="1"/>
  <c r="C88" i="3"/>
  <c r="D88" i="3"/>
  <c r="H89" i="3"/>
  <c r="F89" i="3"/>
  <c r="D87" i="3" l="1"/>
  <c r="C87" i="3"/>
  <c r="H88" i="3"/>
  <c r="F88" i="3"/>
  <c r="E88" i="3"/>
  <c r="E87" i="3" l="1"/>
  <c r="F87" i="3"/>
  <c r="H87" i="3"/>
  <c r="C86" i="3"/>
  <c r="D86" i="3"/>
  <c r="H86" i="3" l="1"/>
  <c r="F86" i="3"/>
  <c r="D85" i="3"/>
  <c r="C85" i="3"/>
  <c r="E86" i="3"/>
  <c r="E85" i="3" l="1"/>
  <c r="C84" i="3"/>
  <c r="D84" i="3"/>
  <c r="F85" i="3"/>
  <c r="H85" i="3"/>
  <c r="D83" i="3" l="1"/>
  <c r="C83" i="3"/>
  <c r="H84" i="3"/>
  <c r="F84" i="3"/>
  <c r="E84" i="3"/>
  <c r="E83" i="3" l="1"/>
  <c r="F83" i="3"/>
  <c r="H83" i="3"/>
  <c r="D82" i="3"/>
  <c r="C82" i="3"/>
  <c r="C81" i="3" l="1"/>
  <c r="D81" i="3"/>
  <c r="H82" i="3"/>
  <c r="F82" i="3"/>
  <c r="E82" i="3"/>
  <c r="E81" i="3" l="1"/>
  <c r="C80" i="3"/>
  <c r="D80" i="3"/>
  <c r="H81" i="3"/>
  <c r="F81" i="3"/>
  <c r="H80" i="3" l="1"/>
  <c r="F80" i="3"/>
  <c r="C79" i="3"/>
  <c r="D79" i="3"/>
  <c r="E80" i="3"/>
  <c r="E79" i="3" l="1"/>
  <c r="H79" i="3"/>
  <c r="F79" i="3"/>
  <c r="C78" i="3"/>
  <c r="D78" i="3"/>
  <c r="D77" i="3" l="1"/>
  <c r="C77" i="3"/>
  <c r="H78" i="3"/>
  <c r="F78" i="3"/>
  <c r="E78" i="3"/>
  <c r="E77" i="3" l="1"/>
  <c r="F77" i="3"/>
  <c r="H77" i="3"/>
  <c r="C76" i="3"/>
  <c r="D76" i="3"/>
  <c r="F76" i="3" l="1"/>
  <c r="H76" i="3"/>
  <c r="C75" i="3"/>
  <c r="D75" i="3"/>
  <c r="E76" i="3"/>
  <c r="D74" i="3" l="1"/>
  <c r="C74" i="3"/>
  <c r="F75" i="3"/>
  <c r="H75" i="3"/>
  <c r="E75" i="3"/>
  <c r="E74" i="3" l="1"/>
  <c r="H74" i="3"/>
  <c r="F74" i="3"/>
  <c r="D73" i="3"/>
  <c r="C73" i="3"/>
  <c r="F73" i="3" l="1"/>
  <c r="H73" i="3"/>
  <c r="C72" i="3"/>
  <c r="D72" i="3"/>
  <c r="E73" i="3"/>
  <c r="D71" i="3" l="1"/>
  <c r="C71" i="3"/>
  <c r="H72" i="3"/>
  <c r="F72" i="3"/>
  <c r="E72" i="3"/>
  <c r="E71" i="3" l="1"/>
  <c r="H71" i="3"/>
  <c r="F71" i="3"/>
  <c r="C70" i="3"/>
  <c r="D70" i="3"/>
  <c r="D69" i="3" l="1"/>
  <c r="C69" i="3"/>
  <c r="H70" i="3"/>
  <c r="F70" i="3"/>
  <c r="E70" i="3"/>
  <c r="E69" i="3" l="1"/>
  <c r="H69" i="3"/>
  <c r="F69" i="3"/>
  <c r="C68" i="3"/>
  <c r="D68" i="3"/>
  <c r="C67" i="3" l="1"/>
  <c r="D67" i="3"/>
  <c r="F68" i="3"/>
  <c r="H68" i="3"/>
  <c r="E68" i="3"/>
  <c r="E67" i="3" l="1"/>
  <c r="C66" i="3"/>
  <c r="D66" i="3"/>
  <c r="H67" i="3"/>
  <c r="F67" i="3"/>
  <c r="D65" i="3" l="1"/>
  <c r="C65" i="3"/>
  <c r="H66" i="3"/>
  <c r="F66" i="3"/>
  <c r="E66" i="3"/>
  <c r="E65" i="3" l="1"/>
  <c r="F65" i="3"/>
  <c r="H65" i="3"/>
  <c r="C64" i="3"/>
  <c r="D64" i="3"/>
  <c r="H64" i="3" l="1"/>
  <c r="F64" i="3"/>
  <c r="D63" i="3"/>
  <c r="C63" i="3"/>
  <c r="E64" i="3"/>
  <c r="E63" i="3" l="1"/>
  <c r="C62" i="3"/>
  <c r="D62" i="3"/>
  <c r="F63" i="3"/>
  <c r="H63" i="3"/>
  <c r="D61" i="3" l="1"/>
  <c r="C61" i="3"/>
  <c r="H62" i="3"/>
  <c r="F62" i="3"/>
  <c r="E62" i="3"/>
  <c r="E61" i="3" l="1"/>
  <c r="H61" i="3"/>
  <c r="F61" i="3"/>
  <c r="C60" i="3"/>
  <c r="D60" i="3"/>
  <c r="C59" i="3" l="1"/>
  <c r="D59" i="3"/>
  <c r="H60" i="3"/>
  <c r="F60" i="3"/>
  <c r="E60" i="3"/>
  <c r="E59" i="3" l="1"/>
  <c r="D58" i="3"/>
  <c r="C58" i="3"/>
  <c r="F59" i="3"/>
  <c r="H59" i="3"/>
  <c r="C57" i="3" l="1"/>
  <c r="D57" i="3"/>
  <c r="H58" i="3"/>
  <c r="F58" i="3"/>
  <c r="E58" i="3"/>
  <c r="E57" i="3" l="1"/>
  <c r="C56" i="3"/>
  <c r="D56" i="3"/>
  <c r="H57" i="3"/>
  <c r="F57" i="3"/>
  <c r="C55" i="3" l="1"/>
  <c r="D55" i="3"/>
  <c r="F56" i="3"/>
  <c r="H56" i="3"/>
  <c r="E56" i="3"/>
  <c r="E55" i="3" l="1"/>
  <c r="C54" i="3"/>
  <c r="D54" i="3"/>
  <c r="F55" i="3"/>
  <c r="H55" i="3"/>
  <c r="C53" i="3" l="1"/>
  <c r="D53" i="3"/>
  <c r="F54" i="3"/>
  <c r="H54" i="3"/>
  <c r="E54" i="3"/>
  <c r="E53" i="3" l="1"/>
  <c r="C52" i="3"/>
  <c r="D52" i="3"/>
  <c r="F53" i="3"/>
  <c r="H53" i="3"/>
  <c r="C51" i="3" l="1"/>
  <c r="D51" i="3"/>
  <c r="H52" i="3"/>
  <c r="F52" i="3"/>
  <c r="E52" i="3"/>
  <c r="E51" i="3" l="1"/>
  <c r="C50" i="3"/>
  <c r="D50" i="3"/>
  <c r="F51" i="3"/>
  <c r="H51" i="3"/>
  <c r="C49" i="3" l="1"/>
  <c r="D49" i="3"/>
  <c r="F50" i="3"/>
  <c r="H50" i="3"/>
  <c r="E50" i="3"/>
  <c r="E49" i="3" l="1"/>
  <c r="C48" i="3"/>
  <c r="D48" i="3"/>
  <c r="F49" i="3"/>
  <c r="H49" i="3"/>
  <c r="C47" i="3" l="1"/>
  <c r="D47" i="3"/>
  <c r="H48" i="3"/>
  <c r="F48" i="3"/>
  <c r="E48" i="3"/>
  <c r="D46" i="3" l="1"/>
  <c r="C46" i="3"/>
  <c r="E47" i="3"/>
  <c r="F47" i="3"/>
  <c r="H47" i="3"/>
  <c r="E46" i="3" l="1"/>
  <c r="H46" i="3"/>
  <c r="F46" i="3"/>
  <c r="D45" i="3"/>
  <c r="C45" i="3"/>
  <c r="C44" i="3" l="1"/>
  <c r="D44" i="3"/>
  <c r="F45" i="3"/>
  <c r="H45" i="3"/>
  <c r="E45" i="3"/>
  <c r="E44" i="3" l="1"/>
  <c r="D43" i="3"/>
  <c r="C43" i="3"/>
  <c r="H44" i="3"/>
  <c r="F44" i="3"/>
  <c r="F43" i="3" l="1"/>
  <c r="H43" i="3"/>
  <c r="D42" i="3"/>
  <c r="C42" i="3"/>
  <c r="E43" i="3"/>
  <c r="E42" i="3" l="1"/>
  <c r="D41" i="3"/>
  <c r="C41" i="3"/>
  <c r="F42" i="3"/>
  <c r="H42" i="3"/>
  <c r="F41" i="3" l="1"/>
  <c r="H41" i="3"/>
  <c r="C40" i="3"/>
  <c r="D40" i="3"/>
  <c r="E41" i="3"/>
  <c r="E40" i="3" l="1"/>
  <c r="D39" i="3"/>
  <c r="C39" i="3"/>
  <c r="H40" i="3"/>
  <c r="F40" i="3"/>
  <c r="F39" i="3" l="1"/>
  <c r="H39" i="3"/>
  <c r="C38" i="3"/>
  <c r="D38" i="3"/>
  <c r="E39" i="3"/>
  <c r="E38" i="3" l="1"/>
  <c r="F38" i="3"/>
  <c r="H38" i="3"/>
  <c r="C37" i="3"/>
  <c r="D37" i="3"/>
  <c r="C36" i="3" l="1"/>
  <c r="D36" i="3"/>
  <c r="F37" i="3"/>
  <c r="H37" i="3"/>
  <c r="E37" i="3"/>
  <c r="E36" i="3" l="1"/>
  <c r="D35" i="3"/>
  <c r="E35" i="3" s="1"/>
  <c r="C35" i="3"/>
  <c r="H36" i="3"/>
  <c r="F36" i="3"/>
  <c r="F35" i="3" l="1"/>
  <c r="H35" i="3"/>
  <c r="C34" i="3"/>
  <c r="D34" i="3"/>
  <c r="D33" i="3" l="1"/>
  <c r="C33" i="3"/>
  <c r="H34" i="3"/>
  <c r="F34" i="3"/>
  <c r="E34" i="3"/>
  <c r="E33" i="3" l="1"/>
  <c r="F33" i="3"/>
  <c r="H33" i="3"/>
  <c r="D32" i="3"/>
  <c r="C32" i="3"/>
  <c r="D31" i="3" l="1"/>
  <c r="C31" i="3"/>
  <c r="F32" i="3"/>
  <c r="H32" i="3"/>
  <c r="E32" i="3"/>
  <c r="E31" i="3" l="1"/>
  <c r="H31" i="3"/>
  <c r="F31" i="3"/>
  <c r="D30" i="3"/>
  <c r="C30" i="3"/>
  <c r="F30" i="3" l="1"/>
  <c r="H30" i="3"/>
  <c r="D29" i="3"/>
  <c r="C29" i="3"/>
  <c r="E30" i="3"/>
  <c r="E29" i="3" l="1"/>
  <c r="H29" i="3"/>
  <c r="F29" i="3"/>
  <c r="D28" i="3"/>
  <c r="C28" i="3"/>
  <c r="F28" i="3" l="1"/>
  <c r="H28" i="3"/>
  <c r="C27" i="3"/>
  <c r="D27" i="3"/>
  <c r="E28" i="3"/>
  <c r="E27" i="3" l="1"/>
  <c r="H27" i="3"/>
  <c r="F27" i="3"/>
  <c r="D26" i="3"/>
  <c r="C26" i="3"/>
  <c r="D25" i="3" l="1"/>
  <c r="C25" i="3"/>
  <c r="H26" i="3"/>
  <c r="F26" i="3"/>
  <c r="E26" i="3"/>
  <c r="E25" i="3" l="1"/>
  <c r="H25" i="3"/>
  <c r="F25" i="3"/>
  <c r="C24" i="3"/>
  <c r="D24" i="3"/>
  <c r="H24" i="3" l="1"/>
  <c r="F24" i="3"/>
  <c r="C23" i="3"/>
  <c r="D23" i="3"/>
  <c r="E24" i="3"/>
  <c r="C22" i="3" l="1"/>
  <c r="D22" i="3"/>
  <c r="H23" i="3"/>
  <c r="F23" i="3"/>
  <c r="E23" i="3"/>
  <c r="E22" i="3" l="1"/>
  <c r="D21" i="3"/>
  <c r="C21" i="3"/>
  <c r="H22" i="3"/>
  <c r="F22" i="3"/>
  <c r="F21" i="3" l="1"/>
  <c r="H21" i="3"/>
  <c r="C20" i="3"/>
  <c r="D20" i="3"/>
  <c r="E21" i="3"/>
  <c r="D19" i="3" l="1"/>
  <c r="C19" i="3"/>
  <c r="E20" i="3"/>
  <c r="H20" i="3"/>
  <c r="F20" i="3"/>
  <c r="F19" i="3" l="1"/>
  <c r="H19" i="3"/>
  <c r="E19" i="3"/>
  <c r="D18" i="3"/>
  <c r="C18" i="3"/>
  <c r="H18" i="3" l="1"/>
  <c r="F18" i="3"/>
  <c r="E18" i="3"/>
  <c r="C17" i="3"/>
  <c r="D17" i="3"/>
  <c r="H17" i="3" l="1"/>
  <c r="F17" i="3"/>
  <c r="E17" i="3"/>
  <c r="D16" i="3"/>
  <c r="C16" i="3"/>
  <c r="H16" i="3" l="1"/>
  <c r="F16" i="3"/>
  <c r="C15" i="3"/>
  <c r="D15" i="3"/>
  <c r="E16" i="3"/>
  <c r="E15" i="3" l="1"/>
  <c r="H15" i="3"/>
  <c r="F15" i="3"/>
  <c r="C14" i="3"/>
  <c r="D14" i="3"/>
  <c r="F14" i="3" l="1"/>
  <c r="H14" i="3"/>
  <c r="D13" i="3"/>
  <c r="C13" i="3"/>
  <c r="E14" i="3"/>
  <c r="H13" i="3" l="1"/>
  <c r="F13" i="3"/>
  <c r="C12" i="3"/>
  <c r="D12" i="3"/>
  <c r="E13" i="3"/>
  <c r="C11" i="3" l="1"/>
  <c r="D11" i="3"/>
  <c r="H12" i="3"/>
  <c r="F12" i="3"/>
  <c r="E12" i="3"/>
  <c r="E11" i="3" l="1"/>
  <c r="C10" i="3"/>
  <c r="D10" i="3"/>
  <c r="H11" i="3"/>
  <c r="F11" i="3"/>
  <c r="C9" i="3" l="1"/>
  <c r="D9" i="3"/>
  <c r="F10" i="3"/>
  <c r="H10" i="3"/>
  <c r="E10" i="3"/>
  <c r="E9" i="3" l="1"/>
  <c r="D8" i="3"/>
  <c r="C8" i="3"/>
  <c r="F9" i="3"/>
  <c r="H9" i="3"/>
  <c r="E8" i="3" l="1"/>
  <c r="H8" i="3"/>
  <c r="F8" i="3"/>
  <c r="C7" i="3"/>
  <c r="D7" i="3"/>
  <c r="E7" i="3" l="1"/>
  <c r="D6" i="3"/>
  <c r="C6" i="3"/>
  <c r="H7" i="3"/>
  <c r="F7" i="3"/>
  <c r="H6" i="3" l="1"/>
  <c r="F6" i="3"/>
  <c r="E6" i="3"/>
  <c r="C6" i="7" s="1"/>
  <c r="CV145" i="1"/>
  <c r="DI145" i="1"/>
  <c r="CV86" i="1"/>
  <c r="CN86" i="1"/>
  <c r="DH86" i="1" s="1"/>
  <c r="CN87" i="1"/>
  <c r="CV87" i="1"/>
  <c r="CV119" i="1"/>
  <c r="CN119" i="1"/>
  <c r="CN77" i="1"/>
  <c r="CV77" i="1"/>
  <c r="CV92" i="1"/>
  <c r="CV135" i="1"/>
  <c r="CV91" i="1"/>
  <c r="CV53" i="1"/>
  <c r="CN99" i="1"/>
  <c r="DH99" i="1" s="1"/>
  <c r="CV99" i="1"/>
  <c r="CV126" i="1"/>
  <c r="CN124" i="1"/>
  <c r="DH124" i="1" s="1"/>
  <c r="CV124" i="1"/>
  <c r="CN64" i="1"/>
  <c r="DH64" i="1" s="1"/>
  <c r="CV64" i="1"/>
  <c r="CV114" i="1"/>
  <c r="CV9" i="1"/>
  <c r="CN9" i="1"/>
  <c r="CV113" i="1"/>
  <c r="CV90" i="1"/>
  <c r="CN90" i="1"/>
  <c r="DH90" i="1" s="1"/>
  <c r="CN137" i="1"/>
  <c r="DH137" i="1" s="1"/>
  <c r="CV137" i="1"/>
  <c r="CN133" i="1"/>
  <c r="DH133" i="1" s="1"/>
  <c r="CV133" i="1"/>
  <c r="CV144" i="1"/>
  <c r="CN21" i="1"/>
  <c r="CV21" i="1"/>
  <c r="CV76" i="1"/>
  <c r="CN76" i="1"/>
  <c r="CN17" i="1"/>
  <c r="CV17" i="1"/>
  <c r="CV55" i="1"/>
  <c r="CV136" i="1"/>
  <c r="CN136" i="1"/>
  <c r="CN79" i="1"/>
  <c r="DH79" i="1" s="1"/>
  <c r="CV79" i="1"/>
  <c r="CV143" i="1"/>
  <c r="CV131" i="1"/>
  <c r="CN131" i="1"/>
  <c r="DH131" i="1" s="1"/>
  <c r="CN20" i="1"/>
  <c r="CV20" i="1"/>
  <c r="CN128" i="1"/>
  <c r="DH128" i="1" s="1"/>
  <c r="CV128" i="1"/>
  <c r="CV44" i="1"/>
  <c r="CV60" i="1"/>
  <c r="CN60" i="1"/>
  <c r="DH60" i="1" s="1"/>
  <c r="CN110" i="1"/>
  <c r="DH110" i="1" s="1"/>
  <c r="CV110" i="1"/>
  <c r="CV57" i="1"/>
  <c r="CN132" i="1"/>
  <c r="DH132" i="1" s="1"/>
  <c r="CV132" i="1"/>
  <c r="CV28" i="1"/>
  <c r="CN28" i="1"/>
  <c r="CN125" i="1"/>
  <c r="DH125" i="1" s="1"/>
  <c r="CV125" i="1"/>
  <c r="CV100" i="1"/>
  <c r="CN100" i="1"/>
  <c r="DH100" i="1" s="1"/>
  <c r="CV33" i="1"/>
  <c r="CV35" i="1"/>
  <c r="CN82" i="1"/>
  <c r="DH82" i="1" s="1"/>
  <c r="CV82" i="1"/>
  <c r="CN31" i="1"/>
  <c r="DH31" i="1" s="1"/>
  <c r="CV31" i="1"/>
  <c r="CV27" i="1"/>
  <c r="CN81" i="1"/>
  <c r="DH81" i="1" s="1"/>
  <c r="CV81" i="1"/>
  <c r="CN45" i="1"/>
  <c r="DH45" i="1" s="1"/>
  <c r="CV45" i="1"/>
  <c r="CN112" i="1"/>
  <c r="CV112" i="1"/>
  <c r="CV85" i="1"/>
  <c r="CN139" i="1"/>
  <c r="DH139" i="1" s="1"/>
  <c r="CV139" i="1"/>
  <c r="CV41" i="1"/>
  <c r="CN27" i="1"/>
  <c r="DI27" i="1" s="1"/>
  <c r="CN143" i="1"/>
  <c r="CN58" i="1"/>
  <c r="DH58" i="1" s="1"/>
  <c r="CV58" i="1"/>
  <c r="CN138" i="1"/>
  <c r="DH138" i="1" s="1"/>
  <c r="CV138" i="1"/>
  <c r="CN130" i="1"/>
  <c r="DH130" i="1" s="1"/>
  <c r="CV130" i="1"/>
  <c r="CN129" i="1"/>
  <c r="DH129" i="1" s="1"/>
  <c r="CV129" i="1"/>
  <c r="CN59" i="1"/>
  <c r="DH59" i="1" s="1"/>
  <c r="CV59" i="1"/>
  <c r="CN111" i="1"/>
  <c r="DH111" i="1" s="1"/>
  <c r="CV111" i="1"/>
  <c r="CN84" i="1"/>
  <c r="DH84" i="1" s="1"/>
  <c r="CV84" i="1"/>
  <c r="CV8" i="1"/>
  <c r="CN135" i="1"/>
  <c r="CN44" i="1"/>
  <c r="DH44" i="1" s="1"/>
  <c r="CN91" i="1"/>
  <c r="CN33" i="1"/>
  <c r="DH33" i="1" s="1"/>
  <c r="CN53" i="1"/>
  <c r="DI53" i="1" s="1"/>
  <c r="CN41" i="1"/>
  <c r="DH41" i="1" s="1"/>
  <c r="CN83" i="1"/>
  <c r="CV83" i="1"/>
  <c r="CV66" i="1"/>
  <c r="CN123" i="1"/>
  <c r="DH123" i="1" s="1"/>
  <c r="CV123" i="1"/>
  <c r="CN156" i="1"/>
  <c r="CV156" i="1"/>
  <c r="CN32" i="1"/>
  <c r="CV32" i="1"/>
  <c r="CN122" i="1"/>
  <c r="DH122" i="1" s="1"/>
  <c r="CV122" i="1"/>
  <c r="CN142" i="1"/>
  <c r="DH142" i="1" s="1"/>
  <c r="CV142" i="1"/>
  <c r="CN34" i="1"/>
  <c r="DH34" i="1" s="1"/>
  <c r="CV34" i="1"/>
  <c r="CV101" i="1"/>
  <c r="CN66" i="1"/>
  <c r="DH66" i="1" s="1"/>
  <c r="CN113" i="1"/>
  <c r="DH113" i="1" s="1"/>
  <c r="CN8" i="1"/>
  <c r="CN55" i="1"/>
  <c r="CN101" i="1"/>
  <c r="DH101" i="1" s="1"/>
  <c r="CN92" i="1"/>
  <c r="DH92" i="1" s="1"/>
  <c r="CN141" i="1"/>
  <c r="DH141" i="1" s="1"/>
  <c r="CV141" i="1"/>
  <c r="CN89" i="1"/>
  <c r="CV89" i="1"/>
  <c r="CN10" i="1"/>
  <c r="DH10" i="1" s="1"/>
  <c r="CV10" i="1"/>
  <c r="CN120" i="1"/>
  <c r="DH120" i="1" s="1"/>
  <c r="CV120" i="1"/>
  <c r="CN38" i="1"/>
  <c r="DH38" i="1" s="1"/>
  <c r="CV38" i="1"/>
  <c r="CN121" i="1"/>
  <c r="DH121" i="1" s="1"/>
  <c r="CV121" i="1"/>
  <c r="CN78" i="1"/>
  <c r="DH78" i="1" s="1"/>
  <c r="CV78" i="1"/>
  <c r="CN109" i="1"/>
  <c r="DH109" i="1" s="1"/>
  <c r="CV109" i="1"/>
  <c r="CN46" i="1"/>
  <c r="DH46" i="1" s="1"/>
  <c r="CV46" i="1"/>
  <c r="CN126" i="1"/>
  <c r="DH126" i="1" s="1"/>
  <c r="CV37" i="1"/>
  <c r="CV88" i="1"/>
  <c r="CN88" i="1"/>
  <c r="DH88" i="1" s="1"/>
  <c r="CN144" i="1"/>
  <c r="CN57" i="1"/>
  <c r="DH57" i="1" s="1"/>
  <c r="CN37" i="1"/>
  <c r="DH37" i="1" s="1"/>
  <c r="CN35" i="1"/>
  <c r="DH35" i="1" s="1"/>
  <c r="CN85" i="1"/>
  <c r="CN114" i="1"/>
  <c r="DH114" i="1" s="1"/>
  <c r="DI35" i="1" l="1"/>
  <c r="DI92" i="1"/>
  <c r="DI37" i="1"/>
  <c r="DI44" i="1"/>
  <c r="CO156" i="1"/>
  <c r="DH156" i="1"/>
  <c r="DI156" i="1" s="1"/>
  <c r="DI28" i="1"/>
  <c r="DH28" i="1"/>
  <c r="DL28" i="1" s="1"/>
  <c r="DI76" i="1"/>
  <c r="DH76" i="1"/>
  <c r="DI55" i="1"/>
  <c r="DH55" i="1"/>
  <c r="DL55" i="1" s="1"/>
  <c r="DH135" i="1"/>
  <c r="DI135" i="1" s="1"/>
  <c r="CO27" i="1"/>
  <c r="DH27" i="1"/>
  <c r="DI119" i="1"/>
  <c r="DH119" i="1"/>
  <c r="DL119" i="1" s="1"/>
  <c r="DI130" i="1"/>
  <c r="DI8" i="1"/>
  <c r="DH8" i="1"/>
  <c r="DL8" i="1" s="1"/>
  <c r="DI89" i="1"/>
  <c r="DH89" i="1"/>
  <c r="DL89" i="1" s="1"/>
  <c r="DI113" i="1"/>
  <c r="CO53" i="1"/>
  <c r="DH53" i="1"/>
  <c r="DL53" i="1" s="1"/>
  <c r="DI17" i="1"/>
  <c r="DH17" i="1"/>
  <c r="DL17" i="1" s="1"/>
  <c r="DH21" i="1"/>
  <c r="DJ21" i="1" s="1"/>
  <c r="DI114" i="1"/>
  <c r="DI126" i="1"/>
  <c r="DI33" i="1"/>
  <c r="DI112" i="1"/>
  <c r="DH112" i="1"/>
  <c r="DL112" i="1" s="1"/>
  <c r="CO87" i="1"/>
  <c r="DH87" i="1"/>
  <c r="DL87" i="1" s="1"/>
  <c r="DI87" i="1"/>
  <c r="DI20" i="1"/>
  <c r="DH20" i="1"/>
  <c r="DL20" i="1" s="1"/>
  <c r="CO136" i="1"/>
  <c r="DH136" i="1"/>
  <c r="DI136" i="1" s="1"/>
  <c r="CO77" i="1"/>
  <c r="DH77" i="1"/>
  <c r="DL77" i="1" s="1"/>
  <c r="DI85" i="1"/>
  <c r="DH85" i="1"/>
  <c r="DL85" i="1" s="1"/>
  <c r="DH144" i="1"/>
  <c r="DL144" i="1" s="1"/>
  <c r="CO32" i="1"/>
  <c r="DH32" i="1"/>
  <c r="DL32" i="1" s="1"/>
  <c r="CO83" i="1"/>
  <c r="DH83" i="1"/>
  <c r="DL83" i="1" s="1"/>
  <c r="DI91" i="1"/>
  <c r="DH91" i="1"/>
  <c r="DI9" i="1"/>
  <c r="DH9" i="1"/>
  <c r="DL9" i="1" s="1"/>
  <c r="CO143" i="1"/>
  <c r="DH143" i="1"/>
  <c r="DI143" i="1" s="1"/>
  <c r="CO41" i="1"/>
  <c r="CO131" i="1"/>
  <c r="CO114" i="1"/>
  <c r="DL88" i="1"/>
  <c r="CO88" i="1"/>
  <c r="DI88" i="1"/>
  <c r="DL101" i="1"/>
  <c r="DI101" i="1"/>
  <c r="CO101" i="1"/>
  <c r="DI100" i="1"/>
  <c r="CO100" i="1"/>
  <c r="DL100" i="1"/>
  <c r="CO79" i="1"/>
  <c r="DI79" i="1"/>
  <c r="CO35" i="1"/>
  <c r="DL37" i="1"/>
  <c r="CO37" i="1"/>
  <c r="DL126" i="1"/>
  <c r="CO126" i="1"/>
  <c r="DI10" i="1"/>
  <c r="CO10" i="1"/>
  <c r="CO55" i="1"/>
  <c r="DJ131" i="1"/>
  <c r="DK131" i="1"/>
  <c r="DJ130" i="1"/>
  <c r="DK130" i="1"/>
  <c r="DI57" i="1"/>
  <c r="CO121" i="1"/>
  <c r="DI121" i="1"/>
  <c r="CO89" i="1"/>
  <c r="DK58" i="1"/>
  <c r="DJ58" i="1"/>
  <c r="CO46" i="1"/>
  <c r="DI46" i="1"/>
  <c r="CO109" i="1"/>
  <c r="DI109" i="1"/>
  <c r="CO38" i="1"/>
  <c r="DI38" i="1"/>
  <c r="DL141" i="1"/>
  <c r="CO141" i="1"/>
  <c r="DI141" i="1"/>
  <c r="DK128" i="1"/>
  <c r="DJ128" i="1"/>
  <c r="DI124" i="1"/>
  <c r="CO124" i="1"/>
  <c r="CO85" i="1"/>
  <c r="DK92" i="1"/>
  <c r="DJ92" i="1"/>
  <c r="DK113" i="1"/>
  <c r="DJ113" i="1"/>
  <c r="DK111" i="1"/>
  <c r="DJ111" i="1"/>
  <c r="DK31" i="1"/>
  <c r="DJ31" i="1"/>
  <c r="DL133" i="1"/>
  <c r="CO133" i="1"/>
  <c r="DI133" i="1"/>
  <c r="CO57" i="1"/>
  <c r="CO144" i="1"/>
  <c r="DI78" i="1"/>
  <c r="CO78" i="1"/>
  <c r="DL78" i="1"/>
  <c r="CO120" i="1"/>
  <c r="DL120" i="1"/>
  <c r="DI120" i="1"/>
  <c r="CO66" i="1"/>
  <c r="DI66" i="1"/>
  <c r="DL128" i="1"/>
  <c r="CO142" i="1"/>
  <c r="DL142" i="1"/>
  <c r="DI142" i="1"/>
  <c r="CO33" i="1"/>
  <c r="DI139" i="1"/>
  <c r="CO139" i="1"/>
  <c r="DL139" i="1"/>
  <c r="CO45" i="1"/>
  <c r="DI45" i="1"/>
  <c r="DL125" i="1"/>
  <c r="CO125" i="1"/>
  <c r="CO60" i="1"/>
  <c r="DL60" i="1"/>
  <c r="DI86" i="1"/>
  <c r="CO86" i="1"/>
  <c r="DI58" i="1"/>
  <c r="DI60" i="1"/>
  <c r="H51" i="50"/>
  <c r="CO91" i="1"/>
  <c r="CO135" i="1"/>
  <c r="CO111" i="1"/>
  <c r="DL111" i="1"/>
  <c r="CO130" i="1"/>
  <c r="DL130" i="1"/>
  <c r="DI82" i="1"/>
  <c r="CO82" i="1"/>
  <c r="DL92" i="1"/>
  <c r="CO28" i="1"/>
  <c r="F21" i="50"/>
  <c r="DI137" i="1"/>
  <c r="CO137" i="1"/>
  <c r="CO64" i="1"/>
  <c r="DI77" i="1"/>
  <c r="DI99" i="1"/>
  <c r="CO145" i="1"/>
  <c r="DL145" i="1"/>
  <c r="DI111" i="1"/>
  <c r="DL31" i="1"/>
  <c r="CO20" i="1"/>
  <c r="CO122" i="1"/>
  <c r="DI41" i="1"/>
  <c r="DI81" i="1"/>
  <c r="DL81" i="1"/>
  <c r="CO81" i="1"/>
  <c r="CO92" i="1"/>
  <c r="DL90" i="1"/>
  <c r="CO90" i="1"/>
  <c r="CO76" i="1"/>
  <c r="DI34" i="1"/>
  <c r="DI122" i="1"/>
  <c r="DL99" i="1"/>
  <c r="DI110" i="1"/>
  <c r="DI131" i="1"/>
  <c r="CO31" i="1"/>
  <c r="CO58" i="1"/>
  <c r="CO8" i="1"/>
  <c r="CO59" i="1"/>
  <c r="DI59" i="1"/>
  <c r="DL138" i="1"/>
  <c r="CO138" i="1"/>
  <c r="DI138" i="1"/>
  <c r="DI90" i="1"/>
  <c r="DI31" i="1"/>
  <c r="DL110" i="1"/>
  <c r="CO110" i="1"/>
  <c r="DL58" i="1"/>
  <c r="DL122" i="1"/>
  <c r="CO113" i="1"/>
  <c r="DI32" i="1"/>
  <c r="CO44" i="1"/>
  <c r="DL44" i="1"/>
  <c r="DI132" i="1"/>
  <c r="CO132" i="1"/>
  <c r="DL132" i="1"/>
  <c r="DI21" i="1"/>
  <c r="CO21" i="1"/>
  <c r="CO128" i="1"/>
  <c r="DL113" i="1"/>
  <c r="CO99" i="1"/>
  <c r="CO119" i="1"/>
  <c r="CO123" i="1"/>
  <c r="DL123" i="1"/>
  <c r="CO112" i="1"/>
  <c r="CO17" i="1"/>
  <c r="DI128" i="1"/>
  <c r="DI64" i="1"/>
  <c r="DI125" i="1"/>
  <c r="CO34" i="1"/>
  <c r="DL131" i="1"/>
  <c r="CO84" i="1"/>
  <c r="DI84" i="1"/>
  <c r="CO129" i="1"/>
  <c r="DI129" i="1"/>
  <c r="DL129" i="1"/>
  <c r="DI83" i="1"/>
  <c r="CO9" i="1"/>
  <c r="DI123" i="1"/>
  <c r="F23" i="50"/>
  <c r="F54" i="50"/>
  <c r="F63" i="50"/>
  <c r="F61" i="50"/>
  <c r="H63" i="50"/>
  <c r="F50" i="50"/>
  <c r="F53" i="50"/>
  <c r="F17" i="50"/>
  <c r="F19" i="50"/>
  <c r="F15" i="50"/>
  <c r="F16" i="50"/>
  <c r="H61" i="50"/>
  <c r="F55" i="50"/>
  <c r="G55" i="50"/>
  <c r="F18" i="50"/>
  <c r="H54" i="50"/>
  <c r="G51" i="50"/>
  <c r="G54" i="50"/>
  <c r="F51" i="50"/>
  <c r="F20" i="50"/>
  <c r="H53" i="50"/>
  <c r="G63" i="50"/>
  <c r="H50" i="50"/>
  <c r="G62" i="50"/>
  <c r="F22" i="50"/>
  <c r="F14" i="50"/>
  <c r="G61" i="50"/>
  <c r="F62" i="50"/>
  <c r="H55" i="50"/>
  <c r="G50" i="50"/>
  <c r="F52" i="50"/>
  <c r="G53" i="50"/>
  <c r="H62" i="50"/>
  <c r="G52" i="50"/>
  <c r="H52" i="50"/>
  <c r="DI144" i="1" l="1"/>
  <c r="H49" i="50"/>
  <c r="H60" i="50" s="1"/>
  <c r="G49" i="50"/>
  <c r="G60" i="50" s="1"/>
  <c r="F49" i="50"/>
  <c r="F60" i="50" s="1"/>
  <c r="DL21" i="1"/>
  <c r="DK21" i="1"/>
  <c r="DM128" i="1"/>
  <c r="DN128" i="1" s="1"/>
  <c r="DO128" i="1" s="1"/>
  <c r="DM111" i="1"/>
  <c r="DQ111" i="1" s="1"/>
  <c r="DM31" i="1"/>
  <c r="DQ31" i="1" s="1"/>
  <c r="DM130" i="1"/>
  <c r="DN130" i="1" s="1"/>
  <c r="DO130" i="1" s="1"/>
  <c r="DM113" i="1"/>
  <c r="DN113" i="1" s="1"/>
  <c r="DO113" i="1" s="1"/>
  <c r="DJ119" i="1"/>
  <c r="DK119" i="1"/>
  <c r="DK17" i="1"/>
  <c r="DJ17" i="1"/>
  <c r="DJ76" i="1"/>
  <c r="DK76" i="1"/>
  <c r="DJ136" i="1"/>
  <c r="DK136" i="1"/>
  <c r="DL76" i="1"/>
  <c r="DJ137" i="1"/>
  <c r="DK137" i="1"/>
  <c r="DJ82" i="1"/>
  <c r="DK82" i="1"/>
  <c r="DK135" i="1"/>
  <c r="DJ135" i="1"/>
  <c r="DK34" i="1"/>
  <c r="DJ34" i="1"/>
  <c r="DJ45" i="1"/>
  <c r="DK45" i="1"/>
  <c r="DK66" i="1"/>
  <c r="DJ66" i="1"/>
  <c r="DJ126" i="1"/>
  <c r="DK126" i="1"/>
  <c r="DK20" i="1"/>
  <c r="DJ20" i="1"/>
  <c r="DK41" i="1"/>
  <c r="DJ41" i="1"/>
  <c r="DJ53" i="1"/>
  <c r="DK53" i="1"/>
  <c r="DJ87" i="1"/>
  <c r="DK87" i="1"/>
  <c r="DK86" i="1"/>
  <c r="DJ86" i="1"/>
  <c r="DJ125" i="1"/>
  <c r="DK125" i="1"/>
  <c r="DJ57" i="1"/>
  <c r="DK57" i="1"/>
  <c r="DK109" i="1"/>
  <c r="DJ109" i="1"/>
  <c r="DJ121" i="1"/>
  <c r="DK121" i="1"/>
  <c r="DJ79" i="1"/>
  <c r="DK79" i="1"/>
  <c r="DL57" i="1"/>
  <c r="DK9" i="1"/>
  <c r="DJ9" i="1"/>
  <c r="DK84" i="1"/>
  <c r="DJ84" i="1"/>
  <c r="DK91" i="1"/>
  <c r="DJ91" i="1"/>
  <c r="DK156" i="1"/>
  <c r="DJ156" i="1"/>
  <c r="DL156" i="1"/>
  <c r="DK59" i="1"/>
  <c r="DJ59" i="1"/>
  <c r="DL137" i="1"/>
  <c r="DK28" i="1"/>
  <c r="DJ28" i="1"/>
  <c r="DL91" i="1"/>
  <c r="DK33" i="1"/>
  <c r="DJ33" i="1"/>
  <c r="DL121" i="1"/>
  <c r="DJ88" i="1"/>
  <c r="DK88" i="1"/>
  <c r="F24" i="50"/>
  <c r="G20" i="50" s="1"/>
  <c r="DL84" i="1"/>
  <c r="DQ128" i="1"/>
  <c r="DJ44" i="1"/>
  <c r="DK44" i="1"/>
  <c r="DK122" i="1"/>
  <c r="DJ122" i="1"/>
  <c r="DM131" i="1"/>
  <c r="DK90" i="1"/>
  <c r="DJ90" i="1"/>
  <c r="DK81" i="1"/>
  <c r="DJ81" i="1"/>
  <c r="DK32" i="1"/>
  <c r="DJ32" i="1"/>
  <c r="DL33" i="1"/>
  <c r="DJ124" i="1"/>
  <c r="DK124" i="1"/>
  <c r="DK141" i="1"/>
  <c r="DJ141" i="1"/>
  <c r="DL109" i="1"/>
  <c r="DK85" i="1"/>
  <c r="DJ85" i="1"/>
  <c r="DJ83" i="1"/>
  <c r="DK83" i="1"/>
  <c r="DK123" i="1"/>
  <c r="DJ123" i="1"/>
  <c r="DL27" i="1"/>
  <c r="DK27" i="1"/>
  <c r="DJ27" i="1"/>
  <c r="DL59" i="1"/>
  <c r="DL136" i="1"/>
  <c r="DM58" i="1"/>
  <c r="DJ139" i="1"/>
  <c r="DK139" i="1"/>
  <c r="DJ120" i="1"/>
  <c r="DK120" i="1"/>
  <c r="DL124" i="1"/>
  <c r="DK38" i="1"/>
  <c r="DJ38" i="1"/>
  <c r="DK46" i="1"/>
  <c r="DJ46" i="1"/>
  <c r="DJ10" i="1"/>
  <c r="DK10" i="1"/>
  <c r="DJ37" i="1"/>
  <c r="DK37" i="1"/>
  <c r="DL79" i="1"/>
  <c r="DK114" i="1"/>
  <c r="DJ114" i="1"/>
  <c r="DK129" i="1"/>
  <c r="DJ129" i="1"/>
  <c r="DJ112" i="1"/>
  <c r="DK112" i="1"/>
  <c r="DK77" i="1"/>
  <c r="DJ77" i="1"/>
  <c r="DK99" i="1"/>
  <c r="DJ99" i="1"/>
  <c r="DJ64" i="1"/>
  <c r="DK64" i="1"/>
  <c r="DL64" i="1"/>
  <c r="DJ142" i="1"/>
  <c r="DK142" i="1"/>
  <c r="DK35" i="1"/>
  <c r="DJ35" i="1"/>
  <c r="DL114" i="1"/>
  <c r="DK132" i="1"/>
  <c r="DJ132" i="1"/>
  <c r="DK143" i="1"/>
  <c r="DJ143" i="1"/>
  <c r="DL143" i="1"/>
  <c r="DJ145" i="1"/>
  <c r="DK145" i="1"/>
  <c r="DL45" i="1"/>
  <c r="DJ78" i="1"/>
  <c r="DK78" i="1"/>
  <c r="DJ144" i="1"/>
  <c r="DK144" i="1"/>
  <c r="DM92" i="1"/>
  <c r="DL41" i="1"/>
  <c r="DL46" i="1"/>
  <c r="DL35" i="1"/>
  <c r="DK100" i="1"/>
  <c r="DJ100" i="1"/>
  <c r="DJ101" i="1"/>
  <c r="DK101" i="1"/>
  <c r="DJ110" i="1"/>
  <c r="DK110" i="1"/>
  <c r="DK138" i="1"/>
  <c r="DJ138" i="1"/>
  <c r="DK8" i="1"/>
  <c r="DJ8" i="1"/>
  <c r="DL82" i="1"/>
  <c r="DL135" i="1"/>
  <c r="DJ60" i="1"/>
  <c r="DK60" i="1"/>
  <c r="DL86" i="1"/>
  <c r="DL66" i="1"/>
  <c r="DJ133" i="1"/>
  <c r="DK133" i="1"/>
  <c r="DL38" i="1"/>
  <c r="DL34" i="1"/>
  <c r="DK89" i="1"/>
  <c r="DJ89" i="1"/>
  <c r="DK55" i="1"/>
  <c r="DJ55" i="1"/>
  <c r="DL10" i="1"/>
  <c r="DN92" i="1" l="1"/>
  <c r="DQ92" i="1"/>
  <c r="DN31" i="1"/>
  <c r="DO31" i="1" s="1"/>
  <c r="DN111" i="1"/>
  <c r="DO111" i="1" s="1"/>
  <c r="DM21" i="1"/>
  <c r="DQ21" i="1" s="1"/>
  <c r="DM90" i="1"/>
  <c r="DN90" i="1" s="1"/>
  <c r="DO90" i="1" s="1"/>
  <c r="DM141" i="1"/>
  <c r="DM122" i="1"/>
  <c r="DQ122" i="1" s="1"/>
  <c r="DM46" i="1"/>
  <c r="DN46" i="1" s="1"/>
  <c r="DM41" i="1"/>
  <c r="DN41" i="1" s="1"/>
  <c r="DO41" i="1" s="1"/>
  <c r="DM129" i="1"/>
  <c r="DM86" i="1"/>
  <c r="DQ86" i="1" s="1"/>
  <c r="DM136" i="1"/>
  <c r="G19" i="50"/>
  <c r="G18" i="50"/>
  <c r="G23" i="50"/>
  <c r="G17" i="50"/>
  <c r="G22" i="50"/>
  <c r="G21" i="50"/>
  <c r="DM32" i="1"/>
  <c r="DQ32" i="1" s="1"/>
  <c r="DM44" i="1"/>
  <c r="DN44" i="1" s="1"/>
  <c r="DO44" i="1" s="1"/>
  <c r="DM88" i="1"/>
  <c r="DQ88" i="1" s="1"/>
  <c r="DQ130" i="1"/>
  <c r="DM137" i="1"/>
  <c r="DM81" i="1"/>
  <c r="DM121" i="1"/>
  <c r="DQ121" i="1" s="1"/>
  <c r="DM45" i="1"/>
  <c r="DN45" i="1" s="1"/>
  <c r="DO45" i="1" s="1"/>
  <c r="DM156" i="1"/>
  <c r="DN156" i="1" s="1"/>
  <c r="DM101" i="1"/>
  <c r="DN101" i="1" s="1"/>
  <c r="DO101" i="1" s="1"/>
  <c r="DM124" i="1"/>
  <c r="DQ124" i="1" s="1"/>
  <c r="DM20" i="1"/>
  <c r="DM66" i="1"/>
  <c r="DN66" i="1" s="1"/>
  <c r="DM82" i="1"/>
  <c r="DQ82" i="1" s="1"/>
  <c r="DM57" i="1"/>
  <c r="DQ57" i="1" s="1"/>
  <c r="DQ113" i="1"/>
  <c r="DM85" i="1"/>
  <c r="DM38" i="1"/>
  <c r="DN38" i="1" s="1"/>
  <c r="DM139" i="1"/>
  <c r="DN139" i="1" s="1"/>
  <c r="DO139" i="1" s="1"/>
  <c r="DM142" i="1"/>
  <c r="DQ142" i="1" s="1"/>
  <c r="DM10" i="1"/>
  <c r="DQ10" i="1" s="1"/>
  <c r="DM144" i="1"/>
  <c r="DN144" i="1" s="1"/>
  <c r="DO144" i="1" s="1"/>
  <c r="DM8" i="1"/>
  <c r="DQ8" i="1" s="1"/>
  <c r="DM138" i="1"/>
  <c r="DN138" i="1" s="1"/>
  <c r="DO138" i="1" s="1"/>
  <c r="DM110" i="1"/>
  <c r="DQ110" i="1" s="1"/>
  <c r="DM77" i="1"/>
  <c r="DN77" i="1" s="1"/>
  <c r="EE77" i="1" s="1"/>
  <c r="DM133" i="1"/>
  <c r="DQ133" i="1" s="1"/>
  <c r="DM100" i="1"/>
  <c r="DM120" i="1"/>
  <c r="DM83" i="1"/>
  <c r="DN83" i="1" s="1"/>
  <c r="DM89" i="1"/>
  <c r="DN89" i="1" s="1"/>
  <c r="DM143" i="1"/>
  <c r="DM99" i="1"/>
  <c r="DN99" i="1" s="1"/>
  <c r="DO99" i="1" s="1"/>
  <c r="DM132" i="1"/>
  <c r="DN132" i="1" s="1"/>
  <c r="DO132" i="1" s="1"/>
  <c r="DM78" i="1"/>
  <c r="DM60" i="1"/>
  <c r="DN60" i="1" s="1"/>
  <c r="DO60" i="1" s="1"/>
  <c r="DM123" i="1"/>
  <c r="DM64" i="1"/>
  <c r="DN64" i="1" s="1"/>
  <c r="DM79" i="1"/>
  <c r="DN79" i="1" s="1"/>
  <c r="DO79" i="1" s="1"/>
  <c r="DM59" i="1"/>
  <c r="DQ59" i="1" s="1"/>
  <c r="DM109" i="1"/>
  <c r="DN109" i="1" s="1"/>
  <c r="DO109" i="1" s="1"/>
  <c r="DM125" i="1"/>
  <c r="DQ125" i="1" s="1"/>
  <c r="DM34" i="1"/>
  <c r="DQ34" i="1" s="1"/>
  <c r="DM28" i="1"/>
  <c r="DN28" i="1" s="1"/>
  <c r="DO28" i="1" s="1"/>
  <c r="DM84" i="1"/>
  <c r="DN84" i="1" s="1"/>
  <c r="DO84" i="1" s="1"/>
  <c r="DM17" i="1"/>
  <c r="DQ17" i="1" s="1"/>
  <c r="DN131" i="1"/>
  <c r="DQ131" i="1"/>
  <c r="DM112" i="1"/>
  <c r="G15" i="50"/>
  <c r="G16" i="50"/>
  <c r="DM87" i="1"/>
  <c r="DM114" i="1"/>
  <c r="DM35" i="1"/>
  <c r="G14" i="50"/>
  <c r="DM91" i="1"/>
  <c r="DM53" i="1"/>
  <c r="DM135" i="1"/>
  <c r="DM76" i="1"/>
  <c r="DM119" i="1"/>
  <c r="DN58" i="1"/>
  <c r="DQ58" i="1"/>
  <c r="DM27" i="1"/>
  <c r="DM33" i="1"/>
  <c r="DM55" i="1"/>
  <c r="DM145" i="1"/>
  <c r="DM37" i="1"/>
  <c r="DM9" i="1"/>
  <c r="DM126" i="1"/>
  <c r="DN100" i="1" l="1"/>
  <c r="DQ100" i="1"/>
  <c r="DN120" i="1"/>
  <c r="DQ120" i="1"/>
  <c r="DO38" i="1"/>
  <c r="EE38" i="1"/>
  <c r="DN20" i="1"/>
  <c r="DQ20" i="1"/>
  <c r="DN81" i="1"/>
  <c r="DQ81" i="1"/>
  <c r="DN141" i="1"/>
  <c r="DQ141" i="1"/>
  <c r="DN123" i="1"/>
  <c r="DQ123" i="1"/>
  <c r="DN78" i="1"/>
  <c r="DQ78" i="1"/>
  <c r="DN126" i="1"/>
  <c r="DQ126" i="1"/>
  <c r="DN119" i="1"/>
  <c r="DQ119" i="1"/>
  <c r="DN136" i="1"/>
  <c r="DQ136" i="1"/>
  <c r="DN129" i="1"/>
  <c r="DQ129" i="1"/>
  <c r="DN114" i="1"/>
  <c r="DQ114" i="1"/>
  <c r="DN137" i="1"/>
  <c r="DQ137" i="1"/>
  <c r="DN85" i="1"/>
  <c r="DQ85" i="1"/>
  <c r="EE92" i="1"/>
  <c r="DO92" i="1"/>
  <c r="DN143" i="1"/>
  <c r="DQ143" i="1"/>
  <c r="DO89" i="1"/>
  <c r="EE89" i="1"/>
  <c r="DQ41" i="1"/>
  <c r="DN10" i="1"/>
  <c r="DO10" i="1" s="1"/>
  <c r="DQ156" i="1"/>
  <c r="DQ101" i="1"/>
  <c r="DN88" i="1"/>
  <c r="DO88" i="1" s="1"/>
  <c r="H17" i="50"/>
  <c r="G48" i="50" s="1"/>
  <c r="G59" i="50" s="1"/>
  <c r="DN122" i="1"/>
  <c r="DO122" i="1" s="1"/>
  <c r="DQ90" i="1"/>
  <c r="DN21" i="1"/>
  <c r="DQ139" i="1"/>
  <c r="DQ45" i="1"/>
  <c r="DN86" i="1"/>
  <c r="DQ46" i="1"/>
  <c r="DQ38" i="1"/>
  <c r="DQ44" i="1"/>
  <c r="DN82" i="1"/>
  <c r="DO82" i="1" s="1"/>
  <c r="DQ132" i="1"/>
  <c r="DN32" i="1"/>
  <c r="DO32" i="1" s="1"/>
  <c r="DQ138" i="1"/>
  <c r="DQ66" i="1"/>
  <c r="DQ79" i="1"/>
  <c r="H21" i="50"/>
  <c r="F48" i="50" s="1"/>
  <c r="F59" i="50" s="1"/>
  <c r="DN121" i="1"/>
  <c r="DO121" i="1" s="1"/>
  <c r="DN124" i="1"/>
  <c r="DO124" i="1" s="1"/>
  <c r="DN57" i="1"/>
  <c r="DO57" i="1" s="1"/>
  <c r="DQ28" i="1"/>
  <c r="DQ99" i="1"/>
  <c r="DN133" i="1"/>
  <c r="DO133" i="1" s="1"/>
  <c r="DN110" i="1"/>
  <c r="DO110" i="1" s="1"/>
  <c r="DQ109" i="1"/>
  <c r="DN8" i="1"/>
  <c r="DO8" i="1" s="1"/>
  <c r="DQ144" i="1"/>
  <c r="DQ64" i="1"/>
  <c r="DN34" i="1"/>
  <c r="DO34" i="1" s="1"/>
  <c r="DO156" i="1"/>
  <c r="EE156" i="1"/>
  <c r="DO131" i="1"/>
  <c r="EE131" i="1"/>
  <c r="DO66" i="1"/>
  <c r="EE66" i="1"/>
  <c r="DO58" i="1"/>
  <c r="EE58" i="1"/>
  <c r="DO46" i="1"/>
  <c r="EE46" i="1"/>
  <c r="DO83" i="1"/>
  <c r="EE83" i="1"/>
  <c r="EE10" i="1"/>
  <c r="DO64" i="1"/>
  <c r="EE64" i="1"/>
  <c r="DN142" i="1"/>
  <c r="DO142" i="1" s="1"/>
  <c r="DQ89" i="1"/>
  <c r="DQ60" i="1"/>
  <c r="DQ83" i="1"/>
  <c r="DN17" i="1"/>
  <c r="DO17" i="1" s="1"/>
  <c r="DQ84" i="1"/>
  <c r="DN125" i="1"/>
  <c r="DO125" i="1" s="1"/>
  <c r="DN59" i="1"/>
  <c r="DO59" i="1" s="1"/>
  <c r="DQ33" i="1"/>
  <c r="DN33" i="1"/>
  <c r="DO33" i="1" s="1"/>
  <c r="DN27" i="1"/>
  <c r="DO27" i="1" s="1"/>
  <c r="DQ27" i="1"/>
  <c r="DN112" i="1"/>
  <c r="DQ112" i="1"/>
  <c r="DQ76" i="1"/>
  <c r="DN76" i="1"/>
  <c r="DO76" i="1" s="1"/>
  <c r="DQ87" i="1"/>
  <c r="DN87" i="1"/>
  <c r="DO87" i="1" s="1"/>
  <c r="DQ135" i="1"/>
  <c r="DN135" i="1"/>
  <c r="DO135" i="1" s="1"/>
  <c r="DN91" i="1"/>
  <c r="DQ91" i="1"/>
  <c r="DQ37" i="1"/>
  <c r="DN37" i="1"/>
  <c r="DO37" i="1" s="1"/>
  <c r="DN145" i="1"/>
  <c r="DQ145" i="1"/>
  <c r="G24" i="50"/>
  <c r="H14" i="50"/>
  <c r="DQ9" i="1"/>
  <c r="DN9" i="1"/>
  <c r="DO9" i="1" s="1"/>
  <c r="DQ55" i="1"/>
  <c r="DN55" i="1"/>
  <c r="DO55" i="1" s="1"/>
  <c r="DN53" i="1"/>
  <c r="DO53" i="1" s="1"/>
  <c r="DQ53" i="1"/>
  <c r="DQ35" i="1"/>
  <c r="DN35" i="1"/>
  <c r="DO35" i="1" s="1"/>
  <c r="EE120" i="1" l="1"/>
  <c r="DO120" i="1"/>
  <c r="EE100" i="1"/>
  <c r="DO100" i="1"/>
  <c r="DO21" i="1"/>
  <c r="EE21" i="1"/>
  <c r="EE123" i="1"/>
  <c r="DO123" i="1"/>
  <c r="EE137" i="1"/>
  <c r="DO137" i="1"/>
  <c r="EE141" i="1"/>
  <c r="DO141" i="1"/>
  <c r="EE126" i="1"/>
  <c r="DO126" i="1"/>
  <c r="EE78" i="1"/>
  <c r="DO78" i="1"/>
  <c r="EE85" i="1"/>
  <c r="DO85" i="1"/>
  <c r="EE114" i="1"/>
  <c r="DO114" i="1"/>
  <c r="EE81" i="1"/>
  <c r="DO81" i="1"/>
  <c r="EE136" i="1"/>
  <c r="DO136" i="1"/>
  <c r="EE119" i="1"/>
  <c r="DO119" i="1"/>
  <c r="DO112" i="1"/>
  <c r="EE112" i="1"/>
  <c r="EE129" i="1"/>
  <c r="DO129" i="1"/>
  <c r="EE20" i="1"/>
  <c r="DO20" i="1"/>
  <c r="EE121" i="1"/>
  <c r="DO91" i="1"/>
  <c r="EE91" i="1"/>
  <c r="DO86" i="1"/>
  <c r="EE86" i="1"/>
  <c r="EE143" i="1"/>
  <c r="DO143" i="1"/>
  <c r="P9" i="80"/>
  <c r="H9" i="80" s="1"/>
  <c r="P8" i="80"/>
  <c r="H7" i="80" s="1"/>
  <c r="P11" i="80"/>
  <c r="H13" i="80" s="1"/>
  <c r="P10" i="80"/>
  <c r="H11" i="80" s="1"/>
  <c r="D30" i="101"/>
  <c r="D38" i="101" s="1"/>
  <c r="DO145" i="1"/>
  <c r="EE145" i="1"/>
  <c r="H48" i="50"/>
  <c r="H59" i="50" s="1"/>
  <c r="H24" i="50"/>
  <c r="EE158" i="1" l="1"/>
  <c r="EE159" i="1" s="1"/>
  <c r="E30" i="101"/>
  <c r="E38" i="10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Royman SHR</author>
    <author>Usuario</author>
  </authors>
  <commentList>
    <comment ref="I7" authorId="0" shapeId="0" xr:uid="{00000000-0006-0000-1500-000001000000}">
      <text>
        <r>
          <rPr>
            <b/>
            <sz val="9"/>
            <color indexed="81"/>
            <rFont val="Tahoma"/>
            <family val="2"/>
          </rPr>
          <t>SHR:</t>
        </r>
        <r>
          <rPr>
            <sz val="9"/>
            <color indexed="81"/>
            <rFont val="Tahoma"/>
            <family val="2"/>
          </rPr>
          <t xml:space="preserve">
Este nombre debe coincidir exactamente con el de la plantilla de valoración</t>
        </r>
      </text>
    </comment>
    <comment ref="AD7" authorId="0" shapeId="0" xr:uid="{00000000-0006-0000-1500-000002000000}">
      <text>
        <r>
          <rPr>
            <b/>
            <sz val="9"/>
            <color indexed="81"/>
            <rFont val="Tahoma"/>
            <family val="2"/>
          </rPr>
          <t>SHR:</t>
        </r>
        <r>
          <rPr>
            <sz val="9"/>
            <color indexed="81"/>
            <rFont val="Tahoma"/>
            <family val="2"/>
          </rPr>
          <t xml:space="preserve">
Si es salario Integral se coloca 12, si es salario ordinario se coloca 14,12</t>
        </r>
      </text>
    </comment>
    <comment ref="AE7" authorId="1" shapeId="0" xr:uid="{00000000-0006-0000-1500-000003000000}">
      <text>
        <r>
          <rPr>
            <b/>
            <sz val="9"/>
            <color indexed="81"/>
            <rFont val="Tahoma"/>
            <family val="2"/>
          </rPr>
          <t>SHR:</t>
        </r>
        <r>
          <rPr>
            <sz val="9"/>
            <color indexed="81"/>
            <rFont val="Tahoma"/>
            <family val="2"/>
          </rPr>
          <t xml:space="preserve">
Si es tiempo completo: 240, si es medio 120 horas.</t>
        </r>
      </text>
    </comment>
    <comment ref="AH7" authorId="1" shapeId="0" xr:uid="{00000000-0006-0000-1500-000004000000}">
      <text>
        <r>
          <rPr>
            <b/>
            <sz val="9"/>
            <color indexed="81"/>
            <rFont val="Tahoma"/>
            <family val="2"/>
          </rPr>
          <t>SHR:</t>
        </r>
        <r>
          <rPr>
            <sz val="9"/>
            <color indexed="81"/>
            <rFont val="Tahoma"/>
            <family val="2"/>
          </rPr>
          <t xml:space="preserve">
En el caso de personas con compensación flexible no incluir en este valor lo que corresponde a los beneficios flexibles. Ej. Flexibilización 70% - 30%.
Salario 100%: 10.000.000
Salario 70%: 7.000.000
Beneficios Flexibles: 3.000.000
Colocar 7.000.000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SHR</author>
  </authors>
  <commentList>
    <comment ref="B68" authorId="0" shapeId="0" xr:uid="{6C063D6B-F209-4655-ACFC-0868902CE8FC}">
      <text>
        <r>
          <rPr>
            <b/>
            <sz val="9"/>
            <color indexed="81"/>
            <rFont val="Tahoma"/>
            <family val="2"/>
          </rPr>
          <t>validar si el coordinador es el que va a desaparecer</t>
        </r>
      </text>
    </comment>
    <comment ref="B69" authorId="0" shapeId="0" xr:uid="{F80388B0-D1E3-4707-9647-090CE148E3EB}">
      <text>
        <r>
          <rPr>
            <b/>
            <sz val="9"/>
            <color indexed="81"/>
            <rFont val="Tahoma"/>
            <family val="2"/>
          </rPr>
          <t>Jefe de proyectos aliados que no fue valorado</t>
        </r>
      </text>
    </comment>
  </commentList>
</comments>
</file>

<file path=xl/sharedStrings.xml><?xml version="1.0" encoding="utf-8"?>
<sst xmlns="http://schemas.openxmlformats.org/spreadsheetml/2006/main" count="8390" uniqueCount="923">
  <si>
    <t>Categorias - Configuración</t>
  </si>
  <si>
    <t>Automatización</t>
  </si>
  <si>
    <t>Techo</t>
  </si>
  <si>
    <t>Semilla</t>
  </si>
  <si>
    <t>Piso</t>
  </si>
  <si>
    <t>Destino</t>
  </si>
  <si>
    <t>Categorías</t>
  </si>
  <si>
    <t>Desde</t>
  </si>
  <si>
    <t>% Amplitud</t>
  </si>
  <si>
    <t>Puntos</t>
  </si>
  <si>
    <t>Mínimo</t>
  </si>
  <si>
    <t>Máximo</t>
  </si>
  <si>
    <t>Categoria</t>
  </si>
  <si>
    <t>Punto Medio</t>
  </si>
  <si>
    <t>Amplitud</t>
  </si>
  <si>
    <t>Rango</t>
  </si>
  <si>
    <t>Término / 
Sigla</t>
  </si>
  <si>
    <t>Significado</t>
  </si>
  <si>
    <t>G</t>
  </si>
  <si>
    <t>Garantizado</t>
  </si>
  <si>
    <t>G+V</t>
  </si>
  <si>
    <t>Garantizado + Variable</t>
  </si>
  <si>
    <t>CT</t>
  </si>
  <si>
    <t>Compensación Total</t>
  </si>
  <si>
    <t>Geq</t>
  </si>
  <si>
    <t>Garantizado de la Curva de Equidad</t>
  </si>
  <si>
    <t>G+Veq</t>
  </si>
  <si>
    <t>Garantizado + Variable de la Curva de Equidad</t>
  </si>
  <si>
    <t>CTeq</t>
  </si>
  <si>
    <t>Compensación Total de la Curva de Equidad</t>
  </si>
  <si>
    <t>Pol</t>
  </si>
  <si>
    <t>Política de Comparación Definida</t>
  </si>
  <si>
    <t>Gpol</t>
  </si>
  <si>
    <t>Garantizado de la Política Definida</t>
  </si>
  <si>
    <t>G+Vpol</t>
  </si>
  <si>
    <t>Garantizado + Variable de la Política Definida</t>
  </si>
  <si>
    <t>CTpol</t>
  </si>
  <si>
    <t>Compensación Total de la Política Definida</t>
  </si>
  <si>
    <t>Q1</t>
  </si>
  <si>
    <t>Cuartil 1 del Mercado</t>
  </si>
  <si>
    <t>Md</t>
  </si>
  <si>
    <t>Mediana del Mercado</t>
  </si>
  <si>
    <t>Q3</t>
  </si>
  <si>
    <t>Cuartil 3 del Mercado</t>
  </si>
  <si>
    <t>GQ1</t>
  </si>
  <si>
    <t>Garantizado del Cuartil 1 del Mercado</t>
  </si>
  <si>
    <t>GMd</t>
  </si>
  <si>
    <t>Garantizado de la Mediana del Mercado</t>
  </si>
  <si>
    <t>GQ3</t>
  </si>
  <si>
    <t>Garantizado del Cuartil 3 del Mercado</t>
  </si>
  <si>
    <t>G+VQ1</t>
  </si>
  <si>
    <t>Garantizado + Variable del Cuartil 1 del Mercado</t>
  </si>
  <si>
    <t>G+VMd</t>
  </si>
  <si>
    <t>Garantizado + Variable de la Mediana del Mercado</t>
  </si>
  <si>
    <t>G+VQ3</t>
  </si>
  <si>
    <t>Garantizado + Variable del Cuartil 3 del Mercado</t>
  </si>
  <si>
    <t>CTQ1</t>
  </si>
  <si>
    <t>Compensación Total Cuartil 1 del Mercado</t>
  </si>
  <si>
    <t>CTMd</t>
  </si>
  <si>
    <t>Compensación Total de la Mediana del Mercado</t>
  </si>
  <si>
    <t>CTQ3</t>
  </si>
  <si>
    <t>Compensación Total del Cuartil 3 del Mercado</t>
  </si>
  <si>
    <t xml:space="preserve"> </t>
  </si>
  <si>
    <t>Tendencia</t>
  </si>
  <si>
    <t>Conocimientos</t>
  </si>
  <si>
    <t>Descripción</t>
  </si>
  <si>
    <t>Habilidad Gerencial</t>
  </si>
  <si>
    <t>Nombre</t>
  </si>
  <si>
    <t>Rol del Cargo</t>
  </si>
  <si>
    <t>Contacto</t>
  </si>
  <si>
    <t>Frecuencia del Contacto</t>
  </si>
  <si>
    <t>Contenido de las Relaciones</t>
  </si>
  <si>
    <t>Complejidad Conceptual</t>
  </si>
  <si>
    <t>Guias de Apoyo</t>
  </si>
  <si>
    <t>Impacto del cargo</t>
  </si>
  <si>
    <t>Autonomia</t>
  </si>
  <si>
    <t>Magnitud de Cifras</t>
  </si>
  <si>
    <t>Hasta</t>
  </si>
  <si>
    <t>-</t>
  </si>
  <si>
    <t>A</t>
  </si>
  <si>
    <t>Conocimiento de rutinas.</t>
  </si>
  <si>
    <t>I</t>
  </si>
  <si>
    <t>INEXISTENTE</t>
  </si>
  <si>
    <t>Ejecución de actividades semejantes en naturaleza y objetivos.</t>
  </si>
  <si>
    <t>1</t>
  </si>
  <si>
    <t>MIEMBRO DE EQUIPO</t>
  </si>
  <si>
    <t>INTERNO</t>
  </si>
  <si>
    <t>OCASIONAL</t>
  </si>
  <si>
    <t>BÁSICO</t>
  </si>
  <si>
    <t>Solicitar ó transmitir información,  prestar servicios y obtener cooperación en asuntos rutinarios.</t>
  </si>
  <si>
    <t>IDÉNTICOS</t>
  </si>
  <si>
    <t>Los problemas que se presentan son simples y repetitivos.</t>
  </si>
  <si>
    <t>INSTRUCCIONES ESPECÍFICAS</t>
  </si>
  <si>
    <t>Reglas e instrucciones simples, sencillas, detalladas y especificas.</t>
  </si>
  <si>
    <t>INFORMATIVO</t>
  </si>
  <si>
    <t>El cargo existe para dar servicios ó información para ser utilizados por otros con relación a algún resultado.</t>
  </si>
  <si>
    <t xml:space="preserve">El titular del cargo esta sujeto a las ordenes y aprobación del jefe. Actúa bajo instrucciones exactas, precisas y supervisión continua. </t>
  </si>
  <si>
    <t>o</t>
  </si>
  <si>
    <t>B</t>
  </si>
  <si>
    <t>Conocimiento de procesos y procedimientos.</t>
  </si>
  <si>
    <t>II</t>
  </si>
  <si>
    <t>MÍNIMA</t>
  </si>
  <si>
    <t>Ejecución de tareas o funciones  propias del cargo que implica la supervisión de éstas y/o las de otros cargos con objetivos homogéneos.</t>
  </si>
  <si>
    <t>2</t>
  </si>
  <si>
    <t>MIEMBRO DE VARIOS EQUIPOS</t>
  </si>
  <si>
    <t>EXTERNO</t>
  </si>
  <si>
    <t>MENSUAL</t>
  </si>
  <si>
    <t>MODERADO</t>
  </si>
  <si>
    <t>Indagar o aclarar asuntos relacionados con las funciones y/o responsabilidades del cargo.</t>
  </si>
  <si>
    <t>SEMEJANTES</t>
  </si>
  <si>
    <t>Los problemas que se presentan son típicos y poco variables.</t>
  </si>
  <si>
    <t>INSTRUCCIONES GENERALES</t>
  </si>
  <si>
    <t>Rutinas e Instrucciones de trabajo definidas.</t>
  </si>
  <si>
    <t>APOYO INDIRECTO</t>
  </si>
  <si>
    <t>El cargo es responsable de proporcionar servicios de análisis, apoyo, asesoría, consejo  o consulta que influencian las decisiones de  otros cargos para  producir un resultado final para su área y/o la empresa.</t>
  </si>
  <si>
    <t>RESTRINGIDA</t>
  </si>
  <si>
    <t xml:space="preserve">El titular del cargo puede tomar decisiones menores en las actividades que realiza, ajustándose a instrucciones y procedimientos muy específicos. Recibe alta supervisión. </t>
  </si>
  <si>
    <t>+</t>
  </si>
  <si>
    <t>C</t>
  </si>
  <si>
    <t>Conocimiento de una Tecnica.</t>
  </si>
  <si>
    <t>III</t>
  </si>
  <si>
    <t>MODERADA</t>
  </si>
  <si>
    <t>Coordinación y supervisión  de actividades y/o procesos  propias del cargo o de otros cargos con actividades diferentes y objetivos homogéneos.</t>
  </si>
  <si>
    <t>3</t>
  </si>
  <si>
    <t>LIDER DE EQUIPO</t>
  </si>
  <si>
    <t>AMBOS (INTERNO Y EXTERNO)</t>
  </si>
  <si>
    <t>SEMANAL</t>
  </si>
  <si>
    <t>IMPORTANTE</t>
  </si>
  <si>
    <t>Negociar, persuadir o influenciar a otros. capacidad para escuchar y desarrollar un mutuo entendimiento con otras personas . Capacidad para participar y representar al área y/o empresa.</t>
  </si>
  <si>
    <t>DIVERSOS</t>
  </si>
  <si>
    <t>Los problemas que se presentan poseen un componente de mayor variabilidad (actividades heterogéneas).</t>
  </si>
  <si>
    <t>NORMAS ESTRUCTURADAS</t>
  </si>
  <si>
    <t>Normas estructuradas y claras, metodos, procedimientos y ejemplos bien definidos o situaciones presentadas anteriormente.</t>
  </si>
  <si>
    <t>APOYO DIRECTO</t>
  </si>
  <si>
    <t>El cargo es responsable por la consecución de resultados de su área  y en conjunto con otros cargos de similar responsabilidad apoyan al logro de los resultados finales para la empresa.</t>
  </si>
  <si>
    <t>NORMALIZADA</t>
  </si>
  <si>
    <t>El titular del cargo toma decisiones de acuerdo a instrucciones generales y guías de acción. Se controla periódicamente el desarrollo del trabajo.</t>
  </si>
  <si>
    <t>D</t>
  </si>
  <si>
    <t>Conocimiento de una teoria, principios o leyes generales de una ciencia, arte o disciplina profesional.</t>
  </si>
  <si>
    <t>IV</t>
  </si>
  <si>
    <t>MEDIA</t>
  </si>
  <si>
    <t>Planeación, dirección e integración  de un área funcional o proceso con objetivos homogéneos.</t>
  </si>
  <si>
    <t>4</t>
  </si>
  <si>
    <t>LIDER DE VARIOS EQUIPOS</t>
  </si>
  <si>
    <t>DIARIO</t>
  </si>
  <si>
    <t>SUPERIOR</t>
  </si>
  <si>
    <t>Lograr acuerdos satisfactorios, generando un alto impacto en los resultados. Capacidad para diseñar, preparar  y proponer  estrategias de negociación. Capacidad de representar a la empresa.</t>
  </si>
  <si>
    <t>NUEVOS</t>
  </si>
  <si>
    <t>Los problemas que se presentan son complejos y poco usuales.</t>
  </si>
  <si>
    <t>PROCEDIMIENTOS DEFINIDOS</t>
  </si>
  <si>
    <t>Políticas funcionales definidas claramente, el ocupante del cargo tiene definido el ¨qué¨ pero de acuerdo a su juicio debe decidir el ¨cómo¨ hacerlo.</t>
  </si>
  <si>
    <t>ÚNICOS</t>
  </si>
  <si>
    <t xml:space="preserve">El cargo es enteramente responsable por los resultados finales de la empresa o unidad de negocio. </t>
  </si>
  <si>
    <t>ESTANDARIZADA</t>
  </si>
  <si>
    <t>El titular del cargo toma decisiones complejas respaldadas en políticas muy específicas. Se controla periódicamente el resultado después de los hechos.</t>
  </si>
  <si>
    <t>E</t>
  </si>
  <si>
    <t>Conocimiento de una ciencia, arte o disciplina profesional o conocimiento avanzado de una tecnica o practica.</t>
  </si>
  <si>
    <t>V</t>
  </si>
  <si>
    <t>ALTA</t>
  </si>
  <si>
    <t>Dirección y Planeación estratégica de una ó varias áreas funcionales con objetivos heterogéneos, que apoyan resultados de empresa.</t>
  </si>
  <si>
    <t>MUY SUPERIOR</t>
  </si>
  <si>
    <t>Negociar ante cualquier situación, generando posiciones estratégicas que permitan determinar aspectos vitales para la empresa con otras organizaciones y autoridades.</t>
  </si>
  <si>
    <t>5</t>
  </si>
  <si>
    <t>INCERTIDUMBRE</t>
  </si>
  <si>
    <t>Los problemas que se presentan son de alta complejidad en donde no existen soluciones conocidas previamente.</t>
  </si>
  <si>
    <t xml:space="preserve"> POLÍTICAS DEFINIDAS</t>
  </si>
  <si>
    <t>Políticas amplias de organización.</t>
  </si>
  <si>
    <t>DIRIGIDA</t>
  </si>
  <si>
    <t>El titular del cargo posee el grado de independencia necesario para lograr los objetivos de su area  acorde con los planes y objetivos de ésta.</t>
  </si>
  <si>
    <t>F</t>
  </si>
  <si>
    <t>Conocimiento  profundo de una ciencia, arte o disciplina profesional especifica o amplio conocimiento y experiencia en todas o la mayoria de areas especificas dentro de un area funcional.</t>
  </si>
  <si>
    <t>VI</t>
  </si>
  <si>
    <t>MUY ALTA</t>
  </si>
  <si>
    <t xml:space="preserve">Dirección, Planeación e Integración de todas las áreas  que conforman la empresa o unidad de negocio. </t>
  </si>
  <si>
    <t>POLÍTICAS GENERALES</t>
  </si>
  <si>
    <t>Objetivos definidos en el plan estrategico de la organizacion.</t>
  </si>
  <si>
    <t>ORIENTADA</t>
  </si>
  <si>
    <t xml:space="preserve">El titular del cargo toma decisiones de envergadura que afectan el logro de los objetivos empresariales. </t>
  </si>
  <si>
    <t>Maestria en una ciencia, arte o disciplina profesional, o Conocimiento y experiencia amplio y profundo en varias areas funcionales.</t>
  </si>
  <si>
    <t>VII</t>
  </si>
  <si>
    <t>MÁXIMA</t>
  </si>
  <si>
    <t>Dirección, Planeación e Integración  de todas las estrategias que componen un grupo empresarial o corporativo.</t>
  </si>
  <si>
    <t>GLOBAL</t>
  </si>
  <si>
    <t>Analisis de asuntos complejos, resultados de investigaciones, concepto de expertos.</t>
  </si>
  <si>
    <t>ESTRATÉGICA</t>
  </si>
  <si>
    <t>El titular del cargo es el principal responsable en la fijación de las metas globales  del negocio y más alto nivel de autonomía para proponer redireccionamientos ante a la Junta Directiva.</t>
  </si>
  <si>
    <t>H</t>
  </si>
  <si>
    <t>Maestria excepcional en una ciencia, arte o disciplina profesional, o Conocimiento y experiencia amplio y profundo en todas las areas funcionales.</t>
  </si>
  <si>
    <t>ABSTRACTO</t>
  </si>
  <si>
    <t>Multiples conceptos</t>
  </si>
  <si>
    <t>ADELANTE</t>
  </si>
  <si>
    <t>CONOCIMIENTO</t>
  </si>
  <si>
    <t>Factor</t>
  </si>
  <si>
    <t>Conocimiento de rutinas de trabajo simples necesarias para la realización de un trabajo manual.</t>
  </si>
  <si>
    <t xml:space="preserve">Conocimiento de procesos y procedimientos (integración de varias rutinas) necesarias para operar equipos o máquinas simples. </t>
  </si>
  <si>
    <t>Conocimiento de una técnica o métodos de trabajo complejos que pueden requerir la operación de equipos especializados.</t>
  </si>
  <si>
    <r>
      <t xml:space="preserve">*Conocimiento de una ciencia, </t>
    </r>
    <r>
      <rPr>
        <b/>
        <sz val="11"/>
        <color theme="1" tint="0.249977111117893"/>
        <rFont val="Arial"/>
        <family val="2"/>
      </rPr>
      <t xml:space="preserve">arte o disciplina profesional. </t>
    </r>
  </si>
  <si>
    <t>*Conocimiento avanzado de una técnica o práctica.</t>
  </si>
  <si>
    <r>
      <t xml:space="preserve">*Conocimiento profundo </t>
    </r>
    <r>
      <rPr>
        <b/>
        <sz val="11"/>
        <color theme="1" tint="0.249977111117893"/>
        <rFont val="Arial"/>
        <family val="2"/>
      </rPr>
      <t xml:space="preserve">de una ciencia, arte o disciplina profesional específica.   </t>
    </r>
  </si>
  <si>
    <t>*Amplio conocimiento y experiencia en todas o la mayoría  de áreas específicas dentro de un área funcional.</t>
  </si>
  <si>
    <r>
      <t xml:space="preserve">*Maestría en una ciencia, </t>
    </r>
    <r>
      <rPr>
        <b/>
        <sz val="11"/>
        <color theme="1" tint="0.249977111117893"/>
        <rFont val="Arial"/>
        <family val="2"/>
      </rPr>
      <t>arte o disciplina profesional.</t>
    </r>
  </si>
  <si>
    <t>*Conocimiento y experiencia amplio y profundo en varias áreas funcionales.</t>
  </si>
  <si>
    <r>
      <t xml:space="preserve">*Maestría excepcional en una ciencia, </t>
    </r>
    <r>
      <rPr>
        <b/>
        <sz val="11"/>
        <color theme="1" tint="0.249977111117893"/>
        <rFont val="Arial"/>
        <family val="2"/>
      </rPr>
      <t>arte o disciplina profesional.</t>
    </r>
  </si>
  <si>
    <t>*Conocimiento y experiencia amplio y profundo en todas las áreas funcionales.</t>
  </si>
  <si>
    <t>EXPERIENCIA PREVIA EN ROLES SIMILARES</t>
  </si>
  <si>
    <t>Si en Conocimiento escoge una letra entre</t>
  </si>
  <si>
    <t>la A y la C</t>
  </si>
  <si>
    <t>la D y la H</t>
  </si>
  <si>
    <r>
      <t xml:space="preserve">de 0 a 6 meses
</t>
    </r>
    <r>
      <rPr>
        <sz val="9"/>
        <color theme="1" tint="0.249977111117893"/>
        <rFont val="Arial"/>
        <family val="2"/>
      </rPr>
      <t>(incluyendo el 6)</t>
    </r>
  </si>
  <si>
    <r>
      <t xml:space="preserve">de 0 a 2 años
</t>
    </r>
    <r>
      <rPr>
        <sz val="9"/>
        <color theme="1" tint="0.249977111117893"/>
        <rFont val="Arial"/>
        <family val="2"/>
      </rPr>
      <t>(incluyendo el 2)</t>
    </r>
  </si>
  <si>
    <r>
      <t xml:space="preserve">de 6 meses hasta 1 año
</t>
    </r>
    <r>
      <rPr>
        <sz val="9"/>
        <color theme="1" tint="0.249977111117893"/>
        <rFont val="Arial"/>
        <family val="2"/>
      </rPr>
      <t>(incluyendo el 1)</t>
    </r>
  </si>
  <si>
    <r>
      <t xml:space="preserve">de 2 hasta 5 años
</t>
    </r>
    <r>
      <rPr>
        <sz val="9"/>
        <color theme="1" tint="0.249977111117893"/>
        <rFont val="Arial"/>
        <family val="2"/>
      </rPr>
      <t>(incluyendo el 5)</t>
    </r>
  </si>
  <si>
    <t>más de 1 año</t>
  </si>
  <si>
    <t>más de 5 años</t>
  </si>
  <si>
    <t>HABILIDAD GERENCIAL</t>
  </si>
  <si>
    <t>ROL DEL CARGO</t>
  </si>
  <si>
    <t>CONTACTO</t>
  </si>
  <si>
    <t>Relacionamiento con representantes de cargos que pertenecen a la misma área funcional.</t>
  </si>
  <si>
    <t>Relacionamiento con representantes de cargos de otras áreas funcionales y/o de entidades externas a la organización, tales como: clientes, proveedores, autoridades, etc.</t>
  </si>
  <si>
    <t>AMBOS
(INTERNO Y EXTERNO)</t>
  </si>
  <si>
    <t>La dedicación de tiempo invertido en el relacionamiento esta muy repartido entre las dos anteriores .</t>
  </si>
  <si>
    <t>FRECUENCIA DEL CONTACTO</t>
  </si>
  <si>
    <t>CONTENIDO DE LAS RELACIONES</t>
  </si>
  <si>
    <t>COMPLEJIDAD CONCEPTUAL</t>
  </si>
  <si>
    <t>Situaciones idénticas, simples y repetitivas, se resuelven aplicando soluciones sencillas aprendidas previamente.</t>
  </si>
  <si>
    <t>Situaciones típicas relacionadas con el conocimiento específico requerido para el cargo, cada vez que se presentan tienen elementos nuevos que exigen  nuevas soluciones a partir de la combinación de soluciones aprendidas o aplicadas previamente.</t>
  </si>
  <si>
    <t>Las situaciones que se presentan corresponden a diferentes frentes de acción derivados de la responsabilidad sobre varias áreas funcionales (financiera, operaciones, gestión humana, etc) y tienen igual complejidad a las semejantes.</t>
  </si>
  <si>
    <t>Situaciones poco comunes en donde la solución no se conoce previamente en la compañía.</t>
  </si>
  <si>
    <t>Situaciones de alta complejidad en dónde no existen soluciones conocidas previamente a nivel mundial.</t>
  </si>
  <si>
    <t>GUÍAS DE APOYO</t>
  </si>
  <si>
    <t>Guías de Apoyo</t>
  </si>
  <si>
    <t>IMPACTO</t>
  </si>
  <si>
    <t>AUTONOMÍA</t>
  </si>
  <si>
    <r>
      <t xml:space="preserve">MAGNITUDES
</t>
    </r>
    <r>
      <rPr>
        <b/>
        <sz val="10"/>
        <color theme="0"/>
        <rFont val="Arial"/>
        <family val="2"/>
      </rPr>
      <t>(Cifras anuales en Millones de US)</t>
    </r>
  </si>
  <si>
    <t>CRITICIDAD</t>
  </si>
  <si>
    <t>Criterio</t>
  </si>
  <si>
    <t>El cargo requiere conocimientos específicos relacionados con la estrategia del negocio.</t>
  </si>
  <si>
    <t>El cargo pertenece al core del negocio o a procesos criticos para la organización</t>
  </si>
  <si>
    <t xml:space="preserve">La oferta de personas con los conocimientos requeridos en el mercado laboral es escasa para este cargo    </t>
  </si>
  <si>
    <t>Gerencia General</t>
  </si>
  <si>
    <t>I+D</t>
  </si>
  <si>
    <t>OPERACIONES</t>
  </si>
  <si>
    <t>FINANCIERA</t>
  </si>
  <si>
    <t>GESTION HUMANA</t>
  </si>
  <si>
    <t>PLANEACION</t>
  </si>
  <si>
    <t>Auditoría</t>
  </si>
  <si>
    <t>Abastecimiento</t>
  </si>
  <si>
    <t>EXPORTACIONES</t>
  </si>
  <si>
    <t>SOLUCIONES DENTALES</t>
  </si>
  <si>
    <t>Sobrepago</t>
  </si>
  <si>
    <t>Competitividad</t>
  </si>
  <si>
    <t>Subpago</t>
  </si>
  <si>
    <t>GERENCIA GENERAL</t>
  </si>
  <si>
    <t>Costo Nivelación Mensual</t>
  </si>
  <si>
    <t>Costo Mensual del Sobrepago</t>
  </si>
  <si>
    <t>EXTRUSIONES</t>
  </si>
  <si>
    <t>MEDIANA</t>
  </si>
  <si>
    <t>Cat</t>
  </si>
  <si>
    <t>Cargo Tipo Valorado</t>
  </si>
  <si>
    <t>Criticidad</t>
  </si>
  <si>
    <t>Promedio de Básico Actual</t>
  </si>
  <si>
    <t>Promedio de Salario Ordinario Pol</t>
  </si>
  <si>
    <t>Pos. Basico</t>
  </si>
  <si>
    <t>Garantizado Actual</t>
  </si>
  <si>
    <t>Garantizado Md</t>
  </si>
  <si>
    <t>Pos. G</t>
  </si>
  <si>
    <t>Garantizado + Variable Actual</t>
  </si>
  <si>
    <t>Garantizado + Variable Md</t>
  </si>
  <si>
    <t>Pos. G+V</t>
  </si>
  <si>
    <t>Compensación Total Actual</t>
  </si>
  <si>
    <t>Compensación Total Md</t>
  </si>
  <si>
    <t>Pos. CT</t>
  </si>
  <si>
    <t>GEERENTE GENERAL</t>
  </si>
  <si>
    <t>Crítico</t>
  </si>
  <si>
    <t>GERENTE COMERCIAL Y MERCADEO</t>
  </si>
  <si>
    <t>GERENCIA DE OPERACIONES</t>
  </si>
  <si>
    <t>GERENTE ADMINISTRATIVA Y FINANCIERA</t>
  </si>
  <si>
    <t>Muy Importante</t>
  </si>
  <si>
    <t>DIRECTOR DE LOGISTICA</t>
  </si>
  <si>
    <t>DIRECTOR DE GESTION HUMANA</t>
  </si>
  <si>
    <t>DIRECTOR DESARROLLO</t>
  </si>
  <si>
    <t>DIRECTOR DE INNOVACION</t>
  </si>
  <si>
    <t>DIRECTOR NACIONAL DE VENTAS</t>
  </si>
  <si>
    <t>DIRECTOR DE VENTAS EEUU</t>
  </si>
  <si>
    <t>DIRECTOR DE VENTAS LATAM</t>
  </si>
  <si>
    <t>DIRECTOR DE PRODUCCION</t>
  </si>
  <si>
    <t>DIRECTOR DE CALIDAD Y CONTROL DE PROCESOS</t>
  </si>
  <si>
    <t>DIRECTOR DE MATERIALES</t>
  </si>
  <si>
    <t>DIRECTOR DE MANTENIMIENTO Y PROYECTOS</t>
  </si>
  <si>
    <t>DIRECTOR ADMINISTRATIVO Y CONTABLE</t>
  </si>
  <si>
    <t>Relevante</t>
  </si>
  <si>
    <t>COOORDINADOR DE MERCADEO</t>
  </si>
  <si>
    <t>DIRECTOR TIC</t>
  </si>
  <si>
    <t>DIRECTOR INGENIERIA</t>
  </si>
  <si>
    <t>JEFE DE COMPRAS</t>
  </si>
  <si>
    <t>Importante</t>
  </si>
  <si>
    <t>COORDINADOR  SST</t>
  </si>
  <si>
    <t>JEFE DE MEJORAMIENTO CONTINUO</t>
  </si>
  <si>
    <t>DIRECTOR DE CENTRO DE TRANSFORMACIÓN</t>
  </si>
  <si>
    <t>JEFE DE CALIDAD</t>
  </si>
  <si>
    <t>COORDINADOR DE INGENIERIA</t>
  </si>
  <si>
    <t>LIDER DE ZONA</t>
  </si>
  <si>
    <t>ADMINISTRADOR FEDEXTRU</t>
  </si>
  <si>
    <t>DIRECTOR COSTOS</t>
  </si>
  <si>
    <t>COORDINADORA DE GESTION HUMANA</t>
  </si>
  <si>
    <t>COORDINADOR DE DISEÑO Y DESARROLLO</t>
  </si>
  <si>
    <t>COORDINADORA DE COMERCIO EXTERIOR</t>
  </si>
  <si>
    <t>LIDER DE VENTAS EEUU</t>
  </si>
  <si>
    <t>JEFE DE TERCERIZADOS</t>
  </si>
  <si>
    <t>COORDINADORA DE CONTABILIDAD</t>
  </si>
  <si>
    <t>COORDINADOR DE MANTENIMIENTO</t>
  </si>
  <si>
    <t>COORDINADOR DE PRODUCCION</t>
  </si>
  <si>
    <t>LIDER DE COSTOS</t>
  </si>
  <si>
    <t>COORDINADOR DE TERCERIZADOS</t>
  </si>
  <si>
    <t>PROGRAMADOR DE PRODUCCION</t>
  </si>
  <si>
    <t>INGENIERO DE MEJORA CONTINUA</t>
  </si>
  <si>
    <t>COORDINADOR CEDI</t>
  </si>
  <si>
    <t>COORDINADOR DE LABORATORIO</t>
  </si>
  <si>
    <t>INGENIERO DE FORMULACIONES</t>
  </si>
  <si>
    <t>LIDER DE COMERCIO EXTERIOR</t>
  </si>
  <si>
    <t>LIDER DE GESTIÓN HUMANA Y DESARROLLO DEL TALENTO</t>
  </si>
  <si>
    <t>COORDINADOR TIC</t>
  </si>
  <si>
    <t>LIDER DE DISEÑO Y COMUNICACIONES EN MERCADEO</t>
  </si>
  <si>
    <t>LIDER DE CANAL</t>
  </si>
  <si>
    <t>ANALISTA DE SEGURIDAD Y SALUD EN EL TRABAJO</t>
  </si>
  <si>
    <t>INGENIERO DE DATOS</t>
  </si>
  <si>
    <t>LIDER MECANICO EXPERTO EN MOLDES</t>
  </si>
  <si>
    <t>LIDER DE TECNOLOGÍAS DE LA INFORMACIÓN</t>
  </si>
  <si>
    <t>ANALISTA DE COMERCIO EXTERIOR</t>
  </si>
  <si>
    <t>ANALISTA DE NOMINA</t>
  </si>
  <si>
    <t>ANALISTA GESTIÓN HUMANA</t>
  </si>
  <si>
    <t>ANALISTA DE MATRICERIA CNC</t>
  </si>
  <si>
    <t>ANALISTA DE DE COMPRAS</t>
  </si>
  <si>
    <t>ANALISTA COTIZACIONES DISEÑO Y DESARROLLO</t>
  </si>
  <si>
    <t>ANALISTA DE MEJORA CONTINUA</t>
  </si>
  <si>
    <t>ANALISTA CALIDAD</t>
  </si>
  <si>
    <t>ANALISTA DE MERCADEO</t>
  </si>
  <si>
    <t>TECNICO DE MANTENIMIENTO</t>
  </si>
  <si>
    <t>ANALISTA TESORERIA</t>
  </si>
  <si>
    <t>ANALISTA DE CARTERA</t>
  </si>
  <si>
    <t>ANALISTA DE LABORATORIO</t>
  </si>
  <si>
    <t>ANALISTA OPERATIVO DESARROLLO</t>
  </si>
  <si>
    <t>AUXILIAR SERVICIO AL CLIENTE</t>
  </si>
  <si>
    <t>ANALISTA ADMINISTRATIVA DE DISEÑO Y DESARROLLO</t>
  </si>
  <si>
    <t>LIDER SOPORTE TIC</t>
  </si>
  <si>
    <t>ANALISTA DOCUMENTAL DE INGENIERIA</t>
  </si>
  <si>
    <t>ANALISTA DE IMPUESTOS Y REGISTROS CONTABLES</t>
  </si>
  <si>
    <t>ANALISTA DE SERVICIOS</t>
  </si>
  <si>
    <t>ANALISTA TECNICO PROYECTOS ALIADOS</t>
  </si>
  <si>
    <t>ANALISTA DE COSTOS</t>
  </si>
  <si>
    <t>AUXILIAR DE PRODUCCION</t>
  </si>
  <si>
    <t>AUXILIAR DE DISEÑO Y COMUNICACIONES EN MERCADEO</t>
  </si>
  <si>
    <t>AUXILIAR DE MATRICERIA</t>
  </si>
  <si>
    <t>ANALISTA ADMINISTRATIVA Y CONTABLE</t>
  </si>
  <si>
    <t>AUXILIAR DE CEDI</t>
  </si>
  <si>
    <t>AUXILIAR ADMINISTRATIVA CEDI</t>
  </si>
  <si>
    <t>AUXILIAR FACTURACION</t>
  </si>
  <si>
    <t>Curva EXTRUSIONES
Empresa 70 mil Millones</t>
  </si>
  <si>
    <t>Curva UMO
Empresa de 96 mil millones</t>
  </si>
  <si>
    <t>Curva NEW STETIC
Empresa de 145 mil Millones</t>
  </si>
  <si>
    <t>Gerente General</t>
  </si>
  <si>
    <t>GERENTE GENERAL</t>
  </si>
  <si>
    <t>Gerente</t>
  </si>
  <si>
    <t>GERENTE DE OPERACIONES</t>
  </si>
  <si>
    <t>Director / Especialista Sr</t>
  </si>
  <si>
    <t>DIRECTOR DE MERCADEO</t>
  </si>
  <si>
    <t>DIRECTOR DE MEJORAMIENTO CONTINUO</t>
  </si>
  <si>
    <t>DIRECTOR SST</t>
  </si>
  <si>
    <t>DIRECTOR DE COMPRAS</t>
  </si>
  <si>
    <t>Coordinador Sr / Especialista</t>
  </si>
  <si>
    <t>COORDINADOR SR. DE CONTABILIDAD</t>
  </si>
  <si>
    <t>COORDINADOR SR. DE COMERCIO EXTERIOR</t>
  </si>
  <si>
    <t>COORDINADOR SR. DE TERCERIZADOS</t>
  </si>
  <si>
    <t>COORDINADOR SR DE VENTAS EEUU</t>
  </si>
  <si>
    <t>COORDINADOR SR DE DISEÑO Y DESARROLLO</t>
  </si>
  <si>
    <t>COORDINADOR SR COSTOS</t>
  </si>
  <si>
    <t>COORDINADOR SR DE GESTION HUMANA</t>
  </si>
  <si>
    <t>COORDINADOR SR DE CALIDAD</t>
  </si>
  <si>
    <t>COORDINADOR SR. FONDO DE EMPLEADOS FEDEXTRU</t>
  </si>
  <si>
    <t>COORDINADOR SR. DE INGENIERIA</t>
  </si>
  <si>
    <t>Coordinador / Especialista</t>
  </si>
  <si>
    <t>COORDINADOR DE COMERCIO EXTERIOR</t>
  </si>
  <si>
    <t>COORDINADOR DE GESTIÓN HUMANA Y DESARROLLO DEL TALENTO</t>
  </si>
  <si>
    <t>COORDINADOR DE FORMULACIONES</t>
  </si>
  <si>
    <t>COORDINADOR DE MEJORA CONTINUA</t>
  </si>
  <si>
    <t>COORDINADOR DE COSTOS</t>
  </si>
  <si>
    <t>Coordinador / Analista Sr</t>
  </si>
  <si>
    <t>COORDINADOR DE CANAL</t>
  </si>
  <si>
    <t>COORDINADOR DE DISEÑO Y COMUNICACIONES EN MERCADEO</t>
  </si>
  <si>
    <t>Coordinador Jr. / Analista Sr</t>
  </si>
  <si>
    <t>ANALISTA DE TECNOLOGÍAS DE LA INFORMACIÓN</t>
  </si>
  <si>
    <t>COORDINADOR JR. MECANICO EXPERTO EN MOLDES</t>
  </si>
  <si>
    <t>ANALISTA DE DATOS</t>
  </si>
  <si>
    <t>Supervisor / Analista Sr / Técnico</t>
  </si>
  <si>
    <t>ANALISTA DE COMPRAS</t>
  </si>
  <si>
    <t>Supervisor / Analista / Técnico</t>
  </si>
  <si>
    <t>ANALISTA SOPORTE TIC</t>
  </si>
  <si>
    <t>ANALISTA SERVICIO AL CLIENTE</t>
  </si>
  <si>
    <t>ANALISTA DE MATRICERIA</t>
  </si>
  <si>
    <t>ANALISTA DE DISEÑO Y COMUNICACIONES EN MERCADEO</t>
  </si>
  <si>
    <t>ANALISTA DE PRODUCCION</t>
  </si>
  <si>
    <t>Auxiliar/Operario Experto</t>
  </si>
  <si>
    <t xml:space="preserve">Axiliar / Operario Experto </t>
  </si>
  <si>
    <t>Total general</t>
  </si>
  <si>
    <t>Uso exclusivo de SHR</t>
  </si>
  <si>
    <t>Conceptos especificos de la empresa (equivalente mensual)</t>
  </si>
  <si>
    <t>Días de las Primas</t>
  </si>
  <si>
    <t>Beneficios Flexibles</t>
  </si>
  <si>
    <t>CS</t>
  </si>
  <si>
    <t>Comisiones</t>
  </si>
  <si>
    <t>Bonificaciones</t>
  </si>
  <si>
    <t>NCS</t>
  </si>
  <si>
    <t>% Peso</t>
  </si>
  <si>
    <t>Curva de Equidad</t>
  </si>
  <si>
    <t>Cuartil 1 (Por encima de este valor está el 75% de la muestra, es decir, es un punto de referencia bajo)</t>
  </si>
  <si>
    <t>Mediana del Mercado (Por encima de este valor está el 50% de la muestra y por debajo el otro 50%, es decir, es un punto de referencia medio)</t>
  </si>
  <si>
    <t>Cuartil 3 (Por debajo de este valor está el 75% de la muestra, es decir, es un punto de referencia alto)</t>
  </si>
  <si>
    <t>Política</t>
  </si>
  <si>
    <t>Costo Laboral Actual</t>
  </si>
  <si>
    <t>Costo Laboral Nuevo</t>
  </si>
  <si>
    <t>COSTO PARA LLEVAR A LA PERSONA AL 100% DE LA POLÍTICA</t>
  </si>
  <si>
    <t>Nivelación</t>
  </si>
  <si>
    <t>Política al 80%</t>
  </si>
  <si>
    <t>Política al 120%</t>
  </si>
  <si>
    <t>Renglón</t>
  </si>
  <si>
    <t>Cédula</t>
  </si>
  <si>
    <t>Nombres</t>
  </si>
  <si>
    <t>Fecha de Ingreso</t>
  </si>
  <si>
    <t xml:space="preserve">Fecha de Nacimiento </t>
  </si>
  <si>
    <t>Cargo Actual Nómina</t>
  </si>
  <si>
    <t>Pacto / Convención</t>
  </si>
  <si>
    <t>Área</t>
  </si>
  <si>
    <t>Área funcional</t>
  </si>
  <si>
    <t>Área Específica</t>
  </si>
  <si>
    <t>Ciudad</t>
  </si>
  <si>
    <t>Segmentación Individual</t>
  </si>
  <si>
    <t>Segmentación</t>
  </si>
  <si>
    <t>Cargo Homologación</t>
  </si>
  <si>
    <t>Puntos valoración</t>
  </si>
  <si>
    <t>Nivel</t>
  </si>
  <si>
    <t>Variable</t>
  </si>
  <si>
    <t>Beneficios</t>
  </si>
  <si>
    <t>Base Prestaciones</t>
  </si>
  <si>
    <t>Base Seguridad Social</t>
  </si>
  <si>
    <t>Salarios Año</t>
  </si>
  <si>
    <t># horas mes</t>
  </si>
  <si>
    <t>%ARL</t>
  </si>
  <si>
    <t>Básico</t>
  </si>
  <si>
    <t>Básico Actual</t>
  </si>
  <si>
    <t>Prima 1
NCS / CS</t>
  </si>
  <si>
    <t>Prima Extralegal 1</t>
  </si>
  <si>
    <t>Prima 2
NCS / CS</t>
  </si>
  <si>
    <t>Prima Extralegal 2</t>
  </si>
  <si>
    <t>Prima 3
NCS / CS</t>
  </si>
  <si>
    <t>Prima Extralegal 3</t>
  </si>
  <si>
    <t>Prima 4
NCS / CS</t>
  </si>
  <si>
    <t>Prima Extralegal 4</t>
  </si>
  <si>
    <t xml:space="preserve">Promedio de Comisiones  </t>
  </si>
  <si>
    <t>Comisiones Target</t>
  </si>
  <si>
    <t>% de ganancia de las comisiones</t>
  </si>
  <si>
    <t>N Salarios de la Bonificación</t>
  </si>
  <si>
    <t>Bonificación Anual</t>
  </si>
  <si>
    <t>N Salarios de la Bonificación2</t>
  </si>
  <si>
    <t>Bonificación Anual 2</t>
  </si>
  <si>
    <t>N Salarios de la Bonificación3</t>
  </si>
  <si>
    <t>Bonificación Anual 3</t>
  </si>
  <si>
    <t>auxilio Gasolina</t>
  </si>
  <si>
    <t>Auxilio educacion</t>
  </si>
  <si>
    <t>Otro Beneficio3</t>
  </si>
  <si>
    <t>Otro Beneficio4</t>
  </si>
  <si>
    <t>Otro Beneficio5</t>
  </si>
  <si>
    <t>Otro Beneficio6</t>
  </si>
  <si>
    <t>Otro Beneficio7</t>
  </si>
  <si>
    <t>Otro Beneficio8</t>
  </si>
  <si>
    <t>Otro Beneficio9</t>
  </si>
  <si>
    <t>Otro Beneficio10</t>
  </si>
  <si>
    <t>% Variable</t>
  </si>
  <si>
    <t>% Beneficios</t>
  </si>
  <si>
    <t>Geqp</t>
  </si>
  <si>
    <t>G+Veqp</t>
  </si>
  <si>
    <t>Cteqp</t>
  </si>
  <si>
    <t>GQ1 p</t>
  </si>
  <si>
    <t>G+VQ1 p</t>
  </si>
  <si>
    <t>CTQ1 p</t>
  </si>
  <si>
    <t>GMd p</t>
  </si>
  <si>
    <t>G+VMd p</t>
  </si>
  <si>
    <t>CTMd p</t>
  </si>
  <si>
    <t>GQ3 p</t>
  </si>
  <si>
    <t>G+VQ3 p</t>
  </si>
  <si>
    <t>CTQ3 p</t>
  </si>
  <si>
    <t>Salario Ordinario Pol Minimo</t>
  </si>
  <si>
    <t>Salario Ordinario Pol</t>
  </si>
  <si>
    <t>Salario Ordinario Polp</t>
  </si>
  <si>
    <t>Salario Ordinario Pol Máximo</t>
  </si>
  <si>
    <t>Salario Integral Pol Minimo</t>
  </si>
  <si>
    <t>Salario Integral Pol</t>
  </si>
  <si>
    <t>Salario Integral Pol p</t>
  </si>
  <si>
    <t>Salario Integral Pol Máximo</t>
  </si>
  <si>
    <t>Gpolp</t>
  </si>
  <si>
    <t>G+Vpolp</t>
  </si>
  <si>
    <t>Ctpol</t>
  </si>
  <si>
    <t>Ctpolp</t>
  </si>
  <si>
    <t>Base Seguridad Social Actual</t>
  </si>
  <si>
    <t>Salud</t>
  </si>
  <si>
    <t>Pensión</t>
  </si>
  <si>
    <t>ARL</t>
  </si>
  <si>
    <t>Parafiscales</t>
  </si>
  <si>
    <t>Costo Total Actual</t>
  </si>
  <si>
    <t>Base Seguridad Social Nueva</t>
  </si>
  <si>
    <t>Salud Nueva</t>
  </si>
  <si>
    <t>Pensión Nueva</t>
  </si>
  <si>
    <t>ARL nueva</t>
  </si>
  <si>
    <t>Parafiscales Nuevos</t>
  </si>
  <si>
    <t>Costo Total Nuevo</t>
  </si>
  <si>
    <t>Costo Mensual de Nivelación</t>
  </si>
  <si>
    <t>Nivelación CT</t>
  </si>
  <si>
    <t>Nivelación Costo Laboral</t>
  </si>
  <si>
    <t>CT Mediana</t>
  </si>
  <si>
    <t>80% Equidad</t>
  </si>
  <si>
    <t>120% Equidad</t>
  </si>
  <si>
    <t>Salario Ordinario Pol2</t>
  </si>
  <si>
    <t>Salario Integral Pol4</t>
  </si>
  <si>
    <t>Gpol6</t>
  </si>
  <si>
    <t>G+Vpol8</t>
  </si>
  <si>
    <t>Ctpol10</t>
  </si>
  <si>
    <t>Salario Ordinario Pol22</t>
  </si>
  <si>
    <t>Salario Integral Pol44</t>
  </si>
  <si>
    <t>Gpol66</t>
  </si>
  <si>
    <t>G+Vpol88</t>
  </si>
  <si>
    <t>Ctpol1010</t>
  </si>
  <si>
    <t>Costo Mensual Sobrepago</t>
  </si>
  <si>
    <t>ANALISTA DE GESTION HUMANA</t>
  </si>
  <si>
    <t xml:space="preserve">LIDER DE COSTOS </t>
  </si>
  <si>
    <t xml:space="preserve">COORDINADOR DE INGENIERIA </t>
  </si>
  <si>
    <t xml:space="preserve">JEFE DE CALIDAD </t>
  </si>
  <si>
    <t>DIRECTOR DE COSTOS</t>
  </si>
  <si>
    <t>DIRECTOR DE CENTRO DE TRANSFORMACION</t>
  </si>
  <si>
    <t>DIRECTOR DE  MANTENIMIENTO Y PROYECTOS</t>
  </si>
  <si>
    <t>DIRECTORA ADMINISTRATIVA Y CONTABLE</t>
  </si>
  <si>
    <t>COORDINADOR DE MERCADEO</t>
  </si>
  <si>
    <t>DIRECTOR DE TIC</t>
  </si>
  <si>
    <t>DIRECTOR DE INGENIERIA</t>
  </si>
  <si>
    <t>DIRECTORA DE DISEÑO Y  DESARROLLO</t>
  </si>
  <si>
    <t xml:space="preserve">DIRECTOR DE VENTAS NACIONAL </t>
  </si>
  <si>
    <t>DIRECTOR VENTAS EEUU</t>
  </si>
  <si>
    <t xml:space="preserve">LIDER DE VENTAS LATINOAMERICA </t>
  </si>
  <si>
    <t xml:space="preserve">GERENTE ADMINISTRATIVA Y FINANCIERA </t>
  </si>
  <si>
    <t>CONOCIMIENTO Y HABILIDAD GERENCIA</t>
  </si>
  <si>
    <t>HABILIDADES DE COMUNICACION Y NEGOCIACIÓN</t>
  </si>
  <si>
    <t>SOLUCION DE PROBLEMAS</t>
  </si>
  <si>
    <t>RESPONSABILIDAD SOBRE LOS RESULTADOS</t>
  </si>
  <si>
    <t>Criticidad
(marque 1 si el cargo cumple el criterio o 0 si no lo cumple)</t>
  </si>
  <si>
    <t>Familias de Nomenclatura Recomendadas</t>
  </si>
  <si>
    <t>Promedios</t>
  </si>
  <si>
    <t>VALORES MENSUALES</t>
  </si>
  <si>
    <t>Cargo</t>
  </si>
  <si>
    <t>Taller</t>
  </si>
  <si>
    <t>Area Especifica</t>
  </si>
  <si>
    <t>Cargo Homologado</t>
  </si>
  <si>
    <t>Experiencia Específica</t>
  </si>
  <si>
    <r>
      <t>Puntos</t>
    </r>
    <r>
      <rPr>
        <vertAlign val="subscript"/>
        <sz val="8"/>
        <color theme="0"/>
        <rFont val="Arial"/>
        <family val="2"/>
      </rPr>
      <t>C&amp;H</t>
    </r>
  </si>
  <si>
    <r>
      <t>Puntos</t>
    </r>
    <r>
      <rPr>
        <vertAlign val="subscript"/>
        <sz val="8"/>
        <color theme="0"/>
        <rFont val="Arial"/>
        <family val="2"/>
      </rPr>
      <t>HC</t>
    </r>
  </si>
  <si>
    <r>
      <t>Total Puntos</t>
    </r>
    <r>
      <rPr>
        <vertAlign val="subscript"/>
        <sz val="8"/>
        <color theme="0"/>
        <rFont val="Arial"/>
        <family val="2"/>
      </rPr>
      <t>1</t>
    </r>
  </si>
  <si>
    <t>TendenciaCC</t>
  </si>
  <si>
    <t>TendenciaGA</t>
  </si>
  <si>
    <t>Porcentaje</t>
  </si>
  <si>
    <r>
      <t>Total Puntos</t>
    </r>
    <r>
      <rPr>
        <vertAlign val="subscript"/>
        <sz val="8"/>
        <color theme="0"/>
        <rFont val="Arial"/>
        <family val="2"/>
      </rPr>
      <t>2</t>
    </r>
  </si>
  <si>
    <r>
      <t>Puntos</t>
    </r>
    <r>
      <rPr>
        <vertAlign val="subscript"/>
        <sz val="8"/>
        <color theme="0"/>
        <rFont val="Arial"/>
        <family val="2"/>
      </rPr>
      <t>RR</t>
    </r>
  </si>
  <si>
    <t>Criterio 1</t>
  </si>
  <si>
    <t>Criterio 2</t>
  </si>
  <si>
    <t>Criterio 3</t>
  </si>
  <si>
    <t>Frecuencia</t>
  </si>
  <si>
    <t>Nivel Forzado</t>
  </si>
  <si>
    <r>
      <t>Puntos</t>
    </r>
    <r>
      <rPr>
        <b/>
        <vertAlign val="subscript"/>
        <sz val="8"/>
        <color theme="0"/>
        <rFont val="Arial"/>
        <family val="2"/>
      </rPr>
      <t>F</t>
    </r>
  </si>
  <si>
    <r>
      <t>Categoria</t>
    </r>
    <r>
      <rPr>
        <b/>
        <vertAlign val="subscript"/>
        <sz val="8"/>
        <color theme="0"/>
        <rFont val="Arial"/>
        <family val="2"/>
      </rPr>
      <t>F</t>
    </r>
  </si>
  <si>
    <r>
      <t>Nivel</t>
    </r>
    <r>
      <rPr>
        <b/>
        <vertAlign val="subscript"/>
        <sz val="8"/>
        <color theme="0"/>
        <rFont val="Arial"/>
        <family val="2"/>
      </rPr>
      <t>F</t>
    </r>
  </si>
  <si>
    <r>
      <t>Criticidad</t>
    </r>
    <r>
      <rPr>
        <b/>
        <vertAlign val="subscript"/>
        <sz val="8"/>
        <color theme="0"/>
        <rFont val="Arial"/>
        <family val="2"/>
      </rPr>
      <t>F</t>
    </r>
  </si>
  <si>
    <t>Nivel SHR</t>
  </si>
  <si>
    <t>Variable Target Constitutivo de Salario</t>
  </si>
  <si>
    <t>Variable Target No Constitutivo de Salario</t>
  </si>
  <si>
    <t>Observación</t>
  </si>
  <si>
    <t xml:space="preserve">Operaciones </t>
  </si>
  <si>
    <t xml:space="preserve">Gerente comercial y de mercadeo </t>
  </si>
  <si>
    <t xml:space="preserve">Comercial </t>
  </si>
  <si>
    <t>COMERCIAL Y MERCADEO</t>
  </si>
  <si>
    <t xml:space="preserve">Gerente General </t>
  </si>
  <si>
    <t xml:space="preserve">Gerente general </t>
  </si>
  <si>
    <t>ADMINISTRATIVA Y FINANCIERA</t>
  </si>
  <si>
    <t xml:space="preserve">Logistica </t>
  </si>
  <si>
    <t xml:space="preserve">Gerente de operaciones </t>
  </si>
  <si>
    <t>Gerente de operaciones</t>
  </si>
  <si>
    <t xml:space="preserve">Director de logistica </t>
  </si>
  <si>
    <t xml:space="preserve">Directora administrativa y contable </t>
  </si>
  <si>
    <t xml:space="preserve">Director de Logistica </t>
  </si>
  <si>
    <t>Director de ventas EEUU</t>
  </si>
  <si>
    <t xml:space="preserve">Gerencia general </t>
  </si>
  <si>
    <t>Directora de diseño y desarrollo</t>
  </si>
  <si>
    <t xml:space="preserve">Director de gestion humana </t>
  </si>
  <si>
    <t>Director de ventas Nacional</t>
  </si>
  <si>
    <t>Director TIC</t>
  </si>
  <si>
    <t xml:space="preserve">Director de mantenimiento y proyectos </t>
  </si>
  <si>
    <t xml:space="preserve">Director de producción </t>
  </si>
  <si>
    <t>Coordinador de comercio exterior</t>
  </si>
  <si>
    <t xml:space="preserve">Director de gestón humana </t>
  </si>
  <si>
    <t xml:space="preserve">Director de materiales </t>
  </si>
  <si>
    <t>Director de calidad</t>
  </si>
  <si>
    <t>Jefe de mejora continua</t>
  </si>
  <si>
    <t xml:space="preserve">Coordinadora de mercadeo </t>
  </si>
  <si>
    <t>Director de Taller</t>
  </si>
  <si>
    <t>Director de TIC</t>
  </si>
  <si>
    <t xml:space="preserve">Directora contable </t>
  </si>
  <si>
    <t>Laboratorio</t>
  </si>
  <si>
    <t xml:space="preserve">Coordinador de mantenimiento </t>
  </si>
  <si>
    <t xml:space="preserve">Coordinadora de seguridad y salud en el trabajo </t>
  </si>
  <si>
    <t xml:space="preserve">Jefe de calidad </t>
  </si>
  <si>
    <t>Diseño y desarrollo</t>
  </si>
  <si>
    <t>Compras</t>
  </si>
  <si>
    <t xml:space="preserve">Jefe de compras </t>
  </si>
  <si>
    <t xml:space="preserve">Coordinadora de Comercio exterior </t>
  </si>
  <si>
    <t xml:space="preserve">Director de costos </t>
  </si>
  <si>
    <t xml:space="preserve">Costos </t>
  </si>
  <si>
    <t xml:space="preserve">Coordinadora de servicio al cliente </t>
  </si>
  <si>
    <t xml:space="preserve">Jefe de proyectos aliados </t>
  </si>
  <si>
    <t>TIC</t>
  </si>
  <si>
    <t xml:space="preserve">Director Senior de ingenieria </t>
  </si>
  <si>
    <t xml:space="preserve">Coordinadora de Mercadeo </t>
  </si>
  <si>
    <t>Coordinador de laboratorio</t>
  </si>
  <si>
    <t xml:space="preserve">Director logistico </t>
  </si>
  <si>
    <t>Coordinador CEDI</t>
  </si>
  <si>
    <t>Ajuste de Curva de Competitividad Anual</t>
  </si>
  <si>
    <t>Ajuste de Curva de Equidad Anual</t>
  </si>
  <si>
    <t>SMMLV</t>
  </si>
  <si>
    <t>Año análisis</t>
  </si>
  <si>
    <t>Año original inf</t>
  </si>
  <si>
    <t>Indice análisis</t>
  </si>
  <si>
    <t>Factor Prestacional Salario Ordinario</t>
  </si>
  <si>
    <t>Cesantías</t>
  </si>
  <si>
    <t>Año</t>
  </si>
  <si>
    <t>% Variación</t>
  </si>
  <si>
    <t>Indice</t>
  </si>
  <si>
    <t>Intereses Cesantías</t>
  </si>
  <si>
    <t>Prima Legal</t>
  </si>
  <si>
    <t>Factor Prestacional Salario Integral</t>
  </si>
  <si>
    <t>Beneficios Salarios Ordinarios</t>
  </si>
  <si>
    <t># de Personas</t>
  </si>
  <si>
    <t>%</t>
  </si>
  <si>
    <t>Nivel de Equidad</t>
  </si>
  <si>
    <t>Sobrepago 
(120%)</t>
  </si>
  <si>
    <t>Equidad 
(80% - 120%)</t>
  </si>
  <si>
    <t>x</t>
  </si>
  <si>
    <t>y</t>
  </si>
  <si>
    <t>Subpago 
(&lt;80%)</t>
  </si>
  <si>
    <t># Empl</t>
  </si>
  <si>
    <t>Paga Garantizada</t>
  </si>
  <si>
    <t>Paga Garantizada + Variable</t>
  </si>
  <si>
    <t>&lt; 80%</t>
  </si>
  <si>
    <t>80 - 120</t>
  </si>
  <si>
    <t>&gt; 120%</t>
  </si>
  <si>
    <t>Total Personas</t>
  </si>
  <si>
    <t>Total Posicionamiento</t>
  </si>
  <si>
    <t>Ejecutivo</t>
  </si>
  <si>
    <t>Gerencia Alta</t>
  </si>
  <si>
    <t>Gerencia Media</t>
  </si>
  <si>
    <t>Táctico</t>
  </si>
  <si>
    <t>Soporte</t>
  </si>
  <si>
    <t>Operativo</t>
  </si>
  <si>
    <t>Política x Criticidad - Competitividad</t>
  </si>
  <si>
    <t>Código Estadístico</t>
  </si>
  <si>
    <t>Estadístico</t>
  </si>
  <si>
    <t>Código</t>
  </si>
  <si>
    <t>Ajuste</t>
  </si>
  <si>
    <t>Política x Criticidad - Equidad</t>
  </si>
  <si>
    <t>Eq</t>
  </si>
  <si>
    <t>Marque el referente a usar:</t>
  </si>
  <si>
    <t>Nivel de Competitividad</t>
  </si>
  <si>
    <t>Competitividad 
(80% - 120%)</t>
  </si>
  <si>
    <t>Clasificación Interna</t>
  </si>
  <si>
    <t>Administrativo</t>
  </si>
  <si>
    <t>Comerciales</t>
  </si>
  <si>
    <t>EMPRESA</t>
  </si>
  <si>
    <t>POLITICA</t>
  </si>
  <si>
    <t xml:space="preserve">Básico Actual </t>
  </si>
  <si>
    <t>Salario Básico Ordinario Política (100%)</t>
  </si>
  <si>
    <t xml:space="preserve">Pos. B </t>
  </si>
  <si>
    <t>Garantizado Política</t>
  </si>
  <si>
    <t>Garantizado + Variable Politica</t>
  </si>
  <si>
    <t>Compensación Total Política</t>
  </si>
  <si>
    <t>Nivelación a Compensación Total</t>
  </si>
  <si>
    <t>Nivelación a Costo Laboral</t>
  </si>
  <si>
    <t>Criticos</t>
  </si>
  <si>
    <t>Ajuste Curv</t>
  </si>
  <si>
    <t xml:space="preserve">Total </t>
  </si>
  <si>
    <t>Críticos</t>
  </si>
  <si>
    <t>Posicionamiento</t>
  </si>
  <si>
    <t>Nivelación Compensación Total</t>
  </si>
  <si>
    <t>Costo Total Mensual</t>
  </si>
  <si>
    <t>Muy Importantes</t>
  </si>
  <si>
    <t>Total Nivelación a la Mediana de Mercado</t>
  </si>
  <si>
    <t>VENTAS ANUALES</t>
  </si>
  <si>
    <t>QI</t>
  </si>
  <si>
    <t>MED</t>
  </si>
  <si>
    <t>QIII</t>
  </si>
  <si>
    <t>Equidad</t>
  </si>
  <si>
    <t>Garantizado Ajustado</t>
  </si>
  <si>
    <t>Garantizado + Variable Ajustado</t>
  </si>
  <si>
    <t>Compensación Total Ajustado</t>
  </si>
  <si>
    <t>Y Ajustada</t>
  </si>
  <si>
    <t>G + V</t>
  </si>
  <si>
    <t>Y</t>
  </si>
  <si>
    <t>X</t>
  </si>
  <si>
    <t>Pendiente</t>
  </si>
  <si>
    <t>Intercepto</t>
  </si>
  <si>
    <t>6</t>
  </si>
  <si>
    <t>7</t>
  </si>
  <si>
    <t>8</t>
  </si>
  <si>
    <t>9</t>
  </si>
  <si>
    <t>Segmento 1</t>
  </si>
  <si>
    <t>Datos!$C$6:$C$98</t>
  </si>
  <si>
    <t>Datos!$G$6:$G$98</t>
  </si>
  <si>
    <t>Datos!$D$6:$D$98</t>
  </si>
  <si>
    <t>Datos!$E$6:$E$98</t>
  </si>
  <si>
    <t>Segmento 2</t>
  </si>
  <si>
    <t>Datos!$C$98:$C$135</t>
  </si>
  <si>
    <t>Datos!$G$98:$G$135</t>
  </si>
  <si>
    <t>Datos!$D$98:$D$135</t>
  </si>
  <si>
    <t>Datos!$E$98:$E$135</t>
  </si>
  <si>
    <t>Segmento 3</t>
  </si>
  <si>
    <t>Datos!$C$135:$C$144</t>
  </si>
  <si>
    <t>Datos!$G$135:$G$144</t>
  </si>
  <si>
    <t>Datos!$D$135:$D$144</t>
  </si>
  <si>
    <t>Datos!$E$135:$E$144</t>
  </si>
  <si>
    <t>Segmento 4</t>
  </si>
  <si>
    <t>Mediana</t>
  </si>
  <si>
    <t>Cuartil 1</t>
  </si>
  <si>
    <t>Datos!$F$6:$F$85</t>
  </si>
  <si>
    <t>Datos!$P$6:$P$85</t>
  </si>
  <si>
    <t>Datos!$G$6:$G$85</t>
  </si>
  <si>
    <t>Datos!$H$6:$H$85</t>
  </si>
  <si>
    <t>Datos!$F$85:$F$97</t>
  </si>
  <si>
    <t>Datos!$P$85:$P$97</t>
  </si>
  <si>
    <t>Datos!$G$85:$G$97</t>
  </si>
  <si>
    <t>Datos!$H$85:$H$97</t>
  </si>
  <si>
    <t>Datos!$F$97:$F$144</t>
  </si>
  <si>
    <t>Datos!$P$97:$P$144</t>
  </si>
  <si>
    <t>Datos!$G$97:$G$144</t>
  </si>
  <si>
    <t>Datos!$H$97:$H$144</t>
  </si>
  <si>
    <t>Cuartil 3</t>
  </si>
  <si>
    <t>Datos!$L$6:$L$117</t>
  </si>
  <si>
    <t>Datos!$P$6:$P$117</t>
  </si>
  <si>
    <t>Datos!$M$6:$M$117</t>
  </si>
  <si>
    <t>Datos!$N$6:$N$117</t>
  </si>
  <si>
    <t>Datos!$L$117:$L$136</t>
  </si>
  <si>
    <t>Datos!$P$117:$P$136</t>
  </si>
  <si>
    <t>Datos!$M$117:$M$136</t>
  </si>
  <si>
    <t>Datos!$N$117:$N$136</t>
  </si>
  <si>
    <t>Datos!$L$136:$L$144</t>
  </si>
  <si>
    <t>Datos!$P$136:$P$144</t>
  </si>
  <si>
    <t>Datos!$M$136:$M$144</t>
  </si>
  <si>
    <t>Datos!$N$136:$N$144</t>
  </si>
  <si>
    <t>TIPO</t>
  </si>
  <si>
    <t>CATEGORIA</t>
  </si>
  <si>
    <t>RUTA CARRERA GERENCIAL</t>
  </si>
  <si>
    <t>RUTA CARRERA CONTRIBUCION INDIVIDUAL</t>
  </si>
  <si>
    <t xml:space="preserve">Ejecutivo </t>
  </si>
  <si>
    <t>Presidente Global</t>
  </si>
  <si>
    <t>Presidente Regional</t>
  </si>
  <si>
    <t>Presidente Pais</t>
  </si>
  <si>
    <t xml:space="preserve"> Vicepresidente  / Director Región  / Presidente  País</t>
  </si>
  <si>
    <t>Director / Director Región / Director País</t>
  </si>
  <si>
    <t>Gerente Sr / Gerente Región / Gerente País</t>
  </si>
  <si>
    <t>Especialista Sr</t>
  </si>
  <si>
    <t>Director / Especialista</t>
  </si>
  <si>
    <t>Coordinador Sr.</t>
  </si>
  <si>
    <t>Especialista</t>
  </si>
  <si>
    <t>Coordinador</t>
  </si>
  <si>
    <t>Analista Sr</t>
  </si>
  <si>
    <t>Coordinador Jr.</t>
  </si>
  <si>
    <t>Supervisor</t>
  </si>
  <si>
    <t>Analista Sr / Técnico</t>
  </si>
  <si>
    <t>Analista / Técnico</t>
  </si>
  <si>
    <t>Auxiliar / Operario</t>
  </si>
  <si>
    <t>Operario</t>
  </si>
  <si>
    <t>Operario / Ayudante</t>
  </si>
  <si>
    <t>Comercial Y Mercadeo</t>
  </si>
  <si>
    <t>Gerente Comercial Y Mercadeo</t>
  </si>
  <si>
    <t>Operaciones</t>
  </si>
  <si>
    <t>Gerencia De Operaciones</t>
  </si>
  <si>
    <t>Administrativa Y Financiera</t>
  </si>
  <si>
    <t>Gerente Administrativa Y Financiera</t>
  </si>
  <si>
    <t>Director De Ventas Latam</t>
  </si>
  <si>
    <t>Director De Ventas Eeuu</t>
  </si>
  <si>
    <t>Director Nacional De Ventas</t>
  </si>
  <si>
    <t>Director De Logistica</t>
  </si>
  <si>
    <t>Director De Gestion Humana</t>
  </si>
  <si>
    <t>Director De Innovacion</t>
  </si>
  <si>
    <t>Director Desarrollo</t>
  </si>
  <si>
    <t>Director Ingenieria</t>
  </si>
  <si>
    <t>Director Tic</t>
  </si>
  <si>
    <t>Director De Mantenimiento Y Proyectos</t>
  </si>
  <si>
    <t>Cooordinador De Mercadeo</t>
  </si>
  <si>
    <t>Director Administrativo Y Contable</t>
  </si>
  <si>
    <t>Director De Materiales</t>
  </si>
  <si>
    <t>Director De Calidad Y Control De Procesos</t>
  </si>
  <si>
    <t>Director De Produccion</t>
  </si>
  <si>
    <t>Director De Centro De Transformación</t>
  </si>
  <si>
    <t>Jefe De Mejoramiento Continuo</t>
  </si>
  <si>
    <t>Coordinador  Sst</t>
  </si>
  <si>
    <t>Jefe De Compras</t>
  </si>
  <si>
    <t>Coordinadora De Contabilidad</t>
  </si>
  <si>
    <t>Coordinadora De Comercio Exterior</t>
  </si>
  <si>
    <t>Jefe De Tercerizados</t>
  </si>
  <si>
    <t>Lider De Ventas Eeuu</t>
  </si>
  <si>
    <t>Coordinador De Diseño Y Desarrollo</t>
  </si>
  <si>
    <t>Director Costos</t>
  </si>
  <si>
    <t>Gestion Humana</t>
  </si>
  <si>
    <t>Coordinadora De Gestion Humana</t>
  </si>
  <si>
    <t>Jefe De Calidad</t>
  </si>
  <si>
    <t>Administrador Fedextru</t>
  </si>
  <si>
    <t>Lider De Zona</t>
  </si>
  <si>
    <t>Coordinador De Ingenieria</t>
  </si>
  <si>
    <t>Coordinador Tic</t>
  </si>
  <si>
    <t>Coordinador De Mantenimiento</t>
  </si>
  <si>
    <t>Coordinador De Produccion</t>
  </si>
  <si>
    <t>Lider De Comercio Exterior</t>
  </si>
  <si>
    <t>Lider De Gestión Humana Y Desarrollo Del Talento</t>
  </si>
  <si>
    <t>Ingeniero De Formulaciones</t>
  </si>
  <si>
    <t>Coordinador Cedi</t>
  </si>
  <si>
    <t>Coordinador De Laboratorio</t>
  </si>
  <si>
    <t>Programador De Produccion</t>
  </si>
  <si>
    <t>Ingeniero De Mejora Continua</t>
  </si>
  <si>
    <t>Coordinador De Tercerizados</t>
  </si>
  <si>
    <t>Lider De Costos</t>
  </si>
  <si>
    <t>Lider De Canal</t>
  </si>
  <si>
    <t>Lider De Diseño Y Comunicaciones En Mercadeo</t>
  </si>
  <si>
    <t>Lider De Tecnologías De La Información</t>
  </si>
  <si>
    <t>Lider Mecanico Experto En Moldes</t>
  </si>
  <si>
    <t>Ingeniero De Datos</t>
  </si>
  <si>
    <t>Analista De Nomina</t>
  </si>
  <si>
    <t>Tecnico De Mantenimiento</t>
  </si>
  <si>
    <t>Analista De Seguridad Y Salud En El Trabajo</t>
  </si>
  <si>
    <t>Analista Calidad</t>
  </si>
  <si>
    <t>Analista De Mejora Continua</t>
  </si>
  <si>
    <t>Analista Gestión Humana</t>
  </si>
  <si>
    <t>Analista Cotizaciones Diseño Y Desarrollo</t>
  </si>
  <si>
    <t>Analista De De Compras</t>
  </si>
  <si>
    <t>Analista De Comercio Exterior</t>
  </si>
  <si>
    <t>Analista De Matriceria Cnc</t>
  </si>
  <si>
    <t>Analista De Costos</t>
  </si>
  <si>
    <t>Analista De Servicios</t>
  </si>
  <si>
    <t>Analista Tecnico Proyectos Aliados</t>
  </si>
  <si>
    <t>Analista De Cartera</t>
  </si>
  <si>
    <t>Analista Tesoreria</t>
  </si>
  <si>
    <t>Analista De Impuestos Y Registros Contables</t>
  </si>
  <si>
    <t>Analista Documental De Ingenieria</t>
  </si>
  <si>
    <t>Analista De Mercadeo</t>
  </si>
  <si>
    <t>Lider Soporte Tic</t>
  </si>
  <si>
    <t>Analista Administrativa De Diseño Y Desarrollo</t>
  </si>
  <si>
    <t>Auxiliar Servicio Al Cliente</t>
  </si>
  <si>
    <t>Analista De Laboratorio</t>
  </si>
  <si>
    <t>Analista Operativo Desarrollo</t>
  </si>
  <si>
    <t>Analista Administrativa Y Contable</t>
  </si>
  <si>
    <t>Auxiliar De Matriceria</t>
  </si>
  <si>
    <t>Auxiliar De Diseño Y Comunicaciones En Mercadeo</t>
  </si>
  <si>
    <t>Auxiliar De Produccion</t>
  </si>
  <si>
    <t>Auxiliar De Cedi</t>
  </si>
  <si>
    <t>Auxiliar Facturacion</t>
  </si>
  <si>
    <t>Auxiliar Administrativa Cedi</t>
  </si>
  <si>
    <t>Familia</t>
  </si>
  <si>
    <t>Area</t>
  </si>
  <si>
    <t>Nombre Actual</t>
  </si>
  <si>
    <t>#Aspectos</t>
  </si>
  <si>
    <t>El cargo no cumple ningun aspecto</t>
  </si>
  <si>
    <t>El cargo Cumple con 1 aspecto</t>
  </si>
  <si>
    <t>El cargo Cumple con 2 aspectos</t>
  </si>
  <si>
    <t>El cargo Cumple con 3 aspectos</t>
  </si>
  <si>
    <t>Id</t>
  </si>
  <si>
    <t>Aspecto</t>
  </si>
  <si>
    <t>No hay aspecto diferenciador</t>
  </si>
  <si>
    <t>Categoría</t>
  </si>
  <si>
    <t>Propuesta</t>
  </si>
  <si>
    <t>Director/Jefe/Especialista Sr</t>
  </si>
  <si>
    <t>Coordinador /Especialista</t>
  </si>
  <si>
    <t>Coordinador / Analista</t>
  </si>
  <si>
    <t>Líder / Técnico / Analista</t>
  </si>
  <si>
    <t>Líder / Técnico / Analista /Operario Experto</t>
  </si>
  <si>
    <t>Operario Experto / Auxiliar</t>
  </si>
  <si>
    <t>Operario / Auxiliar</t>
  </si>
  <si>
    <t>Level</t>
  </si>
  <si>
    <t>Gerencia media</t>
  </si>
  <si>
    <t>Resultado</t>
  </si>
  <si>
    <t>Tendencia2</t>
  </si>
  <si>
    <t>Constantes según idioma</t>
  </si>
  <si>
    <t>Idioma</t>
  </si>
  <si>
    <t>Formato cédula lista</t>
  </si>
  <si>
    <t>Salario Basico Md</t>
  </si>
  <si>
    <t>Pos% Md</t>
  </si>
  <si>
    <t>Promedio de Salario Basico Md</t>
  </si>
  <si>
    <t>cat 3</t>
  </si>
  <si>
    <t>cat2</t>
  </si>
  <si>
    <t>CAT 3</t>
  </si>
  <si>
    <t>CAT 2</t>
  </si>
  <si>
    <t>CAT 1</t>
  </si>
  <si>
    <t>CAT 17</t>
  </si>
  <si>
    <t>CAT 19</t>
  </si>
  <si>
    <t>CAT 21</t>
  </si>
  <si>
    <t>CAT 22</t>
  </si>
  <si>
    <t>CAT 23</t>
  </si>
  <si>
    <t>CAT 24</t>
  </si>
  <si>
    <t>CAT 25</t>
  </si>
  <si>
    <t>#N/D</t>
  </si>
  <si>
    <t>(en blanco)</t>
  </si>
  <si>
    <t>Datos!$I$6:$I$44</t>
  </si>
  <si>
    <t>Datos!$P$6:$P$44</t>
  </si>
  <si>
    <t>Datos!$J$6:$J$44</t>
  </si>
  <si>
    <t>Datos!$K$6:$K$44</t>
  </si>
  <si>
    <t>Datos!$I$44:$I$131</t>
  </si>
  <si>
    <t>Datos!$P$44:$P$131</t>
  </si>
  <si>
    <t>Datos!$J$44:$J$131</t>
  </si>
  <si>
    <t>Datos!$K$44:$K$131</t>
  </si>
  <si>
    <t>Datos!$I$131:$I$144</t>
  </si>
  <si>
    <t>Datos!$P$131:$P$144</t>
  </si>
  <si>
    <t>Datos!$J$131:$J$144</t>
  </si>
  <si>
    <t>Datos!$K$131:$K$144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</si>
</sst>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$&quot;* #,##0_);_(&quot;$&quot;* \(#,##0\);_(&quot;$&quot;* &quot;-&quot;_);_(@_)"/>
    <numFmt numFmtId="166" formatCode="_(&quot;$&quot;* #,##0.00_);_(&quot;$&quot;* \(#,##0.00\);_(&quot;$&quot;* &quot;-&quot;??_);_(@_)"/>
    <numFmt numFmtId="167" formatCode="_(* #,##0_);_(* \(#,##0\);_(* &quot;-&quot;??_);_(@_)"/>
    <numFmt numFmtId="168" formatCode="[=1]&quot;ü&quot;;[=0]&quot;û&quot;;General"/>
    <numFmt numFmtId="169" formatCode="m/d/yyyy"/>
    <numFmt numFmtId="170" formatCode="_(* #,##0.0000_);_(* \(#,##0.0000\);_(* &quot;-&quot;??_);_(@_)"/>
    <numFmt numFmtId="171" formatCode="0.0%"/>
    <numFmt numFmtId="172" formatCode="_(&quot;Millones US &quot;* #,##0.0_);_(&quot;Millones US &quot;* \(#,##0.0\);_(&quot;Millones US &quot;* &quot;-&quot;_);_(@_)"/>
    <numFmt numFmtId="173" formatCode="0.00%;0.00%;&quot; - &quot;"/>
    <numFmt numFmtId="174" formatCode="#,##0_);[Red]\(#,##0\)"/>
    <numFmt numFmtId="175" formatCode="#,##0.00_);[Red]\(#,##0.00\)"/>
    <numFmt numFmtId="176" formatCode="_(&quot;$&quot;\ * #,##0.00_);_(&quot;$&quot;\ * \(#,##0.00\);_(&quot;$&quot;\ * &quot;-&quot;??_);_(@_)"/>
    <numFmt numFmtId="177" formatCode="#,##0.0"/>
    <numFmt numFmtId="178" formatCode="#,##0.0000"/>
    <numFmt numFmtId="179" formatCode="#,##0_);\(#,##0\)"/>
    <numFmt numFmtId="180" formatCode="0.000%"/>
    <numFmt numFmtId="181" formatCode="_-&quot;$&quot;\ * #,##0_-;\-&quot;$&quot;\ * #,##0_-;_-&quot;$&quot;\ * &quot;-&quot;??_-;_-@_-"/>
    <numFmt numFmtId="182" formatCode="&quot;$&quot;\ #,000,"/>
    <numFmt numFmtId="183" formatCode="#,000,"/>
    <numFmt numFmtId="184" formatCode="dd/mm/yyyy"/>
  </numFmts>
  <fonts count="8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24"/>
      <color theme="1"/>
      <name val="Calibri"/>
      <family val="2"/>
      <scheme val="minor"/>
    </font>
    <font>
      <sz val="8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0"/>
      <name val="Helvetica"/>
      <family val="2"/>
    </font>
    <font>
      <sz val="11"/>
      <color theme="0"/>
      <name val="Helvetica"/>
      <family val="2"/>
    </font>
    <font>
      <sz val="11"/>
      <color theme="1"/>
      <name val="Helvetica"/>
      <family val="2"/>
    </font>
    <font>
      <b/>
      <sz val="2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Verdana   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 tint="0.249977111117893"/>
      <name val="Arial"/>
      <family val="2"/>
    </font>
    <font>
      <b/>
      <sz val="11"/>
      <color theme="1" tint="0.249977111117893"/>
      <name val="Arial"/>
      <family val="2"/>
    </font>
    <font>
      <sz val="11"/>
      <color theme="0"/>
      <name val="Arial"/>
      <family val="2"/>
    </font>
    <font>
      <sz val="10"/>
      <color theme="1" tint="0.249977111117893"/>
      <name val="Arial"/>
      <family val="2"/>
    </font>
    <font>
      <sz val="7"/>
      <color theme="1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1" tint="0.249977111117893"/>
      <name val="Arial"/>
      <family val="2"/>
    </font>
    <font>
      <sz val="14"/>
      <color theme="1" tint="0.249977111117893"/>
      <name val="Arial"/>
      <family val="2"/>
    </font>
    <font>
      <b/>
      <sz val="12.5"/>
      <color theme="1" tint="0.249977111117893"/>
      <name val="Arial"/>
      <family val="2"/>
    </font>
    <font>
      <sz val="20"/>
      <color theme="1" tint="0.249977111117893"/>
      <name val="Arial"/>
      <family val="2"/>
    </font>
    <font>
      <b/>
      <sz val="14"/>
      <color theme="0"/>
      <name val="Arial"/>
      <family val="2"/>
    </font>
    <font>
      <b/>
      <sz val="10"/>
      <color theme="1" tint="0.34998626667073579"/>
      <name val="Arial"/>
      <family val="2"/>
    </font>
    <font>
      <b/>
      <sz val="9"/>
      <color theme="0"/>
      <name val="Arial"/>
      <family val="2"/>
    </font>
    <font>
      <sz val="9"/>
      <color theme="1"/>
      <name val="Arial"/>
      <family val="2"/>
    </font>
    <font>
      <sz val="9"/>
      <color theme="0"/>
      <name val="Arial"/>
      <family val="2"/>
    </font>
    <font>
      <sz val="9"/>
      <color theme="1" tint="0.249977111117893"/>
      <name val="Arial"/>
      <family val="2"/>
    </font>
    <font>
      <b/>
      <vertAlign val="subscript"/>
      <sz val="8"/>
      <color theme="0"/>
      <name val="Arial"/>
      <family val="2"/>
    </font>
    <font>
      <sz val="8"/>
      <color theme="1"/>
      <name val="Arial"/>
      <family val="2"/>
    </font>
    <font>
      <sz val="11"/>
      <color theme="1" tint="0.249977111117893"/>
      <name val="Wingdings"/>
      <charset val="2"/>
    </font>
    <font>
      <b/>
      <sz val="9"/>
      <color theme="1" tint="0.34998626667073579"/>
      <name val="Arial"/>
      <family val="2"/>
    </font>
    <font>
      <b/>
      <sz val="7"/>
      <color theme="0"/>
      <name val="Arial"/>
      <family val="2"/>
    </font>
    <font>
      <b/>
      <sz val="7.5"/>
      <color theme="0"/>
      <name val="Arial"/>
      <family val="2"/>
    </font>
    <font>
      <b/>
      <sz val="12"/>
      <color theme="0"/>
      <name val="Arial"/>
      <family val="2"/>
    </font>
    <font>
      <sz val="11"/>
      <color theme="1" tint="0.34998626667073579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 tint="0.34998626667073579"/>
      <name val="Arial"/>
      <family val="2"/>
    </font>
    <font>
      <sz val="11"/>
      <color theme="1" tint="0.24994659260841701"/>
      <name val="Arial"/>
      <family val="2"/>
    </font>
    <font>
      <sz val="8"/>
      <color theme="0"/>
      <name val="Arial"/>
      <family val="2"/>
    </font>
    <font>
      <vertAlign val="subscript"/>
      <sz val="8"/>
      <color theme="0"/>
      <name val="Arial"/>
      <family val="2"/>
    </font>
    <font>
      <sz val="11"/>
      <color theme="1" tint="0.249977111117893"/>
      <name val="Calibri"/>
      <family val="2"/>
      <scheme val="minor"/>
    </font>
    <font>
      <b/>
      <sz val="12"/>
      <color rgb="FF0098A0"/>
      <name val="Arial"/>
      <family val="2"/>
    </font>
    <font>
      <b/>
      <sz val="14"/>
      <color rgb="FF0098A0"/>
      <name val="Arial"/>
      <family val="2"/>
    </font>
    <font>
      <b/>
      <sz val="10"/>
      <color theme="1" tint="0.249977111117893"/>
      <name val="Arial"/>
      <family val="2"/>
    </font>
    <font>
      <sz val="10"/>
      <color rgb="FF000000"/>
      <name val="Arial"/>
      <family val="2"/>
    </font>
    <font>
      <sz val="18"/>
      <name val="Arial"/>
      <family val="2"/>
    </font>
    <font>
      <sz val="9"/>
      <color rgb="FF000000"/>
      <name val="Calibri"/>
      <family val="2"/>
    </font>
    <font>
      <b/>
      <sz val="12"/>
      <color rgb="FF000000"/>
      <name val="Calibri Light"/>
      <family val="2"/>
    </font>
    <font>
      <sz val="11"/>
      <color rgb="FF000000"/>
      <name val="Calibri Light"/>
      <family val="2"/>
    </font>
    <font>
      <sz val="8"/>
      <color rgb="FF000000"/>
      <name val="Helvetica"/>
    </font>
    <font>
      <sz val="9"/>
      <color theme="1"/>
      <name val="Calibri"/>
      <family val="2"/>
      <scheme val="minor"/>
    </font>
    <font>
      <sz val="9"/>
      <name val="Arial"/>
      <family val="2"/>
    </font>
    <font>
      <sz val="10"/>
      <color rgb="FFFFFFFF"/>
      <name val="Open Sans"/>
      <family val="2"/>
    </font>
    <font>
      <sz val="10"/>
      <color rgb="FF000000"/>
      <name val="Open Sans"/>
      <family val="2"/>
    </font>
    <font>
      <sz val="10"/>
      <color theme="1"/>
      <name val="Open Sans"/>
      <family val="2"/>
    </font>
    <font>
      <b/>
      <sz val="10"/>
      <color rgb="FF00B050"/>
      <name val="Open Sans"/>
      <family val="2"/>
    </font>
    <font>
      <sz val="10"/>
      <color rgb="FF404040"/>
      <name val="Open Sans"/>
      <family val="2"/>
    </font>
    <font>
      <sz val="10"/>
      <name val="Open Sans"/>
      <family val="2"/>
    </font>
    <font>
      <b/>
      <sz val="10"/>
      <color rgb="FFFF0000"/>
      <name val="Open Sans"/>
      <family val="2"/>
    </font>
    <font>
      <b/>
      <sz val="10"/>
      <color rgb="FF0070C0"/>
      <name val="Open Sans"/>
      <family val="2"/>
    </font>
    <font>
      <b/>
      <sz val="8"/>
      <color theme="1" tint="0.34998626667073579"/>
      <name val="Arial"/>
      <family val="2"/>
    </font>
    <font>
      <sz val="8"/>
      <color theme="1" tint="0.34998626667073579"/>
      <name val="Arial"/>
      <family val="2"/>
    </font>
    <font>
      <sz val="14"/>
      <color rgb="FF339966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sz val="9"/>
      <color rgb="FF000000"/>
      <name val="Arial"/>
      <family val="2"/>
    </font>
    <font>
      <sz val="12"/>
      <color rgb="FF000000"/>
      <name val="Arial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7FBC2F"/>
        <bgColor indexed="64"/>
      </patternFill>
    </fill>
    <fill>
      <patternFill patternType="solid">
        <fgColor rgb="FF7FBC2F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A0CA4A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9999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3F80C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20D4D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98A0"/>
        <bgColor indexed="64"/>
      </patternFill>
    </fill>
    <fill>
      <patternFill patternType="solid">
        <fgColor rgb="FF51B99F"/>
        <bgColor indexed="64"/>
      </patternFill>
    </fill>
    <fill>
      <patternFill patternType="solid">
        <fgColor rgb="FF70CDA2"/>
        <bgColor indexed="64"/>
      </patternFill>
    </fill>
    <fill>
      <patternFill patternType="solid">
        <fgColor rgb="FFA2C92B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4"/>
        <bgColor theme="4"/>
      </patternFill>
    </fill>
    <fill>
      <patternFill patternType="solid">
        <fgColor rgb="FFD9D9D9"/>
        <bgColor indexed="64"/>
      </patternFill>
    </fill>
    <fill>
      <patternFill patternType="darkUp"/>
    </fill>
    <fill>
      <patternFill patternType="solid">
        <fgColor theme="3" tint="0.79998168889431442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9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4.9989318521683403E-2"/>
      </right>
      <top style="thin">
        <color theme="0" tint="-0.14996795556505021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14996795556505021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4.9989318521683403E-2"/>
      </right>
      <top style="thin">
        <color theme="0" tint="-4.9989318521683403E-2"/>
      </top>
      <bottom style="thin">
        <color theme="0" tint="-0.149967955565050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14996795556505021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4.9989318521683403E-2"/>
      </top>
      <bottom style="thin">
        <color theme="0" tint="-0.14996795556505021"/>
      </bottom>
      <diagonal/>
    </border>
    <border>
      <left/>
      <right style="thin">
        <color theme="0" tint="-0.49998474074526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 style="thin">
        <color theme="0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1499374370555742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6" tint="0.39997558519241921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4" tint="0.39997558519241921"/>
      </top>
      <bottom style="thin">
        <color theme="0" tint="-0.149967955565050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149967955565050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 tint="-0.149967955565050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A6A6A6"/>
      </left>
      <right style="medium">
        <color rgb="FFA6A6A6"/>
      </right>
      <top style="medium">
        <color rgb="FFA6A6A6"/>
      </top>
      <bottom style="medium">
        <color rgb="FFA6A6A6"/>
      </bottom>
      <diagonal/>
    </border>
    <border>
      <left style="medium">
        <color rgb="FFA6A6A6"/>
      </left>
      <right style="medium">
        <color rgb="FFA6A6A6"/>
      </right>
      <top style="medium">
        <color rgb="FFA6A6A6"/>
      </top>
      <bottom/>
      <diagonal/>
    </border>
    <border>
      <left style="medium">
        <color rgb="FFA6A6A6"/>
      </left>
      <right style="medium">
        <color rgb="FFA6A6A6"/>
      </right>
      <top/>
      <bottom/>
      <diagonal/>
    </border>
    <border>
      <left/>
      <right style="medium">
        <color rgb="FFA6A6A6"/>
      </right>
      <top style="medium">
        <color rgb="FFA6A6A6"/>
      </top>
      <bottom style="medium">
        <color rgb="FFA6A6A6"/>
      </bottom>
      <diagonal/>
    </border>
    <border>
      <left style="medium">
        <color rgb="FFA6A6A6"/>
      </left>
      <right style="medium">
        <color rgb="FFA6A6A6"/>
      </right>
      <top/>
      <bottom style="medium">
        <color rgb="FFA6A6A6"/>
      </bottom>
      <diagonal/>
    </border>
    <border>
      <left style="medium">
        <color rgb="FFFFFFFF"/>
      </left>
      <right style="medium">
        <color rgb="FFA6A6A6"/>
      </right>
      <top style="medium">
        <color rgb="FFA6A6A6"/>
      </top>
      <bottom style="medium">
        <color rgb="FFA6A6A6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thin">
        <color rgb="FFBFBFBF"/>
      </right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BFBFBF"/>
      </left>
      <right style="medium">
        <color rgb="FFBFBFBF"/>
      </right>
      <top/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  <border>
      <left/>
      <right/>
      <top style="thin">
        <color theme="6" tint="-0.249977111117893"/>
      </top>
      <bottom style="thin">
        <color theme="6" tint="-0.249977111117893"/>
      </bottom>
      <diagonal/>
    </border>
    <border>
      <left/>
      <right/>
      <top/>
      <bottom style="thin">
        <color theme="6" tint="0.59999389629810485"/>
      </bottom>
      <diagonal/>
    </border>
    <border>
      <left/>
      <right/>
      <top style="thin">
        <color theme="6" tint="-0.249977111117893"/>
      </top>
      <bottom/>
      <diagonal/>
    </border>
    <border>
      <left/>
      <right/>
      <top/>
      <bottom style="thin">
        <color theme="6" tint="-0.249977111117893"/>
      </bottom>
      <diagonal/>
    </border>
  </borders>
  <cellStyleXfs count="77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17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5" fillId="0" borderId="0"/>
    <xf numFmtId="44" fontId="1" fillId="0" borderId="0" applyFont="0" applyFill="0" applyBorder="0" applyAlignment="0" applyProtection="0"/>
  </cellStyleXfs>
  <cellXfs count="669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3" xfId="0" applyBorder="1"/>
    <xf numFmtId="0" fontId="0" fillId="0" borderId="8" xfId="0" applyBorder="1"/>
    <xf numFmtId="0" fontId="0" fillId="0" borderId="6" xfId="0" applyBorder="1"/>
    <xf numFmtId="0" fontId="0" fillId="0" borderId="7" xfId="0" applyBorder="1"/>
    <xf numFmtId="9" fontId="0" fillId="0" borderId="0" xfId="2" applyFont="1"/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7" fillId="0" borderId="0" xfId="0" applyFont="1" applyAlignment="1">
      <alignment vertical="center"/>
    </xf>
    <xf numFmtId="0" fontId="19" fillId="0" borderId="0" xfId="0" applyFont="1"/>
    <xf numFmtId="0" fontId="19" fillId="0" borderId="0" xfId="0" applyFont="1" applyAlignment="1">
      <alignment horizontal="center" vertical="center" wrapText="1"/>
    </xf>
    <xf numFmtId="38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 shrinkToFit="1"/>
    </xf>
    <xf numFmtId="0" fontId="19" fillId="0" borderId="0" xfId="0" applyFont="1" applyAlignment="1">
      <alignment vertical="center"/>
    </xf>
    <xf numFmtId="0" fontId="19" fillId="0" borderId="0" xfId="0" applyFont="1" applyAlignment="1">
      <alignment vertical="center" wrapText="1"/>
    </xf>
    <xf numFmtId="3" fontId="17" fillId="0" borderId="0" xfId="0" applyNumberFormat="1" applyFont="1" applyAlignment="1">
      <alignment horizontal="center" vertical="center"/>
    </xf>
    <xf numFmtId="3" fontId="24" fillId="0" borderId="0" xfId="0" applyNumberFormat="1" applyFont="1" applyAlignment="1">
      <alignment horizont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3" fontId="24" fillId="0" borderId="0" xfId="0" applyNumberFormat="1" applyFont="1" applyAlignment="1">
      <alignment horizontal="center" vertical="center"/>
    </xf>
    <xf numFmtId="0" fontId="24" fillId="18" borderId="0" xfId="0" applyFont="1" applyFill="1" applyAlignment="1">
      <alignment horizontal="center" vertical="center"/>
    </xf>
    <xf numFmtId="0" fontId="25" fillId="18" borderId="0" xfId="0" applyFont="1" applyFill="1" applyAlignment="1">
      <alignment horizontal="center" vertical="center"/>
    </xf>
    <xf numFmtId="3" fontId="24" fillId="0" borderId="0" xfId="0" applyNumberFormat="1" applyFont="1" applyAlignment="1">
      <alignment horizontal="center" wrapText="1"/>
    </xf>
    <xf numFmtId="0" fontId="24" fillId="0" borderId="0" xfId="0" applyFont="1" applyAlignment="1">
      <alignment wrapText="1"/>
    </xf>
    <xf numFmtId="0" fontId="24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shrinkToFit="1"/>
    </xf>
    <xf numFmtId="9" fontId="24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6" fillId="10" borderId="9" xfId="0" applyFont="1" applyFill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6" fillId="9" borderId="9" xfId="0" applyFont="1" applyFill="1" applyBorder="1" applyAlignment="1">
      <alignment horizontal="center" vertical="center" wrapText="1"/>
    </xf>
    <xf numFmtId="0" fontId="16" fillId="10" borderId="9" xfId="0" applyFont="1" applyFill="1" applyBorder="1" applyAlignment="1">
      <alignment horizontal="center" vertical="center" wrapText="1"/>
    </xf>
    <xf numFmtId="3" fontId="21" fillId="9" borderId="9" xfId="2" applyNumberFormat="1" applyFont="1" applyFill="1" applyBorder="1" applyAlignment="1">
      <alignment horizontal="center" vertical="center"/>
    </xf>
    <xf numFmtId="170" fontId="21" fillId="5" borderId="14" xfId="1" applyNumberFormat="1" applyFont="1" applyFill="1" applyBorder="1" applyAlignment="1">
      <alignment horizontal="center" vertical="center"/>
    </xf>
    <xf numFmtId="170" fontId="21" fillId="5" borderId="17" xfId="1" applyNumberFormat="1" applyFont="1" applyFill="1" applyBorder="1" applyAlignment="1">
      <alignment horizontal="center" vertical="center"/>
    </xf>
    <xf numFmtId="178" fontId="16" fillId="5" borderId="9" xfId="1" applyNumberFormat="1" applyFont="1" applyFill="1" applyBorder="1" applyAlignment="1">
      <alignment horizontal="center" vertical="center"/>
    </xf>
    <xf numFmtId="0" fontId="16" fillId="17" borderId="9" xfId="0" applyFont="1" applyFill="1" applyBorder="1" applyAlignment="1">
      <alignment horizontal="center" vertical="center"/>
    </xf>
    <xf numFmtId="9" fontId="19" fillId="0" borderId="9" xfId="0" applyNumberFormat="1" applyFont="1" applyBorder="1" applyAlignment="1">
      <alignment horizontal="center" vertical="center"/>
    </xf>
    <xf numFmtId="0" fontId="19" fillId="0" borderId="9" xfId="0" applyFont="1" applyBorder="1" applyAlignment="1">
      <alignment horizontal="center"/>
    </xf>
    <xf numFmtId="9" fontId="19" fillId="0" borderId="9" xfId="2" applyFont="1" applyBorder="1" applyAlignment="1">
      <alignment horizontal="center"/>
    </xf>
    <xf numFmtId="0" fontId="19" fillId="0" borderId="9" xfId="0" applyFont="1" applyBorder="1" applyAlignment="1">
      <alignment horizontal="center" vertical="center"/>
    </xf>
    <xf numFmtId="173" fontId="19" fillId="0" borderId="9" xfId="2" applyNumberFormat="1" applyFont="1" applyBorder="1" applyAlignment="1">
      <alignment horizontal="center" vertical="center"/>
    </xf>
    <xf numFmtId="9" fontId="30" fillId="3" borderId="23" xfId="0" applyNumberFormat="1" applyFont="1" applyFill="1" applyBorder="1" applyAlignment="1">
      <alignment horizontal="center" vertical="center"/>
    </xf>
    <xf numFmtId="0" fontId="30" fillId="3" borderId="23" xfId="0" applyFont="1" applyFill="1" applyBorder="1" applyAlignment="1">
      <alignment horizontal="center"/>
    </xf>
    <xf numFmtId="9" fontId="30" fillId="3" borderId="23" xfId="2" applyFont="1" applyFill="1" applyBorder="1" applyAlignment="1">
      <alignment horizontal="center"/>
    </xf>
    <xf numFmtId="9" fontId="30" fillId="3" borderId="25" xfId="0" applyNumberFormat="1" applyFont="1" applyFill="1" applyBorder="1" applyAlignment="1">
      <alignment horizontal="center" vertical="center"/>
    </xf>
    <xf numFmtId="0" fontId="30" fillId="3" borderId="25" xfId="0" applyFont="1" applyFill="1" applyBorder="1" applyAlignment="1">
      <alignment horizontal="center"/>
    </xf>
    <xf numFmtId="9" fontId="30" fillId="3" borderId="25" xfId="2" applyFont="1" applyFill="1" applyBorder="1" applyAlignment="1">
      <alignment horizontal="center"/>
    </xf>
    <xf numFmtId="9" fontId="30" fillId="3" borderId="27" xfId="0" applyNumberFormat="1" applyFont="1" applyFill="1" applyBorder="1" applyAlignment="1">
      <alignment horizontal="center" vertical="center"/>
    </xf>
    <xf numFmtId="0" fontId="30" fillId="3" borderId="27" xfId="0" applyFont="1" applyFill="1" applyBorder="1" applyAlignment="1">
      <alignment horizontal="center"/>
    </xf>
    <xf numFmtId="9" fontId="30" fillId="3" borderId="27" xfId="2" applyFont="1" applyFill="1" applyBorder="1" applyAlignment="1">
      <alignment horizontal="center"/>
    </xf>
    <xf numFmtId="0" fontId="28" fillId="0" borderId="9" xfId="0" applyFont="1" applyBorder="1" applyAlignment="1">
      <alignment horizontal="center"/>
    </xf>
    <xf numFmtId="9" fontId="28" fillId="0" borderId="9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10" fontId="17" fillId="0" borderId="0" xfId="0" applyNumberFormat="1" applyFont="1"/>
    <xf numFmtId="171" fontId="16" fillId="17" borderId="9" xfId="0" applyNumberFormat="1" applyFont="1" applyFill="1" applyBorder="1" applyAlignment="1">
      <alignment horizontal="center" vertical="center"/>
    </xf>
    <xf numFmtId="171" fontId="28" fillId="0" borderId="9" xfId="0" applyNumberFormat="1" applyFont="1" applyBorder="1" applyAlignment="1">
      <alignment horizontal="center"/>
    </xf>
    <xf numFmtId="171" fontId="17" fillId="0" borderId="0" xfId="2" applyNumberFormat="1" applyFont="1" applyAlignment="1">
      <alignment horizontal="center" vertical="center"/>
    </xf>
    <xf numFmtId="9" fontId="19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167" fontId="19" fillId="0" borderId="0" xfId="1" applyNumberFormat="1" applyFont="1" applyAlignment="1">
      <alignment horizontal="center" vertical="center"/>
    </xf>
    <xf numFmtId="3" fontId="19" fillId="0" borderId="9" xfId="0" applyNumberFormat="1" applyFont="1" applyBorder="1" applyAlignment="1">
      <alignment horizontal="center" vertical="center" wrapText="1"/>
    </xf>
    <xf numFmtId="3" fontId="19" fillId="3" borderId="9" xfId="0" applyNumberFormat="1" applyFont="1" applyFill="1" applyBorder="1" applyAlignment="1">
      <alignment horizontal="center" vertical="center" wrapText="1"/>
    </xf>
    <xf numFmtId="9" fontId="19" fillId="0" borderId="9" xfId="0" applyNumberFormat="1" applyFont="1" applyBorder="1" applyAlignment="1">
      <alignment horizontal="center" vertical="center" wrapText="1"/>
    </xf>
    <xf numFmtId="3" fontId="19" fillId="3" borderId="34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vertical="top"/>
    </xf>
    <xf numFmtId="38" fontId="19" fillId="0" borderId="0" xfId="0" applyNumberFormat="1" applyFont="1" applyAlignment="1">
      <alignment vertical="top"/>
    </xf>
    <xf numFmtId="0" fontId="19" fillId="0" borderId="0" xfId="0" applyFont="1" applyAlignment="1">
      <alignment horizontal="center" vertical="top"/>
    </xf>
    <xf numFmtId="38" fontId="19" fillId="0" borderId="0" xfId="0" applyNumberFormat="1" applyFont="1" applyAlignment="1">
      <alignment horizontal="center" vertical="top"/>
    </xf>
    <xf numFmtId="10" fontId="19" fillId="0" borderId="0" xfId="2" applyNumberFormat="1" applyFont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3" fontId="20" fillId="29" borderId="9" xfId="0" applyNumberFormat="1" applyFont="1" applyFill="1" applyBorder="1" applyAlignment="1">
      <alignment horizontal="center" vertical="center" wrapText="1"/>
    </xf>
    <xf numFmtId="9" fontId="20" fillId="29" borderId="9" xfId="0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7" fontId="20" fillId="0" borderId="9" xfId="1" applyNumberFormat="1" applyFont="1" applyBorder="1" applyAlignment="1">
      <alignment horizontal="center" vertical="center"/>
    </xf>
    <xf numFmtId="0" fontId="17" fillId="0" borderId="0" xfId="0" applyFont="1" applyAlignment="1">
      <alignment vertical="top"/>
    </xf>
    <xf numFmtId="0" fontId="17" fillId="0" borderId="0" xfId="0" applyFont="1" applyAlignment="1">
      <alignment horizontal="center" vertical="top"/>
    </xf>
    <xf numFmtId="0" fontId="17" fillId="0" borderId="0" xfId="0" applyFont="1" applyAlignment="1">
      <alignment vertical="top" shrinkToFit="1"/>
    </xf>
    <xf numFmtId="172" fontId="17" fillId="0" borderId="0" xfId="1" applyNumberFormat="1" applyFont="1" applyAlignment="1">
      <alignment horizontal="center" vertical="center"/>
    </xf>
    <xf numFmtId="0" fontId="26" fillId="9" borderId="9" xfId="0" applyFont="1" applyFill="1" applyBorder="1" applyAlignment="1">
      <alignment horizontal="center" vertical="center" wrapText="1"/>
    </xf>
    <xf numFmtId="0" fontId="26" fillId="10" borderId="9" xfId="0" applyFont="1" applyFill="1" applyBorder="1" applyAlignment="1">
      <alignment horizontal="center" vertical="center" wrapText="1"/>
    </xf>
    <xf numFmtId="173" fontId="19" fillId="0" borderId="11" xfId="2" applyNumberFormat="1" applyFont="1" applyBorder="1" applyAlignment="1">
      <alignment horizontal="center" vertical="center"/>
    </xf>
    <xf numFmtId="0" fontId="16" fillId="17" borderId="37" xfId="0" applyFont="1" applyFill="1" applyBorder="1" applyAlignment="1">
      <alignment horizontal="center" vertical="center"/>
    </xf>
    <xf numFmtId="171" fontId="16" fillId="17" borderId="37" xfId="0" applyNumberFormat="1" applyFont="1" applyFill="1" applyBorder="1" applyAlignment="1">
      <alignment horizontal="center" vertical="center"/>
    </xf>
    <xf numFmtId="3" fontId="24" fillId="10" borderId="9" xfId="0" applyNumberFormat="1" applyFont="1" applyFill="1" applyBorder="1" applyAlignment="1">
      <alignment horizontal="center" vertical="center" wrapText="1"/>
    </xf>
    <xf numFmtId="0" fontId="24" fillId="10" borderId="9" xfId="0" applyFont="1" applyFill="1" applyBorder="1" applyAlignment="1">
      <alignment horizontal="center" vertical="center" wrapText="1"/>
    </xf>
    <xf numFmtId="0" fontId="24" fillId="8" borderId="9" xfId="0" applyFont="1" applyFill="1" applyBorder="1" applyAlignment="1">
      <alignment horizontal="center" vertical="center" wrapText="1"/>
    </xf>
    <xf numFmtId="0" fontId="24" fillId="9" borderId="9" xfId="0" applyFont="1" applyFill="1" applyBorder="1" applyAlignment="1">
      <alignment horizontal="center" vertical="center" wrapText="1"/>
    </xf>
    <xf numFmtId="0" fontId="24" fillId="25" borderId="9" xfId="0" applyFont="1" applyFill="1" applyBorder="1" applyAlignment="1">
      <alignment horizontal="center" vertical="center" wrapText="1"/>
    </xf>
    <xf numFmtId="0" fontId="24" fillId="23" borderId="9" xfId="0" applyFont="1" applyFill="1" applyBorder="1" applyAlignment="1">
      <alignment horizontal="center" vertical="center" wrapText="1"/>
    </xf>
    <xf numFmtId="0" fontId="24" fillId="2" borderId="9" xfId="0" applyFont="1" applyFill="1" applyBorder="1" applyAlignment="1">
      <alignment horizontal="center" vertical="center" wrapText="1"/>
    </xf>
    <xf numFmtId="0" fontId="24" fillId="21" borderId="9" xfId="0" applyFont="1" applyFill="1" applyBorder="1" applyAlignment="1">
      <alignment horizontal="center" vertical="center" wrapText="1"/>
    </xf>
    <xf numFmtId="0" fontId="24" fillId="19" borderId="9" xfId="0" applyFont="1" applyFill="1" applyBorder="1" applyAlignment="1">
      <alignment horizontal="center" vertical="center" wrapText="1"/>
    </xf>
    <xf numFmtId="0" fontId="24" fillId="20" borderId="9" xfId="0" applyFont="1" applyFill="1" applyBorder="1" applyAlignment="1">
      <alignment horizontal="center" vertical="center" wrapText="1"/>
    </xf>
    <xf numFmtId="0" fontId="24" fillId="12" borderId="9" xfId="0" applyFont="1" applyFill="1" applyBorder="1" applyAlignment="1">
      <alignment horizontal="center" vertical="center" wrapText="1"/>
    </xf>
    <xf numFmtId="0" fontId="26" fillId="8" borderId="9" xfId="0" applyFont="1" applyFill="1" applyBorder="1" applyAlignment="1">
      <alignment horizontal="center" vertical="center" wrapText="1"/>
    </xf>
    <xf numFmtId="0" fontId="26" fillId="22" borderId="9" xfId="0" applyFont="1" applyFill="1" applyBorder="1" applyAlignment="1">
      <alignment horizontal="center" vertical="center" wrapText="1"/>
    </xf>
    <xf numFmtId="0" fontId="26" fillId="5" borderId="9" xfId="0" applyFont="1" applyFill="1" applyBorder="1" applyAlignment="1">
      <alignment horizontal="center" vertical="center" wrapText="1"/>
    </xf>
    <xf numFmtId="0" fontId="24" fillId="0" borderId="9" xfId="0" applyFont="1" applyBorder="1" applyAlignment="1">
      <alignment horizontal="center" vertical="center" wrapText="1"/>
    </xf>
    <xf numFmtId="0" fontId="24" fillId="6" borderId="9" xfId="0" applyFont="1" applyFill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vertical="center" wrapText="1"/>
    </xf>
    <xf numFmtId="0" fontId="35" fillId="0" borderId="0" xfId="0" applyFont="1" applyAlignment="1">
      <alignment vertical="center"/>
    </xf>
    <xf numFmtId="0" fontId="34" fillId="11" borderId="9" xfId="0" applyFont="1" applyFill="1" applyBorder="1" applyAlignment="1">
      <alignment horizontal="center" vertical="center" wrapText="1"/>
    </xf>
    <xf numFmtId="0" fontId="27" fillId="11" borderId="9" xfId="0" applyFont="1" applyFill="1" applyBorder="1" applyAlignment="1">
      <alignment horizontal="center" vertical="center" wrapText="1"/>
    </xf>
    <xf numFmtId="3" fontId="27" fillId="11" borderId="9" xfId="0" applyNumberFormat="1" applyFont="1" applyFill="1" applyBorder="1" applyAlignment="1">
      <alignment horizontal="center" vertical="center" wrapText="1"/>
    </xf>
    <xf numFmtId="174" fontId="36" fillId="5" borderId="39" xfId="0" applyNumberFormat="1" applyFont="1" applyFill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174" fontId="36" fillId="5" borderId="32" xfId="0" applyNumberFormat="1" applyFont="1" applyFill="1" applyBorder="1" applyAlignment="1">
      <alignment horizontal="center" vertical="center"/>
    </xf>
    <xf numFmtId="174" fontId="37" fillId="0" borderId="32" xfId="0" applyNumberFormat="1" applyFont="1" applyBorder="1" applyAlignment="1">
      <alignment horizontal="center" vertical="center"/>
    </xf>
    <xf numFmtId="10" fontId="36" fillId="5" borderId="32" xfId="0" applyNumberFormat="1" applyFont="1" applyFill="1" applyBorder="1" applyAlignment="1">
      <alignment horizontal="center" vertical="center"/>
    </xf>
    <xf numFmtId="175" fontId="36" fillId="5" borderId="32" xfId="0" applyNumberFormat="1" applyFont="1" applyFill="1" applyBorder="1" applyAlignment="1">
      <alignment horizontal="center" vertical="center"/>
    </xf>
    <xf numFmtId="38" fontId="36" fillId="5" borderId="32" xfId="0" applyNumberFormat="1" applyFont="1" applyFill="1" applyBorder="1" applyAlignment="1">
      <alignment horizontal="center" vertical="center"/>
    </xf>
    <xf numFmtId="174" fontId="36" fillId="5" borderId="32" xfId="0" applyNumberFormat="1" applyFont="1" applyFill="1" applyBorder="1" applyAlignment="1">
      <alignment vertical="center"/>
    </xf>
    <xf numFmtId="174" fontId="37" fillId="0" borderId="32" xfId="0" applyNumberFormat="1" applyFont="1" applyBorder="1" applyAlignment="1">
      <alignment vertical="center"/>
    </xf>
    <xf numFmtId="3" fontId="37" fillId="0" borderId="32" xfId="0" applyNumberFormat="1" applyFont="1" applyBorder="1" applyAlignment="1">
      <alignment horizontal="center" vertical="center"/>
    </xf>
    <xf numFmtId="168" fontId="40" fillId="0" borderId="32" xfId="0" applyNumberFormat="1" applyFont="1" applyBorder="1" applyAlignment="1">
      <alignment horizontal="center" vertical="center"/>
    </xf>
    <xf numFmtId="0" fontId="35" fillId="0" borderId="0" xfId="0" applyFont="1" applyAlignment="1">
      <alignment vertical="center" wrapText="1"/>
    </xf>
    <xf numFmtId="3" fontId="36" fillId="5" borderId="32" xfId="0" applyNumberFormat="1" applyFont="1" applyFill="1" applyBorder="1" applyAlignment="1">
      <alignment horizontal="center" vertical="center"/>
    </xf>
    <xf numFmtId="0" fontId="27" fillId="9" borderId="9" xfId="0" applyFont="1" applyFill="1" applyBorder="1" applyAlignment="1">
      <alignment horizontal="center" vertical="center" wrapText="1"/>
    </xf>
    <xf numFmtId="0" fontId="22" fillId="4" borderId="39" xfId="0" applyFont="1" applyFill="1" applyBorder="1" applyAlignment="1">
      <alignment horizontal="center" vertical="center"/>
    </xf>
    <xf numFmtId="0" fontId="22" fillId="4" borderId="32" xfId="0" applyFont="1" applyFill="1" applyBorder="1" applyAlignment="1">
      <alignment horizontal="center" vertical="center"/>
    </xf>
    <xf numFmtId="0" fontId="24" fillId="25" borderId="11" xfId="0" applyFont="1" applyFill="1" applyBorder="1" applyAlignment="1">
      <alignment horizontal="center" vertical="center" wrapText="1"/>
    </xf>
    <xf numFmtId="1" fontId="22" fillId="0" borderId="39" xfId="0" applyNumberFormat="1" applyFont="1" applyBorder="1" applyAlignment="1">
      <alignment horizontal="center" vertical="center"/>
    </xf>
    <xf numFmtId="3" fontId="22" fillId="0" borderId="39" xfId="0" applyNumberFormat="1" applyFont="1" applyBorder="1" applyAlignment="1">
      <alignment horizontal="center" vertical="center"/>
    </xf>
    <xf numFmtId="0" fontId="22" fillId="0" borderId="39" xfId="0" applyFont="1" applyBorder="1" applyAlignment="1">
      <alignment horizontal="left" vertical="center"/>
    </xf>
    <xf numFmtId="14" fontId="22" fillId="0" borderId="39" xfId="0" applyNumberFormat="1" applyFont="1" applyBorder="1" applyAlignment="1">
      <alignment horizontal="center" vertical="center"/>
    </xf>
    <xf numFmtId="169" fontId="22" fillId="0" borderId="3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center" vertical="center"/>
    </xf>
    <xf numFmtId="174" fontId="22" fillId="4" borderId="39" xfId="0" applyNumberFormat="1" applyFont="1" applyFill="1" applyBorder="1" applyAlignment="1">
      <alignment horizontal="center" vertical="center"/>
    </xf>
    <xf numFmtId="38" fontId="22" fillId="4" borderId="39" xfId="0" applyNumberFormat="1" applyFont="1" applyFill="1" applyBorder="1" applyAlignment="1">
      <alignment horizontal="center" vertical="center"/>
    </xf>
    <xf numFmtId="2" fontId="22" fillId="0" borderId="39" xfId="0" applyNumberFormat="1" applyFont="1" applyBorder="1" applyAlignment="1">
      <alignment horizontal="center" vertical="center"/>
    </xf>
    <xf numFmtId="164" fontId="22" fillId="0" borderId="39" xfId="0" applyNumberFormat="1" applyFont="1" applyBorder="1" applyAlignment="1">
      <alignment horizontal="center" vertical="center"/>
    </xf>
    <xf numFmtId="174" fontId="22" fillId="0" borderId="39" xfId="0" applyNumberFormat="1" applyFont="1" applyBorder="1" applyAlignment="1">
      <alignment horizontal="center" vertical="center"/>
    </xf>
    <xf numFmtId="3" fontId="22" fillId="4" borderId="39" xfId="0" applyNumberFormat="1" applyFont="1" applyFill="1" applyBorder="1" applyAlignment="1">
      <alignment horizontal="center" vertical="center"/>
    </xf>
    <xf numFmtId="10" fontId="22" fillId="4" borderId="39" xfId="2" applyNumberFormat="1" applyFont="1" applyFill="1" applyBorder="1" applyAlignment="1">
      <alignment horizontal="center" vertical="center"/>
    </xf>
    <xf numFmtId="177" fontId="22" fillId="0" borderId="39" xfId="1" applyNumberFormat="1" applyFont="1" applyFill="1" applyBorder="1" applyAlignment="1">
      <alignment horizontal="center" vertical="center"/>
    </xf>
    <xf numFmtId="10" fontId="22" fillId="4" borderId="39" xfId="0" applyNumberFormat="1" applyFont="1" applyFill="1" applyBorder="1" applyAlignment="1">
      <alignment horizontal="center" vertical="center"/>
    </xf>
    <xf numFmtId="38" fontId="22" fillId="4" borderId="39" xfId="2" applyNumberFormat="1" applyFont="1" applyFill="1" applyBorder="1" applyAlignment="1">
      <alignment horizontal="center" vertical="center"/>
    </xf>
    <xf numFmtId="1" fontId="22" fillId="0" borderId="32" xfId="0" applyNumberFormat="1" applyFont="1" applyBorder="1" applyAlignment="1">
      <alignment horizontal="center" vertical="center"/>
    </xf>
    <xf numFmtId="3" fontId="22" fillId="0" borderId="32" xfId="0" applyNumberFormat="1" applyFont="1" applyBorder="1" applyAlignment="1">
      <alignment horizontal="center" vertical="center"/>
    </xf>
    <xf numFmtId="0" fontId="22" fillId="0" borderId="32" xfId="0" applyFont="1" applyBorder="1" applyAlignment="1">
      <alignment horizontal="left" vertical="center"/>
    </xf>
    <xf numFmtId="14" fontId="22" fillId="0" borderId="32" xfId="0" applyNumberFormat="1" applyFont="1" applyBorder="1" applyAlignment="1">
      <alignment horizontal="center" vertical="center"/>
    </xf>
    <xf numFmtId="169" fontId="22" fillId="0" borderId="32" xfId="0" applyNumberFormat="1" applyFont="1" applyBorder="1" applyAlignment="1">
      <alignment horizontal="left" vertical="center"/>
    </xf>
    <xf numFmtId="0" fontId="22" fillId="0" borderId="32" xfId="0" applyFont="1" applyBorder="1" applyAlignment="1">
      <alignment horizontal="center" vertical="center"/>
    </xf>
    <xf numFmtId="174" fontId="22" fillId="4" borderId="32" xfId="0" applyNumberFormat="1" applyFont="1" applyFill="1" applyBorder="1" applyAlignment="1">
      <alignment horizontal="center" vertical="center"/>
    </xf>
    <xf numFmtId="38" fontId="22" fillId="4" borderId="32" xfId="0" applyNumberFormat="1" applyFont="1" applyFill="1" applyBorder="1" applyAlignment="1">
      <alignment horizontal="center" vertical="center"/>
    </xf>
    <xf numFmtId="2" fontId="22" fillId="0" borderId="32" xfId="0" applyNumberFormat="1" applyFont="1" applyBorder="1" applyAlignment="1">
      <alignment horizontal="center" vertical="center"/>
    </xf>
    <xf numFmtId="174" fontId="22" fillId="0" borderId="32" xfId="0" applyNumberFormat="1" applyFont="1" applyBorder="1" applyAlignment="1">
      <alignment horizontal="center" vertical="center"/>
    </xf>
    <xf numFmtId="3" fontId="22" fillId="4" borderId="32" xfId="0" applyNumberFormat="1" applyFont="1" applyFill="1" applyBorder="1" applyAlignment="1">
      <alignment horizontal="center" vertical="center"/>
    </xf>
    <xf numFmtId="10" fontId="22" fillId="4" borderId="32" xfId="2" applyNumberFormat="1" applyFont="1" applyFill="1" applyBorder="1" applyAlignment="1">
      <alignment horizontal="center" vertical="center"/>
    </xf>
    <xf numFmtId="177" fontId="22" fillId="0" borderId="32" xfId="1" applyNumberFormat="1" applyFont="1" applyFill="1" applyBorder="1" applyAlignment="1">
      <alignment horizontal="center" vertical="center"/>
    </xf>
    <xf numFmtId="10" fontId="22" fillId="4" borderId="32" xfId="0" applyNumberFormat="1" applyFont="1" applyFill="1" applyBorder="1" applyAlignment="1">
      <alignment horizontal="center" vertical="center"/>
    </xf>
    <xf numFmtId="38" fontId="22" fillId="4" borderId="32" xfId="2" applyNumberFormat="1" applyFont="1" applyFill="1" applyBorder="1" applyAlignment="1">
      <alignment horizontal="center" vertical="center"/>
    </xf>
    <xf numFmtId="3" fontId="22" fillId="4" borderId="32" xfId="2" applyNumberFormat="1" applyFont="1" applyFill="1" applyBorder="1" applyAlignment="1">
      <alignment horizontal="center" vertical="center"/>
    </xf>
    <xf numFmtId="38" fontId="22" fillId="0" borderId="32" xfId="0" applyNumberFormat="1" applyFont="1" applyBorder="1" applyAlignment="1">
      <alignment horizontal="center" vertical="center"/>
    </xf>
    <xf numFmtId="174" fontId="22" fillId="4" borderId="32" xfId="2" applyNumberFormat="1" applyFont="1" applyFill="1" applyBorder="1" applyAlignment="1">
      <alignment horizontal="center" vertical="center"/>
    </xf>
    <xf numFmtId="0" fontId="26" fillId="8" borderId="11" xfId="0" applyFont="1" applyFill="1" applyBorder="1" applyAlignment="1">
      <alignment horizontal="center" vertical="center" wrapText="1"/>
    </xf>
    <xf numFmtId="0" fontId="26" fillId="14" borderId="11" xfId="0" applyFont="1" applyFill="1" applyBorder="1" applyAlignment="1">
      <alignment horizontal="center" vertical="center" wrapText="1"/>
    </xf>
    <xf numFmtId="9" fontId="22" fillId="0" borderId="37" xfId="0" applyNumberFormat="1" applyFont="1" applyBorder="1" applyAlignment="1">
      <alignment horizontal="center" vertical="center"/>
    </xf>
    <xf numFmtId="37" fontId="19" fillId="0" borderId="13" xfId="1" applyNumberFormat="1" applyFont="1" applyBorder="1" applyAlignment="1">
      <alignment horizontal="center" vertical="center"/>
    </xf>
    <xf numFmtId="10" fontId="19" fillId="0" borderId="9" xfId="2" applyNumberFormat="1" applyFont="1" applyBorder="1" applyAlignment="1">
      <alignment horizontal="center" vertical="center"/>
    </xf>
    <xf numFmtId="10" fontId="19" fillId="0" borderId="9" xfId="0" applyNumberFormat="1" applyFont="1" applyBorder="1" applyAlignment="1">
      <alignment horizontal="center" vertical="center"/>
    </xf>
    <xf numFmtId="10" fontId="19" fillId="0" borderId="16" xfId="0" applyNumberFormat="1" applyFont="1" applyBorder="1" applyAlignment="1">
      <alignment horizontal="center" vertical="center"/>
    </xf>
    <xf numFmtId="1" fontId="19" fillId="29" borderId="9" xfId="1" applyNumberFormat="1" applyFont="1" applyFill="1" applyBorder="1" applyAlignment="1">
      <alignment horizontal="center" vertical="center"/>
    </xf>
    <xf numFmtId="1" fontId="19" fillId="0" borderId="9" xfId="1" applyNumberFormat="1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10" fontId="19" fillId="0" borderId="11" xfId="0" applyNumberFormat="1" applyFont="1" applyBorder="1" applyAlignment="1">
      <alignment horizontal="center" vertical="center"/>
    </xf>
    <xf numFmtId="3" fontId="19" fillId="0" borderId="9" xfId="2" applyNumberFormat="1" applyFont="1" applyBorder="1" applyAlignment="1">
      <alignment horizontal="center" vertical="center"/>
    </xf>
    <xf numFmtId="3" fontId="19" fillId="0" borderId="9" xfId="0" applyNumberFormat="1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1" fontId="19" fillId="0" borderId="9" xfId="0" applyNumberFormat="1" applyFont="1" applyBorder="1" applyAlignment="1">
      <alignment horizontal="center" vertical="center"/>
    </xf>
    <xf numFmtId="9" fontId="19" fillId="0" borderId="14" xfId="0" applyNumberFormat="1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1" fontId="19" fillId="0" borderId="16" xfId="0" applyNumberFormat="1" applyFont="1" applyBorder="1" applyAlignment="1">
      <alignment horizontal="center" vertical="center"/>
    </xf>
    <xf numFmtId="9" fontId="19" fillId="0" borderId="17" xfId="0" applyNumberFormat="1" applyFont="1" applyBorder="1" applyAlignment="1">
      <alignment horizontal="center" vertical="center"/>
    </xf>
    <xf numFmtId="0" fontId="19" fillId="0" borderId="13" xfId="0" applyFont="1" applyBorder="1" applyAlignment="1">
      <alignment horizontal="center"/>
    </xf>
    <xf numFmtId="0" fontId="19" fillId="0" borderId="14" xfId="0" applyFont="1" applyBorder="1" applyAlignment="1">
      <alignment horizontal="center"/>
    </xf>
    <xf numFmtId="0" fontId="19" fillId="0" borderId="15" xfId="0" applyFont="1" applyBorder="1" applyAlignment="1">
      <alignment horizontal="center"/>
    </xf>
    <xf numFmtId="0" fontId="19" fillId="0" borderId="17" xfId="0" applyFont="1" applyBorder="1" applyAlignment="1">
      <alignment horizontal="center"/>
    </xf>
    <xf numFmtId="0" fontId="20" fillId="0" borderId="9" xfId="0" applyFont="1" applyBorder="1" applyAlignment="1">
      <alignment horizontal="center" vertical="center" wrapText="1"/>
    </xf>
    <xf numFmtId="0" fontId="43" fillId="11" borderId="9" xfId="0" applyFont="1" applyFill="1" applyBorder="1" applyAlignment="1">
      <alignment horizontal="center" vertical="center" wrapText="1"/>
    </xf>
    <xf numFmtId="0" fontId="34" fillId="13" borderId="9" xfId="0" applyFont="1" applyFill="1" applyBorder="1" applyAlignment="1">
      <alignment horizontal="center" vertical="center" wrapText="1"/>
    </xf>
    <xf numFmtId="179" fontId="19" fillId="0" borderId="13" xfId="0" applyNumberFormat="1" applyFont="1" applyBorder="1" applyAlignment="1">
      <alignment horizontal="center" vertical="center"/>
    </xf>
    <xf numFmtId="179" fontId="19" fillId="0" borderId="1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9" fontId="17" fillId="0" borderId="0" xfId="0" applyNumberFormat="1" applyFont="1" applyAlignment="1">
      <alignment vertical="center"/>
    </xf>
    <xf numFmtId="3" fontId="19" fillId="29" borderId="9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45" fillId="0" borderId="0" xfId="0" applyFont="1" applyAlignment="1">
      <alignment horizontal="center" vertical="center"/>
    </xf>
    <xf numFmtId="0" fontId="27" fillId="13" borderId="9" xfId="0" applyFont="1" applyFill="1" applyBorder="1" applyAlignment="1">
      <alignment horizontal="center" vertical="center" wrapText="1"/>
    </xf>
    <xf numFmtId="3" fontId="20" fillId="3" borderId="35" xfId="0" applyNumberFormat="1" applyFont="1" applyFill="1" applyBorder="1" applyAlignment="1">
      <alignment horizontal="center" vertical="center" wrapText="1"/>
    </xf>
    <xf numFmtId="9" fontId="20" fillId="0" borderId="9" xfId="0" applyNumberFormat="1" applyFont="1" applyBorder="1" applyAlignment="1">
      <alignment horizontal="center" vertical="center" wrapText="1"/>
    </xf>
    <xf numFmtId="9" fontId="20" fillId="0" borderId="9" xfId="0" applyNumberFormat="1" applyFont="1" applyBorder="1" applyAlignment="1">
      <alignment horizontal="center" vertical="center"/>
    </xf>
    <xf numFmtId="0" fontId="16" fillId="15" borderId="9" xfId="0" applyFont="1" applyFill="1" applyBorder="1" applyAlignment="1">
      <alignment horizontal="center" vertical="center"/>
    </xf>
    <xf numFmtId="0" fontId="0" fillId="30" borderId="0" xfId="0" applyFill="1" applyAlignment="1">
      <alignment vertical="center"/>
    </xf>
    <xf numFmtId="0" fontId="44" fillId="13" borderId="9" xfId="0" applyFont="1" applyFill="1" applyBorder="1" applyAlignment="1">
      <alignment horizontal="center" vertical="center" wrapText="1"/>
    </xf>
    <xf numFmtId="0" fontId="44" fillId="13" borderId="9" xfId="0" applyFont="1" applyFill="1" applyBorder="1" applyAlignment="1">
      <alignment horizontal="center" vertical="center"/>
    </xf>
    <xf numFmtId="167" fontId="49" fillId="0" borderId="9" xfId="1" applyNumberFormat="1" applyFont="1" applyBorder="1" applyAlignment="1">
      <alignment horizontal="center" vertical="center"/>
    </xf>
    <xf numFmtId="0" fontId="49" fillId="7" borderId="13" xfId="0" applyFont="1" applyFill="1" applyBorder="1" applyAlignment="1">
      <alignment horizontal="center" vertical="center"/>
    </xf>
    <xf numFmtId="9" fontId="49" fillId="7" borderId="14" xfId="0" applyNumberFormat="1" applyFont="1" applyFill="1" applyBorder="1" applyAlignment="1">
      <alignment horizontal="center" vertical="center"/>
    </xf>
    <xf numFmtId="0" fontId="49" fillId="0" borderId="13" xfId="0" applyFont="1" applyBorder="1" applyAlignment="1">
      <alignment horizontal="center" vertical="center"/>
    </xf>
    <xf numFmtId="9" fontId="49" fillId="0" borderId="14" xfId="0" applyNumberFormat="1" applyFont="1" applyBorder="1" applyAlignment="1">
      <alignment horizontal="center" vertical="center"/>
    </xf>
    <xf numFmtId="0" fontId="49" fillId="0" borderId="15" xfId="0" applyFont="1" applyBorder="1" applyAlignment="1">
      <alignment horizontal="center" vertical="center"/>
    </xf>
    <xf numFmtId="9" fontId="49" fillId="0" borderId="17" xfId="0" applyNumberFormat="1" applyFont="1" applyBorder="1" applyAlignment="1">
      <alignment horizontal="center" vertical="center"/>
    </xf>
    <xf numFmtId="167" fontId="21" fillId="5" borderId="9" xfId="1" applyNumberFormat="1" applyFont="1" applyFill="1" applyBorder="1" applyAlignment="1">
      <alignment horizontal="center" vertical="center"/>
    </xf>
    <xf numFmtId="0" fontId="21" fillId="13" borderId="9" xfId="0" applyFont="1" applyFill="1" applyBorder="1" applyAlignment="1">
      <alignment horizontal="center" vertical="center" wrapText="1"/>
    </xf>
    <xf numFmtId="0" fontId="16" fillId="13" borderId="34" xfId="0" applyFont="1" applyFill="1" applyBorder="1" applyAlignment="1">
      <alignment horizontal="center" vertical="center"/>
    </xf>
    <xf numFmtId="0" fontId="16" fillId="13" borderId="46" xfId="0" applyFont="1" applyFill="1" applyBorder="1" applyAlignment="1">
      <alignment horizontal="center" vertical="center"/>
    </xf>
    <xf numFmtId="0" fontId="16" fillId="13" borderId="35" xfId="0" applyFont="1" applyFill="1" applyBorder="1" applyAlignment="1">
      <alignment horizontal="center" vertical="center"/>
    </xf>
    <xf numFmtId="0" fontId="21" fillId="13" borderId="10" xfId="0" applyFont="1" applyFill="1" applyBorder="1" applyAlignment="1">
      <alignment horizontal="center" vertical="center"/>
    </xf>
    <xf numFmtId="0" fontId="21" fillId="13" borderId="12" xfId="0" applyFont="1" applyFill="1" applyBorder="1" applyAlignment="1">
      <alignment horizontal="center" vertical="center"/>
    </xf>
    <xf numFmtId="0" fontId="21" fillId="13" borderId="9" xfId="0" applyFont="1" applyFill="1" applyBorder="1" applyAlignment="1">
      <alignment horizontal="center" vertical="center"/>
    </xf>
    <xf numFmtId="0" fontId="19" fillId="0" borderId="18" xfId="0" applyFont="1" applyBorder="1" applyAlignment="1">
      <alignment horizontal="center" vertical="center" wrapText="1" shrinkToFit="1"/>
    </xf>
    <xf numFmtId="0" fontId="19" fillId="0" borderId="18" xfId="0" applyFont="1" applyBorder="1" applyAlignment="1">
      <alignment vertical="center" wrapText="1"/>
    </xf>
    <xf numFmtId="0" fontId="0" fillId="16" borderId="0" xfId="0" applyFill="1"/>
    <xf numFmtId="0" fontId="19" fillId="16" borderId="0" xfId="0" applyFont="1" applyFill="1" applyAlignment="1">
      <alignment horizontal="center"/>
    </xf>
    <xf numFmtId="9" fontId="19" fillId="16" borderId="0" xfId="0" applyNumberFormat="1" applyFont="1" applyFill="1" applyAlignment="1">
      <alignment horizontal="center"/>
    </xf>
    <xf numFmtId="0" fontId="17" fillId="16" borderId="0" xfId="0" applyFont="1" applyFill="1" applyAlignment="1">
      <alignment horizontal="center"/>
    </xf>
    <xf numFmtId="9" fontId="17" fillId="16" borderId="0" xfId="2" applyFont="1" applyFill="1" applyAlignment="1">
      <alignment horizontal="center"/>
    </xf>
    <xf numFmtId="0" fontId="6" fillId="16" borderId="0" xfId="0" applyFont="1" applyFill="1" applyAlignment="1">
      <alignment horizontal="center" vertical="center"/>
    </xf>
    <xf numFmtId="0" fontId="8" fillId="16" borderId="0" xfId="0" applyFont="1" applyFill="1" applyAlignment="1">
      <alignment horizontal="center" vertical="center"/>
    </xf>
    <xf numFmtId="0" fontId="16" fillId="16" borderId="0" xfId="0" applyFont="1" applyFill="1" applyAlignment="1">
      <alignment horizontal="center" vertical="center"/>
    </xf>
    <xf numFmtId="0" fontId="16" fillId="16" borderId="0" xfId="0" applyFont="1" applyFill="1" applyAlignment="1">
      <alignment horizontal="center" vertical="center" wrapText="1"/>
    </xf>
    <xf numFmtId="171" fontId="19" fillId="16" borderId="0" xfId="0" applyNumberFormat="1" applyFont="1" applyFill="1" applyAlignment="1">
      <alignment horizontal="center" vertical="center" wrapText="1"/>
    </xf>
    <xf numFmtId="171" fontId="30" fillId="16" borderId="0" xfId="0" applyNumberFormat="1" applyFont="1" applyFill="1" applyAlignment="1">
      <alignment horizontal="center" vertical="center"/>
    </xf>
    <xf numFmtId="171" fontId="28" fillId="16" borderId="0" xfId="0" applyNumberFormat="1" applyFont="1" applyFill="1" applyAlignment="1">
      <alignment horizontal="center"/>
    </xf>
    <xf numFmtId="0" fontId="0" fillId="16" borderId="0" xfId="0" applyFill="1" applyAlignment="1">
      <alignment vertical="center"/>
    </xf>
    <xf numFmtId="0" fontId="10" fillId="16" borderId="0" xfId="0" applyFont="1" applyFill="1" applyAlignment="1">
      <alignment horizontal="center" vertical="center"/>
    </xf>
    <xf numFmtId="0" fontId="11" fillId="16" borderId="0" xfId="0" applyFont="1" applyFill="1" applyAlignment="1">
      <alignment horizontal="center" vertical="center"/>
    </xf>
    <xf numFmtId="10" fontId="11" fillId="16" borderId="0" xfId="2" applyNumberFormat="1" applyFont="1" applyFill="1" applyAlignment="1">
      <alignment horizontal="center" vertical="center"/>
    </xf>
    <xf numFmtId="0" fontId="21" fillId="13" borderId="9" xfId="0" applyFont="1" applyFill="1" applyBorder="1" applyAlignment="1">
      <alignment horizontal="center"/>
    </xf>
    <xf numFmtId="0" fontId="19" fillId="0" borderId="18" xfId="0" applyFont="1" applyBorder="1" applyAlignment="1">
      <alignment horizontal="center"/>
    </xf>
    <xf numFmtId="0" fontId="21" fillId="13" borderId="10" xfId="0" applyFont="1" applyFill="1" applyBorder="1" applyAlignment="1">
      <alignment horizontal="center"/>
    </xf>
    <xf numFmtId="0" fontId="21" fillId="13" borderId="12" xfId="0" applyFont="1" applyFill="1" applyBorder="1" applyAlignment="1">
      <alignment horizontal="center"/>
    </xf>
    <xf numFmtId="0" fontId="25" fillId="13" borderId="9" xfId="0" applyFont="1" applyFill="1" applyBorder="1" applyAlignment="1">
      <alignment horizontal="center" vertical="center" wrapText="1"/>
    </xf>
    <xf numFmtId="0" fontId="36" fillId="13" borderId="9" xfId="0" applyFont="1" applyFill="1" applyBorder="1" applyAlignment="1">
      <alignment horizontal="center" vertical="center" wrapText="1"/>
    </xf>
    <xf numFmtId="0" fontId="45" fillId="0" borderId="18" xfId="0" applyFont="1" applyBorder="1" applyAlignment="1">
      <alignment horizontal="center" vertical="center"/>
    </xf>
    <xf numFmtId="0" fontId="21" fillId="13" borderId="37" xfId="0" applyFont="1" applyFill="1" applyBorder="1" applyAlignment="1">
      <alignment horizontal="center" vertical="center" wrapText="1"/>
    </xf>
    <xf numFmtId="0" fontId="25" fillId="13" borderId="37" xfId="0" applyFont="1" applyFill="1" applyBorder="1" applyAlignment="1">
      <alignment horizontal="center" vertical="center" wrapText="1"/>
    </xf>
    <xf numFmtId="0" fontId="36" fillId="13" borderId="37" xfId="0" applyFont="1" applyFill="1" applyBorder="1" applyAlignment="1">
      <alignment horizontal="center" vertical="center" wrapText="1"/>
    </xf>
    <xf numFmtId="10" fontId="45" fillId="0" borderId="0" xfId="2" applyNumberFormat="1" applyFont="1" applyAlignment="1">
      <alignment horizontal="center" vertical="center"/>
    </xf>
    <xf numFmtId="10" fontId="45" fillId="0" borderId="18" xfId="2" applyNumberFormat="1" applyFont="1" applyBorder="1" applyAlignment="1">
      <alignment horizontal="center" vertical="center"/>
    </xf>
    <xf numFmtId="0" fontId="45" fillId="0" borderId="9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19" fillId="0" borderId="18" xfId="0" applyFont="1" applyBorder="1" applyAlignment="1">
      <alignment horizontal="center" vertical="top"/>
    </xf>
    <xf numFmtId="38" fontId="19" fillId="0" borderId="18" xfId="0" applyNumberFormat="1" applyFont="1" applyBorder="1" applyAlignment="1">
      <alignment horizontal="center" vertical="top"/>
    </xf>
    <xf numFmtId="164" fontId="11" fillId="16" borderId="0" xfId="1" applyFont="1" applyFill="1" applyAlignment="1">
      <alignment horizontal="center" vertical="center"/>
    </xf>
    <xf numFmtId="0" fontId="48" fillId="28" borderId="9" xfId="0" applyFont="1" applyFill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8" fillId="0" borderId="9" xfId="0" applyFont="1" applyBorder="1" applyAlignment="1">
      <alignment horizontal="center" vertical="center" wrapText="1"/>
    </xf>
    <xf numFmtId="9" fontId="48" fillId="0" borderId="9" xfId="2" applyFont="1" applyBorder="1" applyAlignment="1">
      <alignment horizontal="center" vertical="center" wrapText="1"/>
    </xf>
    <xf numFmtId="9" fontId="45" fillId="0" borderId="9" xfId="2" applyFont="1" applyBorder="1" applyAlignment="1">
      <alignment horizontal="center" vertical="center" wrapText="1"/>
    </xf>
    <xf numFmtId="0" fontId="48" fillId="0" borderId="9" xfId="0" applyFont="1" applyBorder="1" applyAlignment="1">
      <alignment horizontal="center"/>
    </xf>
    <xf numFmtId="3" fontId="48" fillId="3" borderId="9" xfId="0" applyNumberFormat="1" applyFont="1" applyFill="1" applyBorder="1" applyAlignment="1">
      <alignment horizontal="center" vertical="center" wrapText="1"/>
    </xf>
    <xf numFmtId="3" fontId="45" fillId="0" borderId="9" xfId="0" applyNumberFormat="1" applyFont="1" applyBorder="1" applyAlignment="1">
      <alignment horizontal="center" vertical="center" wrapText="1"/>
    </xf>
    <xf numFmtId="3" fontId="48" fillId="0" borderId="9" xfId="0" applyNumberFormat="1" applyFont="1" applyBorder="1" applyAlignment="1">
      <alignment horizontal="center" vertical="center" wrapText="1"/>
    </xf>
    <xf numFmtId="0" fontId="17" fillId="0" borderId="10" xfId="0" applyFont="1" applyBorder="1"/>
    <xf numFmtId="0" fontId="34" fillId="11" borderId="14" xfId="0" applyFont="1" applyFill="1" applyBorder="1" applyAlignment="1">
      <alignment horizontal="center" vertical="center" wrapText="1"/>
    </xf>
    <xf numFmtId="0" fontId="43" fillId="11" borderId="13" xfId="0" applyFont="1" applyFill="1" applyBorder="1" applyAlignment="1">
      <alignment horizontal="center" vertical="center" wrapText="1"/>
    </xf>
    <xf numFmtId="0" fontId="39" fillId="13" borderId="37" xfId="0" applyFont="1" applyFill="1" applyBorder="1" applyAlignment="1">
      <alignment horizontal="center" vertical="center" wrapText="1"/>
    </xf>
    <xf numFmtId="0" fontId="24" fillId="0" borderId="0" xfId="0" applyFont="1" applyAlignment="1">
      <alignment vertical="center"/>
    </xf>
    <xf numFmtId="3" fontId="19" fillId="0" borderId="0" xfId="0" applyNumberFormat="1" applyFont="1" applyAlignment="1">
      <alignment horizontal="center" vertical="center"/>
    </xf>
    <xf numFmtId="0" fontId="52" fillId="0" borderId="0" xfId="0" applyFont="1"/>
    <xf numFmtId="171" fontId="19" fillId="0" borderId="0" xfId="2" applyNumberFormat="1" applyFont="1" applyFill="1" applyAlignment="1">
      <alignment horizontal="center" vertical="center"/>
    </xf>
    <xf numFmtId="3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18" xfId="0" applyFont="1" applyBorder="1" applyAlignment="1">
      <alignment horizontal="center" vertical="center"/>
    </xf>
    <xf numFmtId="0" fontId="54" fillId="0" borderId="0" xfId="0" applyFont="1" applyAlignment="1">
      <alignment horizontal="center" vertical="center" wrapText="1"/>
    </xf>
    <xf numFmtId="0" fontId="54" fillId="0" borderId="18" xfId="0" applyFont="1" applyBorder="1" applyAlignment="1">
      <alignment horizontal="center" vertical="center" wrapText="1"/>
    </xf>
    <xf numFmtId="0" fontId="39" fillId="31" borderId="37" xfId="0" applyFont="1" applyFill="1" applyBorder="1" applyAlignment="1">
      <alignment horizontal="center" vertical="center" wrapText="1"/>
    </xf>
    <xf numFmtId="0" fontId="50" fillId="31" borderId="37" xfId="0" applyFont="1" applyFill="1" applyBorder="1" applyAlignment="1">
      <alignment horizontal="center" vertical="center" wrapText="1"/>
    </xf>
    <xf numFmtId="0" fontId="39" fillId="32" borderId="37" xfId="0" applyFont="1" applyFill="1" applyBorder="1" applyAlignment="1">
      <alignment horizontal="center" vertical="center" wrapText="1"/>
    </xf>
    <xf numFmtId="0" fontId="50" fillId="32" borderId="37" xfId="0" applyFont="1" applyFill="1" applyBorder="1" applyAlignment="1">
      <alignment horizontal="center" vertical="center" wrapText="1"/>
    </xf>
    <xf numFmtId="0" fontId="39" fillId="33" borderId="37" xfId="0" applyFont="1" applyFill="1" applyBorder="1" applyAlignment="1">
      <alignment horizontal="center" vertical="center" wrapText="1"/>
    </xf>
    <xf numFmtId="0" fontId="50" fillId="33" borderId="37" xfId="0" applyFont="1" applyFill="1" applyBorder="1" applyAlignment="1">
      <alignment horizontal="center" vertical="center" wrapText="1"/>
    </xf>
    <xf numFmtId="0" fontId="35" fillId="16" borderId="0" xfId="0" applyFont="1" applyFill="1" applyAlignment="1">
      <alignment horizontal="center" vertical="center"/>
    </xf>
    <xf numFmtId="0" fontId="35" fillId="16" borderId="0" xfId="0" applyFont="1" applyFill="1" applyAlignment="1">
      <alignment vertical="center"/>
    </xf>
    <xf numFmtId="3" fontId="35" fillId="16" borderId="0" xfId="0" applyNumberFormat="1" applyFont="1" applyFill="1" applyAlignment="1">
      <alignment horizontal="center" vertical="center"/>
    </xf>
    <xf numFmtId="0" fontId="41" fillId="0" borderId="9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3" fontId="35" fillId="0" borderId="0" xfId="0" applyNumberFormat="1" applyFont="1" applyAlignment="1">
      <alignment horizontal="center" vertical="center"/>
    </xf>
    <xf numFmtId="3" fontId="35" fillId="0" borderId="0" xfId="0" applyNumberFormat="1" applyFont="1" applyAlignment="1">
      <alignment vertical="center"/>
    </xf>
    <xf numFmtId="0" fontId="16" fillId="13" borderId="17" xfId="0" applyFont="1" applyFill="1" applyBorder="1" applyAlignment="1">
      <alignment horizontal="center" vertical="center"/>
    </xf>
    <xf numFmtId="0" fontId="19" fillId="7" borderId="0" xfId="0" applyFont="1" applyFill="1" applyAlignment="1">
      <alignment horizontal="center" vertical="top"/>
    </xf>
    <xf numFmtId="0" fontId="20" fillId="0" borderId="19" xfId="0" applyFont="1" applyBorder="1" applyAlignment="1">
      <alignment horizontal="center"/>
    </xf>
    <xf numFmtId="0" fontId="19" fillId="7" borderId="19" xfId="0" applyFont="1" applyFill="1" applyBorder="1" applyAlignment="1">
      <alignment horizontal="center" vertical="top"/>
    </xf>
    <xf numFmtId="3" fontId="19" fillId="0" borderId="0" xfId="1" applyNumberFormat="1" applyFont="1" applyAlignment="1">
      <alignment horizontal="center" vertical="center"/>
    </xf>
    <xf numFmtId="3" fontId="19" fillId="0" borderId="18" xfId="1" applyNumberFormat="1" applyFont="1" applyBorder="1" applyAlignment="1">
      <alignment horizontal="center" vertical="center"/>
    </xf>
    <xf numFmtId="0" fontId="54" fillId="18" borderId="37" xfId="0" applyFont="1" applyFill="1" applyBorder="1" applyAlignment="1">
      <alignment horizontal="center" vertical="center"/>
    </xf>
    <xf numFmtId="0" fontId="19" fillId="18" borderId="37" xfId="0" applyFont="1" applyFill="1" applyBorder="1" applyAlignment="1">
      <alignment horizontal="center" vertical="center" wrapText="1" shrinkToFit="1"/>
    </xf>
    <xf numFmtId="0" fontId="20" fillId="18" borderId="37" xfId="0" applyFont="1" applyFill="1" applyBorder="1" applyAlignment="1">
      <alignment horizontal="center" vertical="center" wrapText="1"/>
    </xf>
    <xf numFmtId="0" fontId="20" fillId="18" borderId="37" xfId="0" applyFont="1" applyFill="1" applyBorder="1" applyAlignment="1">
      <alignment horizontal="center" vertical="center" wrapText="1" shrinkToFit="1"/>
    </xf>
    <xf numFmtId="0" fontId="54" fillId="7" borderId="52" xfId="0" applyFont="1" applyFill="1" applyBorder="1" applyAlignment="1">
      <alignment horizontal="center" vertical="center"/>
    </xf>
    <xf numFmtId="0" fontId="21" fillId="13" borderId="16" xfId="0" applyFont="1" applyFill="1" applyBorder="1" applyAlignment="1">
      <alignment horizontal="center" vertical="center"/>
    </xf>
    <xf numFmtId="0" fontId="54" fillId="0" borderId="49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 wrapText="1"/>
    </xf>
    <xf numFmtId="0" fontId="21" fillId="13" borderId="16" xfId="0" applyFont="1" applyFill="1" applyBorder="1" applyAlignment="1">
      <alignment horizontal="center" vertical="center" wrapText="1"/>
    </xf>
    <xf numFmtId="0" fontId="54" fillId="0" borderId="49" xfId="0" applyFont="1" applyBorder="1" applyAlignment="1">
      <alignment horizontal="center" vertical="center" wrapText="1"/>
    </xf>
    <xf numFmtId="0" fontId="19" fillId="0" borderId="33" xfId="0" applyFont="1" applyBorder="1" applyAlignment="1">
      <alignment horizontal="center" vertical="center" wrapText="1" shrinkToFit="1"/>
    </xf>
    <xf numFmtId="0" fontId="53" fillId="0" borderId="53" xfId="0" applyFont="1" applyBorder="1" applyAlignment="1">
      <alignment horizontal="center" vertical="center" wrapText="1"/>
    </xf>
    <xf numFmtId="0" fontId="54" fillId="18" borderId="37" xfId="0" applyFont="1" applyFill="1" applyBorder="1" applyAlignment="1">
      <alignment horizontal="center" vertical="center" wrapText="1"/>
    </xf>
    <xf numFmtId="0" fontId="53" fillId="18" borderId="37" xfId="0" applyFont="1" applyFill="1" applyBorder="1" applyAlignment="1">
      <alignment horizontal="center" vertical="center" wrapText="1"/>
    </xf>
    <xf numFmtId="0" fontId="53" fillId="0" borderId="53" xfId="0" applyFont="1" applyBorder="1" applyAlignment="1">
      <alignment horizontal="center" vertical="center" shrinkToFit="1"/>
    </xf>
    <xf numFmtId="0" fontId="53" fillId="0" borderId="53" xfId="0" applyFont="1" applyBorder="1" applyAlignment="1">
      <alignment horizontal="center" vertical="center" wrapText="1" shrinkToFit="1"/>
    </xf>
    <xf numFmtId="0" fontId="53" fillId="18" borderId="37" xfId="0" applyFont="1" applyFill="1" applyBorder="1" applyAlignment="1">
      <alignment horizontal="center" vertical="center" shrinkToFit="1"/>
    </xf>
    <xf numFmtId="0" fontId="19" fillId="18" borderId="37" xfId="0" applyFont="1" applyFill="1" applyBorder="1" applyAlignment="1">
      <alignment horizontal="center" vertical="center" wrapText="1"/>
    </xf>
    <xf numFmtId="0" fontId="19" fillId="0" borderId="54" xfId="0" applyFont="1" applyBorder="1" applyAlignment="1">
      <alignment horizontal="center" vertical="center" wrapText="1" shrinkToFit="1"/>
    </xf>
    <xf numFmtId="0" fontId="54" fillId="7" borderId="55" xfId="0" applyFont="1" applyFill="1" applyBorder="1" applyAlignment="1">
      <alignment horizontal="center" vertical="center" wrapText="1"/>
    </xf>
    <xf numFmtId="0" fontId="54" fillId="7" borderId="56" xfId="0" applyFont="1" applyFill="1" applyBorder="1" applyAlignment="1">
      <alignment horizontal="center" vertical="center" wrapText="1"/>
    </xf>
    <xf numFmtId="0" fontId="54" fillId="7" borderId="57" xfId="0" applyFont="1" applyFill="1" applyBorder="1" applyAlignment="1">
      <alignment horizontal="center" vertical="center" wrapText="1"/>
    </xf>
    <xf numFmtId="0" fontId="54" fillId="7" borderId="56" xfId="0" applyFont="1" applyFill="1" applyBorder="1" applyAlignment="1">
      <alignment horizontal="center" wrapText="1"/>
    </xf>
    <xf numFmtId="0" fontId="54" fillId="7" borderId="55" xfId="0" applyFont="1" applyFill="1" applyBorder="1" applyAlignment="1">
      <alignment horizontal="center" wrapText="1"/>
    </xf>
    <xf numFmtId="0" fontId="54" fillId="7" borderId="57" xfId="0" applyFont="1" applyFill="1" applyBorder="1" applyAlignment="1">
      <alignment horizontal="center" wrapText="1"/>
    </xf>
    <xf numFmtId="0" fontId="54" fillId="18" borderId="37" xfId="0" applyFont="1" applyFill="1" applyBorder="1" applyAlignment="1">
      <alignment horizontal="center" wrapText="1"/>
    </xf>
    <xf numFmtId="0" fontId="53" fillId="18" borderId="37" xfId="0" applyFont="1" applyFill="1" applyBorder="1" applyAlignment="1">
      <alignment horizontal="center" vertical="center" wrapText="1" shrinkToFit="1"/>
    </xf>
    <xf numFmtId="1" fontId="16" fillId="17" borderId="9" xfId="2" applyNumberFormat="1" applyFont="1" applyFill="1" applyBorder="1" applyAlignment="1">
      <alignment horizontal="center" vertical="center"/>
    </xf>
    <xf numFmtId="1" fontId="10" fillId="16" borderId="0" xfId="0" applyNumberFormat="1" applyFont="1" applyFill="1" applyAlignment="1">
      <alignment horizontal="center" vertical="center"/>
    </xf>
    <xf numFmtId="1" fontId="9" fillId="17" borderId="37" xfId="2" applyNumberFormat="1" applyFont="1" applyFill="1" applyBorder="1" applyAlignment="1">
      <alignment horizontal="center" vertical="center"/>
    </xf>
    <xf numFmtId="0" fontId="19" fillId="7" borderId="32" xfId="0" applyFont="1" applyFill="1" applyBorder="1" applyAlignment="1">
      <alignment horizontal="center" vertical="center" wrapText="1" shrinkToFit="1"/>
    </xf>
    <xf numFmtId="0" fontId="20" fillId="7" borderId="54" xfId="0" applyFont="1" applyFill="1" applyBorder="1" applyAlignment="1">
      <alignment horizontal="center" vertical="center" wrapText="1"/>
    </xf>
    <xf numFmtId="0" fontId="54" fillId="0" borderId="40" xfId="0" applyFont="1" applyBorder="1" applyAlignment="1">
      <alignment horizontal="center" vertical="center"/>
    </xf>
    <xf numFmtId="0" fontId="54" fillId="7" borderId="40" xfId="0" applyFont="1" applyFill="1" applyBorder="1" applyAlignment="1">
      <alignment horizontal="center" vertical="center"/>
    </xf>
    <xf numFmtId="0" fontId="16" fillId="13" borderId="21" xfId="0" applyFont="1" applyFill="1" applyBorder="1" applyAlignment="1">
      <alignment horizontal="center" vertical="center" wrapText="1"/>
    </xf>
    <xf numFmtId="0" fontId="19" fillId="7" borderId="42" xfId="0" applyFont="1" applyFill="1" applyBorder="1" applyAlignment="1">
      <alignment horizontal="center" vertical="center" wrapText="1"/>
    </xf>
    <xf numFmtId="0" fontId="19" fillId="0" borderId="42" xfId="0" applyFont="1" applyBorder="1" applyAlignment="1">
      <alignment horizontal="center" vertical="center" wrapText="1"/>
    </xf>
    <xf numFmtId="0" fontId="16" fillId="13" borderId="58" xfId="0" applyFont="1" applyFill="1" applyBorder="1" applyAlignment="1">
      <alignment horizontal="center" vertical="center" wrapText="1"/>
    </xf>
    <xf numFmtId="0" fontId="19" fillId="7" borderId="59" xfId="0" applyFont="1" applyFill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 wrapText="1"/>
    </xf>
    <xf numFmtId="0" fontId="26" fillId="23" borderId="9" xfId="0" applyFont="1" applyFill="1" applyBorder="1" applyAlignment="1">
      <alignment horizontal="center" vertical="center" wrapText="1"/>
    </xf>
    <xf numFmtId="0" fontId="26" fillId="25" borderId="60" xfId="0" applyFont="1" applyFill="1" applyBorder="1" applyAlignment="1">
      <alignment horizontal="center" vertical="center" wrapText="1"/>
    </xf>
    <xf numFmtId="0" fontId="24" fillId="0" borderId="61" xfId="0" applyFont="1" applyBorder="1" applyAlignment="1">
      <alignment horizontal="center" vertical="center" shrinkToFit="1"/>
    </xf>
    <xf numFmtId="0" fontId="55" fillId="0" borderId="9" xfId="0" applyFont="1" applyBorder="1" applyAlignment="1">
      <alignment horizontal="center" vertical="center" wrapText="1"/>
    </xf>
    <xf numFmtId="180" fontId="22" fillId="0" borderId="39" xfId="0" applyNumberFormat="1" applyFont="1" applyBorder="1" applyAlignment="1">
      <alignment horizontal="center" vertical="center"/>
    </xf>
    <xf numFmtId="180" fontId="22" fillId="0" borderId="32" xfId="0" applyNumberFormat="1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6" fillId="35" borderId="65" xfId="0" applyFont="1" applyFill="1" applyBorder="1" applyAlignment="1">
      <alignment horizontal="center" vertical="center" wrapText="1"/>
    </xf>
    <xf numFmtId="0" fontId="45" fillId="0" borderId="13" xfId="0" applyFont="1" applyBorder="1" applyAlignment="1">
      <alignment horizontal="center" vertical="center"/>
    </xf>
    <xf numFmtId="3" fontId="45" fillId="0" borderId="9" xfId="0" applyNumberFormat="1" applyFont="1" applyBorder="1" applyAlignment="1">
      <alignment horizontal="center" vertical="center"/>
    </xf>
    <xf numFmtId="3" fontId="45" fillId="0" borderId="14" xfId="0" applyNumberFormat="1" applyFont="1" applyBorder="1" applyAlignment="1">
      <alignment horizontal="center" vertical="center"/>
    </xf>
    <xf numFmtId="0" fontId="45" fillId="0" borderId="15" xfId="0" applyFont="1" applyBorder="1" applyAlignment="1">
      <alignment horizontal="center" vertical="center"/>
    </xf>
    <xf numFmtId="3" fontId="45" fillId="0" borderId="16" xfId="0" applyNumberFormat="1" applyFont="1" applyBorder="1" applyAlignment="1">
      <alignment horizontal="center" vertical="center"/>
    </xf>
    <xf numFmtId="3" fontId="45" fillId="0" borderId="17" xfId="0" applyNumberFormat="1" applyFont="1" applyBorder="1" applyAlignment="1">
      <alignment horizontal="center" vertical="center"/>
    </xf>
    <xf numFmtId="0" fontId="48" fillId="0" borderId="9" xfId="0" applyFont="1" applyBorder="1" applyAlignment="1">
      <alignment horizontal="center" vertical="center"/>
    </xf>
    <xf numFmtId="0" fontId="45" fillId="24" borderId="9" xfId="0" applyFont="1" applyFill="1" applyBorder="1" applyAlignment="1">
      <alignment horizontal="center" vertical="center"/>
    </xf>
    <xf numFmtId="0" fontId="45" fillId="0" borderId="9" xfId="0" applyFont="1" applyBorder="1" applyAlignment="1">
      <alignment horizontal="center" vertical="center"/>
    </xf>
    <xf numFmtId="2" fontId="45" fillId="0" borderId="9" xfId="1" applyNumberFormat="1" applyFont="1" applyBorder="1" applyAlignment="1">
      <alignment horizontal="center" vertical="center"/>
    </xf>
    <xf numFmtId="4" fontId="45" fillId="0" borderId="9" xfId="0" applyNumberFormat="1" applyFont="1" applyBorder="1" applyAlignment="1">
      <alignment horizontal="center" vertical="center"/>
    </xf>
    <xf numFmtId="2" fontId="45" fillId="0" borderId="9" xfId="0" applyNumberFormat="1" applyFont="1" applyBorder="1" applyAlignment="1">
      <alignment horizontal="center" vertical="center"/>
    </xf>
    <xf numFmtId="2" fontId="48" fillId="0" borderId="9" xfId="0" applyNumberFormat="1" applyFont="1" applyBorder="1" applyAlignment="1">
      <alignment horizontal="center" vertical="center"/>
    </xf>
    <xf numFmtId="0" fontId="0" fillId="0" borderId="0" xfId="0" pivotButton="1"/>
    <xf numFmtId="0" fontId="58" fillId="37" borderId="0" xfId="0" applyFont="1" applyFill="1" applyAlignment="1">
      <alignment horizontal="center" vertical="center" wrapText="1" readingOrder="1"/>
    </xf>
    <xf numFmtId="0" fontId="58" fillId="0" borderId="0" xfId="0" applyFont="1" applyAlignment="1">
      <alignment horizontal="center" vertical="center" wrapText="1" readingOrder="1"/>
    </xf>
    <xf numFmtId="0" fontId="59" fillId="0" borderId="69" xfId="0" applyFont="1" applyBorder="1" applyAlignment="1">
      <alignment horizontal="center" vertical="center" wrapText="1" readingOrder="1"/>
    </xf>
    <xf numFmtId="0" fontId="59" fillId="36" borderId="69" xfId="0" applyFont="1" applyFill="1" applyBorder="1" applyAlignment="1">
      <alignment horizontal="center" vertical="center" wrapText="1" readingOrder="1"/>
    </xf>
    <xf numFmtId="0" fontId="60" fillId="0" borderId="69" xfId="0" applyFont="1" applyBorder="1" applyAlignment="1">
      <alignment horizontal="center" wrapText="1" readingOrder="1"/>
    </xf>
    <xf numFmtId="0" fontId="61" fillId="36" borderId="69" xfId="0" applyFont="1" applyFill="1" applyBorder="1" applyAlignment="1">
      <alignment horizontal="center" wrapText="1" readingOrder="1"/>
    </xf>
    <xf numFmtId="0" fontId="57" fillId="36" borderId="69" xfId="0" applyFont="1" applyFill="1" applyBorder="1" applyAlignment="1">
      <alignment horizontal="center" vertical="center" wrapText="1"/>
    </xf>
    <xf numFmtId="0" fontId="57" fillId="0" borderId="69" xfId="0" applyFont="1" applyBorder="1" applyAlignment="1">
      <alignment horizontal="center" wrapText="1"/>
    </xf>
    <xf numFmtId="0" fontId="60" fillId="0" borderId="72" xfId="0" applyFont="1" applyBorder="1" applyAlignment="1">
      <alignment horizontal="center" wrapText="1" readingOrder="1"/>
    </xf>
    <xf numFmtId="0" fontId="56" fillId="0" borderId="69" xfId="0" applyFont="1" applyBorder="1" applyAlignment="1">
      <alignment horizontal="center" vertical="center" wrapText="1" readingOrder="1"/>
    </xf>
    <xf numFmtId="0" fontId="60" fillId="0" borderId="74" xfId="0" applyFont="1" applyBorder="1" applyAlignment="1">
      <alignment horizontal="center" wrapText="1" readingOrder="1"/>
    </xf>
    <xf numFmtId="0" fontId="60" fillId="0" borderId="72" xfId="0" applyFont="1" applyBorder="1" applyAlignment="1">
      <alignment horizontal="center" vertical="center" wrapText="1" readingOrder="1"/>
    </xf>
    <xf numFmtId="0" fontId="58" fillId="0" borderId="75" xfId="0" applyFont="1" applyBorder="1" applyAlignment="1">
      <alignment horizontal="center" vertical="center" wrapText="1" readingOrder="1"/>
    </xf>
    <xf numFmtId="0" fontId="58" fillId="3" borderId="75" xfId="0" applyFont="1" applyFill="1" applyBorder="1" applyAlignment="1">
      <alignment horizontal="center" vertical="center" wrapText="1" readingOrder="1"/>
    </xf>
    <xf numFmtId="0" fontId="57" fillId="0" borderId="75" xfId="0" applyFont="1" applyBorder="1" applyAlignment="1">
      <alignment horizontal="center" vertical="center" wrapText="1"/>
    </xf>
    <xf numFmtId="0" fontId="37" fillId="38" borderId="32" xfId="0" applyFont="1" applyFill="1" applyBorder="1" applyAlignment="1">
      <alignment horizontal="center" vertical="center"/>
    </xf>
    <xf numFmtId="0" fontId="62" fillId="0" borderId="0" xfId="0" applyFont="1"/>
    <xf numFmtId="0" fontId="63" fillId="0" borderId="75" xfId="0" applyFont="1" applyBorder="1" applyAlignment="1">
      <alignment horizontal="center" vertical="center" wrapText="1"/>
    </xf>
    <xf numFmtId="0" fontId="58" fillId="21" borderId="75" xfId="0" applyFont="1" applyFill="1" applyBorder="1" applyAlignment="1">
      <alignment horizontal="center" vertical="center" wrapText="1" readingOrder="1"/>
    </xf>
    <xf numFmtId="0" fontId="64" fillId="39" borderId="80" xfId="0" applyFont="1" applyFill="1" applyBorder="1" applyAlignment="1">
      <alignment horizontal="center" vertical="center" wrapText="1" readingOrder="1"/>
    </xf>
    <xf numFmtId="0" fontId="65" fillId="36" borderId="82" xfId="0" applyFont="1" applyFill="1" applyBorder="1" applyAlignment="1">
      <alignment horizontal="center" vertical="center" wrapText="1" readingOrder="1"/>
    </xf>
    <xf numFmtId="0" fontId="66" fillId="36" borderId="82" xfId="0" applyFont="1" applyFill="1" applyBorder="1" applyAlignment="1">
      <alignment horizontal="center" vertical="center" wrapText="1" readingOrder="1"/>
    </xf>
    <xf numFmtId="0" fontId="65" fillId="0" borderId="82" xfId="0" applyFont="1" applyBorder="1" applyAlignment="1">
      <alignment horizontal="center" vertical="center" wrapText="1" readingOrder="1"/>
    </xf>
    <xf numFmtId="0" fontId="66" fillId="0" borderId="82" xfId="0" applyFont="1" applyBorder="1" applyAlignment="1">
      <alignment horizontal="center" vertical="center" wrapText="1" readingOrder="1"/>
    </xf>
    <xf numFmtId="0" fontId="64" fillId="0" borderId="81" xfId="0" applyFont="1" applyBorder="1" applyAlignment="1">
      <alignment horizontal="center" vertical="center" wrapText="1" readingOrder="1"/>
    </xf>
    <xf numFmtId="0" fontId="0" fillId="0" borderId="81" xfId="0" applyBorder="1"/>
    <xf numFmtId="0" fontId="64" fillId="0" borderId="0" xfId="0" applyFont="1" applyAlignment="1">
      <alignment horizontal="center" vertical="center" wrapText="1" readingOrder="1"/>
    </xf>
    <xf numFmtId="1" fontId="22" fillId="0" borderId="44" xfId="0" applyNumberFormat="1" applyFont="1" applyBorder="1" applyAlignment="1">
      <alignment horizontal="center" vertical="center"/>
    </xf>
    <xf numFmtId="10" fontId="22" fillId="0" borderId="32" xfId="0" applyNumberFormat="1" applyFont="1" applyBorder="1" applyAlignment="1">
      <alignment horizontal="center" vertical="center"/>
    </xf>
    <xf numFmtId="3" fontId="22" fillId="0" borderId="41" xfId="0" applyNumberFormat="1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174" fontId="22" fillId="4" borderId="41" xfId="0" applyNumberFormat="1" applyFont="1" applyFill="1" applyBorder="1" applyAlignment="1">
      <alignment horizontal="center" vertical="center"/>
    </xf>
    <xf numFmtId="38" fontId="22" fillId="4" borderId="41" xfId="0" applyNumberFormat="1" applyFont="1" applyFill="1" applyBorder="1" applyAlignment="1">
      <alignment horizontal="center" vertical="center"/>
    </xf>
    <xf numFmtId="3" fontId="22" fillId="4" borderId="41" xfId="0" applyNumberFormat="1" applyFont="1" applyFill="1" applyBorder="1" applyAlignment="1">
      <alignment horizontal="center" vertical="center"/>
    </xf>
    <xf numFmtId="3" fontId="22" fillId="4" borderId="19" xfId="0" applyNumberFormat="1" applyFont="1" applyFill="1" applyBorder="1" applyAlignment="1">
      <alignment horizontal="center" vertical="center"/>
    </xf>
    <xf numFmtId="10" fontId="22" fillId="4" borderId="41" xfId="2" applyNumberFormat="1" applyFont="1" applyFill="1" applyBorder="1" applyAlignment="1">
      <alignment horizontal="center" vertical="center"/>
    </xf>
    <xf numFmtId="177" fontId="22" fillId="0" borderId="41" xfId="1" applyNumberFormat="1" applyFont="1" applyFill="1" applyBorder="1" applyAlignment="1">
      <alignment horizontal="center" vertical="center"/>
    </xf>
    <xf numFmtId="10" fontId="22" fillId="4" borderId="41" xfId="0" applyNumberFormat="1" applyFont="1" applyFill="1" applyBorder="1" applyAlignment="1">
      <alignment horizontal="center" vertical="center"/>
    </xf>
    <xf numFmtId="38" fontId="22" fillId="4" borderId="41" xfId="2" applyNumberFormat="1" applyFont="1" applyFill="1" applyBorder="1" applyAlignment="1">
      <alignment horizontal="center" vertical="center"/>
    </xf>
    <xf numFmtId="0" fontId="22" fillId="0" borderId="41" xfId="0" applyFont="1" applyBorder="1" applyAlignment="1">
      <alignment horizontal="left" vertical="center"/>
    </xf>
    <xf numFmtId="14" fontId="22" fillId="0" borderId="41" xfId="0" applyNumberFormat="1" applyFont="1" applyBorder="1" applyAlignment="1">
      <alignment horizontal="center" vertical="center"/>
    </xf>
    <xf numFmtId="0" fontId="22" fillId="4" borderId="41" xfId="0" applyFont="1" applyFill="1" applyBorder="1" applyAlignment="1">
      <alignment horizontal="center" vertical="center"/>
    </xf>
    <xf numFmtId="174" fontId="22" fillId="0" borderId="41" xfId="0" applyNumberFormat="1" applyFont="1" applyBorder="1" applyAlignment="1">
      <alignment horizontal="center" vertical="center"/>
    </xf>
    <xf numFmtId="3" fontId="22" fillId="4" borderId="41" xfId="2" applyNumberFormat="1" applyFont="1" applyFill="1" applyBorder="1" applyAlignment="1">
      <alignment horizontal="center" vertical="center"/>
    </xf>
    <xf numFmtId="9" fontId="24" fillId="0" borderId="0" xfId="2" applyFont="1" applyAlignment="1">
      <alignment horizontal="center" vertical="center"/>
    </xf>
    <xf numFmtId="9" fontId="22" fillId="0" borderId="0" xfId="2" applyFont="1" applyFill="1" applyAlignment="1">
      <alignment horizontal="center" vertical="center"/>
    </xf>
    <xf numFmtId="9" fontId="24" fillId="0" borderId="0" xfId="2" applyFont="1" applyAlignment="1">
      <alignment vertical="center"/>
    </xf>
    <xf numFmtId="9" fontId="22" fillId="0" borderId="0" xfId="2" applyFont="1" applyFill="1" applyAlignment="1">
      <alignment vertical="center"/>
    </xf>
    <xf numFmtId="181" fontId="19" fillId="0" borderId="0" xfId="76" applyNumberFormat="1" applyFont="1" applyAlignment="1">
      <alignment horizontal="center" vertical="center"/>
    </xf>
    <xf numFmtId="3" fontId="24" fillId="0" borderId="0" xfId="0" applyNumberFormat="1" applyFont="1"/>
    <xf numFmtId="181" fontId="24" fillId="0" borderId="0" xfId="76" applyNumberFormat="1" applyFont="1"/>
    <xf numFmtId="37" fontId="24" fillId="0" borderId="0" xfId="0" applyNumberFormat="1" applyFont="1" applyAlignment="1">
      <alignment horizontal="center" vertical="center"/>
    </xf>
    <xf numFmtId="37" fontId="24" fillId="0" borderId="0" xfId="0" applyNumberFormat="1" applyFont="1" applyAlignment="1">
      <alignment vertical="center"/>
    </xf>
    <xf numFmtId="37" fontId="22" fillId="0" borderId="0" xfId="0" applyNumberFormat="1" applyFont="1" applyAlignment="1">
      <alignment horizontal="center" vertical="center"/>
    </xf>
    <xf numFmtId="37" fontId="22" fillId="0" borderId="0" xfId="0" applyNumberFormat="1" applyFont="1" applyAlignment="1">
      <alignment vertical="center"/>
    </xf>
    <xf numFmtId="0" fontId="64" fillId="0" borderId="83" xfId="0" applyFont="1" applyBorder="1" applyAlignment="1">
      <alignment horizontal="center" vertical="center" wrapText="1" readingOrder="1"/>
    </xf>
    <xf numFmtId="0" fontId="64" fillId="0" borderId="84" xfId="0" applyFont="1" applyBorder="1" applyAlignment="1">
      <alignment horizontal="center" vertical="center" wrapText="1" readingOrder="1"/>
    </xf>
    <xf numFmtId="0" fontId="68" fillId="0" borderId="82" xfId="0" applyFont="1" applyBorder="1" applyAlignment="1">
      <alignment horizontal="center" vertical="center" wrapText="1" readingOrder="1"/>
    </xf>
    <xf numFmtId="0" fontId="67" fillId="0" borderId="82" xfId="0" applyFont="1" applyBorder="1" applyAlignment="1">
      <alignment horizontal="center" vertical="center" wrapText="1" readingOrder="1"/>
    </xf>
    <xf numFmtId="0" fontId="69" fillId="0" borderId="82" xfId="0" applyFont="1" applyBorder="1" applyAlignment="1">
      <alignment horizontal="center" vertical="center" wrapText="1" readingOrder="1"/>
    </xf>
    <xf numFmtId="0" fontId="65" fillId="3" borderId="82" xfId="0" applyFont="1" applyFill="1" applyBorder="1" applyAlignment="1">
      <alignment horizontal="center" vertical="center" wrapText="1" readingOrder="1"/>
    </xf>
    <xf numFmtId="0" fontId="68" fillId="3" borderId="82" xfId="0" applyFont="1" applyFill="1" applyBorder="1" applyAlignment="1">
      <alignment horizontal="center" vertical="center" wrapText="1" readingOrder="1"/>
    </xf>
    <xf numFmtId="0" fontId="67" fillId="3" borderId="82" xfId="0" applyFont="1" applyFill="1" applyBorder="1" applyAlignment="1">
      <alignment horizontal="center" vertical="center" wrapText="1" readingOrder="1"/>
    </xf>
    <xf numFmtId="0" fontId="70" fillId="0" borderId="82" xfId="0" applyFont="1" applyBorder="1" applyAlignment="1">
      <alignment horizontal="center" vertical="center" wrapText="1" readingOrder="1"/>
    </xf>
    <xf numFmtId="0" fontId="71" fillId="0" borderId="82" xfId="0" applyFont="1" applyBorder="1" applyAlignment="1">
      <alignment horizontal="center" vertical="center" wrapText="1" readingOrder="1"/>
    </xf>
    <xf numFmtId="0" fontId="70" fillId="3" borderId="82" xfId="0" applyFont="1" applyFill="1" applyBorder="1" applyAlignment="1">
      <alignment horizontal="center" vertical="center" wrapText="1" readingOrder="1"/>
    </xf>
    <xf numFmtId="0" fontId="0" fillId="0" borderId="0" xfId="0" applyAlignment="1">
      <alignment horizontal="center" vertical="center" wrapText="1"/>
    </xf>
    <xf numFmtId="182" fontId="17" fillId="0" borderId="0" xfId="76" applyNumberFormat="1" applyFont="1" applyAlignment="1">
      <alignment horizontal="center" vertical="center"/>
    </xf>
    <xf numFmtId="9" fontId="17" fillId="0" borderId="0" xfId="2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2" fillId="21" borderId="0" xfId="0" applyFont="1" applyFill="1" applyAlignment="1">
      <alignment horizontal="center" vertical="center" wrapText="1"/>
    </xf>
    <xf numFmtId="0" fontId="2" fillId="40" borderId="0" xfId="0" applyFont="1" applyFill="1" applyAlignment="1">
      <alignment horizontal="center" vertical="center" wrapText="1"/>
    </xf>
    <xf numFmtId="0" fontId="2" fillId="41" borderId="0" xfId="0" applyFont="1" applyFill="1" applyAlignment="1">
      <alignment horizontal="center" vertical="center" wrapText="1"/>
    </xf>
    <xf numFmtId="182" fontId="17" fillId="0" borderId="85" xfId="76" applyNumberFormat="1" applyFont="1" applyBorder="1" applyAlignment="1">
      <alignment horizontal="center" vertical="center"/>
    </xf>
    <xf numFmtId="9" fontId="17" fillId="0" borderId="85" xfId="2" applyFont="1" applyBorder="1" applyAlignment="1">
      <alignment horizontal="center" vertical="center"/>
    </xf>
    <xf numFmtId="0" fontId="17" fillId="0" borderId="85" xfId="0" applyFont="1" applyBorder="1" applyAlignment="1">
      <alignment horizontal="center" vertical="center"/>
    </xf>
    <xf numFmtId="0" fontId="17" fillId="0" borderId="85" xfId="0" applyFont="1" applyBorder="1"/>
    <xf numFmtId="0" fontId="17" fillId="3" borderId="85" xfId="0" applyFont="1" applyFill="1" applyBorder="1" applyAlignment="1">
      <alignment horizontal="center" vertical="center"/>
    </xf>
    <xf numFmtId="0" fontId="17" fillId="3" borderId="85" xfId="0" applyFont="1" applyFill="1" applyBorder="1"/>
    <xf numFmtId="182" fontId="17" fillId="3" borderId="85" xfId="76" applyNumberFormat="1" applyFont="1" applyFill="1" applyBorder="1" applyAlignment="1">
      <alignment horizontal="center" vertical="center"/>
    </xf>
    <xf numFmtId="9" fontId="17" fillId="3" borderId="85" xfId="2" applyFont="1" applyFill="1" applyBorder="1" applyAlignment="1">
      <alignment horizontal="center" vertical="center"/>
    </xf>
    <xf numFmtId="0" fontId="26" fillId="13" borderId="9" xfId="0" applyFont="1" applyFill="1" applyBorder="1" applyAlignment="1">
      <alignment horizontal="center" vertical="center" wrapText="1"/>
    </xf>
    <xf numFmtId="37" fontId="34" fillId="13" borderId="88" xfId="0" applyNumberFormat="1" applyFont="1" applyFill="1" applyBorder="1" applyAlignment="1">
      <alignment horizontal="center" vertical="center" wrapText="1"/>
    </xf>
    <xf numFmtId="37" fontId="34" fillId="13" borderId="9" xfId="0" applyNumberFormat="1" applyFont="1" applyFill="1" applyBorder="1" applyAlignment="1">
      <alignment horizontal="center" vertical="center" wrapText="1"/>
    </xf>
    <xf numFmtId="9" fontId="34" fillId="13" borderId="9" xfId="0" applyNumberFormat="1" applyFont="1" applyFill="1" applyBorder="1" applyAlignment="1">
      <alignment horizontal="center" vertical="center"/>
    </xf>
    <xf numFmtId="0" fontId="22" fillId="0" borderId="87" xfId="0" applyFont="1" applyBorder="1" applyAlignment="1">
      <alignment horizontal="center" vertical="center" wrapText="1"/>
    </xf>
    <xf numFmtId="0" fontId="35" fillId="0" borderId="87" xfId="0" applyFont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 wrapText="1"/>
    </xf>
    <xf numFmtId="183" fontId="22" fillId="0" borderId="87" xfId="0" applyNumberFormat="1" applyFont="1" applyBorder="1" applyAlignment="1">
      <alignment horizontal="center" vertical="center"/>
    </xf>
    <xf numFmtId="9" fontId="22" fillId="0" borderId="87" xfId="0" applyNumberFormat="1" applyFont="1" applyBorder="1" applyAlignment="1">
      <alignment horizontal="center" vertical="center"/>
    </xf>
    <xf numFmtId="0" fontId="35" fillId="3" borderId="86" xfId="0" applyFont="1" applyFill="1" applyBorder="1" applyAlignment="1">
      <alignment horizontal="center" vertical="center" wrapText="1"/>
    </xf>
    <xf numFmtId="0" fontId="24" fillId="3" borderId="86" xfId="0" applyFont="1" applyFill="1" applyBorder="1" applyAlignment="1">
      <alignment horizontal="center" vertical="center" wrapText="1"/>
    </xf>
    <xf numFmtId="183" fontId="22" fillId="3" borderId="86" xfId="0" applyNumberFormat="1" applyFont="1" applyFill="1" applyBorder="1" applyAlignment="1">
      <alignment horizontal="center" vertical="center"/>
    </xf>
    <xf numFmtId="9" fontId="22" fillId="3" borderId="86" xfId="0" applyNumberFormat="1" applyFont="1" applyFill="1" applyBorder="1" applyAlignment="1">
      <alignment horizontal="center" vertical="center"/>
    </xf>
    <xf numFmtId="0" fontId="35" fillId="3" borderId="87" xfId="0" applyFont="1" applyFill="1" applyBorder="1" applyAlignment="1">
      <alignment horizontal="center" vertical="center" wrapText="1"/>
    </xf>
    <xf numFmtId="0" fontId="24" fillId="3" borderId="87" xfId="0" applyFont="1" applyFill="1" applyBorder="1" applyAlignment="1">
      <alignment horizontal="center" vertical="center" wrapText="1"/>
    </xf>
    <xf numFmtId="183" fontId="22" fillId="3" borderId="87" xfId="0" applyNumberFormat="1" applyFont="1" applyFill="1" applyBorder="1" applyAlignment="1">
      <alignment horizontal="center" vertical="center"/>
    </xf>
    <xf numFmtId="9" fontId="22" fillId="3" borderId="87" xfId="0" applyNumberFormat="1" applyFont="1" applyFill="1" applyBorder="1" applyAlignment="1">
      <alignment horizontal="center" vertical="center"/>
    </xf>
    <xf numFmtId="0" fontId="22" fillId="0" borderId="86" xfId="0" applyFont="1" applyBorder="1" applyAlignment="1">
      <alignment horizontal="center" vertical="center" wrapText="1"/>
    </xf>
    <xf numFmtId="0" fontId="35" fillId="0" borderId="86" xfId="0" applyFont="1" applyBorder="1" applyAlignment="1">
      <alignment horizontal="center" vertical="center" wrapText="1"/>
    </xf>
    <xf numFmtId="0" fontId="24" fillId="0" borderId="86" xfId="0" applyFont="1" applyBorder="1" applyAlignment="1">
      <alignment horizontal="center" vertical="center" wrapText="1"/>
    </xf>
    <xf numFmtId="183" fontId="22" fillId="0" borderId="86" xfId="0" applyNumberFormat="1" applyFont="1" applyBorder="1" applyAlignment="1">
      <alignment horizontal="center" vertical="center"/>
    </xf>
    <xf numFmtId="9" fontId="22" fillId="0" borderId="86" xfId="0" applyNumberFormat="1" applyFont="1" applyBorder="1" applyAlignment="1">
      <alignment horizontal="center" vertical="center"/>
    </xf>
    <xf numFmtId="0" fontId="22" fillId="3" borderId="87" xfId="0" applyFont="1" applyFill="1" applyBorder="1" applyAlignment="1">
      <alignment horizontal="center" vertical="center" wrapText="1"/>
    </xf>
    <xf numFmtId="181" fontId="0" fillId="0" borderId="0" xfId="76" applyNumberFormat="1" applyFont="1"/>
    <xf numFmtId="44" fontId="24" fillId="0" borderId="0" xfId="76" applyFont="1"/>
    <xf numFmtId="9" fontId="22" fillId="0" borderId="0" xfId="2" applyFont="1" applyAlignment="1">
      <alignment vertical="center"/>
    </xf>
    <xf numFmtId="9" fontId="22" fillId="0" borderId="0" xfId="2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3" fontId="39" fillId="0" borderId="0" xfId="0" applyNumberFormat="1" applyFont="1" applyAlignment="1">
      <alignment horizontal="center" vertical="center"/>
    </xf>
    <xf numFmtId="3" fontId="72" fillId="0" borderId="16" xfId="0" applyNumberFormat="1" applyFont="1" applyBorder="1" applyAlignment="1">
      <alignment horizontal="center" vertical="center" wrapText="1"/>
    </xf>
    <xf numFmtId="171" fontId="73" fillId="0" borderId="0" xfId="2" applyNumberFormat="1" applyFont="1" applyAlignment="1">
      <alignment horizontal="center" vertical="center"/>
    </xf>
    <xf numFmtId="0" fontId="73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 wrapText="1"/>
    </xf>
    <xf numFmtId="3" fontId="39" fillId="0" borderId="0" xfId="0" applyNumberFormat="1" applyFont="1" applyAlignment="1">
      <alignment horizontal="center" vertical="center" wrapText="1"/>
    </xf>
    <xf numFmtId="37" fontId="27" fillId="42" borderId="9" xfId="0" applyNumberFormat="1" applyFont="1" applyFill="1" applyBorder="1" applyAlignment="1">
      <alignment horizontal="center" vertical="center" wrapText="1"/>
    </xf>
    <xf numFmtId="0" fontId="39" fillId="0" borderId="0" xfId="0" applyFont="1" applyAlignment="1">
      <alignment vertical="center" wrapText="1"/>
    </xf>
    <xf numFmtId="0" fontId="26" fillId="20" borderId="9" xfId="0" applyFont="1" applyFill="1" applyBorder="1" applyAlignment="1">
      <alignment horizontal="center" vertical="center" wrapText="1"/>
    </xf>
    <xf numFmtId="0" fontId="22" fillId="3" borderId="0" xfId="0" applyFont="1" applyFill="1" applyAlignment="1">
      <alignment horizontal="center" vertical="center" wrapText="1"/>
    </xf>
    <xf numFmtId="0" fontId="81" fillId="13" borderId="9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9" fontId="82" fillId="13" borderId="9" xfId="0" applyNumberFormat="1" applyFont="1" applyFill="1" applyBorder="1" applyAlignment="1">
      <alignment horizontal="center" vertical="center"/>
    </xf>
    <xf numFmtId="37" fontId="82" fillId="13" borderId="9" xfId="0" applyNumberFormat="1" applyFont="1" applyFill="1" applyBorder="1" applyAlignment="1">
      <alignment horizontal="center" vertical="center" wrapText="1"/>
    </xf>
    <xf numFmtId="3" fontId="22" fillId="3" borderId="0" xfId="0" applyNumberFormat="1" applyFont="1" applyFill="1" applyAlignment="1">
      <alignment horizontal="center" vertical="center"/>
    </xf>
    <xf numFmtId="37" fontId="22" fillId="3" borderId="0" xfId="0" applyNumberFormat="1" applyFont="1" applyFill="1" applyAlignment="1">
      <alignment horizontal="center" vertical="center"/>
    </xf>
    <xf numFmtId="183" fontId="22" fillId="0" borderId="0" xfId="0" applyNumberFormat="1" applyFont="1" applyAlignment="1">
      <alignment horizontal="center" vertical="center"/>
    </xf>
    <xf numFmtId="183" fontId="22" fillId="3" borderId="0" xfId="0" applyNumberFormat="1" applyFont="1" applyFill="1" applyAlignment="1">
      <alignment horizontal="center" vertical="center"/>
    </xf>
    <xf numFmtId="37" fontId="82" fillId="13" borderId="0" xfId="0" applyNumberFormat="1" applyFont="1" applyFill="1" applyAlignment="1">
      <alignment horizontal="center" vertical="center" wrapText="1"/>
    </xf>
    <xf numFmtId="9" fontId="22" fillId="0" borderId="0" xfId="0" applyNumberFormat="1" applyFont="1" applyAlignment="1">
      <alignment horizontal="center" vertical="center"/>
    </xf>
    <xf numFmtId="9" fontId="22" fillId="3" borderId="0" xfId="0" applyNumberFormat="1" applyFont="1" applyFill="1" applyAlignment="1">
      <alignment horizontal="center" vertical="center"/>
    </xf>
    <xf numFmtId="0" fontId="35" fillId="0" borderId="0" xfId="0" applyFont="1" applyAlignment="1">
      <alignment horizontal="center" vertical="center" wrapText="1"/>
    </xf>
    <xf numFmtId="0" fontId="35" fillId="3" borderId="0" xfId="0" applyFont="1" applyFill="1" applyAlignment="1">
      <alignment horizontal="center" vertical="center" wrapText="1"/>
    </xf>
    <xf numFmtId="0" fontId="24" fillId="3" borderId="0" xfId="0" applyFont="1" applyFill="1" applyAlignment="1">
      <alignment horizontal="center" vertical="center" wrapText="1"/>
    </xf>
    <xf numFmtId="171" fontId="16" fillId="9" borderId="9" xfId="0" applyNumberFormat="1" applyFont="1" applyFill="1" applyBorder="1" applyAlignment="1">
      <alignment horizontal="center" vertical="center" wrapText="1"/>
    </xf>
    <xf numFmtId="0" fontId="34" fillId="9" borderId="9" xfId="0" applyFont="1" applyFill="1" applyBorder="1" applyAlignment="1">
      <alignment horizontal="center" vertical="center" wrapText="1"/>
    </xf>
    <xf numFmtId="171" fontId="19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1" fontId="22" fillId="3" borderId="41" xfId="0" applyNumberFormat="1" applyFont="1" applyFill="1" applyBorder="1" applyAlignment="1">
      <alignment horizontal="center" vertical="center"/>
    </xf>
    <xf numFmtId="184" fontId="22" fillId="0" borderId="41" xfId="0" applyNumberFormat="1" applyFont="1" applyBorder="1" applyAlignment="1">
      <alignment horizontal="center" vertical="center"/>
    </xf>
    <xf numFmtId="169" fontId="22" fillId="0" borderId="41" xfId="0" applyNumberFormat="1" applyFont="1" applyBorder="1" applyAlignment="1">
      <alignment horizontal="left" vertical="center"/>
    </xf>
    <xf numFmtId="2" fontId="22" fillId="0" borderId="41" xfId="0" applyNumberFormat="1" applyFont="1" applyBorder="1" applyAlignment="1">
      <alignment horizontal="center" vertical="center"/>
    </xf>
    <xf numFmtId="164" fontId="22" fillId="0" borderId="41" xfId="0" applyNumberFormat="1" applyFont="1" applyBorder="1" applyAlignment="1">
      <alignment horizontal="center" vertical="center"/>
    </xf>
    <xf numFmtId="10" fontId="22" fillId="0" borderId="41" xfId="0" applyNumberFormat="1" applyFont="1" applyBorder="1" applyAlignment="1">
      <alignment horizontal="center" vertical="center"/>
    </xf>
    <xf numFmtId="38" fontId="22" fillId="0" borderId="41" xfId="0" applyNumberFormat="1" applyFont="1" applyBorder="1" applyAlignment="1">
      <alignment horizontal="center" vertical="center"/>
    </xf>
    <xf numFmtId="38" fontId="22" fillId="4" borderId="0" xfId="0" applyNumberFormat="1" applyFont="1" applyFill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6" fillId="27" borderId="9" xfId="0" applyFont="1" applyFill="1" applyBorder="1" applyAlignment="1">
      <alignment horizontal="center" vertical="center"/>
    </xf>
    <xf numFmtId="0" fontId="16" fillId="12" borderId="9" xfId="0" applyFont="1" applyFill="1" applyBorder="1" applyAlignment="1">
      <alignment horizontal="center" vertical="center"/>
    </xf>
    <xf numFmtId="0" fontId="48" fillId="0" borderId="9" xfId="0" applyFont="1" applyBorder="1" applyAlignment="1">
      <alignment horizontal="center" vertical="center"/>
    </xf>
    <xf numFmtId="0" fontId="16" fillId="35" borderId="67" xfId="0" applyFont="1" applyFill="1" applyBorder="1" applyAlignment="1">
      <alignment horizontal="center" vertical="center" wrapText="1"/>
    </xf>
    <xf numFmtId="0" fontId="16" fillId="35" borderId="66" xfId="0" applyFont="1" applyFill="1" applyBorder="1" applyAlignment="1">
      <alignment horizontal="center" vertical="center" wrapText="1"/>
    </xf>
    <xf numFmtId="0" fontId="16" fillId="35" borderId="68" xfId="0" applyFont="1" applyFill="1" applyBorder="1" applyAlignment="1">
      <alignment horizontal="center" vertical="center" wrapText="1"/>
    </xf>
    <xf numFmtId="0" fontId="16" fillId="13" borderId="9" xfId="0" applyFont="1" applyFill="1" applyBorder="1" applyAlignment="1">
      <alignment horizontal="center" vertical="center"/>
    </xf>
    <xf numFmtId="0" fontId="16" fillId="13" borderId="50" xfId="0" applyFont="1" applyFill="1" applyBorder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16" fillId="13" borderId="51" xfId="0" applyFont="1" applyFill="1" applyBorder="1" applyAlignment="1">
      <alignment horizontal="center" vertical="center"/>
    </xf>
    <xf numFmtId="0" fontId="19" fillId="18" borderId="37" xfId="0" applyFont="1" applyFill="1" applyBorder="1" applyAlignment="1">
      <alignment horizontal="center" vertical="center" wrapText="1" shrinkToFit="1"/>
    </xf>
    <xf numFmtId="0" fontId="19" fillId="7" borderId="33" xfId="0" applyFont="1" applyFill="1" applyBorder="1" applyAlignment="1">
      <alignment horizontal="center" vertical="center" wrapText="1" shrinkToFit="1"/>
    </xf>
    <xf numFmtId="0" fontId="19" fillId="7" borderId="37" xfId="0" applyFont="1" applyFill="1" applyBorder="1" applyAlignment="1">
      <alignment horizontal="center" vertical="center" wrapText="1" shrinkToFit="1"/>
    </xf>
    <xf numFmtId="0" fontId="16" fillId="13" borderId="47" xfId="0" applyFont="1" applyFill="1" applyBorder="1" applyAlignment="1">
      <alignment horizontal="center" vertical="center" wrapText="1"/>
    </xf>
    <xf numFmtId="0" fontId="16" fillId="13" borderId="48" xfId="0" applyFont="1" applyFill="1" applyBorder="1" applyAlignment="1">
      <alignment horizontal="center" vertical="center" wrapText="1"/>
    </xf>
    <xf numFmtId="0" fontId="16" fillId="13" borderId="37" xfId="0" applyFont="1" applyFill="1" applyBorder="1" applyAlignment="1">
      <alignment horizontal="center" vertical="center" wrapText="1"/>
    </xf>
    <xf numFmtId="0" fontId="16" fillId="13" borderId="20" xfId="0" applyFont="1" applyFill="1" applyBorder="1" applyAlignment="1">
      <alignment horizontal="center" vertical="center" wrapText="1"/>
    </xf>
    <xf numFmtId="0" fontId="16" fillId="13" borderId="47" xfId="0" applyFont="1" applyFill="1" applyBorder="1" applyAlignment="1">
      <alignment horizontal="center" vertical="center"/>
    </xf>
    <xf numFmtId="0" fontId="16" fillId="13" borderId="48" xfId="0" applyFont="1" applyFill="1" applyBorder="1" applyAlignment="1">
      <alignment horizontal="center" vertical="center"/>
    </xf>
    <xf numFmtId="0" fontId="16" fillId="13" borderId="16" xfId="0" applyFont="1" applyFill="1" applyBorder="1" applyAlignment="1">
      <alignment horizontal="center" vertical="center" wrapText="1"/>
    </xf>
    <xf numFmtId="0" fontId="16" fillId="13" borderId="11" xfId="0" applyFont="1" applyFill="1" applyBorder="1" applyAlignment="1">
      <alignment horizontal="center" vertical="center" wrapText="1"/>
    </xf>
    <xf numFmtId="0" fontId="54" fillId="7" borderId="49" xfId="0" applyFont="1" applyFill="1" applyBorder="1" applyAlignment="1">
      <alignment horizontal="center" vertical="center" wrapText="1"/>
    </xf>
    <xf numFmtId="0" fontId="54" fillId="18" borderId="37" xfId="0" applyFont="1" applyFill="1" applyBorder="1" applyAlignment="1">
      <alignment horizontal="center" vertical="center" wrapText="1"/>
    </xf>
    <xf numFmtId="0" fontId="53" fillId="7" borderId="56" xfId="0" applyFont="1" applyFill="1" applyBorder="1" applyAlignment="1">
      <alignment horizontal="center" vertical="center" wrapText="1"/>
    </xf>
    <xf numFmtId="0" fontId="53" fillId="7" borderId="55" xfId="0" applyFont="1" applyFill="1" applyBorder="1" applyAlignment="1">
      <alignment horizontal="center" vertical="center" wrapText="1"/>
    </xf>
    <xf numFmtId="0" fontId="53" fillId="7" borderId="57" xfId="0" applyFont="1" applyFill="1" applyBorder="1" applyAlignment="1">
      <alignment horizontal="center" vertical="center" wrapText="1"/>
    </xf>
    <xf numFmtId="0" fontId="53" fillId="18" borderId="37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2" fillId="3" borderId="89" xfId="0" applyFont="1" applyFill="1" applyBorder="1" applyAlignment="1">
      <alignment horizontal="center" vertical="center" wrapText="1"/>
    </xf>
    <xf numFmtId="0" fontId="22" fillId="3" borderId="90" xfId="0" applyFont="1" applyFill="1" applyBorder="1" applyAlignment="1">
      <alignment horizontal="center" vertical="center" wrapText="1"/>
    </xf>
    <xf numFmtId="0" fontId="22" fillId="3" borderId="0" xfId="0" applyFont="1" applyFill="1" applyAlignment="1">
      <alignment horizontal="center" vertical="center" wrapText="1"/>
    </xf>
    <xf numFmtId="0" fontId="22" fillId="0" borderId="89" xfId="0" applyFont="1" applyBorder="1" applyAlignment="1">
      <alignment horizontal="center" vertical="center" wrapText="1"/>
    </xf>
    <xf numFmtId="0" fontId="22" fillId="0" borderId="90" xfId="0" applyFont="1" applyBorder="1" applyAlignment="1">
      <alignment horizontal="center" vertical="center" wrapText="1"/>
    </xf>
    <xf numFmtId="0" fontId="22" fillId="3" borderId="0" xfId="0" applyFont="1" applyFill="1" applyAlignment="1">
      <alignment horizontal="center" vertical="center"/>
    </xf>
    <xf numFmtId="0" fontId="2" fillId="40" borderId="0" xfId="0" applyFont="1" applyFill="1" applyAlignment="1">
      <alignment horizontal="center" vertical="center" wrapText="1"/>
    </xf>
    <xf numFmtId="0" fontId="2" fillId="40" borderId="0" xfId="0" applyFont="1" applyFill="1" applyAlignment="1">
      <alignment horizontal="center" vertical="center"/>
    </xf>
    <xf numFmtId="0" fontId="2" fillId="21" borderId="0" xfId="0" applyFont="1" applyFill="1" applyAlignment="1">
      <alignment horizontal="center" vertical="center" wrapText="1"/>
    </xf>
    <xf numFmtId="0" fontId="2" fillId="21" borderId="0" xfId="0" applyFont="1" applyFill="1" applyAlignment="1">
      <alignment horizontal="center" vertical="center"/>
    </xf>
    <xf numFmtId="0" fontId="2" fillId="41" borderId="0" xfId="0" applyFont="1" applyFill="1" applyAlignment="1">
      <alignment horizontal="center" vertical="center" wrapText="1"/>
    </xf>
    <xf numFmtId="0" fontId="2" fillId="41" borderId="0" xfId="0" applyFont="1" applyFill="1" applyAlignment="1">
      <alignment horizontal="center" vertical="center"/>
    </xf>
    <xf numFmtId="0" fontId="26" fillId="8" borderId="14" xfId="0" applyFont="1" applyFill="1" applyBorder="1" applyAlignment="1">
      <alignment horizontal="center" vertical="center" wrapText="1"/>
    </xf>
    <xf numFmtId="0" fontId="26" fillId="8" borderId="38" xfId="0" applyFont="1" applyFill="1" applyBorder="1" applyAlignment="1">
      <alignment horizontal="center" vertical="center" wrapText="1"/>
    </xf>
    <xf numFmtId="0" fontId="26" fillId="5" borderId="9" xfId="0" applyFont="1" applyFill="1" applyBorder="1" applyAlignment="1">
      <alignment horizontal="center" vertical="center" wrapText="1"/>
    </xf>
    <xf numFmtId="0" fontId="26" fillId="5" borderId="16" xfId="0" applyFont="1" applyFill="1" applyBorder="1" applyAlignment="1">
      <alignment horizontal="center" vertical="center" wrapText="1"/>
    </xf>
    <xf numFmtId="0" fontId="26" fillId="13" borderId="9" xfId="0" applyFont="1" applyFill="1" applyBorder="1" applyAlignment="1">
      <alignment horizontal="center" vertical="center" wrapText="1"/>
    </xf>
    <xf numFmtId="0" fontId="26" fillId="6" borderId="9" xfId="0" applyFont="1" applyFill="1" applyBorder="1" applyAlignment="1">
      <alignment horizontal="center" vertical="center" wrapText="1"/>
    </xf>
    <xf numFmtId="0" fontId="26" fillId="21" borderId="33" xfId="0" applyFont="1" applyFill="1" applyBorder="1" applyAlignment="1">
      <alignment horizontal="center" vertical="center" wrapText="1"/>
    </xf>
    <xf numFmtId="0" fontId="26" fillId="21" borderId="37" xfId="0" applyFont="1" applyFill="1" applyBorder="1" applyAlignment="1">
      <alignment horizontal="center" vertical="center" wrapText="1"/>
    </xf>
    <xf numFmtId="0" fontId="26" fillId="19" borderId="13" xfId="0" applyFont="1" applyFill="1" applyBorder="1" applyAlignment="1">
      <alignment horizontal="center" vertical="center" wrapText="1"/>
    </xf>
    <xf numFmtId="0" fontId="26" fillId="19" borderId="9" xfId="0" applyFont="1" applyFill="1" applyBorder="1" applyAlignment="1">
      <alignment horizontal="center" vertical="center" wrapText="1"/>
    </xf>
    <xf numFmtId="0" fontId="26" fillId="20" borderId="9" xfId="0" applyFont="1" applyFill="1" applyBorder="1" applyAlignment="1">
      <alignment horizontal="center" vertical="center" wrapText="1"/>
    </xf>
    <xf numFmtId="0" fontId="26" fillId="12" borderId="9" xfId="0" applyFont="1" applyFill="1" applyBorder="1" applyAlignment="1">
      <alignment horizontal="center" vertical="center" wrapText="1"/>
    </xf>
    <xf numFmtId="0" fontId="27" fillId="9" borderId="49" xfId="0" applyFont="1" applyFill="1" applyBorder="1" applyAlignment="1">
      <alignment horizontal="center" vertical="center" wrapText="1"/>
    </xf>
    <xf numFmtId="0" fontId="27" fillId="9" borderId="32" xfId="0" applyFont="1" applyFill="1" applyBorder="1" applyAlignment="1">
      <alignment horizontal="center" vertical="center" wrapText="1"/>
    </xf>
    <xf numFmtId="0" fontId="26" fillId="23" borderId="62" xfId="0" applyFont="1" applyFill="1" applyBorder="1" applyAlignment="1">
      <alignment horizontal="center" vertical="center" wrapText="1"/>
    </xf>
    <xf numFmtId="0" fontId="26" fillId="23" borderId="63" xfId="0" applyFont="1" applyFill="1" applyBorder="1" applyAlignment="1">
      <alignment horizontal="center" vertical="center" wrapText="1"/>
    </xf>
    <xf numFmtId="0" fontId="26" fillId="23" borderId="64" xfId="0" applyFont="1" applyFill="1" applyBorder="1" applyAlignment="1">
      <alignment horizontal="center" vertical="center" wrapText="1"/>
    </xf>
    <xf numFmtId="0" fontId="26" fillId="23" borderId="50" xfId="0" applyFont="1" applyFill="1" applyBorder="1" applyAlignment="1">
      <alignment horizontal="center" vertical="center" wrapText="1"/>
    </xf>
    <xf numFmtId="0" fontId="26" fillId="23" borderId="0" xfId="0" applyFont="1" applyFill="1" applyAlignment="1">
      <alignment horizontal="center" vertical="center" wrapText="1"/>
    </xf>
    <xf numFmtId="0" fontId="26" fillId="34" borderId="14" xfId="0" applyFont="1" applyFill="1" applyBorder="1" applyAlignment="1">
      <alignment horizontal="center" vertical="center" wrapText="1"/>
    </xf>
    <xf numFmtId="0" fontId="26" fillId="34" borderId="38" xfId="0" applyFont="1" applyFill="1" applyBorder="1" applyAlignment="1">
      <alignment horizontal="center" vertical="center" wrapText="1"/>
    </xf>
    <xf numFmtId="0" fontId="26" fillId="34" borderId="13" xfId="0" applyFont="1" applyFill="1" applyBorder="1" applyAlignment="1">
      <alignment horizontal="center" vertical="center" wrapText="1"/>
    </xf>
    <xf numFmtId="0" fontId="26" fillId="2" borderId="14" xfId="0" applyFont="1" applyFill="1" applyBorder="1" applyAlignment="1">
      <alignment horizontal="center" vertical="center" wrapText="1"/>
    </xf>
    <xf numFmtId="0" fontId="26" fillId="2" borderId="13" xfId="0" applyFont="1" applyFill="1" applyBorder="1" applyAlignment="1">
      <alignment horizontal="center" vertical="center" wrapText="1"/>
    </xf>
    <xf numFmtId="3" fontId="41" fillId="0" borderId="14" xfId="0" applyNumberFormat="1" applyFont="1" applyBorder="1" applyAlignment="1">
      <alignment horizontal="center" vertical="center"/>
    </xf>
    <xf numFmtId="3" fontId="41" fillId="0" borderId="13" xfId="0" applyNumberFormat="1" applyFont="1" applyBorder="1" applyAlignment="1">
      <alignment horizontal="center" vertical="center"/>
    </xf>
    <xf numFmtId="0" fontId="42" fillId="13" borderId="37" xfId="0" applyFont="1" applyFill="1" applyBorder="1" applyAlignment="1">
      <alignment horizontal="center" vertical="center" wrapText="1"/>
    </xf>
    <xf numFmtId="0" fontId="41" fillId="0" borderId="14" xfId="0" applyFont="1" applyBorder="1" applyAlignment="1">
      <alignment horizontal="center" vertical="center"/>
    </xf>
    <xf numFmtId="0" fontId="41" fillId="0" borderId="38" xfId="0" applyFont="1" applyBorder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0" fontId="27" fillId="31" borderId="16" xfId="0" applyFont="1" applyFill="1" applyBorder="1" applyAlignment="1">
      <alignment horizontal="center" vertical="center" wrapText="1"/>
    </xf>
    <xf numFmtId="0" fontId="27" fillId="31" borderId="11" xfId="0" applyFont="1" applyFill="1" applyBorder="1" applyAlignment="1">
      <alignment horizontal="center" vertical="center" wrapText="1"/>
    </xf>
    <xf numFmtId="0" fontId="43" fillId="31" borderId="16" xfId="0" applyFont="1" applyFill="1" applyBorder="1" applyAlignment="1">
      <alignment horizontal="center" vertical="center" wrapText="1"/>
    </xf>
    <xf numFmtId="0" fontId="43" fillId="31" borderId="17" xfId="0" applyFont="1" applyFill="1" applyBorder="1" applyAlignment="1">
      <alignment horizontal="center" vertical="center" wrapText="1"/>
    </xf>
    <xf numFmtId="0" fontId="43" fillId="31" borderId="11" xfId="0" applyFont="1" applyFill="1" applyBorder="1" applyAlignment="1">
      <alignment horizontal="center" vertical="center" wrapText="1"/>
    </xf>
    <xf numFmtId="0" fontId="43" fillId="31" borderId="12" xfId="0" applyFont="1" applyFill="1" applyBorder="1" applyAlignment="1">
      <alignment horizontal="center" vertical="center" wrapText="1"/>
    </xf>
    <xf numFmtId="0" fontId="34" fillId="32" borderId="37" xfId="0" applyFont="1" applyFill="1" applyBorder="1" applyAlignment="1">
      <alignment horizontal="center" vertical="center"/>
    </xf>
    <xf numFmtId="0" fontId="27" fillId="33" borderId="40" xfId="0" applyFont="1" applyFill="1" applyBorder="1" applyAlignment="1">
      <alignment horizontal="center" vertical="center" wrapText="1"/>
    </xf>
    <xf numFmtId="0" fontId="27" fillId="33" borderId="41" xfId="0" applyFont="1" applyFill="1" applyBorder="1" applyAlignment="1">
      <alignment horizontal="center" vertical="center" wrapText="1"/>
    </xf>
    <xf numFmtId="0" fontId="27" fillId="33" borderId="42" xfId="0" applyFont="1" applyFill="1" applyBorder="1" applyAlignment="1">
      <alignment horizontal="center" vertical="center" wrapText="1"/>
    </xf>
    <xf numFmtId="0" fontId="27" fillId="33" borderId="43" xfId="0" applyFont="1" applyFill="1" applyBorder="1" applyAlignment="1">
      <alignment horizontal="center" vertical="center" wrapText="1"/>
    </xf>
    <xf numFmtId="0" fontId="27" fillId="33" borderId="44" xfId="0" applyFont="1" applyFill="1" applyBorder="1" applyAlignment="1">
      <alignment horizontal="center" vertical="center" wrapText="1"/>
    </xf>
    <xf numFmtId="0" fontId="27" fillId="33" borderId="45" xfId="0" applyFont="1" applyFill="1" applyBorder="1" applyAlignment="1">
      <alignment horizontal="center" vertical="center" wrapText="1"/>
    </xf>
    <xf numFmtId="0" fontId="58" fillId="3" borderId="75" xfId="0" applyFont="1" applyFill="1" applyBorder="1" applyAlignment="1">
      <alignment horizontal="center" vertical="center" wrapText="1" readingOrder="1"/>
    </xf>
    <xf numFmtId="0" fontId="16" fillId="10" borderId="9" xfId="0" applyFont="1" applyFill="1" applyBorder="1" applyAlignment="1">
      <alignment horizontal="center" vertical="center"/>
    </xf>
    <xf numFmtId="10" fontId="21" fillId="10" borderId="9" xfId="2" applyNumberFormat="1" applyFont="1" applyFill="1" applyBorder="1" applyAlignment="1">
      <alignment horizontal="center" vertical="center"/>
    </xf>
    <xf numFmtId="0" fontId="16" fillId="10" borderId="9" xfId="0" applyFont="1" applyFill="1" applyBorder="1" applyAlignment="1">
      <alignment horizontal="center" vertical="center" wrapText="1"/>
    </xf>
    <xf numFmtId="10" fontId="21" fillId="9" borderId="20" xfId="2" applyNumberFormat="1" applyFont="1" applyFill="1" applyBorder="1" applyAlignment="1">
      <alignment horizontal="center" vertical="center"/>
    </xf>
    <xf numFmtId="10" fontId="21" fillId="9" borderId="21" xfId="2" applyNumberFormat="1" applyFont="1" applyFill="1" applyBorder="1" applyAlignment="1">
      <alignment horizontal="center" vertical="center"/>
    </xf>
    <xf numFmtId="0" fontId="16" fillId="9" borderId="20" xfId="0" applyFont="1" applyFill="1" applyBorder="1" applyAlignment="1">
      <alignment horizontal="center" vertical="center" wrapText="1"/>
    </xf>
    <xf numFmtId="0" fontId="16" fillId="9" borderId="2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6" fillId="17" borderId="14" xfId="0" applyFont="1" applyFill="1" applyBorder="1" applyAlignment="1">
      <alignment horizontal="center" vertical="center"/>
    </xf>
    <xf numFmtId="0" fontId="16" fillId="17" borderId="13" xfId="0" applyFont="1" applyFill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 wrapText="1"/>
    </xf>
    <xf numFmtId="171" fontId="19" fillId="0" borderId="9" xfId="0" applyNumberFormat="1" applyFont="1" applyBorder="1" applyAlignment="1">
      <alignment horizontal="center" vertical="center" wrapText="1"/>
    </xf>
    <xf numFmtId="171" fontId="30" fillId="3" borderId="23" xfId="0" applyNumberFormat="1" applyFont="1" applyFill="1" applyBorder="1" applyAlignment="1">
      <alignment horizontal="center" vertical="center"/>
    </xf>
    <xf numFmtId="171" fontId="30" fillId="3" borderId="25" xfId="0" applyNumberFormat="1" applyFont="1" applyFill="1" applyBorder="1" applyAlignment="1">
      <alignment horizontal="center" vertical="center"/>
    </xf>
    <xf numFmtId="171" fontId="30" fillId="3" borderId="27" xfId="0" applyNumberFormat="1" applyFont="1" applyFill="1" applyBorder="1" applyAlignment="1">
      <alignment horizontal="center" vertical="center"/>
    </xf>
    <xf numFmtId="0" fontId="46" fillId="16" borderId="0" xfId="0" applyFont="1" applyFill="1" applyAlignment="1">
      <alignment horizontal="center" vertical="center"/>
    </xf>
    <xf numFmtId="0" fontId="47" fillId="16" borderId="0" xfId="0" applyFont="1" applyFill="1" applyAlignment="1">
      <alignment horizontal="center" vertical="center"/>
    </xf>
    <xf numFmtId="0" fontId="16" fillId="9" borderId="9" xfId="0" applyFont="1" applyFill="1" applyBorder="1" applyAlignment="1">
      <alignment horizontal="center" vertical="center"/>
    </xf>
    <xf numFmtId="171" fontId="19" fillId="0" borderId="16" xfId="0" applyNumberFormat="1" applyFont="1" applyBorder="1" applyAlignment="1">
      <alignment horizontal="center" vertical="center" wrapText="1"/>
    </xf>
    <xf numFmtId="171" fontId="19" fillId="0" borderId="28" xfId="0" applyNumberFormat="1" applyFont="1" applyBorder="1" applyAlignment="1">
      <alignment horizontal="center" vertical="center" wrapText="1"/>
    </xf>
    <xf numFmtId="171" fontId="19" fillId="0" borderId="11" xfId="0" applyNumberFormat="1" applyFont="1" applyBorder="1" applyAlignment="1">
      <alignment horizontal="center" vertical="center" wrapText="1"/>
    </xf>
    <xf numFmtId="171" fontId="30" fillId="3" borderId="29" xfId="0" applyNumberFormat="1" applyFont="1" applyFill="1" applyBorder="1" applyAlignment="1">
      <alignment horizontal="center" vertical="center"/>
    </xf>
    <xf numFmtId="171" fontId="30" fillId="3" borderId="30" xfId="0" applyNumberFormat="1" applyFont="1" applyFill="1" applyBorder="1" applyAlignment="1">
      <alignment horizontal="center" vertical="center"/>
    </xf>
    <xf numFmtId="171" fontId="30" fillId="3" borderId="3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30" fillId="3" borderId="22" xfId="0" applyFont="1" applyFill="1" applyBorder="1" applyAlignment="1">
      <alignment horizontal="center" vertical="center" wrapText="1"/>
    </xf>
    <xf numFmtId="0" fontId="30" fillId="3" borderId="24" xfId="0" applyFont="1" applyFill="1" applyBorder="1" applyAlignment="1">
      <alignment horizontal="center" vertical="center"/>
    </xf>
    <xf numFmtId="0" fontId="30" fillId="3" borderId="26" xfId="0" applyFont="1" applyFill="1" applyBorder="1" applyAlignment="1">
      <alignment horizontal="center" vertical="center"/>
    </xf>
    <xf numFmtId="0" fontId="16" fillId="17" borderId="9" xfId="0" applyFont="1" applyFill="1" applyBorder="1" applyAlignment="1">
      <alignment horizontal="center" vertical="center"/>
    </xf>
    <xf numFmtId="0" fontId="16" fillId="17" borderId="9" xfId="0" applyFont="1" applyFill="1" applyBorder="1" applyAlignment="1">
      <alignment horizontal="center" vertical="center" wrapText="1"/>
    </xf>
    <xf numFmtId="0" fontId="16" fillId="10" borderId="9" xfId="0" applyFont="1" applyFill="1" applyBorder="1" applyAlignment="1">
      <alignment horizontal="center"/>
    </xf>
    <xf numFmtId="0" fontId="16" fillId="17" borderId="17" xfId="0" applyFont="1" applyFill="1" applyBorder="1" applyAlignment="1">
      <alignment horizontal="center" vertical="center"/>
    </xf>
    <xf numFmtId="0" fontId="16" fillId="17" borderId="36" xfId="0" applyFont="1" applyFill="1" applyBorder="1" applyAlignment="1">
      <alignment horizontal="center" vertical="center"/>
    </xf>
    <xf numFmtId="0" fontId="8" fillId="16" borderId="2" xfId="0" applyFont="1" applyFill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3" fillId="0" borderId="4" xfId="0" applyFont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16" fillId="9" borderId="37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6" fillId="13" borderId="9" xfId="0" applyFont="1" applyFill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/>
    </xf>
    <xf numFmtId="0" fontId="32" fillId="15" borderId="9" xfId="0" applyFont="1" applyFill="1" applyBorder="1" applyAlignment="1">
      <alignment horizontal="center" vertical="center" wrapText="1"/>
    </xf>
    <xf numFmtId="0" fontId="20" fillId="4" borderId="9" xfId="0" applyFont="1" applyFill="1" applyBorder="1" applyAlignment="1">
      <alignment horizontal="center" vertical="center" wrapText="1"/>
    </xf>
    <xf numFmtId="0" fontId="58" fillId="3" borderId="76" xfId="0" applyFont="1" applyFill="1" applyBorder="1" applyAlignment="1">
      <alignment horizontal="center" vertical="center" wrapText="1" readingOrder="1"/>
    </xf>
    <xf numFmtId="0" fontId="58" fillId="3" borderId="77" xfId="0" applyFont="1" applyFill="1" applyBorder="1" applyAlignment="1">
      <alignment horizontal="center" vertical="center" wrapText="1" readingOrder="1"/>
    </xf>
    <xf numFmtId="0" fontId="58" fillId="3" borderId="0" xfId="0" applyFont="1" applyFill="1" applyAlignment="1">
      <alignment horizontal="center" vertical="center" wrapText="1" readingOrder="1"/>
    </xf>
    <xf numFmtId="0" fontId="58" fillId="3" borderId="78" xfId="0" applyFont="1" applyFill="1" applyBorder="1" applyAlignment="1">
      <alignment horizontal="center" vertical="center" wrapText="1" readingOrder="1"/>
    </xf>
    <xf numFmtId="0" fontId="58" fillId="3" borderId="79" xfId="0" applyFont="1" applyFill="1" applyBorder="1" applyAlignment="1">
      <alignment horizontal="center" vertical="center" wrapText="1" readingOrder="1"/>
    </xf>
    <xf numFmtId="0" fontId="59" fillId="10" borderId="70" xfId="0" applyFont="1" applyFill="1" applyBorder="1" applyAlignment="1">
      <alignment horizontal="left" vertical="center" wrapText="1" indent="1" readingOrder="1"/>
    </xf>
    <xf numFmtId="0" fontId="59" fillId="10" borderId="71" xfId="0" applyFont="1" applyFill="1" applyBorder="1" applyAlignment="1">
      <alignment horizontal="left" vertical="center" wrapText="1" indent="1" readingOrder="1"/>
    </xf>
    <xf numFmtId="0" fontId="59" fillId="10" borderId="73" xfId="0" applyFont="1" applyFill="1" applyBorder="1" applyAlignment="1">
      <alignment horizontal="left" vertical="center" wrapText="1" indent="1" readingOrder="1"/>
    </xf>
    <xf numFmtId="0" fontId="19" fillId="0" borderId="18" xfId="0" applyFont="1" applyBorder="1" applyAlignment="1">
      <alignment horizontal="left" vertical="top"/>
    </xf>
    <xf numFmtId="0" fontId="19" fillId="7" borderId="0" xfId="0" applyFont="1" applyFill="1" applyAlignment="1">
      <alignment horizontal="left" vertical="top"/>
    </xf>
    <xf numFmtId="0" fontId="19" fillId="7" borderId="19" xfId="0" applyFont="1" applyFill="1" applyBorder="1" applyAlignment="1">
      <alignment horizontal="left" vertical="top"/>
    </xf>
    <xf numFmtId="0" fontId="19" fillId="0" borderId="0" xfId="0" applyFont="1" applyAlignment="1">
      <alignment horizontal="left" vertical="top"/>
    </xf>
    <xf numFmtId="0" fontId="20" fillId="0" borderId="38" xfId="0" applyFont="1" applyBorder="1" applyAlignment="1">
      <alignment horizontal="center"/>
    </xf>
    <xf numFmtId="0" fontId="16" fillId="13" borderId="9" xfId="0" applyFont="1" applyFill="1" applyBorder="1" applyAlignment="1">
      <alignment horizontal="center"/>
    </xf>
  </cellXfs>
  <cellStyles count="77">
    <cellStyle name="Hipervínculo" xfId="7" builtinId="8" hidden="1"/>
    <cellStyle name="Hipervínculo" xfId="55" builtinId="8" hidden="1"/>
    <cellStyle name="Hipervínculo" xfId="15" builtinId="8" hidden="1"/>
    <cellStyle name="Hipervínculo" xfId="41" builtinId="8" hidden="1"/>
    <cellStyle name="Hipervínculo" xfId="51" builtinId="8" hidden="1"/>
    <cellStyle name="Hipervínculo" xfId="69" builtinId="8" hidden="1"/>
    <cellStyle name="Hipervínculo" xfId="35" builtinId="8" hidden="1"/>
    <cellStyle name="Hipervínculo" xfId="11" builtinId="8" hidden="1"/>
    <cellStyle name="Hipervínculo" xfId="23" builtinId="8" hidden="1"/>
    <cellStyle name="Hipervínculo" xfId="33" builtinId="8" hidden="1"/>
    <cellStyle name="Hipervínculo" xfId="21" builtinId="8" hidden="1"/>
    <cellStyle name="Hipervínculo" xfId="17" builtinId="8" hidden="1"/>
    <cellStyle name="Hipervínculo" xfId="37" builtinId="8" hidden="1"/>
    <cellStyle name="Hipervínculo" xfId="67" builtinId="8" hidden="1"/>
    <cellStyle name="Hipervínculo" xfId="25" builtinId="8" hidden="1"/>
    <cellStyle name="Hipervínculo" xfId="27" builtinId="8" hidden="1"/>
    <cellStyle name="Hipervínculo" xfId="9" builtinId="8" hidden="1"/>
    <cellStyle name="Hipervínculo" xfId="63" builtinId="8" hidden="1"/>
    <cellStyle name="Hipervínculo" xfId="43" builtinId="8" hidden="1"/>
    <cellStyle name="Hipervínculo" xfId="31" builtinId="8" hidden="1"/>
    <cellStyle name="Hipervínculo" xfId="47" builtinId="8" hidden="1"/>
    <cellStyle name="Hipervínculo" xfId="61" builtinId="8" hidden="1"/>
    <cellStyle name="Hipervínculo" xfId="57" builtinId="8" hidden="1"/>
    <cellStyle name="Hipervínculo" xfId="45" builtinId="8" hidden="1"/>
    <cellStyle name="Hipervínculo" xfId="39" builtinId="8" hidden="1"/>
    <cellStyle name="Hipervínculo" xfId="65" builtinId="8" hidden="1"/>
    <cellStyle name="Hipervínculo" xfId="59" builtinId="8" hidden="1"/>
    <cellStyle name="Hipervínculo" xfId="13" builtinId="8" hidden="1"/>
    <cellStyle name="Hipervínculo" xfId="49" builtinId="8" hidden="1"/>
    <cellStyle name="Hipervínculo" xfId="53" builtinId="8" hidden="1"/>
    <cellStyle name="Hipervínculo" xfId="19" builtinId="8" hidden="1"/>
    <cellStyle name="Hipervínculo" xfId="29" builtinId="8" hidden="1"/>
    <cellStyle name="Hipervínculo" xfId="71" builtinId="8" hidden="1"/>
    <cellStyle name="Hipervínculo visitado" xfId="46" builtinId="9" hidden="1"/>
    <cellStyle name="Hipervínculo visitado" xfId="72" builtinId="9" hidden="1"/>
    <cellStyle name="Hipervínculo visitado" xfId="34" builtinId="9" hidden="1"/>
    <cellStyle name="Hipervínculo visitado" xfId="14" builtinId="9" hidden="1"/>
    <cellStyle name="Hipervínculo visitado" xfId="58" builtinId="9" hidden="1"/>
    <cellStyle name="Hipervínculo visitado" xfId="40" builtinId="9" hidden="1"/>
    <cellStyle name="Hipervínculo visitado" xfId="20" builtinId="9" hidden="1"/>
    <cellStyle name="Hipervínculo visitado" xfId="64" builtinId="9" hidden="1"/>
    <cellStyle name="Hipervínculo visitado" xfId="30" builtinId="9" hidden="1"/>
    <cellStyle name="Hipervínculo visitado" xfId="10" builtinId="9" hidden="1"/>
    <cellStyle name="Hipervínculo visitado" xfId="48" builtinId="9" hidden="1"/>
    <cellStyle name="Hipervínculo visitado" xfId="12" builtinId="9" hidden="1"/>
    <cellStyle name="Hipervínculo visitado" xfId="70" builtinId="9" hidden="1"/>
    <cellStyle name="Hipervínculo visitado" xfId="52" builtinId="9" hidden="1"/>
    <cellStyle name="Hipervínculo visitado" xfId="66" builtinId="9" hidden="1"/>
    <cellStyle name="Hipervínculo visitado" xfId="22" builtinId="9" hidden="1"/>
    <cellStyle name="Hipervínculo visitado" xfId="26" builtinId="9" hidden="1"/>
    <cellStyle name="Hipervínculo visitado" xfId="62" builtinId="9" hidden="1"/>
    <cellStyle name="Hipervínculo visitado" xfId="32" builtinId="9" hidden="1"/>
    <cellStyle name="Hipervínculo visitado" xfId="16" builtinId="9" hidden="1"/>
    <cellStyle name="Hipervínculo visitado" xfId="38" builtinId="9" hidden="1"/>
    <cellStyle name="Hipervínculo visitado" xfId="56" builtinId="9" hidden="1"/>
    <cellStyle name="Hipervínculo visitado" xfId="42" builtinId="9" hidden="1"/>
    <cellStyle name="Hipervínculo visitado" xfId="8" builtinId="9" hidden="1"/>
    <cellStyle name="Hipervínculo visitado" xfId="28" builtinId="9" hidden="1"/>
    <cellStyle name="Hipervínculo visitado" xfId="44" builtinId="9" hidden="1"/>
    <cellStyle name="Hipervínculo visitado" xfId="60" builtinId="9" hidden="1"/>
    <cellStyle name="Hipervínculo visitado" xfId="18" builtinId="9" hidden="1"/>
    <cellStyle name="Hipervínculo visitado" xfId="36" builtinId="9" hidden="1"/>
    <cellStyle name="Hipervínculo visitado" xfId="54" builtinId="9" hidden="1"/>
    <cellStyle name="Hipervínculo visitado" xfId="68" builtinId="9" hidden="1"/>
    <cellStyle name="Hipervínculo visitado" xfId="24" builtinId="9" hidden="1"/>
    <cellStyle name="Hipervínculo visitado" xfId="50" builtinId="9" hidden="1"/>
    <cellStyle name="Millares" xfId="1" builtinId="3"/>
    <cellStyle name="Millares 2" xfId="4" xr:uid="{00000000-0005-0000-0000-000043000000}"/>
    <cellStyle name="Millares 3" xfId="74" xr:uid="{00000000-0005-0000-0000-000044000000}"/>
    <cellStyle name="Moneda" xfId="76" builtinId="4"/>
    <cellStyle name="Moneda [0] 2" xfId="3" xr:uid="{00000000-0005-0000-0000-000045000000}"/>
    <cellStyle name="Moneda 2" xfId="6" xr:uid="{00000000-0005-0000-0000-000046000000}"/>
    <cellStyle name="Moneda 3" xfId="73" xr:uid="{00000000-0005-0000-0000-000047000000}"/>
    <cellStyle name="Normal" xfId="0" builtinId="0"/>
    <cellStyle name="Normal 2" xfId="75" xr:uid="{00000000-0005-0000-0000-000049000000}"/>
    <cellStyle name="Porcentaje" xfId="2" builtinId="5"/>
    <cellStyle name="Porcentual 2" xfId="5" xr:uid="{00000000-0005-0000-0000-00004B000000}"/>
  </cellStyles>
  <dxfs count="3828"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rgb="FFA0CA4A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numFmt numFmtId="14" formatCode="0.00%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rgb="FFA0CA4A"/>
        </patternFill>
      </fill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indent="0" justifyLastLine="0" shrinkToFit="0" readingOrder="0"/>
    </dxf>
    <dxf>
      <border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rgb="FFA0CA4A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/>
        <bottom/>
        <vertical style="thin">
          <color theme="0" tint="-0.1499374370555742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rgb="FFA0CA4A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top style="thin">
          <color theme="0" tint="-0.14996795556505021"/>
        </top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rgb="FFA0CA4A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rgb="FFA0CA4A"/>
        </patternFill>
      </fill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74" formatCode="#,##0_);[Red]\(#,##0\)"/>
      <fill>
        <patternFill patternType="none">
          <bgColor auto="1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fill>
        <patternFill patternType="none">
          <bgColor auto="1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fill>
        <patternFill patternType="none">
          <bgColor auto="1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fill>
        <patternFill patternType="none">
          <bgColor auto="1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fill>
        <patternFill patternType="none">
          <bgColor auto="1"/>
        </patternFill>
      </fill>
      <alignment horizontal="center" vertical="top" textRotation="0" wrapText="0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10"/>
      </font>
    </dxf>
    <dxf>
      <font>
        <sz val="9"/>
      </font>
    </dxf>
    <dxf>
      <font>
        <sz val="10"/>
      </font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</border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sz val="8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9"/>
      </font>
    </dxf>
    <dxf>
      <font>
        <sz val="9"/>
      </font>
    </dxf>
    <dxf>
      <font>
        <sz val="9"/>
      </font>
    </dxf>
    <dxf>
      <font>
        <sz val="8"/>
      </font>
    </dxf>
    <dxf>
      <font>
        <sz val="8"/>
      </font>
    </dxf>
    <dxf>
      <font>
        <sz val="8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color theme="0"/>
      </font>
      <numFmt numFmtId="171" formatCode="0.0%"/>
      <fill>
        <patternFill patternType="solid">
          <fgColor indexed="64"/>
          <bgColor rgb="FF009999"/>
        </patternFill>
      </fill>
      <alignment wrapText="1"/>
    </dxf>
    <dxf>
      <numFmt numFmtId="171" formatCode="0.0%"/>
    </dxf>
    <dxf>
      <font>
        <b/>
        <color theme="0"/>
      </font>
      <fill>
        <patternFill patternType="solid">
          <fgColor indexed="64"/>
          <bgColor rgb="FF009999"/>
        </patternFill>
      </fill>
      <alignment wrapText="1"/>
    </dxf>
    <dxf>
      <font>
        <color auto="1"/>
      </font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</dxf>
    <dxf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rgb="FFFFFF00"/>
        </patternFill>
      </fill>
    </dxf>
    <dxf>
      <font>
        <color auto="1"/>
      </font>
      <fill>
        <patternFill patternType="solid">
          <fgColor indexed="64"/>
          <bgColor rgb="FFFFFF00"/>
        </patternFill>
      </fill>
    </dxf>
    <dxf>
      <font>
        <color auto="1"/>
      </font>
      <fill>
        <patternFill patternType="solid">
          <fgColor indexed="64"/>
          <bgColor rgb="FFFFFF00"/>
        </patternFill>
      </fill>
    </dxf>
    <dxf>
      <font>
        <color auto="1"/>
      </font>
      <fill>
        <patternFill patternType="solid">
          <fgColor indexed="64"/>
          <bgColor rgb="FFFFFF00"/>
        </patternFill>
      </fill>
    </dxf>
    <dxf>
      <font>
        <color auto="1"/>
      </font>
      <fill>
        <patternFill patternType="solid">
          <fgColor indexed="64"/>
          <bgColor rgb="FFFFFF00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ont>
        <color theme="0"/>
      </font>
      <fill>
        <patternFill patternType="solid">
          <fgColor indexed="64"/>
          <bgColor rgb="FF00B050"/>
        </patternFill>
      </fill>
    </dxf>
    <dxf>
      <font>
        <color theme="0"/>
      </font>
      <fill>
        <patternFill patternType="solid">
          <fgColor indexed="64"/>
          <bgColor rgb="FF00B050"/>
        </patternFill>
      </fill>
    </dxf>
    <dxf>
      <font>
        <color theme="0"/>
      </font>
      <fill>
        <patternFill patternType="solid">
          <fgColor indexed="64"/>
          <bgColor rgb="FF00B050"/>
        </patternFill>
      </fill>
    </dxf>
    <dxf>
      <font>
        <color theme="0"/>
      </font>
      <fill>
        <patternFill patternType="solid">
          <fgColor indexed="64"/>
          <bgColor rgb="FF00B050"/>
        </patternFill>
      </fill>
    </dxf>
    <dxf>
      <font>
        <color theme="0"/>
      </font>
      <fill>
        <patternFill patternType="solid">
          <fgColor indexed="64"/>
          <bgColor rgb="FF00B050"/>
        </patternFill>
      </fill>
    </dxf>
    <dxf>
      <font>
        <color theme="0"/>
      </font>
      <fill>
        <patternFill patternType="solid">
          <fgColor indexed="64"/>
          <bgColor rgb="FF00B050"/>
        </patternFill>
      </fill>
    </dxf>
    <dxf>
      <font>
        <color theme="0"/>
      </font>
      <fill>
        <patternFill patternType="solid">
          <fgColor indexed="64"/>
          <bgColor rgb="FF00B050"/>
        </patternFill>
      </fill>
    </dxf>
    <dxf>
      <font>
        <color theme="0"/>
      </font>
      <fill>
        <patternFill patternType="solid">
          <fgColor indexed="64"/>
          <bgColor rgb="FF00B050"/>
        </patternFill>
      </fill>
    </dxf>
    <dxf>
      <font>
        <color theme="0"/>
      </font>
      <fill>
        <patternFill patternType="solid">
          <fgColor indexed="64"/>
          <bgColor rgb="FF00B050"/>
        </patternFill>
      </fill>
    </dxf>
    <dxf>
      <font>
        <color theme="0"/>
      </font>
      <fill>
        <patternFill patternType="solid">
          <fgColor indexed="64"/>
          <bgColor rgb="FF00B050"/>
        </patternFill>
      </fill>
    </dxf>
    <dxf>
      <font>
        <color theme="0"/>
      </font>
      <fill>
        <patternFill patternType="solid">
          <fgColor indexed="64"/>
          <bgColor rgb="FF00B050"/>
        </patternFill>
      </fill>
    </dxf>
    <dxf>
      <font>
        <color theme="0"/>
      </font>
      <fill>
        <patternFill patternType="solid">
          <fgColor indexed="64"/>
          <bgColor rgb="FF00B050"/>
        </patternFill>
      </fill>
    </dxf>
    <dxf>
      <font>
        <color theme="0"/>
      </font>
      <fill>
        <patternFill patternType="solid">
          <fgColor indexed="64"/>
          <bgColor rgb="FF00B050"/>
        </patternFill>
      </fill>
    </dxf>
    <dxf>
      <font>
        <color theme="0"/>
      </font>
      <fill>
        <patternFill patternType="solid">
          <fgColor indexed="64"/>
          <bgColor rgb="FF00B050"/>
        </patternFill>
      </fill>
    </dxf>
    <dxf>
      <font>
        <color theme="0"/>
      </font>
      <fill>
        <patternFill patternType="solid">
          <fgColor indexed="64"/>
          <bgColor rgb="FF00B050"/>
        </patternFill>
      </fill>
    </dxf>
    <dxf>
      <font>
        <color theme="0"/>
      </font>
      <fill>
        <patternFill patternType="solid">
          <fgColor indexed="64"/>
          <bgColor rgb="FF00B050"/>
        </patternFill>
      </fill>
    </dxf>
    <dxf>
      <font>
        <color theme="0"/>
      </font>
    </dxf>
    <dxf>
      <fill>
        <patternFill patternType="solid">
          <bgColor rgb="FF00B050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</dxf>
    <dxf>
      <fill>
        <patternFill patternType="solid">
          <bgColor theme="3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8" tint="-0.249977111117893"/>
        </patternFill>
      </fill>
    </dxf>
    <dxf>
      <fill>
        <patternFill patternType="solid">
          <bgColor theme="8" tint="-0.249977111117893"/>
        </patternFill>
      </fill>
    </dxf>
    <dxf>
      <fill>
        <patternFill patternType="solid">
          <bgColor theme="8" tint="-0.249977111117893"/>
        </patternFill>
      </fill>
    </dxf>
    <dxf>
      <fill>
        <patternFill patternType="solid">
          <bgColor theme="8" tint="-0.249977111117893"/>
        </patternFill>
      </fill>
    </dxf>
    <dxf>
      <fill>
        <patternFill patternType="solid">
          <bgColor theme="8" tint="-0.249977111117893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bgColor rgb="FF009999"/>
        </patternFill>
      </fill>
    </dxf>
    <dxf>
      <fill>
        <patternFill patternType="solid">
          <bgColor rgb="FF009999"/>
        </patternFill>
      </fill>
    </dxf>
    <dxf>
      <fill>
        <patternFill patternType="solid">
          <bgColor rgb="FF009999"/>
        </patternFill>
      </fill>
    </dxf>
    <dxf>
      <fill>
        <patternFill patternType="solid">
          <bgColor rgb="FF009999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horizontal="center"/>
    </dxf>
    <dxf>
      <alignment wrapText="1"/>
    </dxf>
    <dxf>
      <numFmt numFmtId="171" formatCode="0.0%"/>
    </dxf>
    <dxf>
      <numFmt numFmtId="171" formatCode="0.0%"/>
    </dxf>
    <dxf>
      <numFmt numFmtId="171" formatCode="0.0%"/>
    </dxf>
    <dxf>
      <numFmt numFmtId="171" formatCode="0.0%"/>
    </dxf>
    <dxf>
      <numFmt numFmtId="171" formatCode="0.0%"/>
    </dxf>
    <dxf>
      <numFmt numFmtId="171" formatCode="0.0%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vertical="center" textRotation="0" wrapText="0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170" formatCode="_(* #,##0.0000_);_(* \(#,##0.0000\);_(* &quot;-&quot;??_);_(@_)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4" formatCode="0.00%"/>
      <alignment horizontal="center" vertical="center" textRotation="0" wrapText="0" indent="0" justifyLastLine="0" shrinkToFit="0" readingOrder="0"/>
      <border outline="0">
        <right style="thin">
          <color theme="0" tint="-0.1499679555650502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9" formatCode="#,##0_);\(#,##0\)"/>
      <alignment horizontal="center" vertical="center" textRotation="0" wrapText="0" indent="0" justifyLastLine="0" shrinkToFit="0" readingOrder="0"/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170" formatCode="_(* #,##0.0000_);_(* \(#,##0.0000\);_(* &quot;-&quot;??_);_(@_)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79" formatCode="#,##0_);\(#,##0\)"/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 val="0"/>
        <i val="0"/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174" formatCode="#,##0_);[Red]\(#,##0\)"/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scheme val="none"/>
      </font>
      <numFmt numFmtId="3" formatCode="#,##0"/>
      <fill>
        <patternFill patternType="solid">
          <fgColor indexed="64"/>
          <bgColor theme="0" tint="-0.34998626667073579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0"/>
        <name val="Arial"/>
        <scheme val="none"/>
      </font>
      <numFmt numFmtId="174" formatCode="#,##0_);[Red]\(#,##0\)"/>
      <fill>
        <patternFill patternType="solid">
          <fgColor indexed="64"/>
          <bgColor theme="0" tint="-0.34998626667073579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174" formatCode="#,##0_);[Red]\(#,##0\)"/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174" formatCode="#,##0_);[Red]\(#,##0\)"/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174" formatCode="#,##0_);[Red]\(#,##0\)"/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174" formatCode="#,##0_);[Red]\(#,##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0"/>
        <name val="Arial"/>
        <scheme val="none"/>
      </font>
      <numFmt numFmtId="174" formatCode="#,##0_);[Red]\(#,##0\)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0"/>
        <name val="Arial"/>
        <scheme val="none"/>
      </font>
      <numFmt numFmtId="174" formatCode="#,##0_);[Red]\(#,##0\)"/>
      <fill>
        <patternFill patternType="solid">
          <fgColor indexed="64"/>
          <bgColor theme="0" tint="-0.34998626667073579"/>
        </patternFill>
      </fill>
      <alignment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0"/>
        <name val="Arial"/>
        <scheme val="none"/>
      </font>
      <numFmt numFmtId="174" formatCode="#,##0_);[Red]\(#,##0\)"/>
      <fill>
        <patternFill patternType="solid">
          <fgColor indexed="64"/>
          <bgColor theme="0" tint="-0.34998626667073579"/>
        </patternFill>
      </fill>
      <alignment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0"/>
        <name val="Arial"/>
        <scheme val="none"/>
      </font>
      <numFmt numFmtId="174" formatCode="#,##0_);[Red]\(#,##0\)"/>
      <fill>
        <patternFill patternType="solid">
          <fgColor indexed="64"/>
          <bgColor theme="0" tint="-0.34998626667073579"/>
        </patternFill>
      </fill>
      <alignment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0"/>
        <name val="Arial"/>
        <scheme val="none"/>
      </font>
      <numFmt numFmtId="174" formatCode="#,##0_);[Red]\(#,##0\)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0"/>
        <name val="Arial"/>
        <scheme val="none"/>
      </font>
      <numFmt numFmtId="174" formatCode="#,##0_);[Red]\(#,##0\)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0"/>
        <name val="Arial"/>
        <scheme val="none"/>
      </font>
      <numFmt numFmtId="174" formatCode="#,##0_);[Red]\(#,##0\)"/>
      <fill>
        <patternFill patternType="solid">
          <fgColor indexed="64"/>
          <bgColor theme="0" tint="-0.34998626667073579"/>
        </patternFill>
      </fill>
      <alignment horizontal="center" vertical="center" textRotation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0"/>
        <name val="Arial"/>
        <scheme val="none"/>
      </font>
      <numFmt numFmtId="6" formatCode="#,##0;[Red]\-#,##0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Wingdings"/>
        <scheme val="none"/>
      </font>
      <numFmt numFmtId="168" formatCode="[=1]&quot;ü&quot;;[=0]&quot;û&quot;;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Wingdings"/>
        <scheme val="none"/>
      </font>
      <numFmt numFmtId="168" formatCode="[=1]&quot;ü&quot;;[=0]&quot;û&quot;;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Wingdings"/>
        <scheme val="none"/>
      </font>
      <numFmt numFmtId="168" formatCode="[=1]&quot;ü&quot;;[=0]&quot;û&quot;;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0"/>
        <name val="Arial"/>
        <scheme val="none"/>
      </font>
      <numFmt numFmtId="174" formatCode="#,##0_);[Red]\(#,##0\)"/>
      <fill>
        <patternFill patternType="solid">
          <fgColor indexed="64"/>
          <bgColor theme="0" tint="-0.34998626667073579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174" formatCode="#,##0_);[Red]\(#,##0\)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174" formatCode="#,##0_);[Red]\(#,##0\)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174" formatCode="#,##0_);[Red]\(#,##0\)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0"/>
        <name val="Arial"/>
        <scheme val="none"/>
      </font>
      <numFmt numFmtId="175" formatCode="#,##0.00_);[Red]\(#,##0.00\)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0"/>
        <name val="Arial"/>
        <scheme val="none"/>
      </font>
      <numFmt numFmtId="14" formatCode="0.00%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174" formatCode="#,##0_);[Red]\(#,##0\)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174" formatCode="#,##0_);[Red]\(#,##0\)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174" formatCode="#,##0_);[Red]\(#,##0\)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174" formatCode="#,##0_);[Red]\(#,##0\)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0"/>
        <name val="Arial"/>
        <scheme val="none"/>
      </font>
      <numFmt numFmtId="174" formatCode="#,##0_);[Red]\(#,##0\)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0"/>
        <name val="Arial"/>
        <scheme val="none"/>
      </font>
      <numFmt numFmtId="174" formatCode="#,##0_);[Red]\(#,##0\)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174" formatCode="#,##0_);[Red]\(#,##0\)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174" formatCode="#,##0_);[Red]\(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174" formatCode="#,##0_);[Red]\(#,##0\)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Arial"/>
        <scheme val="none"/>
      </font>
      <numFmt numFmtId="174" formatCode="#,##0_);[Red]\(#,##0\)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174" formatCode="#,##0_);[Red]\(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174" formatCode="#,##0_);[Red]\(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174" formatCode="#,##0_);[Red]\(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174" formatCode="#,##0_);[Red]\(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0"/>
        <name val="Arial"/>
        <scheme val="none"/>
      </font>
      <numFmt numFmtId="174" formatCode="#,##0_);[Red]\(#,##0\)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9"/>
        <color theme="1" tint="0.249977111117893"/>
        <name val="Arial"/>
        <scheme val="none"/>
      </font>
      <alignment vertical="center" textRotation="0" indent="0" justifyLastLine="0" shrinkToFit="0" readingOrder="0"/>
    </dxf>
    <dxf>
      <border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scheme val="none"/>
      </font>
      <fill>
        <patternFill patternType="solid">
          <fgColor theme="4"/>
          <bgColor rgb="FF7FBC2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color rgb="FF009E47"/>
      </font>
    </dxf>
    <dxf>
      <font>
        <color rgb="FFFF0000"/>
      </font>
    </dxf>
    <dxf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74" formatCode="#,##0_);[Red]\(#,##0\)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74" formatCode="#,##0_);[Red]\(#,##0\)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74" formatCode="#,##0_);[Red]\(#,##0\)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74" formatCode="#,##0_);[Red]\(#,##0\)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74" formatCode="#,##0_);[Red]\(#,##0\)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74" formatCode="#,##0_);[Red]\(#,##0\)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4" formatCode="0.00%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74" formatCode="#,##0_);[Red]\(#,##0\)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4" formatCode="0.00%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74" formatCode="#,##0_);[Red]\(#,##0\)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4" formatCode="0.00%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4" formatCode="0.00%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4" formatCode="0.00%"/>
      <fill>
        <patternFill patternType="none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4" formatCode="0.00%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4" formatCode="0.00%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4" formatCode="0.00%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numFmt numFmtId="14" formatCode="0.0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numFmt numFmtId="6" formatCode="#,##0;[Red]\-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4" formatCode="0.00%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4" formatCode="0.00%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4" formatCode="0.00%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4" formatCode="0.00%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4" formatCode="0.00%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4" formatCode="0.00%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4" formatCode="0.00%"/>
      <fill>
        <patternFill patternType="none">
          <fgColor indexed="64"/>
          <bgColor theme="0" tint="-0.249977111117893"/>
        </patternFill>
      </fill>
      <alignment horizontal="center" vertical="center" textRotation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 patternType="none">
          <fgColor indexed="64"/>
          <bgColor theme="0" tint="-0.249977111117893"/>
        </patternFill>
      </fill>
      <alignment horizontal="center" vertical="center" textRotation="0" indent="0" justifyLastLine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4" formatCode="0.00%"/>
      <fill>
        <patternFill patternType="none">
          <fgColor indexed="64"/>
          <bgColor theme="0" tint="-0.249977111117893"/>
        </patternFill>
      </fill>
      <alignment horizontal="center" vertical="center" textRotation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 patternType="none">
          <fgColor indexed="64"/>
          <bgColor theme="0" tint="-0.249977111117893"/>
        </patternFill>
      </fill>
      <alignment horizontal="center" vertical="center" textRotation="0" indent="0" justifyLastLine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4" formatCode="0.00%"/>
      <fill>
        <patternFill patternType="none">
          <fgColor indexed="64"/>
          <bgColor theme="0" tint="-0.249977111117893"/>
        </patternFill>
      </fill>
      <alignment horizontal="center" vertical="center" textRotation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 patternType="none">
          <fgColor indexed="64"/>
          <bgColor theme="0" tint="-0.249977111117893"/>
        </patternFill>
      </fill>
      <alignment horizontal="center" vertical="center" textRotation="0" indent="0" justifyLastLine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4" formatCode="0.0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4" formatCode="0.0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77" formatCode="#,##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3743705557422"/>
        </bottom>
        <vertical/>
        <horizontal/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77" formatCode="#,##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77" formatCode="#,##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4" formatCode="0.00%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74" formatCode="#,##0_);[Red]\(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 patternType="solid">
          <fgColor indexed="64"/>
          <bgColor theme="0" tint="-0.249977111117893"/>
        </patternFill>
      </fill>
      <alignment horizontal="center" vertical="center" textRotation="0" indent="0" justifyLastLine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4" formatCode="0.00%"/>
      <alignment horizontal="center" vertical="center" textRotation="0" indent="0" justifyLastLine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64" formatCode="_(* #,##0.00_);_(* \(#,##0.00\);_(* &quot;-&quot;??_);_(@_)"/>
      <alignment horizontal="center" vertical="center" textRotation="0" indent="0" justifyLastLine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2" formatCode="0.00"/>
      <alignment horizontal="center" vertical="center" textRotation="0" indent="0" justifyLastLine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 patternType="solid">
          <fgColor indexed="64"/>
          <bgColor theme="0" tint="-0.249977111117893"/>
        </patternFill>
      </fill>
      <alignment horizontal="center" vertical="center" textRotation="0" indent="0" justifyLastLine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 patternType="solid">
          <fgColor indexed="64"/>
          <bgColor theme="0" tint="-0.249977111117893"/>
        </patternFill>
      </fill>
      <alignment horizontal="center" vertical="center" textRotation="0" indent="0" justifyLastLine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 patternType="solid">
          <fgColor indexed="64"/>
          <bgColor theme="0" tint="-0.249977111117893"/>
        </patternFill>
      </fill>
      <alignment horizontal="center" vertical="center" textRotation="0" indent="0" justifyLastLine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6" formatCode="#,##0;[Red]\-#,##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74" formatCode="#,##0_);[Red]\(#,##0\)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74" formatCode="#,##0_);[Red]\(#,##0\)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6" formatCode="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74" formatCode="#,##0_);[Red]\(#,##0\)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74" formatCode="#,##0_);[Red]\(#,##0\)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indent="0" justifyLastLine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indent="0" justifyLastLine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indent="0" justifyLastLine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74" formatCode="#,##0_);[Red]\(#,##0\)"/>
      <fill>
        <patternFill patternType="solid">
          <fgColor indexed="64"/>
          <bgColor theme="0" tint="-0.249977111117893"/>
        </patternFill>
      </fill>
      <alignment horizontal="center" vertical="center" textRotation="0" indent="0" justifyLastLine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74" formatCode="#,##0_);[Red]\(#,##0\)"/>
      <fill>
        <patternFill patternType="solid">
          <fgColor indexed="64"/>
          <bgColor theme="0" tint="-0.249977111117893"/>
        </patternFill>
      </fill>
      <alignment horizontal="center" vertical="center" textRotation="0" indent="0" justifyLastLine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77111117893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69" formatCode="m/d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77111117893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69" formatCode="m/d/yyyy"/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84" formatCode="dd/mm/yyyy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84" formatCode="dd/mm/yyyy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77111117893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77111117893"/>
        <name val="Arial"/>
        <scheme val="none"/>
      </font>
      <numFmt numFmtId="1" formatCode="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scheme val="none"/>
      </font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vertical="center" textRotation="0" wrapText="1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/>
      </border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numFmt numFmtId="13" formatCode="0%"/>
    </dxf>
    <dxf>
      <numFmt numFmtId="183" formatCode="#,000,"/>
    </dxf>
    <dxf>
      <numFmt numFmtId="183" formatCode="#,000,"/>
    </dxf>
    <dxf>
      <numFmt numFmtId="183" formatCode="#,000,"/>
    </dxf>
    <dxf>
      <numFmt numFmtId="13" formatCode="0%"/>
    </dxf>
    <dxf>
      <numFmt numFmtId="13" formatCode="0%"/>
    </dxf>
    <dxf>
      <numFmt numFmtId="13" formatCode="0%"/>
    </dxf>
    <dxf>
      <numFmt numFmtId="183" formatCode="#,000,"/>
    </dxf>
    <dxf>
      <fill>
        <patternFill>
          <bgColor theme="0" tint="-0.14999847407452621"/>
        </patternFill>
      </fill>
    </dxf>
    <dxf>
      <font>
        <sz val="9"/>
      </font>
    </dxf>
    <dxf>
      <numFmt numFmtId="183" formatCode="#,000,"/>
    </dxf>
    <dxf>
      <numFmt numFmtId="183" formatCode="#,000,"/>
    </dxf>
    <dxf>
      <numFmt numFmtId="183" formatCode="#,000,"/>
    </dxf>
    <dxf>
      <font>
        <b/>
      </font>
      <fill>
        <patternFill patternType="solid">
          <fgColor indexed="64"/>
          <bgColor rgb="FFA0CA4A"/>
        </patternFill>
      </fill>
      <alignment wrapText="1"/>
    </dxf>
    <dxf>
      <font>
        <b/>
        <sz val="9"/>
      </font>
      <numFmt numFmtId="5" formatCode="#,##0;\-#,##0"/>
      <fill>
        <patternFill patternType="solid">
          <fgColor indexed="64"/>
          <bgColor rgb="FFA0CA4A"/>
        </patternFill>
      </fill>
    </dxf>
    <dxf>
      <alignment wrapText="1"/>
    </dxf>
    <dxf>
      <numFmt numFmtId="183" formatCode="#,000,"/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numFmt numFmtId="5" formatCode="#,##0;\-#,##0"/>
    </dxf>
    <dxf>
      <numFmt numFmtId="5" formatCode="#,##0;\-#,##0"/>
    </dxf>
    <dxf>
      <numFmt numFmtId="5" formatCode="#,##0;\-#,##0"/>
    </dxf>
    <dxf>
      <numFmt numFmtId="5" formatCode="#,##0;\-#,##0"/>
    </dxf>
    <dxf>
      <numFmt numFmtId="5" formatCode="#,##0;\-#,##0"/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numFmt numFmtId="13" formatCode="0%"/>
    </dxf>
    <dxf>
      <numFmt numFmtId="13" formatCode="0%"/>
    </dxf>
    <dxf>
      <numFmt numFmtId="13" formatCode="0%"/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ill>
        <patternFill patternType="none">
          <bgColor auto="1"/>
        </patternFill>
      </fill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color theme="1" tint="0.34998626667073579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</border>
    </dxf>
    <dxf>
      <fill>
        <patternFill patternType="solid">
          <bgColor rgb="FFA0CA4A"/>
        </patternFill>
      </fill>
    </dxf>
    <dxf>
      <fill>
        <patternFill patternType="solid">
          <bgColor rgb="FFA0CA4A"/>
        </patternFill>
      </fill>
    </dxf>
    <dxf>
      <fill>
        <patternFill patternType="solid">
          <bgColor rgb="FFA0CA4A"/>
        </patternFill>
      </fill>
    </dxf>
    <dxf>
      <fill>
        <patternFill patternType="solid">
          <bgColor rgb="FFA0CA4A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none">
          <bgColor auto="1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ont>
        <color rgb="FFFFFF00"/>
      </font>
    </dxf>
    <dxf>
      <fill>
        <patternFill patternType="solid">
          <bgColor rgb="FFFFFF00"/>
        </patternFill>
      </fill>
    </dxf>
    <dxf>
      <font>
        <color rgb="FF00B050"/>
      </font>
    </dxf>
    <dxf>
      <fill>
        <patternFill patternType="solid">
          <bgColor rgb="FF00B050"/>
        </patternFill>
      </fill>
    </dxf>
    <dxf>
      <font>
        <color rgb="FF00B05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B050"/>
      </font>
    </dxf>
    <dxf>
      <fill>
        <patternFill>
          <bgColor rgb="FF00B050"/>
        </patternFill>
      </fill>
    </dxf>
    <dxf>
      <font>
        <color rgb="FF00B050"/>
      </font>
    </dxf>
    <dxf>
      <fill>
        <patternFill>
          <bgColor rgb="FF00B050"/>
        </patternFill>
      </fill>
    </dxf>
    <dxf>
      <font>
        <color rgb="FF00B050"/>
      </font>
    </dxf>
    <dxf>
      <fill>
        <patternFill>
          <bgColor rgb="FF00B050"/>
        </patternFill>
      </fill>
    </dxf>
    <dxf>
      <font>
        <color rgb="FF00B050"/>
      </font>
    </dxf>
    <dxf>
      <fill>
        <patternFill>
          <bgColor rgb="FF00B050"/>
        </patternFill>
      </fill>
    </dxf>
    <dxf>
      <font>
        <color rgb="FF00B050"/>
      </font>
    </dxf>
    <dxf>
      <font>
        <color rgb="FF00B05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ont>
        <color rgb="FFFFFF00"/>
      </font>
    </dxf>
    <dxf>
      <fill>
        <patternFill>
          <bgColor rgb="FFFFFF00"/>
        </patternFill>
      </fill>
    </dxf>
    <dxf>
      <font>
        <color rgb="FFFFFF00"/>
      </font>
    </dxf>
    <dxf>
      <font>
        <color rgb="FFFFFF00"/>
      </font>
    </dxf>
    <dxf>
      <font>
        <color rgb="FFFFFF00"/>
      </font>
    </dxf>
    <dxf>
      <font>
        <color rgb="FFFFFF00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FF00"/>
      </font>
    </dxf>
    <dxf>
      <font>
        <color rgb="FFFFFF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00"/>
      </font>
    </dxf>
    <dxf>
      <font>
        <color rgb="FFFFFF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00"/>
      </font>
    </dxf>
    <dxf>
      <font>
        <color rgb="FFFFFF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00"/>
      </font>
    </dxf>
    <dxf>
      <fill>
        <patternFill patternType="solid">
          <bgColor rgb="FFFFFF00"/>
        </patternFill>
      </fill>
    </dxf>
    <dxf>
      <font>
        <color rgb="FFFFFF00"/>
      </font>
    </dxf>
    <dxf>
      <font>
        <color rgb="FFFFFF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00"/>
      </font>
    </dxf>
    <dxf>
      <font>
        <color rgb="FFFFFF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00"/>
      </font>
    </dxf>
    <dxf>
      <fill>
        <patternFill>
          <bgColor rgb="FFFFFF00"/>
        </patternFill>
      </fill>
    </dxf>
    <dxf>
      <font>
        <color rgb="FFFFFF00"/>
      </font>
    </dxf>
    <dxf>
      <fill>
        <patternFill patternType="solid">
          <bgColor rgb="FFFFFF00"/>
        </patternFill>
      </fill>
    </dxf>
    <dxf>
      <font>
        <color rgb="FFFFFF00"/>
      </font>
    </dxf>
    <dxf>
      <fill>
        <patternFill patternType="solid">
          <bgColor rgb="FFFFFF00"/>
        </patternFill>
      </fill>
    </dxf>
    <dxf>
      <font>
        <color rgb="FFFFFF00"/>
      </font>
    </dxf>
    <dxf>
      <fill>
        <patternFill patternType="solid">
          <bgColor rgb="FFFFFF00"/>
        </patternFill>
      </fill>
    </dxf>
    <dxf>
      <font>
        <color rgb="FFFFFF00"/>
      </font>
    </dxf>
    <dxf>
      <fill>
        <patternFill patternType="solid">
          <bgColor rgb="FFFFFF00"/>
        </patternFill>
      </fill>
    </dxf>
    <dxf>
      <font>
        <color rgb="FFFFFF00"/>
      </font>
    </dxf>
    <dxf>
      <fill>
        <patternFill>
          <bgColor rgb="FFFFFF00"/>
        </patternFill>
      </fill>
    </dxf>
    <dxf>
      <font>
        <color rgb="FFFFFF00"/>
      </font>
    </dxf>
    <dxf>
      <fill>
        <patternFill>
          <bgColor rgb="FFFFFF00"/>
        </patternFill>
      </fill>
    </dxf>
    <dxf>
      <font>
        <color rgb="FFFFFF00"/>
      </font>
    </dxf>
    <dxf>
      <font>
        <color rgb="FFFFFF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00"/>
      </font>
    </dxf>
    <dxf>
      <fill>
        <patternFill patternType="solid">
          <bgColor rgb="FFFFFF00"/>
        </patternFill>
      </fill>
    </dxf>
    <dxf>
      <font>
        <color rgb="FFFFFF00"/>
      </font>
    </dxf>
    <dxf>
      <fill>
        <patternFill patternType="solid">
          <bgColor rgb="FFFFFF00"/>
        </patternFill>
      </fill>
    </dxf>
    <dxf>
      <font>
        <color rgb="FFFFFF00"/>
      </font>
    </dxf>
    <dxf>
      <fill>
        <patternFill>
          <bgColor rgb="FFFFFF00"/>
        </patternFill>
      </fill>
    </dxf>
    <dxf>
      <font>
        <color rgb="FFFF0000"/>
      </font>
    </dxf>
    <dxf>
      <fill>
        <patternFill patternType="solid">
          <bgColor rgb="FFFF0000"/>
        </patternFill>
      </fill>
    </dxf>
    <dxf>
      <font>
        <color rgb="FFFF0000"/>
      </font>
    </dxf>
    <dxf>
      <fill>
        <patternFill patternType="solid">
          <bgColor rgb="FFFF000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 patternType="solid">
          <bgColor rgb="FFFF0000"/>
        </patternFill>
      </fill>
    </dxf>
    <dxf>
      <font>
        <color rgb="FFFF0000"/>
      </font>
    </dxf>
    <dxf>
      <fill>
        <patternFill patternType="solid">
          <bgColor rgb="FFFF0000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ont>
        <color rgb="FFFF0000"/>
      </font>
    </dxf>
    <dxf>
      <fill>
        <patternFill patternType="solid"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ill>
        <patternFill patternType="solid"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ill>
        <patternFill patternType="solid"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3"/>
      </font>
    </dxf>
    <dxf>
      <font>
        <color theme="3"/>
      </font>
    </dxf>
    <dxf>
      <font>
        <color theme="3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alignment horizontal="center"/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alignment vertical="center"/>
    </dxf>
    <dxf>
      <alignment vertical="center"/>
    </dxf>
    <dxf>
      <alignment horizontal="center"/>
    </dxf>
    <dxf>
      <numFmt numFmtId="171" formatCode="0.0%"/>
    </dxf>
    <dxf>
      <numFmt numFmtId="171" formatCode="0.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71" formatCode="0.0%"/>
    </dxf>
    <dxf>
      <numFmt numFmtId="171" formatCode="0.0%"/>
    </dxf>
    <dxf>
      <numFmt numFmtId="171" formatCode="0.0%"/>
    </dxf>
    <dxf>
      <numFmt numFmtId="171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general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rgb="FF0098A0"/>
        <name val="Arial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general" vertical="center" textRotation="0" wrapText="1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none"/>
      </font>
      <fill>
        <patternFill>
          <fgColor indexed="64"/>
          <bgColor rgb="FFA0CA4A"/>
        </patternFill>
      </fill>
      <alignment vertical="center" textRotation="0" wrapText="1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 style="thin">
          <color theme="0" tint="-0.499984740745262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rgb="FF0098A0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none"/>
      </font>
      <fill>
        <patternFill>
          <fgColor indexed="64"/>
          <bgColor rgb="FFA0CA4A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 style="thin">
          <color theme="0" tint="-0.499984740745262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1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b/>
        <strike val="0"/>
        <outline val="0"/>
        <shadow val="0"/>
        <u val="none"/>
        <vertAlign val="baseline"/>
        <sz val="12"/>
        <color rgb="FF0098A0"/>
        <name val="Arial"/>
        <scheme val="none"/>
      </font>
      <alignment horizontal="center" vertical="center" textRotation="0" wrapText="1" indent="0" justifyLastLine="0" shrinkToFit="1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b/>
        <strike val="0"/>
        <outline val="0"/>
        <shadow val="0"/>
        <u val="none"/>
        <vertAlign val="baseline"/>
        <sz val="14"/>
        <color rgb="FF0098A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none"/>
      </font>
      <fill>
        <patternFill>
          <fgColor indexed="64"/>
          <bgColor rgb="FFA0CA4A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 style="thin">
          <color theme="0" tint="-0.499984740745262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1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b/>
        <strike val="0"/>
        <outline val="0"/>
        <shadow val="0"/>
        <u val="none"/>
        <vertAlign val="baseline"/>
        <sz val="12"/>
        <color rgb="FF0098A0"/>
        <name val="Arial"/>
        <scheme val="none"/>
      </font>
      <alignment horizontal="center" vertical="center" textRotation="0" wrapText="1" indent="0" justifyLastLine="0" shrinkToFit="1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b/>
        <strike val="0"/>
        <outline val="0"/>
        <shadow val="0"/>
        <u val="none"/>
        <vertAlign val="baseline"/>
        <sz val="14"/>
        <color rgb="FF0098A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none"/>
      </font>
      <fill>
        <patternFill>
          <fgColor indexed="64"/>
          <bgColor rgb="FFA0CA4A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 style="thin">
          <color theme="0" tint="-0.499984740745262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none"/>
      </font>
      <fill>
        <patternFill>
          <fgColor indexed="64"/>
          <bgColor rgb="FFA0CA4A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none"/>
      </font>
      <fill>
        <patternFill>
          <fgColor indexed="64"/>
          <bgColor rgb="FFA0CA4A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1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b/>
        <strike val="0"/>
        <outline val="0"/>
        <shadow val="0"/>
        <u val="none"/>
        <vertAlign val="baseline"/>
        <sz val="12"/>
        <color rgb="FF0098A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b/>
        <strike val="0"/>
        <outline val="0"/>
        <shadow val="0"/>
        <u val="none"/>
        <vertAlign val="baseline"/>
        <sz val="14"/>
        <color rgb="FF0098A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none"/>
      </font>
      <fill>
        <patternFill>
          <fgColor indexed="64"/>
          <bgColor rgb="FFA0CA4A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 style="thin">
          <color theme="0" tint="-0.499984740745262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1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b/>
        <strike val="0"/>
        <outline val="0"/>
        <shadow val="0"/>
        <u val="none"/>
        <vertAlign val="baseline"/>
        <sz val="14"/>
        <color rgb="FF0098A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none"/>
      </font>
      <fill>
        <patternFill>
          <fgColor indexed="64"/>
          <bgColor rgb="FFA0CA4A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 style="thin">
          <color theme="0" tint="-0.499984740745262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b/>
        <strike val="0"/>
        <outline val="0"/>
        <shadow val="0"/>
        <u val="none"/>
        <vertAlign val="baseline"/>
        <sz val="12"/>
        <color rgb="FF0098A0"/>
        <name val="Arial"/>
        <scheme val="none"/>
      </font>
      <alignment horizontal="center" vertical="center" textRotation="0" wrapText="0" indent="0" justifyLastLine="0" shrinkToFit="1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b/>
        <strike val="0"/>
        <outline val="0"/>
        <shadow val="0"/>
        <u val="none"/>
        <vertAlign val="baseline"/>
        <sz val="14"/>
        <color rgb="FF0098A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4"/>
        <color rgb="FF0098A0"/>
        <name val="Arial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none"/>
      </font>
      <fill>
        <patternFill>
          <fgColor indexed="64"/>
          <bgColor rgb="FFA0CA4A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 style="thin">
          <color theme="0" tint="-0.499984740745262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1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b/>
        <strike val="0"/>
        <outline val="0"/>
        <shadow val="0"/>
        <u val="none"/>
        <vertAlign val="baseline"/>
        <sz val="12"/>
        <color rgb="FF0098A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b/>
        <strike val="0"/>
        <outline val="0"/>
        <shadow val="0"/>
        <u val="none"/>
        <vertAlign val="baseline"/>
        <sz val="14"/>
        <color rgb="FF0098A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wrapText="1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none"/>
      </font>
      <fill>
        <patternFill>
          <fgColor indexed="64"/>
          <bgColor rgb="FFA0CA4A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 style="thin">
          <color theme="0" tint="-0.499984740745262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172" formatCode="_(&quot;Millones US &quot;* #,##0.0_);_(&quot;Millones US &quot;* \(#,##0.0\);_(&quot;Millones US &quot;* &quot;-&quot;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172" formatCode="_(&quot;Millones US &quot;* #,##0.0_);_(&quot;Millones US &quot;* \(#,##0.0\);_(&quot;Millones US &quot;* &quot;-&quot;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top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top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top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top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top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top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top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top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top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top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top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top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top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74" formatCode="#,##0_);[Red]\(#,##0\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4" formatCode="0.00%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74" formatCode="#,##0_);[Red]\(#,##0\)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74" formatCode="#,##0_);[Red]\(#,##0\)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74" formatCode="#,##0_);[Red]\(#,##0\)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74" formatCode="#,##0_);[Red]\(#,##0\)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numFmt numFmtId="174" formatCode="#,##0_);[Red]\(#,##0\)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alignment horizontal="center" vertical="center" textRotation="0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rgb="FFA0CA4A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 tint="0.24994659260841701"/>
        <name val="Arial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color theme="1" tint="0.2499465926084170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top style="thin">
          <color theme="0" tint="-0.14996795556505021"/>
        </top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24994659260841701"/>
        <name val="Arial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rgb="FFA0CA4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Arial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</dxfs>
  <tableStyles count="0" defaultTableStyle="TableStyleMedium2" defaultPivotStyle="PivotStyleLight16"/>
  <colors>
    <mruColors>
      <color rgb="FF3C7A56"/>
      <color rgb="FF006A56"/>
      <color rgb="FF146059"/>
      <color rgb="FF689D44"/>
      <color rgb="FF3F80CD"/>
      <color rgb="FFA2C92B"/>
      <color rgb="FF70CDA2"/>
      <color rgb="FF51B99F"/>
      <color rgb="FF0098A0"/>
      <color rgb="FFA0CA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7/relationships/slicerCache" Target="slicerCaches/slicerCache1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pivotCacheDefinition" Target="pivotCache/pivotCacheDefinition1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pivotCacheDefinition" Target="pivotCache/pivotCacheDefinition2.xml"/><Relationship Id="rId62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2.xml"/><Relationship Id="rId6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b="1"/>
              <a:t>Posicionamiento por áreas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'Posicionamiento por área'!$C$9</c:f>
              <c:strCache>
                <c:ptCount val="1"/>
                <c:pt idx="0">
                  <c:v>Sobrepago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'Posicionamiento por área'!$D$8:$K$8</c:f>
              <c:strCache>
                <c:ptCount val="8"/>
                <c:pt idx="0">
                  <c:v>Gerencia General</c:v>
                </c:pt>
                <c:pt idx="1">
                  <c:v>I+D</c:v>
                </c:pt>
                <c:pt idx="2">
                  <c:v>OPERACIONES</c:v>
                </c:pt>
                <c:pt idx="3">
                  <c:v>FINANCIERA</c:v>
                </c:pt>
                <c:pt idx="4">
                  <c:v>GESTION HUMANA</c:v>
                </c:pt>
                <c:pt idx="5">
                  <c:v>PLANEACION</c:v>
                </c:pt>
                <c:pt idx="6">
                  <c:v>EXPORTACIONES</c:v>
                </c:pt>
                <c:pt idx="7">
                  <c:v>SOLUCIONES DENTALES</c:v>
                </c:pt>
              </c:strCache>
            </c:strRef>
          </c:cat>
          <c:val>
            <c:numRef>
              <c:f>'Posicionamiento por área'!$D$9:$K$9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2-48C8-B8CA-031C084F47E4}"/>
            </c:ext>
          </c:extLst>
        </c:ser>
        <c:ser>
          <c:idx val="1"/>
          <c:order val="1"/>
          <c:tx>
            <c:strRef>
              <c:f>'Posicionamiento por área'!$C$10</c:f>
              <c:strCache>
                <c:ptCount val="1"/>
                <c:pt idx="0">
                  <c:v>Competitividad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'Posicionamiento por área'!$D$8:$K$8</c:f>
              <c:strCache>
                <c:ptCount val="8"/>
                <c:pt idx="0">
                  <c:v>Gerencia General</c:v>
                </c:pt>
                <c:pt idx="1">
                  <c:v>I+D</c:v>
                </c:pt>
                <c:pt idx="2">
                  <c:v>OPERACIONES</c:v>
                </c:pt>
                <c:pt idx="3">
                  <c:v>FINANCIERA</c:v>
                </c:pt>
                <c:pt idx="4">
                  <c:v>GESTION HUMANA</c:v>
                </c:pt>
                <c:pt idx="5">
                  <c:v>PLANEACION</c:v>
                </c:pt>
                <c:pt idx="6">
                  <c:v>EXPORTACIONES</c:v>
                </c:pt>
                <c:pt idx="7">
                  <c:v>SOLUCIONES DENTALES</c:v>
                </c:pt>
              </c:strCache>
            </c:strRef>
          </c:cat>
          <c:val>
            <c:numRef>
              <c:f>'Posicionamiento por área'!$D$10:$K$10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2-48C8-B8CA-031C084F47E4}"/>
            </c:ext>
          </c:extLst>
        </c:ser>
        <c:ser>
          <c:idx val="2"/>
          <c:order val="2"/>
          <c:tx>
            <c:strRef>
              <c:f>'Posicionamiento por área'!$C$11</c:f>
              <c:strCache>
                <c:ptCount val="1"/>
                <c:pt idx="0">
                  <c:v>Subpago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'Posicionamiento por área'!$D$8:$K$8</c:f>
              <c:strCache>
                <c:ptCount val="8"/>
                <c:pt idx="0">
                  <c:v>Gerencia General</c:v>
                </c:pt>
                <c:pt idx="1">
                  <c:v>I+D</c:v>
                </c:pt>
                <c:pt idx="2">
                  <c:v>OPERACIONES</c:v>
                </c:pt>
                <c:pt idx="3">
                  <c:v>FINANCIERA</c:v>
                </c:pt>
                <c:pt idx="4">
                  <c:v>GESTION HUMANA</c:v>
                </c:pt>
                <c:pt idx="5">
                  <c:v>PLANEACION</c:v>
                </c:pt>
                <c:pt idx="6">
                  <c:v>EXPORTACIONES</c:v>
                </c:pt>
                <c:pt idx="7">
                  <c:v>SOLUCIONES DENTALES</c:v>
                </c:pt>
              </c:strCache>
            </c:strRef>
          </c:cat>
          <c:val>
            <c:numRef>
              <c:f>'Posicionamiento por área'!$D$11:$K$11</c:f>
              <c:numCache>
                <c:formatCode>0%</c:formatCode>
                <c:ptCount val="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32-48C8-B8CA-031C084F47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1253632"/>
        <c:axId val="311280000"/>
      </c:barChart>
      <c:catAx>
        <c:axId val="311253632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1280000"/>
        <c:crosses val="autoZero"/>
        <c:auto val="1"/>
        <c:lblAlgn val="ctr"/>
        <c:lblOffset val="100"/>
        <c:noMultiLvlLbl val="0"/>
      </c:catAx>
      <c:valAx>
        <c:axId val="311280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125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b="1"/>
              <a:t>Costo Mensual Nivelación vs Costo</a:t>
            </a:r>
            <a:r>
              <a:rPr lang="es-CO" b="1" baseline="0"/>
              <a:t> Mensual del Sobrepago Actual</a:t>
            </a:r>
            <a:endParaRPr lang="es-CO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'Posicionamiento por área'!$D$29</c:f>
              <c:strCache>
                <c:ptCount val="1"/>
                <c:pt idx="0">
                  <c:v>Costo Nivelación Mensual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'Posicionamiento por área'!$C$30:$C$36</c:f>
              <c:strCache>
                <c:ptCount val="7"/>
                <c:pt idx="0">
                  <c:v>Gerencia General</c:v>
                </c:pt>
                <c:pt idx="1">
                  <c:v>I+D</c:v>
                </c:pt>
                <c:pt idx="2">
                  <c:v>OPERACIONES</c:v>
                </c:pt>
                <c:pt idx="3">
                  <c:v>FINANCIERA</c:v>
                </c:pt>
                <c:pt idx="4">
                  <c:v>GESTION HUMANA</c:v>
                </c:pt>
                <c:pt idx="5">
                  <c:v>PLANEACION</c:v>
                </c:pt>
                <c:pt idx="6">
                  <c:v>EXPORTACIONES</c:v>
                </c:pt>
              </c:strCache>
            </c:strRef>
          </c:cat>
          <c:val>
            <c:numRef>
              <c:f>'Posicionamiento por área'!$D$30:$D$36</c:f>
              <c:numCache>
                <c:formatCode>#,##0</c:formatCode>
                <c:ptCount val="7"/>
                <c:pt idx="0">
                  <c:v>17053912.544999994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BB-48BE-85C5-ED439DB3F319}"/>
            </c:ext>
          </c:extLst>
        </c:ser>
        <c:ser>
          <c:idx val="1"/>
          <c:order val="1"/>
          <c:tx>
            <c:strRef>
              <c:f>'Posicionamiento por área'!$E$29</c:f>
              <c:strCache>
                <c:ptCount val="1"/>
                <c:pt idx="0">
                  <c:v>Costo Mensual del Sobrepago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'Posicionamiento por área'!$C$30:$C$36</c:f>
              <c:strCache>
                <c:ptCount val="7"/>
                <c:pt idx="0">
                  <c:v>Gerencia General</c:v>
                </c:pt>
                <c:pt idx="1">
                  <c:v>I+D</c:v>
                </c:pt>
                <c:pt idx="2">
                  <c:v>OPERACIONES</c:v>
                </c:pt>
                <c:pt idx="3">
                  <c:v>FINANCIERA</c:v>
                </c:pt>
                <c:pt idx="4">
                  <c:v>GESTION HUMANA</c:v>
                </c:pt>
                <c:pt idx="5">
                  <c:v>PLANEACION</c:v>
                </c:pt>
                <c:pt idx="6">
                  <c:v>EXPORTACIONES</c:v>
                </c:pt>
              </c:strCache>
            </c:strRef>
          </c:cat>
          <c:val>
            <c:numRef>
              <c:f>'Posicionamiento por área'!$E$30:$E$36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BB-48BE-85C5-ED439DB3F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12627968"/>
        <c:axId val="312629504"/>
      </c:barChart>
      <c:catAx>
        <c:axId val="3126279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2629504"/>
        <c:crosses val="autoZero"/>
        <c:auto val="1"/>
        <c:lblAlgn val="ctr"/>
        <c:lblOffset val="100"/>
        <c:noMultiLvlLbl val="0"/>
      </c:catAx>
      <c:valAx>
        <c:axId val="312629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262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800" b="1">
                <a:latin typeface="Arial" panose="020B0604020202020204" pitchFamily="34" charset="0"/>
                <a:cs typeface="Arial" panose="020B0604020202020204" pitchFamily="34" charset="0"/>
              </a:rPr>
              <a:t>Curva</a:t>
            </a:r>
            <a:r>
              <a:rPr lang="es-CO" sz="1800" b="1" baseline="0">
                <a:latin typeface="Arial" panose="020B0604020202020204" pitchFamily="34" charset="0"/>
                <a:cs typeface="Arial" panose="020B0604020202020204" pitchFamily="34" charset="0"/>
              </a:rPr>
              <a:t> de Equidad Interna</a:t>
            </a:r>
            <a:endParaRPr lang="es-CO" sz="1800" b="1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Compensación Equitativa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'Base de Datos'!$U$8:$U$157</c:f>
              <c:numCache>
                <c:formatCode>#,##0_);[Red]\(#,##0\)</c:formatCode>
                <c:ptCount val="150"/>
                <c:pt idx="0">
                  <c:v>143</c:v>
                </c:pt>
                <c:pt idx="1">
                  <c:v>143</c:v>
                </c:pt>
                <c:pt idx="2">
                  <c:v>164</c:v>
                </c:pt>
                <c:pt idx="3">
                  <c:v>164</c:v>
                </c:pt>
                <c:pt idx="4">
                  <c:v>164</c:v>
                </c:pt>
                <c:pt idx="5">
                  <c:v>164</c:v>
                </c:pt>
                <c:pt idx="6">
                  <c:v>164</c:v>
                </c:pt>
                <c:pt idx="7">
                  <c:v>164</c:v>
                </c:pt>
                <c:pt idx="8">
                  <c:v>164</c:v>
                </c:pt>
                <c:pt idx="9">
                  <c:v>189</c:v>
                </c:pt>
                <c:pt idx="10">
                  <c:v>189</c:v>
                </c:pt>
                <c:pt idx="11">
                  <c:v>189</c:v>
                </c:pt>
                <c:pt idx="12">
                  <c:v>189</c:v>
                </c:pt>
                <c:pt idx="13">
                  <c:v>189</c:v>
                </c:pt>
                <c:pt idx="14">
                  <c:v>189</c:v>
                </c:pt>
                <c:pt idx="15">
                  <c:v>189</c:v>
                </c:pt>
                <c:pt idx="16">
                  <c:v>189</c:v>
                </c:pt>
                <c:pt idx="17">
                  <c:v>189</c:v>
                </c:pt>
                <c:pt idx="18">
                  <c:v>189</c:v>
                </c:pt>
                <c:pt idx="19">
                  <c:v>189</c:v>
                </c:pt>
                <c:pt idx="20">
                  <c:v>217</c:v>
                </c:pt>
                <c:pt idx="21">
                  <c:v>217</c:v>
                </c:pt>
                <c:pt idx="22">
                  <c:v>217</c:v>
                </c:pt>
                <c:pt idx="23">
                  <c:v>217</c:v>
                </c:pt>
                <c:pt idx="24">
                  <c:v>217</c:v>
                </c:pt>
                <c:pt idx="25">
                  <c:v>217</c:v>
                </c:pt>
                <c:pt idx="26">
                  <c:v>217</c:v>
                </c:pt>
                <c:pt idx="27">
                  <c:v>217</c:v>
                </c:pt>
                <c:pt idx="28">
                  <c:v>217</c:v>
                </c:pt>
                <c:pt idx="29">
                  <c:v>217</c:v>
                </c:pt>
                <c:pt idx="30">
                  <c:v>217</c:v>
                </c:pt>
                <c:pt idx="31">
                  <c:v>217</c:v>
                </c:pt>
                <c:pt idx="32">
                  <c:v>217</c:v>
                </c:pt>
                <c:pt idx="33">
                  <c:v>217</c:v>
                </c:pt>
                <c:pt idx="34">
                  <c:v>217</c:v>
                </c:pt>
                <c:pt idx="35">
                  <c:v>217</c:v>
                </c:pt>
                <c:pt idx="36">
                  <c:v>217</c:v>
                </c:pt>
                <c:pt idx="37">
                  <c:v>217</c:v>
                </c:pt>
                <c:pt idx="38">
                  <c:v>249</c:v>
                </c:pt>
                <c:pt idx="39">
                  <c:v>249</c:v>
                </c:pt>
                <c:pt idx="40">
                  <c:v>249</c:v>
                </c:pt>
                <c:pt idx="41">
                  <c:v>249</c:v>
                </c:pt>
                <c:pt idx="42">
                  <c:v>249</c:v>
                </c:pt>
                <c:pt idx="43">
                  <c:v>249</c:v>
                </c:pt>
                <c:pt idx="44">
                  <c:v>249</c:v>
                </c:pt>
                <c:pt idx="45">
                  <c:v>249</c:v>
                </c:pt>
                <c:pt idx="46">
                  <c:v>249</c:v>
                </c:pt>
                <c:pt idx="47">
                  <c:v>249</c:v>
                </c:pt>
                <c:pt idx="48">
                  <c:v>249</c:v>
                </c:pt>
                <c:pt idx="49">
                  <c:v>249</c:v>
                </c:pt>
                <c:pt idx="50">
                  <c:v>249</c:v>
                </c:pt>
                <c:pt idx="51">
                  <c:v>249</c:v>
                </c:pt>
                <c:pt idx="52">
                  <c:v>249</c:v>
                </c:pt>
                <c:pt idx="53">
                  <c:v>249</c:v>
                </c:pt>
                <c:pt idx="54">
                  <c:v>249</c:v>
                </c:pt>
                <c:pt idx="55">
                  <c:v>249</c:v>
                </c:pt>
                <c:pt idx="56">
                  <c:v>287</c:v>
                </c:pt>
                <c:pt idx="57">
                  <c:v>287</c:v>
                </c:pt>
                <c:pt idx="58">
                  <c:v>217</c:v>
                </c:pt>
                <c:pt idx="59">
                  <c:v>217</c:v>
                </c:pt>
                <c:pt idx="60">
                  <c:v>217</c:v>
                </c:pt>
                <c:pt idx="61">
                  <c:v>217</c:v>
                </c:pt>
                <c:pt idx="62">
                  <c:v>217</c:v>
                </c:pt>
                <c:pt idx="63">
                  <c:v>217</c:v>
                </c:pt>
                <c:pt idx="64">
                  <c:v>217</c:v>
                </c:pt>
                <c:pt idx="65">
                  <c:v>217</c:v>
                </c:pt>
                <c:pt idx="66">
                  <c:v>217</c:v>
                </c:pt>
                <c:pt idx="67">
                  <c:v>217</c:v>
                </c:pt>
                <c:pt idx="68">
                  <c:v>249</c:v>
                </c:pt>
                <c:pt idx="69">
                  <c:v>287</c:v>
                </c:pt>
                <c:pt idx="70">
                  <c:v>287</c:v>
                </c:pt>
                <c:pt idx="71">
                  <c:v>287</c:v>
                </c:pt>
                <c:pt idx="72">
                  <c:v>287</c:v>
                </c:pt>
                <c:pt idx="73">
                  <c:v>330</c:v>
                </c:pt>
                <c:pt idx="74">
                  <c:v>330</c:v>
                </c:pt>
                <c:pt idx="75">
                  <c:v>379</c:v>
                </c:pt>
                <c:pt idx="76">
                  <c:v>379</c:v>
                </c:pt>
                <c:pt idx="77">
                  <c:v>379</c:v>
                </c:pt>
                <c:pt idx="78">
                  <c:v>379</c:v>
                </c:pt>
                <c:pt idx="79">
                  <c:v>379</c:v>
                </c:pt>
                <c:pt idx="80">
                  <c:v>379</c:v>
                </c:pt>
                <c:pt idx="81">
                  <c:v>379</c:v>
                </c:pt>
                <c:pt idx="82">
                  <c:v>379</c:v>
                </c:pt>
                <c:pt idx="83">
                  <c:v>379</c:v>
                </c:pt>
                <c:pt idx="84">
                  <c:v>379</c:v>
                </c:pt>
                <c:pt idx="85">
                  <c:v>379</c:v>
                </c:pt>
                <c:pt idx="86">
                  <c:v>379</c:v>
                </c:pt>
                <c:pt idx="87">
                  <c:v>379</c:v>
                </c:pt>
                <c:pt idx="88">
                  <c:v>379</c:v>
                </c:pt>
                <c:pt idx="89">
                  <c:v>379</c:v>
                </c:pt>
                <c:pt idx="90">
                  <c:v>379</c:v>
                </c:pt>
                <c:pt idx="91">
                  <c:v>379</c:v>
                </c:pt>
                <c:pt idx="92">
                  <c:v>379</c:v>
                </c:pt>
                <c:pt idx="93">
                  <c:v>436</c:v>
                </c:pt>
                <c:pt idx="94">
                  <c:v>436</c:v>
                </c:pt>
                <c:pt idx="95">
                  <c:v>436</c:v>
                </c:pt>
                <c:pt idx="96">
                  <c:v>436</c:v>
                </c:pt>
                <c:pt idx="97">
                  <c:v>436</c:v>
                </c:pt>
                <c:pt idx="98">
                  <c:v>436</c:v>
                </c:pt>
                <c:pt idx="99">
                  <c:v>436</c:v>
                </c:pt>
                <c:pt idx="100">
                  <c:v>436</c:v>
                </c:pt>
                <c:pt idx="101">
                  <c:v>436</c:v>
                </c:pt>
                <c:pt idx="102">
                  <c:v>436</c:v>
                </c:pt>
                <c:pt idx="103">
                  <c:v>436</c:v>
                </c:pt>
                <c:pt idx="104">
                  <c:v>436</c:v>
                </c:pt>
                <c:pt idx="105">
                  <c:v>436</c:v>
                </c:pt>
                <c:pt idx="106">
                  <c:v>436</c:v>
                </c:pt>
                <c:pt idx="107">
                  <c:v>436</c:v>
                </c:pt>
                <c:pt idx="108">
                  <c:v>436</c:v>
                </c:pt>
                <c:pt idx="109">
                  <c:v>436</c:v>
                </c:pt>
                <c:pt idx="110">
                  <c:v>436</c:v>
                </c:pt>
                <c:pt idx="111">
                  <c:v>436</c:v>
                </c:pt>
                <c:pt idx="112">
                  <c:v>436</c:v>
                </c:pt>
                <c:pt idx="113">
                  <c:v>436</c:v>
                </c:pt>
                <c:pt idx="114">
                  <c:v>436</c:v>
                </c:pt>
                <c:pt idx="115">
                  <c:v>502</c:v>
                </c:pt>
                <c:pt idx="116">
                  <c:v>502</c:v>
                </c:pt>
                <c:pt idx="117">
                  <c:v>502</c:v>
                </c:pt>
                <c:pt idx="118">
                  <c:v>502</c:v>
                </c:pt>
                <c:pt idx="119">
                  <c:v>577</c:v>
                </c:pt>
                <c:pt idx="120">
                  <c:v>577</c:v>
                </c:pt>
                <c:pt idx="121">
                  <c:v>577</c:v>
                </c:pt>
                <c:pt idx="122">
                  <c:v>577</c:v>
                </c:pt>
                <c:pt idx="123">
                  <c:v>577</c:v>
                </c:pt>
                <c:pt idx="124">
                  <c:v>577</c:v>
                </c:pt>
                <c:pt idx="125">
                  <c:v>577</c:v>
                </c:pt>
                <c:pt idx="126">
                  <c:v>577</c:v>
                </c:pt>
                <c:pt idx="127">
                  <c:v>663</c:v>
                </c:pt>
                <c:pt idx="128">
                  <c:v>663</c:v>
                </c:pt>
                <c:pt idx="129">
                  <c:v>663</c:v>
                </c:pt>
                <c:pt idx="130">
                  <c:v>663</c:v>
                </c:pt>
                <c:pt idx="131">
                  <c:v>663</c:v>
                </c:pt>
                <c:pt idx="132">
                  <c:v>663</c:v>
                </c:pt>
                <c:pt idx="133">
                  <c:v>663</c:v>
                </c:pt>
                <c:pt idx="134">
                  <c:v>663</c:v>
                </c:pt>
                <c:pt idx="135">
                  <c:v>762</c:v>
                </c:pt>
                <c:pt idx="136">
                  <c:v>1007</c:v>
                </c:pt>
                <c:pt idx="137">
                  <c:v>1007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1331</c:v>
                </c:pt>
                <c:pt idx="149">
                  <c:v>#N/A</c:v>
                </c:pt>
              </c:numCache>
            </c:numRef>
          </c:xVal>
          <c:yVal>
            <c:numRef>
              <c:f>'Base de Datos'!$BQ$8:$BQ$157</c:f>
              <c:numCache>
                <c:formatCode>#,##0_);[Red]\(#,##0\)</c:formatCode>
                <c:ptCount val="150"/>
                <c:pt idx="0">
                  <c:v>2351305.3471424235</c:v>
                </c:pt>
                <c:pt idx="1">
                  <c:v>2351305.3471424235</c:v>
                </c:pt>
                <c:pt idx="2">
                  <c:v>2584918.4911405994</c:v>
                </c:pt>
                <c:pt idx="3">
                  <c:v>2584918.4911405994</c:v>
                </c:pt>
                <c:pt idx="4">
                  <c:v>2584918.4911405994</c:v>
                </c:pt>
                <c:pt idx="5">
                  <c:v>2584918.4911405994</c:v>
                </c:pt>
                <c:pt idx="6">
                  <c:v>2584918.4911405994</c:v>
                </c:pt>
                <c:pt idx="7">
                  <c:v>2584918.4911405994</c:v>
                </c:pt>
                <c:pt idx="8">
                  <c:v>2584918.4911405994</c:v>
                </c:pt>
                <c:pt idx="9">
                  <c:v>2863029.376852714</c:v>
                </c:pt>
                <c:pt idx="10">
                  <c:v>2863029.376852714</c:v>
                </c:pt>
                <c:pt idx="11">
                  <c:v>2863029.376852714</c:v>
                </c:pt>
                <c:pt idx="12">
                  <c:v>2863029.376852714</c:v>
                </c:pt>
                <c:pt idx="13">
                  <c:v>2863029.376852714</c:v>
                </c:pt>
                <c:pt idx="14">
                  <c:v>2863029.376852714</c:v>
                </c:pt>
                <c:pt idx="15">
                  <c:v>2863029.376852714</c:v>
                </c:pt>
                <c:pt idx="16">
                  <c:v>2863029.376852714</c:v>
                </c:pt>
                <c:pt idx="17">
                  <c:v>2863029.376852714</c:v>
                </c:pt>
                <c:pt idx="18">
                  <c:v>2863029.376852714</c:v>
                </c:pt>
                <c:pt idx="19">
                  <c:v>2863029.376852714</c:v>
                </c:pt>
                <c:pt idx="20">
                  <c:v>3174513.5688502821</c:v>
                </c:pt>
                <c:pt idx="21">
                  <c:v>3174513.5688502821</c:v>
                </c:pt>
                <c:pt idx="22">
                  <c:v>3174513.5688502821</c:v>
                </c:pt>
                <c:pt idx="23">
                  <c:v>3174513.5688502821</c:v>
                </c:pt>
                <c:pt idx="24">
                  <c:v>3174513.5688502821</c:v>
                </c:pt>
                <c:pt idx="25">
                  <c:v>3174513.5688502821</c:v>
                </c:pt>
                <c:pt idx="26">
                  <c:v>3174513.5688502821</c:v>
                </c:pt>
                <c:pt idx="27">
                  <c:v>3174513.5688502821</c:v>
                </c:pt>
                <c:pt idx="28">
                  <c:v>3174513.5688502821</c:v>
                </c:pt>
                <c:pt idx="29">
                  <c:v>3174513.5688502821</c:v>
                </c:pt>
                <c:pt idx="30">
                  <c:v>3174513.5688502821</c:v>
                </c:pt>
                <c:pt idx="31">
                  <c:v>3174513.5688502821</c:v>
                </c:pt>
                <c:pt idx="32">
                  <c:v>3174513.5688502821</c:v>
                </c:pt>
                <c:pt idx="33">
                  <c:v>3174513.5688502821</c:v>
                </c:pt>
                <c:pt idx="34">
                  <c:v>3174513.5688502821</c:v>
                </c:pt>
                <c:pt idx="35">
                  <c:v>3174513.5688502821</c:v>
                </c:pt>
                <c:pt idx="36">
                  <c:v>3174513.5688502821</c:v>
                </c:pt>
                <c:pt idx="37">
                  <c:v>3174513.5688502821</c:v>
                </c:pt>
                <c:pt idx="38">
                  <c:v>3530495.5025617885</c:v>
                </c:pt>
                <c:pt idx="39">
                  <c:v>3530495.5025617885</c:v>
                </c:pt>
                <c:pt idx="40">
                  <c:v>3530495.5025617885</c:v>
                </c:pt>
                <c:pt idx="41">
                  <c:v>3530495.5025617885</c:v>
                </c:pt>
                <c:pt idx="42">
                  <c:v>3530495.5025617885</c:v>
                </c:pt>
                <c:pt idx="43">
                  <c:v>3530495.5025617885</c:v>
                </c:pt>
                <c:pt idx="44">
                  <c:v>3530495.5025617885</c:v>
                </c:pt>
                <c:pt idx="45">
                  <c:v>3530495.5025617885</c:v>
                </c:pt>
                <c:pt idx="46">
                  <c:v>3530495.5025617885</c:v>
                </c:pt>
                <c:pt idx="47">
                  <c:v>3530495.5025617885</c:v>
                </c:pt>
                <c:pt idx="48">
                  <c:v>3530495.5025617885</c:v>
                </c:pt>
                <c:pt idx="49">
                  <c:v>3530495.5025617885</c:v>
                </c:pt>
                <c:pt idx="50">
                  <c:v>3530495.5025617885</c:v>
                </c:pt>
                <c:pt idx="51">
                  <c:v>3530495.5025617885</c:v>
                </c:pt>
                <c:pt idx="52">
                  <c:v>3530495.5025617885</c:v>
                </c:pt>
                <c:pt idx="53">
                  <c:v>3530495.5025617885</c:v>
                </c:pt>
                <c:pt idx="54">
                  <c:v>3530495.5025617885</c:v>
                </c:pt>
                <c:pt idx="55">
                  <c:v>3530495.5025617885</c:v>
                </c:pt>
                <c:pt idx="56">
                  <c:v>3953224.048844202</c:v>
                </c:pt>
                <c:pt idx="57">
                  <c:v>3953224.048844202</c:v>
                </c:pt>
                <c:pt idx="58">
                  <c:v>3174513.5688502821</c:v>
                </c:pt>
                <c:pt idx="59">
                  <c:v>3174513.5688502821</c:v>
                </c:pt>
                <c:pt idx="60">
                  <c:v>3174513.5688502821</c:v>
                </c:pt>
                <c:pt idx="61">
                  <c:v>3174513.5688502821</c:v>
                </c:pt>
                <c:pt idx="62">
                  <c:v>3174513.5688502821</c:v>
                </c:pt>
                <c:pt idx="63">
                  <c:v>3174513.5688502821</c:v>
                </c:pt>
                <c:pt idx="64">
                  <c:v>3174513.5688502821</c:v>
                </c:pt>
                <c:pt idx="65">
                  <c:v>3174513.5688502821</c:v>
                </c:pt>
                <c:pt idx="66">
                  <c:v>3174513.5688502821</c:v>
                </c:pt>
                <c:pt idx="67">
                  <c:v>3174513.5688502821</c:v>
                </c:pt>
                <c:pt idx="68">
                  <c:v>3530495.5025617885</c:v>
                </c:pt>
                <c:pt idx="69">
                  <c:v>3953224.048844202</c:v>
                </c:pt>
                <c:pt idx="70">
                  <c:v>3953224.048844202</c:v>
                </c:pt>
                <c:pt idx="71">
                  <c:v>3953224.048844202</c:v>
                </c:pt>
                <c:pt idx="72">
                  <c:v>3953224.048844202</c:v>
                </c:pt>
                <c:pt idx="73">
                  <c:v>4431574.7722690385</c:v>
                </c:pt>
                <c:pt idx="74">
                  <c:v>4431574.7722690385</c:v>
                </c:pt>
                <c:pt idx="75">
                  <c:v>4976672.1082647825</c:v>
                </c:pt>
                <c:pt idx="76">
                  <c:v>4976672.1082647825</c:v>
                </c:pt>
                <c:pt idx="77">
                  <c:v>4976672.1082647825</c:v>
                </c:pt>
                <c:pt idx="78">
                  <c:v>4976672.1082647825</c:v>
                </c:pt>
                <c:pt idx="79">
                  <c:v>4976672.1082647825</c:v>
                </c:pt>
                <c:pt idx="80">
                  <c:v>4976672.1082647825</c:v>
                </c:pt>
                <c:pt idx="81">
                  <c:v>4976672.1082647825</c:v>
                </c:pt>
                <c:pt idx="82">
                  <c:v>4976672.1082647825</c:v>
                </c:pt>
                <c:pt idx="83">
                  <c:v>4976672.1082647825</c:v>
                </c:pt>
                <c:pt idx="84">
                  <c:v>4976672.1082647825</c:v>
                </c:pt>
                <c:pt idx="85">
                  <c:v>4976672.1082647825</c:v>
                </c:pt>
                <c:pt idx="86">
                  <c:v>4976672.1082647825</c:v>
                </c:pt>
                <c:pt idx="87">
                  <c:v>4976672.1082647825</c:v>
                </c:pt>
                <c:pt idx="88">
                  <c:v>4976672.1082647825</c:v>
                </c:pt>
                <c:pt idx="89">
                  <c:v>4976672.1082647825</c:v>
                </c:pt>
                <c:pt idx="90">
                  <c:v>4976672.1082647825</c:v>
                </c:pt>
                <c:pt idx="91">
                  <c:v>4976672.1082647825</c:v>
                </c:pt>
                <c:pt idx="92">
                  <c:v>4976672.1082647825</c:v>
                </c:pt>
                <c:pt idx="93">
                  <c:v>5788705.6260986775</c:v>
                </c:pt>
                <c:pt idx="94">
                  <c:v>5788705.6260986775</c:v>
                </c:pt>
                <c:pt idx="95">
                  <c:v>5788705.6260986775</c:v>
                </c:pt>
                <c:pt idx="96">
                  <c:v>5788705.6260986775</c:v>
                </c:pt>
                <c:pt idx="97">
                  <c:v>5788705.6260986775</c:v>
                </c:pt>
                <c:pt idx="98">
                  <c:v>5788705.6260986775</c:v>
                </c:pt>
                <c:pt idx="99">
                  <c:v>5788705.6260986775</c:v>
                </c:pt>
                <c:pt idx="100">
                  <c:v>5788705.6260986775</c:v>
                </c:pt>
                <c:pt idx="101">
                  <c:v>5788705.6260986775</c:v>
                </c:pt>
                <c:pt idx="102">
                  <c:v>5788705.6260986775</c:v>
                </c:pt>
                <c:pt idx="103">
                  <c:v>5788705.6260986775</c:v>
                </c:pt>
                <c:pt idx="104">
                  <c:v>5788705.6260986775</c:v>
                </c:pt>
                <c:pt idx="105">
                  <c:v>5788705.6260986775</c:v>
                </c:pt>
                <c:pt idx="106">
                  <c:v>5788705.6260986775</c:v>
                </c:pt>
                <c:pt idx="107">
                  <c:v>5788705.6260986775</c:v>
                </c:pt>
                <c:pt idx="108">
                  <c:v>5788705.6260986775</c:v>
                </c:pt>
                <c:pt idx="109">
                  <c:v>5788705.6260986775</c:v>
                </c:pt>
                <c:pt idx="110">
                  <c:v>5788705.6260986775</c:v>
                </c:pt>
                <c:pt idx="111">
                  <c:v>5788705.6260986775</c:v>
                </c:pt>
                <c:pt idx="112">
                  <c:v>5788705.6260986775</c:v>
                </c:pt>
                <c:pt idx="113">
                  <c:v>5788705.6260986775</c:v>
                </c:pt>
                <c:pt idx="114">
                  <c:v>5788705.6260986775</c:v>
                </c:pt>
                <c:pt idx="115">
                  <c:v>6889921.0548498491</c:v>
                </c:pt>
                <c:pt idx="116">
                  <c:v>6889921.0548498491</c:v>
                </c:pt>
                <c:pt idx="117">
                  <c:v>6889921.0548498491</c:v>
                </c:pt>
                <c:pt idx="118">
                  <c:v>6889921.0548498491</c:v>
                </c:pt>
                <c:pt idx="119">
                  <c:v>8141302.2238852717</c:v>
                </c:pt>
                <c:pt idx="120">
                  <c:v>8141302.2238852717</c:v>
                </c:pt>
                <c:pt idx="121">
                  <c:v>8141302.2238852717</c:v>
                </c:pt>
                <c:pt idx="122">
                  <c:v>8141302.2238852717</c:v>
                </c:pt>
                <c:pt idx="123">
                  <c:v>8141302.2238852717</c:v>
                </c:pt>
                <c:pt idx="124">
                  <c:v>8141302.2238852717</c:v>
                </c:pt>
                <c:pt idx="125">
                  <c:v>8141302.2238852717</c:v>
                </c:pt>
                <c:pt idx="126">
                  <c:v>8141302.2238852717</c:v>
                </c:pt>
                <c:pt idx="127">
                  <c:v>10966470.005261846</c:v>
                </c:pt>
                <c:pt idx="128">
                  <c:v>10966470.005261846</c:v>
                </c:pt>
                <c:pt idx="129">
                  <c:v>10966470.005261846</c:v>
                </c:pt>
                <c:pt idx="130" formatCode="#,##0_);[Red]\(#,##0\)">
                  <c:v>10966470.005261846</c:v>
                </c:pt>
                <c:pt idx="131">
                  <c:v>10966470.005261846</c:v>
                </c:pt>
                <c:pt idx="132">
                  <c:v>10966470.005261846</c:v>
                </c:pt>
                <c:pt idx="133">
                  <c:v>10966470.005261846</c:v>
                </c:pt>
                <c:pt idx="134">
                  <c:v>10966470.005261846</c:v>
                </c:pt>
                <c:pt idx="135">
                  <c:v>17058126.053142823</c:v>
                </c:pt>
                <c:pt idx="136">
                  <c:v>32133436.474666454</c:v>
                </c:pt>
                <c:pt idx="137">
                  <c:v>32133436.474666454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52069765.358640566</c:v>
                </c:pt>
                <c:pt idx="14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AB-4A59-AFF0-C712F671713F}"/>
            </c:ext>
          </c:extLst>
        </c:ser>
        <c:ser>
          <c:idx val="1"/>
          <c:order val="1"/>
          <c:tx>
            <c:v>Límite 80%</c:v>
          </c:tx>
          <c:spPr>
            <a:ln w="19050" cap="rnd">
              <a:solidFill>
                <a:schemeClr val="tx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'Base de Datos'!$U$8:$U$157</c:f>
              <c:numCache>
                <c:formatCode>#,##0_);[Red]\(#,##0\)</c:formatCode>
                <c:ptCount val="150"/>
                <c:pt idx="0">
                  <c:v>143</c:v>
                </c:pt>
                <c:pt idx="1">
                  <c:v>143</c:v>
                </c:pt>
                <c:pt idx="2">
                  <c:v>164</c:v>
                </c:pt>
                <c:pt idx="3">
                  <c:v>164</c:v>
                </c:pt>
                <c:pt idx="4">
                  <c:v>164</c:v>
                </c:pt>
                <c:pt idx="5">
                  <c:v>164</c:v>
                </c:pt>
                <c:pt idx="6">
                  <c:v>164</c:v>
                </c:pt>
                <c:pt idx="7">
                  <c:v>164</c:v>
                </c:pt>
                <c:pt idx="8">
                  <c:v>164</c:v>
                </c:pt>
                <c:pt idx="9">
                  <c:v>189</c:v>
                </c:pt>
                <c:pt idx="10">
                  <c:v>189</c:v>
                </c:pt>
                <c:pt idx="11">
                  <c:v>189</c:v>
                </c:pt>
                <c:pt idx="12">
                  <c:v>189</c:v>
                </c:pt>
                <c:pt idx="13">
                  <c:v>189</c:v>
                </c:pt>
                <c:pt idx="14">
                  <c:v>189</c:v>
                </c:pt>
                <c:pt idx="15">
                  <c:v>189</c:v>
                </c:pt>
                <c:pt idx="16">
                  <c:v>189</c:v>
                </c:pt>
                <c:pt idx="17">
                  <c:v>189</c:v>
                </c:pt>
                <c:pt idx="18">
                  <c:v>189</c:v>
                </c:pt>
                <c:pt idx="19">
                  <c:v>189</c:v>
                </c:pt>
                <c:pt idx="20">
                  <c:v>217</c:v>
                </c:pt>
                <c:pt idx="21">
                  <c:v>217</c:v>
                </c:pt>
                <c:pt idx="22">
                  <c:v>217</c:v>
                </c:pt>
                <c:pt idx="23">
                  <c:v>217</c:v>
                </c:pt>
                <c:pt idx="24">
                  <c:v>217</c:v>
                </c:pt>
                <c:pt idx="25">
                  <c:v>217</c:v>
                </c:pt>
                <c:pt idx="26">
                  <c:v>217</c:v>
                </c:pt>
                <c:pt idx="27">
                  <c:v>217</c:v>
                </c:pt>
                <c:pt idx="28">
                  <c:v>217</c:v>
                </c:pt>
                <c:pt idx="29">
                  <c:v>217</c:v>
                </c:pt>
                <c:pt idx="30">
                  <c:v>217</c:v>
                </c:pt>
                <c:pt idx="31">
                  <c:v>217</c:v>
                </c:pt>
                <c:pt idx="32">
                  <c:v>217</c:v>
                </c:pt>
                <c:pt idx="33">
                  <c:v>217</c:v>
                </c:pt>
                <c:pt idx="34">
                  <c:v>217</c:v>
                </c:pt>
                <c:pt idx="35">
                  <c:v>217</c:v>
                </c:pt>
                <c:pt idx="36">
                  <c:v>217</c:v>
                </c:pt>
                <c:pt idx="37">
                  <c:v>217</c:v>
                </c:pt>
                <c:pt idx="38">
                  <c:v>249</c:v>
                </c:pt>
                <c:pt idx="39">
                  <c:v>249</c:v>
                </c:pt>
                <c:pt idx="40">
                  <c:v>249</c:v>
                </c:pt>
                <c:pt idx="41">
                  <c:v>249</c:v>
                </c:pt>
                <c:pt idx="42">
                  <c:v>249</c:v>
                </c:pt>
                <c:pt idx="43">
                  <c:v>249</c:v>
                </c:pt>
                <c:pt idx="44">
                  <c:v>249</c:v>
                </c:pt>
                <c:pt idx="45">
                  <c:v>249</c:v>
                </c:pt>
                <c:pt idx="46">
                  <c:v>249</c:v>
                </c:pt>
                <c:pt idx="47">
                  <c:v>249</c:v>
                </c:pt>
                <c:pt idx="48">
                  <c:v>249</c:v>
                </c:pt>
                <c:pt idx="49">
                  <c:v>249</c:v>
                </c:pt>
                <c:pt idx="50">
                  <c:v>249</c:v>
                </c:pt>
                <c:pt idx="51">
                  <c:v>249</c:v>
                </c:pt>
                <c:pt idx="52">
                  <c:v>249</c:v>
                </c:pt>
                <c:pt idx="53">
                  <c:v>249</c:v>
                </c:pt>
                <c:pt idx="54">
                  <c:v>249</c:v>
                </c:pt>
                <c:pt idx="55">
                  <c:v>249</c:v>
                </c:pt>
                <c:pt idx="56">
                  <c:v>287</c:v>
                </c:pt>
                <c:pt idx="57">
                  <c:v>287</c:v>
                </c:pt>
                <c:pt idx="58">
                  <c:v>217</c:v>
                </c:pt>
                <c:pt idx="59">
                  <c:v>217</c:v>
                </c:pt>
                <c:pt idx="60">
                  <c:v>217</c:v>
                </c:pt>
                <c:pt idx="61">
                  <c:v>217</c:v>
                </c:pt>
                <c:pt idx="62">
                  <c:v>217</c:v>
                </c:pt>
                <c:pt idx="63">
                  <c:v>217</c:v>
                </c:pt>
                <c:pt idx="64">
                  <c:v>217</c:v>
                </c:pt>
                <c:pt idx="65">
                  <c:v>217</c:v>
                </c:pt>
                <c:pt idx="66">
                  <c:v>217</c:v>
                </c:pt>
                <c:pt idx="67">
                  <c:v>217</c:v>
                </c:pt>
                <c:pt idx="68">
                  <c:v>249</c:v>
                </c:pt>
                <c:pt idx="69">
                  <c:v>287</c:v>
                </c:pt>
                <c:pt idx="70">
                  <c:v>287</c:v>
                </c:pt>
                <c:pt idx="71">
                  <c:v>287</c:v>
                </c:pt>
                <c:pt idx="72">
                  <c:v>287</c:v>
                </c:pt>
                <c:pt idx="73">
                  <c:v>330</c:v>
                </c:pt>
                <c:pt idx="74">
                  <c:v>330</c:v>
                </c:pt>
                <c:pt idx="75">
                  <c:v>379</c:v>
                </c:pt>
                <c:pt idx="76">
                  <c:v>379</c:v>
                </c:pt>
                <c:pt idx="77">
                  <c:v>379</c:v>
                </c:pt>
                <c:pt idx="78">
                  <c:v>379</c:v>
                </c:pt>
                <c:pt idx="79">
                  <c:v>379</c:v>
                </c:pt>
                <c:pt idx="80">
                  <c:v>379</c:v>
                </c:pt>
                <c:pt idx="81">
                  <c:v>379</c:v>
                </c:pt>
                <c:pt idx="82">
                  <c:v>379</c:v>
                </c:pt>
                <c:pt idx="83">
                  <c:v>379</c:v>
                </c:pt>
                <c:pt idx="84">
                  <c:v>379</c:v>
                </c:pt>
                <c:pt idx="85">
                  <c:v>379</c:v>
                </c:pt>
                <c:pt idx="86">
                  <c:v>379</c:v>
                </c:pt>
                <c:pt idx="87">
                  <c:v>379</c:v>
                </c:pt>
                <c:pt idx="88">
                  <c:v>379</c:v>
                </c:pt>
                <c:pt idx="89">
                  <c:v>379</c:v>
                </c:pt>
                <c:pt idx="90">
                  <c:v>379</c:v>
                </c:pt>
                <c:pt idx="91">
                  <c:v>379</c:v>
                </c:pt>
                <c:pt idx="92">
                  <c:v>379</c:v>
                </c:pt>
                <c:pt idx="93">
                  <c:v>436</c:v>
                </c:pt>
                <c:pt idx="94">
                  <c:v>436</c:v>
                </c:pt>
                <c:pt idx="95">
                  <c:v>436</c:v>
                </c:pt>
                <c:pt idx="96">
                  <c:v>436</c:v>
                </c:pt>
                <c:pt idx="97">
                  <c:v>436</c:v>
                </c:pt>
                <c:pt idx="98">
                  <c:v>436</c:v>
                </c:pt>
                <c:pt idx="99">
                  <c:v>436</c:v>
                </c:pt>
                <c:pt idx="100">
                  <c:v>436</c:v>
                </c:pt>
                <c:pt idx="101">
                  <c:v>436</c:v>
                </c:pt>
                <c:pt idx="102">
                  <c:v>436</c:v>
                </c:pt>
                <c:pt idx="103">
                  <c:v>436</c:v>
                </c:pt>
                <c:pt idx="104">
                  <c:v>436</c:v>
                </c:pt>
                <c:pt idx="105">
                  <c:v>436</c:v>
                </c:pt>
                <c:pt idx="106">
                  <c:v>436</c:v>
                </c:pt>
                <c:pt idx="107">
                  <c:v>436</c:v>
                </c:pt>
                <c:pt idx="108">
                  <c:v>436</c:v>
                </c:pt>
                <c:pt idx="109">
                  <c:v>436</c:v>
                </c:pt>
                <c:pt idx="110">
                  <c:v>436</c:v>
                </c:pt>
                <c:pt idx="111">
                  <c:v>436</c:v>
                </c:pt>
                <c:pt idx="112">
                  <c:v>436</c:v>
                </c:pt>
                <c:pt idx="113">
                  <c:v>436</c:v>
                </c:pt>
                <c:pt idx="114">
                  <c:v>436</c:v>
                </c:pt>
                <c:pt idx="115">
                  <c:v>502</c:v>
                </c:pt>
                <c:pt idx="116">
                  <c:v>502</c:v>
                </c:pt>
                <c:pt idx="117">
                  <c:v>502</c:v>
                </c:pt>
                <c:pt idx="118">
                  <c:v>502</c:v>
                </c:pt>
                <c:pt idx="119">
                  <c:v>577</c:v>
                </c:pt>
                <c:pt idx="120">
                  <c:v>577</c:v>
                </c:pt>
                <c:pt idx="121">
                  <c:v>577</c:v>
                </c:pt>
                <c:pt idx="122">
                  <c:v>577</c:v>
                </c:pt>
                <c:pt idx="123">
                  <c:v>577</c:v>
                </c:pt>
                <c:pt idx="124">
                  <c:v>577</c:v>
                </c:pt>
                <c:pt idx="125">
                  <c:v>577</c:v>
                </c:pt>
                <c:pt idx="126">
                  <c:v>577</c:v>
                </c:pt>
                <c:pt idx="127">
                  <c:v>663</c:v>
                </c:pt>
                <c:pt idx="128">
                  <c:v>663</c:v>
                </c:pt>
                <c:pt idx="129">
                  <c:v>663</c:v>
                </c:pt>
                <c:pt idx="130">
                  <c:v>663</c:v>
                </c:pt>
                <c:pt idx="131">
                  <c:v>663</c:v>
                </c:pt>
                <c:pt idx="132">
                  <c:v>663</c:v>
                </c:pt>
                <c:pt idx="133">
                  <c:v>663</c:v>
                </c:pt>
                <c:pt idx="134">
                  <c:v>663</c:v>
                </c:pt>
                <c:pt idx="135">
                  <c:v>762</c:v>
                </c:pt>
                <c:pt idx="136">
                  <c:v>1007</c:v>
                </c:pt>
                <c:pt idx="137">
                  <c:v>1007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1331</c:v>
                </c:pt>
                <c:pt idx="149">
                  <c:v>#N/A</c:v>
                </c:pt>
              </c:numCache>
            </c:numRef>
          </c:xVal>
          <c:yVal>
            <c:numRef>
              <c:f>'Base de Datos'!$DS$8:$DS$157</c:f>
              <c:numCache>
                <c:formatCode>#,##0</c:formatCode>
                <c:ptCount val="150"/>
                <c:pt idx="0">
                  <c:v>1881044.2777139388</c:v>
                </c:pt>
                <c:pt idx="1">
                  <c:v>1881044.2777139388</c:v>
                </c:pt>
                <c:pt idx="2">
                  <c:v>2067934.7929124795</c:v>
                </c:pt>
                <c:pt idx="3">
                  <c:v>2067934.7929124795</c:v>
                </c:pt>
                <c:pt idx="4">
                  <c:v>2067934.7929124795</c:v>
                </c:pt>
                <c:pt idx="5">
                  <c:v>2067934.7929124795</c:v>
                </c:pt>
                <c:pt idx="6">
                  <c:v>2067934.7929124795</c:v>
                </c:pt>
                <c:pt idx="7">
                  <c:v>2067934.7929124795</c:v>
                </c:pt>
                <c:pt idx="8">
                  <c:v>2067934.7929124795</c:v>
                </c:pt>
                <c:pt idx="9">
                  <c:v>2290423.5014821715</c:v>
                </c:pt>
                <c:pt idx="10">
                  <c:v>2290423.5014821715</c:v>
                </c:pt>
                <c:pt idx="11">
                  <c:v>2290423.5014821715</c:v>
                </c:pt>
                <c:pt idx="12">
                  <c:v>2290423.5014821715</c:v>
                </c:pt>
                <c:pt idx="13">
                  <c:v>2290423.5014821715</c:v>
                </c:pt>
                <c:pt idx="14">
                  <c:v>2290423.5014821715</c:v>
                </c:pt>
                <c:pt idx="15">
                  <c:v>2290423.5014821715</c:v>
                </c:pt>
                <c:pt idx="16">
                  <c:v>2290423.5014821715</c:v>
                </c:pt>
                <c:pt idx="17">
                  <c:v>2290423.5014821715</c:v>
                </c:pt>
                <c:pt idx="18">
                  <c:v>2290423.5014821715</c:v>
                </c:pt>
                <c:pt idx="19">
                  <c:v>2290423.5014821715</c:v>
                </c:pt>
                <c:pt idx="20">
                  <c:v>2539610.855080226</c:v>
                </c:pt>
                <c:pt idx="21">
                  <c:v>2539610.855080226</c:v>
                </c:pt>
                <c:pt idx="22">
                  <c:v>2539610.855080226</c:v>
                </c:pt>
                <c:pt idx="23">
                  <c:v>2539610.855080226</c:v>
                </c:pt>
                <c:pt idx="24">
                  <c:v>2539610.855080226</c:v>
                </c:pt>
                <c:pt idx="25">
                  <c:v>2539610.855080226</c:v>
                </c:pt>
                <c:pt idx="26">
                  <c:v>2539610.855080226</c:v>
                </c:pt>
                <c:pt idx="27">
                  <c:v>2539610.855080226</c:v>
                </c:pt>
                <c:pt idx="28">
                  <c:v>2539610.855080226</c:v>
                </c:pt>
                <c:pt idx="29">
                  <c:v>2539610.855080226</c:v>
                </c:pt>
                <c:pt idx="30">
                  <c:v>2539610.855080226</c:v>
                </c:pt>
                <c:pt idx="31">
                  <c:v>2539610.855080226</c:v>
                </c:pt>
                <c:pt idx="32">
                  <c:v>2539610.855080226</c:v>
                </c:pt>
                <c:pt idx="33">
                  <c:v>2539610.855080226</c:v>
                </c:pt>
                <c:pt idx="34">
                  <c:v>2539610.855080226</c:v>
                </c:pt>
                <c:pt idx="35">
                  <c:v>2539610.855080226</c:v>
                </c:pt>
                <c:pt idx="36">
                  <c:v>2539610.855080226</c:v>
                </c:pt>
                <c:pt idx="37">
                  <c:v>2539610.855080226</c:v>
                </c:pt>
                <c:pt idx="38">
                  <c:v>2824396.4020494311</c:v>
                </c:pt>
                <c:pt idx="39">
                  <c:v>2824396.4020494311</c:v>
                </c:pt>
                <c:pt idx="40">
                  <c:v>2824396.4020494311</c:v>
                </c:pt>
                <c:pt idx="41">
                  <c:v>2824396.4020494311</c:v>
                </c:pt>
                <c:pt idx="42">
                  <c:v>2824396.4020494311</c:v>
                </c:pt>
                <c:pt idx="43">
                  <c:v>2824396.4020494311</c:v>
                </c:pt>
                <c:pt idx="44">
                  <c:v>2824396.4020494311</c:v>
                </c:pt>
                <c:pt idx="45">
                  <c:v>2824396.4020494311</c:v>
                </c:pt>
                <c:pt idx="46">
                  <c:v>2824396.4020494311</c:v>
                </c:pt>
                <c:pt idx="47">
                  <c:v>2824396.4020494311</c:v>
                </c:pt>
                <c:pt idx="48">
                  <c:v>2824396.4020494311</c:v>
                </c:pt>
                <c:pt idx="49">
                  <c:v>2824396.4020494311</c:v>
                </c:pt>
                <c:pt idx="50">
                  <c:v>2824396.4020494311</c:v>
                </c:pt>
                <c:pt idx="51">
                  <c:v>2824396.4020494311</c:v>
                </c:pt>
                <c:pt idx="52">
                  <c:v>2824396.4020494311</c:v>
                </c:pt>
                <c:pt idx="53">
                  <c:v>2824396.4020494311</c:v>
                </c:pt>
                <c:pt idx="54">
                  <c:v>2824396.4020494311</c:v>
                </c:pt>
                <c:pt idx="55">
                  <c:v>2824396.4020494311</c:v>
                </c:pt>
                <c:pt idx="56">
                  <c:v>3162579.2390753618</c:v>
                </c:pt>
                <c:pt idx="57">
                  <c:v>3162579.2390753618</c:v>
                </c:pt>
                <c:pt idx="58">
                  <c:v>2539610.855080226</c:v>
                </c:pt>
                <c:pt idx="59">
                  <c:v>2539610.855080226</c:v>
                </c:pt>
                <c:pt idx="60">
                  <c:v>2539610.855080226</c:v>
                </c:pt>
                <c:pt idx="61">
                  <c:v>2539610.855080226</c:v>
                </c:pt>
                <c:pt idx="62">
                  <c:v>2539610.855080226</c:v>
                </c:pt>
                <c:pt idx="63">
                  <c:v>2539610.855080226</c:v>
                </c:pt>
                <c:pt idx="64">
                  <c:v>2539610.855080226</c:v>
                </c:pt>
                <c:pt idx="65">
                  <c:v>2539610.855080226</c:v>
                </c:pt>
                <c:pt idx="66">
                  <c:v>2539610.855080226</c:v>
                </c:pt>
                <c:pt idx="67">
                  <c:v>2539610.855080226</c:v>
                </c:pt>
                <c:pt idx="68">
                  <c:v>2824396.4020494311</c:v>
                </c:pt>
                <c:pt idx="69">
                  <c:v>3162579.2390753618</c:v>
                </c:pt>
                <c:pt idx="70">
                  <c:v>3162579.2390753618</c:v>
                </c:pt>
                <c:pt idx="71">
                  <c:v>3162579.2390753618</c:v>
                </c:pt>
                <c:pt idx="72">
                  <c:v>3162579.2390753618</c:v>
                </c:pt>
                <c:pt idx="73">
                  <c:v>3545259.8178152312</c:v>
                </c:pt>
                <c:pt idx="74">
                  <c:v>3545259.8178152312</c:v>
                </c:pt>
                <c:pt idx="75">
                  <c:v>3981337.6866118261</c:v>
                </c:pt>
                <c:pt idx="76">
                  <c:v>3981337.6866118261</c:v>
                </c:pt>
                <c:pt idx="77">
                  <c:v>3981337.6866118261</c:v>
                </c:pt>
                <c:pt idx="78">
                  <c:v>3981337.6866118261</c:v>
                </c:pt>
                <c:pt idx="79">
                  <c:v>3981337.6866118261</c:v>
                </c:pt>
                <c:pt idx="80">
                  <c:v>3981337.6866118261</c:v>
                </c:pt>
                <c:pt idx="81">
                  <c:v>3981337.6866118261</c:v>
                </c:pt>
                <c:pt idx="82">
                  <c:v>3981337.6866118261</c:v>
                </c:pt>
                <c:pt idx="83">
                  <c:v>3981337.6866118261</c:v>
                </c:pt>
                <c:pt idx="84">
                  <c:v>3981337.6866118261</c:v>
                </c:pt>
                <c:pt idx="85">
                  <c:v>3981337.6866118261</c:v>
                </c:pt>
                <c:pt idx="86">
                  <c:v>3981337.6866118261</c:v>
                </c:pt>
                <c:pt idx="87">
                  <c:v>3981337.6866118261</c:v>
                </c:pt>
                <c:pt idx="88">
                  <c:v>3981337.6866118261</c:v>
                </c:pt>
                <c:pt idx="89">
                  <c:v>3981337.6866118261</c:v>
                </c:pt>
                <c:pt idx="90">
                  <c:v>3981337.6866118261</c:v>
                </c:pt>
                <c:pt idx="91">
                  <c:v>3981337.6866118261</c:v>
                </c:pt>
                <c:pt idx="92">
                  <c:v>3981337.6866118261</c:v>
                </c:pt>
                <c:pt idx="93">
                  <c:v>4630964.5008789422</c:v>
                </c:pt>
                <c:pt idx="94">
                  <c:v>4630964.5008789422</c:v>
                </c:pt>
                <c:pt idx="95">
                  <c:v>4630964.5008789422</c:v>
                </c:pt>
                <c:pt idx="96">
                  <c:v>4630964.5008789422</c:v>
                </c:pt>
                <c:pt idx="97">
                  <c:v>4630964.5008789422</c:v>
                </c:pt>
                <c:pt idx="98">
                  <c:v>4630964.5008789422</c:v>
                </c:pt>
                <c:pt idx="99">
                  <c:v>4630964.5008789422</c:v>
                </c:pt>
                <c:pt idx="100">
                  <c:v>4630964.5008789422</c:v>
                </c:pt>
                <c:pt idx="101">
                  <c:v>4630964.5008789422</c:v>
                </c:pt>
                <c:pt idx="102">
                  <c:v>4630964.5008789422</c:v>
                </c:pt>
                <c:pt idx="103">
                  <c:v>4630964.5008789422</c:v>
                </c:pt>
                <c:pt idx="104">
                  <c:v>4630964.5008789422</c:v>
                </c:pt>
                <c:pt idx="105">
                  <c:v>4630964.5008789422</c:v>
                </c:pt>
                <c:pt idx="106">
                  <c:v>4630964.5008789422</c:v>
                </c:pt>
                <c:pt idx="107">
                  <c:v>4630964.5008789422</c:v>
                </c:pt>
                <c:pt idx="108">
                  <c:v>4630964.5008789422</c:v>
                </c:pt>
                <c:pt idx="109">
                  <c:v>4630964.5008789422</c:v>
                </c:pt>
                <c:pt idx="110">
                  <c:v>4630964.5008789422</c:v>
                </c:pt>
                <c:pt idx="111">
                  <c:v>4630964.5008789422</c:v>
                </c:pt>
                <c:pt idx="112">
                  <c:v>4630964.5008789422</c:v>
                </c:pt>
                <c:pt idx="113">
                  <c:v>4630964.5008789422</c:v>
                </c:pt>
                <c:pt idx="114">
                  <c:v>4630964.5008789422</c:v>
                </c:pt>
                <c:pt idx="115">
                  <c:v>5511936.8438798795</c:v>
                </c:pt>
                <c:pt idx="116">
                  <c:v>5511936.8438798795</c:v>
                </c:pt>
                <c:pt idx="117">
                  <c:v>5511936.8438798795</c:v>
                </c:pt>
                <c:pt idx="118">
                  <c:v>5511936.8438798795</c:v>
                </c:pt>
                <c:pt idx="119">
                  <c:v>6513041.7791082179</c:v>
                </c:pt>
                <c:pt idx="120">
                  <c:v>6513041.7791082179</c:v>
                </c:pt>
                <c:pt idx="121">
                  <c:v>6513041.7791082179</c:v>
                </c:pt>
                <c:pt idx="122">
                  <c:v>6513041.7791082179</c:v>
                </c:pt>
                <c:pt idx="123">
                  <c:v>6513041.7791082179</c:v>
                </c:pt>
                <c:pt idx="124">
                  <c:v>6513041.7791082179</c:v>
                </c:pt>
                <c:pt idx="125">
                  <c:v>6513041.7791082179</c:v>
                </c:pt>
                <c:pt idx="126">
                  <c:v>6513041.7791082179</c:v>
                </c:pt>
                <c:pt idx="127">
                  <c:v>8773176.0042094775</c:v>
                </c:pt>
                <c:pt idx="128">
                  <c:v>8773176.0042094775</c:v>
                </c:pt>
                <c:pt idx="129">
                  <c:v>8773176.0042094775</c:v>
                </c:pt>
                <c:pt idx="130">
                  <c:v>8773176.0042094775</c:v>
                </c:pt>
                <c:pt idx="131">
                  <c:v>8773176.0042094775</c:v>
                </c:pt>
                <c:pt idx="132">
                  <c:v>8773176.0042094775</c:v>
                </c:pt>
                <c:pt idx="133">
                  <c:v>8773176.0042094775</c:v>
                </c:pt>
                <c:pt idx="134">
                  <c:v>8773176.0042094775</c:v>
                </c:pt>
                <c:pt idx="135">
                  <c:v>13646500.84251426</c:v>
                </c:pt>
                <c:pt idx="136">
                  <c:v>25706749.179733165</c:v>
                </c:pt>
                <c:pt idx="137">
                  <c:v>25706749.179733165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41655812.286912456</c:v>
                </c:pt>
                <c:pt idx="14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AB-4A59-AFF0-C712F671713F}"/>
            </c:ext>
          </c:extLst>
        </c:ser>
        <c:ser>
          <c:idx val="2"/>
          <c:order val="2"/>
          <c:tx>
            <c:v>Límite 120%</c:v>
          </c:tx>
          <c:spPr>
            <a:ln w="19050" cap="rnd">
              <a:solidFill>
                <a:schemeClr val="tx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'Base de Datos'!$U$8:$U$157</c:f>
              <c:numCache>
                <c:formatCode>#,##0_);[Red]\(#,##0\)</c:formatCode>
                <c:ptCount val="150"/>
                <c:pt idx="0">
                  <c:v>143</c:v>
                </c:pt>
                <c:pt idx="1">
                  <c:v>143</c:v>
                </c:pt>
                <c:pt idx="2">
                  <c:v>164</c:v>
                </c:pt>
                <c:pt idx="3">
                  <c:v>164</c:v>
                </c:pt>
                <c:pt idx="4">
                  <c:v>164</c:v>
                </c:pt>
                <c:pt idx="5">
                  <c:v>164</c:v>
                </c:pt>
                <c:pt idx="6">
                  <c:v>164</c:v>
                </c:pt>
                <c:pt idx="7">
                  <c:v>164</c:v>
                </c:pt>
                <c:pt idx="8">
                  <c:v>164</c:v>
                </c:pt>
                <c:pt idx="9">
                  <c:v>189</c:v>
                </c:pt>
                <c:pt idx="10">
                  <c:v>189</c:v>
                </c:pt>
                <c:pt idx="11">
                  <c:v>189</c:v>
                </c:pt>
                <c:pt idx="12">
                  <c:v>189</c:v>
                </c:pt>
                <c:pt idx="13">
                  <c:v>189</c:v>
                </c:pt>
                <c:pt idx="14">
                  <c:v>189</c:v>
                </c:pt>
                <c:pt idx="15">
                  <c:v>189</c:v>
                </c:pt>
                <c:pt idx="16">
                  <c:v>189</c:v>
                </c:pt>
                <c:pt idx="17">
                  <c:v>189</c:v>
                </c:pt>
                <c:pt idx="18">
                  <c:v>189</c:v>
                </c:pt>
                <c:pt idx="19">
                  <c:v>189</c:v>
                </c:pt>
                <c:pt idx="20">
                  <c:v>217</c:v>
                </c:pt>
                <c:pt idx="21">
                  <c:v>217</c:v>
                </c:pt>
                <c:pt idx="22">
                  <c:v>217</c:v>
                </c:pt>
                <c:pt idx="23">
                  <c:v>217</c:v>
                </c:pt>
                <c:pt idx="24">
                  <c:v>217</c:v>
                </c:pt>
                <c:pt idx="25">
                  <c:v>217</c:v>
                </c:pt>
                <c:pt idx="26">
                  <c:v>217</c:v>
                </c:pt>
                <c:pt idx="27">
                  <c:v>217</c:v>
                </c:pt>
                <c:pt idx="28">
                  <c:v>217</c:v>
                </c:pt>
                <c:pt idx="29">
                  <c:v>217</c:v>
                </c:pt>
                <c:pt idx="30">
                  <c:v>217</c:v>
                </c:pt>
                <c:pt idx="31">
                  <c:v>217</c:v>
                </c:pt>
                <c:pt idx="32">
                  <c:v>217</c:v>
                </c:pt>
                <c:pt idx="33">
                  <c:v>217</c:v>
                </c:pt>
                <c:pt idx="34">
                  <c:v>217</c:v>
                </c:pt>
                <c:pt idx="35">
                  <c:v>217</c:v>
                </c:pt>
                <c:pt idx="36">
                  <c:v>217</c:v>
                </c:pt>
                <c:pt idx="37">
                  <c:v>217</c:v>
                </c:pt>
                <c:pt idx="38">
                  <c:v>249</c:v>
                </c:pt>
                <c:pt idx="39">
                  <c:v>249</c:v>
                </c:pt>
                <c:pt idx="40">
                  <c:v>249</c:v>
                </c:pt>
                <c:pt idx="41">
                  <c:v>249</c:v>
                </c:pt>
                <c:pt idx="42">
                  <c:v>249</c:v>
                </c:pt>
                <c:pt idx="43">
                  <c:v>249</c:v>
                </c:pt>
                <c:pt idx="44">
                  <c:v>249</c:v>
                </c:pt>
                <c:pt idx="45">
                  <c:v>249</c:v>
                </c:pt>
                <c:pt idx="46">
                  <c:v>249</c:v>
                </c:pt>
                <c:pt idx="47">
                  <c:v>249</c:v>
                </c:pt>
                <c:pt idx="48">
                  <c:v>249</c:v>
                </c:pt>
                <c:pt idx="49">
                  <c:v>249</c:v>
                </c:pt>
                <c:pt idx="50">
                  <c:v>249</c:v>
                </c:pt>
                <c:pt idx="51">
                  <c:v>249</c:v>
                </c:pt>
                <c:pt idx="52">
                  <c:v>249</c:v>
                </c:pt>
                <c:pt idx="53">
                  <c:v>249</c:v>
                </c:pt>
                <c:pt idx="54">
                  <c:v>249</c:v>
                </c:pt>
                <c:pt idx="55">
                  <c:v>249</c:v>
                </c:pt>
                <c:pt idx="56">
                  <c:v>287</c:v>
                </c:pt>
                <c:pt idx="57">
                  <c:v>287</c:v>
                </c:pt>
                <c:pt idx="58">
                  <c:v>217</c:v>
                </c:pt>
                <c:pt idx="59">
                  <c:v>217</c:v>
                </c:pt>
                <c:pt idx="60">
                  <c:v>217</c:v>
                </c:pt>
                <c:pt idx="61">
                  <c:v>217</c:v>
                </c:pt>
                <c:pt idx="62">
                  <c:v>217</c:v>
                </c:pt>
                <c:pt idx="63">
                  <c:v>217</c:v>
                </c:pt>
                <c:pt idx="64">
                  <c:v>217</c:v>
                </c:pt>
                <c:pt idx="65">
                  <c:v>217</c:v>
                </c:pt>
                <c:pt idx="66">
                  <c:v>217</c:v>
                </c:pt>
                <c:pt idx="67">
                  <c:v>217</c:v>
                </c:pt>
                <c:pt idx="68">
                  <c:v>249</c:v>
                </c:pt>
                <c:pt idx="69">
                  <c:v>287</c:v>
                </c:pt>
                <c:pt idx="70">
                  <c:v>287</c:v>
                </c:pt>
                <c:pt idx="71">
                  <c:v>287</c:v>
                </c:pt>
                <c:pt idx="72">
                  <c:v>287</c:v>
                </c:pt>
                <c:pt idx="73">
                  <c:v>330</c:v>
                </c:pt>
                <c:pt idx="74">
                  <c:v>330</c:v>
                </c:pt>
                <c:pt idx="75">
                  <c:v>379</c:v>
                </c:pt>
                <c:pt idx="76">
                  <c:v>379</c:v>
                </c:pt>
                <c:pt idx="77">
                  <c:v>379</c:v>
                </c:pt>
                <c:pt idx="78">
                  <c:v>379</c:v>
                </c:pt>
                <c:pt idx="79">
                  <c:v>379</c:v>
                </c:pt>
                <c:pt idx="80">
                  <c:v>379</c:v>
                </c:pt>
                <c:pt idx="81">
                  <c:v>379</c:v>
                </c:pt>
                <c:pt idx="82">
                  <c:v>379</c:v>
                </c:pt>
                <c:pt idx="83">
                  <c:v>379</c:v>
                </c:pt>
                <c:pt idx="84">
                  <c:v>379</c:v>
                </c:pt>
                <c:pt idx="85">
                  <c:v>379</c:v>
                </c:pt>
                <c:pt idx="86">
                  <c:v>379</c:v>
                </c:pt>
                <c:pt idx="87">
                  <c:v>379</c:v>
                </c:pt>
                <c:pt idx="88">
                  <c:v>379</c:v>
                </c:pt>
                <c:pt idx="89">
                  <c:v>379</c:v>
                </c:pt>
                <c:pt idx="90">
                  <c:v>379</c:v>
                </c:pt>
                <c:pt idx="91">
                  <c:v>379</c:v>
                </c:pt>
                <c:pt idx="92">
                  <c:v>379</c:v>
                </c:pt>
                <c:pt idx="93">
                  <c:v>436</c:v>
                </c:pt>
                <c:pt idx="94">
                  <c:v>436</c:v>
                </c:pt>
                <c:pt idx="95">
                  <c:v>436</c:v>
                </c:pt>
                <c:pt idx="96">
                  <c:v>436</c:v>
                </c:pt>
                <c:pt idx="97">
                  <c:v>436</c:v>
                </c:pt>
                <c:pt idx="98">
                  <c:v>436</c:v>
                </c:pt>
                <c:pt idx="99">
                  <c:v>436</c:v>
                </c:pt>
                <c:pt idx="100">
                  <c:v>436</c:v>
                </c:pt>
                <c:pt idx="101">
                  <c:v>436</c:v>
                </c:pt>
                <c:pt idx="102">
                  <c:v>436</c:v>
                </c:pt>
                <c:pt idx="103">
                  <c:v>436</c:v>
                </c:pt>
                <c:pt idx="104">
                  <c:v>436</c:v>
                </c:pt>
                <c:pt idx="105">
                  <c:v>436</c:v>
                </c:pt>
                <c:pt idx="106">
                  <c:v>436</c:v>
                </c:pt>
                <c:pt idx="107">
                  <c:v>436</c:v>
                </c:pt>
                <c:pt idx="108">
                  <c:v>436</c:v>
                </c:pt>
                <c:pt idx="109">
                  <c:v>436</c:v>
                </c:pt>
                <c:pt idx="110">
                  <c:v>436</c:v>
                </c:pt>
                <c:pt idx="111">
                  <c:v>436</c:v>
                </c:pt>
                <c:pt idx="112">
                  <c:v>436</c:v>
                </c:pt>
                <c:pt idx="113">
                  <c:v>436</c:v>
                </c:pt>
                <c:pt idx="114">
                  <c:v>436</c:v>
                </c:pt>
                <c:pt idx="115">
                  <c:v>502</c:v>
                </c:pt>
                <c:pt idx="116">
                  <c:v>502</c:v>
                </c:pt>
                <c:pt idx="117">
                  <c:v>502</c:v>
                </c:pt>
                <c:pt idx="118">
                  <c:v>502</c:v>
                </c:pt>
                <c:pt idx="119">
                  <c:v>577</c:v>
                </c:pt>
                <c:pt idx="120">
                  <c:v>577</c:v>
                </c:pt>
                <c:pt idx="121">
                  <c:v>577</c:v>
                </c:pt>
                <c:pt idx="122">
                  <c:v>577</c:v>
                </c:pt>
                <c:pt idx="123">
                  <c:v>577</c:v>
                </c:pt>
                <c:pt idx="124">
                  <c:v>577</c:v>
                </c:pt>
                <c:pt idx="125">
                  <c:v>577</c:v>
                </c:pt>
                <c:pt idx="126">
                  <c:v>577</c:v>
                </c:pt>
                <c:pt idx="127">
                  <c:v>663</c:v>
                </c:pt>
                <c:pt idx="128">
                  <c:v>663</c:v>
                </c:pt>
                <c:pt idx="129">
                  <c:v>663</c:v>
                </c:pt>
                <c:pt idx="130">
                  <c:v>663</c:v>
                </c:pt>
                <c:pt idx="131">
                  <c:v>663</c:v>
                </c:pt>
                <c:pt idx="132">
                  <c:v>663</c:v>
                </c:pt>
                <c:pt idx="133">
                  <c:v>663</c:v>
                </c:pt>
                <c:pt idx="134">
                  <c:v>663</c:v>
                </c:pt>
                <c:pt idx="135">
                  <c:v>762</c:v>
                </c:pt>
                <c:pt idx="136">
                  <c:v>1007</c:v>
                </c:pt>
                <c:pt idx="137">
                  <c:v>1007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1331</c:v>
                </c:pt>
                <c:pt idx="149">
                  <c:v>#N/A</c:v>
                </c:pt>
              </c:numCache>
            </c:numRef>
          </c:xVal>
          <c:yVal>
            <c:numRef>
              <c:f>'Base de Datos'!$DT$8:$DT$157</c:f>
              <c:numCache>
                <c:formatCode>#,##0</c:formatCode>
                <c:ptCount val="150"/>
                <c:pt idx="0">
                  <c:v>2821566.4165709079</c:v>
                </c:pt>
                <c:pt idx="1">
                  <c:v>2821566.4165709079</c:v>
                </c:pt>
                <c:pt idx="2">
                  <c:v>3101902.1893687192</c:v>
                </c:pt>
                <c:pt idx="3">
                  <c:v>3101902.1893687192</c:v>
                </c:pt>
                <c:pt idx="4">
                  <c:v>3101902.1893687192</c:v>
                </c:pt>
                <c:pt idx="5">
                  <c:v>3101902.1893687192</c:v>
                </c:pt>
                <c:pt idx="6">
                  <c:v>3101902.1893687192</c:v>
                </c:pt>
                <c:pt idx="7">
                  <c:v>3101902.1893687192</c:v>
                </c:pt>
                <c:pt idx="8">
                  <c:v>3101902.1893687192</c:v>
                </c:pt>
                <c:pt idx="9">
                  <c:v>3435635.2522232565</c:v>
                </c:pt>
                <c:pt idx="10">
                  <c:v>3435635.2522232565</c:v>
                </c:pt>
                <c:pt idx="11">
                  <c:v>3435635.2522232565</c:v>
                </c:pt>
                <c:pt idx="12">
                  <c:v>3435635.2522232565</c:v>
                </c:pt>
                <c:pt idx="13">
                  <c:v>3435635.2522232565</c:v>
                </c:pt>
                <c:pt idx="14">
                  <c:v>3435635.2522232565</c:v>
                </c:pt>
                <c:pt idx="15">
                  <c:v>3435635.2522232565</c:v>
                </c:pt>
                <c:pt idx="16">
                  <c:v>3435635.2522232565</c:v>
                </c:pt>
                <c:pt idx="17">
                  <c:v>3435635.2522232565</c:v>
                </c:pt>
                <c:pt idx="18">
                  <c:v>3435635.2522232565</c:v>
                </c:pt>
                <c:pt idx="19">
                  <c:v>3435635.2522232565</c:v>
                </c:pt>
                <c:pt idx="20">
                  <c:v>3809416.2826203383</c:v>
                </c:pt>
                <c:pt idx="21">
                  <c:v>3809416.2826203383</c:v>
                </c:pt>
                <c:pt idx="22">
                  <c:v>3809416.2826203383</c:v>
                </c:pt>
                <c:pt idx="23">
                  <c:v>3809416.2826203383</c:v>
                </c:pt>
                <c:pt idx="24">
                  <c:v>3809416.2826203383</c:v>
                </c:pt>
                <c:pt idx="25">
                  <c:v>3809416.2826203383</c:v>
                </c:pt>
                <c:pt idx="26">
                  <c:v>3809416.2826203383</c:v>
                </c:pt>
                <c:pt idx="27">
                  <c:v>3809416.2826203383</c:v>
                </c:pt>
                <c:pt idx="28">
                  <c:v>3809416.2826203383</c:v>
                </c:pt>
                <c:pt idx="29">
                  <c:v>3809416.2826203383</c:v>
                </c:pt>
                <c:pt idx="30">
                  <c:v>3809416.2826203383</c:v>
                </c:pt>
                <c:pt idx="31">
                  <c:v>3809416.2826203383</c:v>
                </c:pt>
                <c:pt idx="32">
                  <c:v>3809416.2826203383</c:v>
                </c:pt>
                <c:pt idx="33">
                  <c:v>3809416.2826203383</c:v>
                </c:pt>
                <c:pt idx="34">
                  <c:v>3809416.2826203383</c:v>
                </c:pt>
                <c:pt idx="35">
                  <c:v>3809416.2826203383</c:v>
                </c:pt>
                <c:pt idx="36">
                  <c:v>3809416.2826203383</c:v>
                </c:pt>
                <c:pt idx="37">
                  <c:v>3809416.2826203383</c:v>
                </c:pt>
                <c:pt idx="38">
                  <c:v>4236594.6030741464</c:v>
                </c:pt>
                <c:pt idx="39">
                  <c:v>4236594.6030741464</c:v>
                </c:pt>
                <c:pt idx="40">
                  <c:v>4236594.6030741464</c:v>
                </c:pt>
                <c:pt idx="41">
                  <c:v>4236594.6030741464</c:v>
                </c:pt>
                <c:pt idx="42">
                  <c:v>4236594.6030741464</c:v>
                </c:pt>
                <c:pt idx="43">
                  <c:v>4236594.6030741464</c:v>
                </c:pt>
                <c:pt idx="44">
                  <c:v>4236594.6030741464</c:v>
                </c:pt>
                <c:pt idx="45">
                  <c:v>4236594.6030741464</c:v>
                </c:pt>
                <c:pt idx="46">
                  <c:v>4236594.6030741464</c:v>
                </c:pt>
                <c:pt idx="47">
                  <c:v>4236594.6030741464</c:v>
                </c:pt>
                <c:pt idx="48">
                  <c:v>4236594.6030741464</c:v>
                </c:pt>
                <c:pt idx="49">
                  <c:v>4236594.6030741464</c:v>
                </c:pt>
                <c:pt idx="50">
                  <c:v>4236594.6030741464</c:v>
                </c:pt>
                <c:pt idx="51">
                  <c:v>4236594.6030741464</c:v>
                </c:pt>
                <c:pt idx="52">
                  <c:v>4236594.6030741464</c:v>
                </c:pt>
                <c:pt idx="53">
                  <c:v>4236594.6030741464</c:v>
                </c:pt>
                <c:pt idx="54">
                  <c:v>4236594.6030741464</c:v>
                </c:pt>
                <c:pt idx="55">
                  <c:v>4236594.6030741464</c:v>
                </c:pt>
                <c:pt idx="56">
                  <c:v>4743868.8586130422</c:v>
                </c:pt>
                <c:pt idx="57">
                  <c:v>4743868.8586130422</c:v>
                </c:pt>
                <c:pt idx="58">
                  <c:v>3809416.2826203383</c:v>
                </c:pt>
                <c:pt idx="59">
                  <c:v>3809416.2826203383</c:v>
                </c:pt>
                <c:pt idx="60">
                  <c:v>3809416.2826203383</c:v>
                </c:pt>
                <c:pt idx="61">
                  <c:v>3809416.2826203383</c:v>
                </c:pt>
                <c:pt idx="62">
                  <c:v>3809416.2826203383</c:v>
                </c:pt>
                <c:pt idx="63">
                  <c:v>3809416.2826203383</c:v>
                </c:pt>
                <c:pt idx="64">
                  <c:v>3809416.2826203383</c:v>
                </c:pt>
                <c:pt idx="65">
                  <c:v>3809416.2826203383</c:v>
                </c:pt>
                <c:pt idx="66">
                  <c:v>3809416.2826203383</c:v>
                </c:pt>
                <c:pt idx="67">
                  <c:v>3809416.2826203383</c:v>
                </c:pt>
                <c:pt idx="68">
                  <c:v>4236594.6030741464</c:v>
                </c:pt>
                <c:pt idx="69">
                  <c:v>4743868.8586130422</c:v>
                </c:pt>
                <c:pt idx="70">
                  <c:v>4743868.8586130422</c:v>
                </c:pt>
                <c:pt idx="71">
                  <c:v>4743868.8586130422</c:v>
                </c:pt>
                <c:pt idx="72">
                  <c:v>4743868.8586130422</c:v>
                </c:pt>
                <c:pt idx="73">
                  <c:v>5317889.7267228458</c:v>
                </c:pt>
                <c:pt idx="74">
                  <c:v>5317889.7267228458</c:v>
                </c:pt>
                <c:pt idx="75">
                  <c:v>5972006.5299177384</c:v>
                </c:pt>
                <c:pt idx="76">
                  <c:v>5972006.5299177384</c:v>
                </c:pt>
                <c:pt idx="77">
                  <c:v>5972006.5299177384</c:v>
                </c:pt>
                <c:pt idx="78">
                  <c:v>5972006.5299177384</c:v>
                </c:pt>
                <c:pt idx="79">
                  <c:v>5972006.5299177384</c:v>
                </c:pt>
                <c:pt idx="80">
                  <c:v>5972006.5299177384</c:v>
                </c:pt>
                <c:pt idx="81">
                  <c:v>5972006.5299177384</c:v>
                </c:pt>
                <c:pt idx="82">
                  <c:v>5972006.5299177384</c:v>
                </c:pt>
                <c:pt idx="83">
                  <c:v>5972006.5299177384</c:v>
                </c:pt>
                <c:pt idx="84">
                  <c:v>5972006.5299177384</c:v>
                </c:pt>
                <c:pt idx="85">
                  <c:v>5972006.5299177384</c:v>
                </c:pt>
                <c:pt idx="86">
                  <c:v>5972006.5299177384</c:v>
                </c:pt>
                <c:pt idx="87">
                  <c:v>5972006.5299177384</c:v>
                </c:pt>
                <c:pt idx="88">
                  <c:v>5972006.5299177384</c:v>
                </c:pt>
                <c:pt idx="89">
                  <c:v>5972006.5299177384</c:v>
                </c:pt>
                <c:pt idx="90">
                  <c:v>5972006.5299177384</c:v>
                </c:pt>
                <c:pt idx="91">
                  <c:v>5972006.5299177384</c:v>
                </c:pt>
                <c:pt idx="92">
                  <c:v>5972006.5299177384</c:v>
                </c:pt>
                <c:pt idx="93">
                  <c:v>6946446.7513184128</c:v>
                </c:pt>
                <c:pt idx="94">
                  <c:v>6946446.7513184128</c:v>
                </c:pt>
                <c:pt idx="95">
                  <c:v>6946446.7513184128</c:v>
                </c:pt>
                <c:pt idx="96">
                  <c:v>6946446.7513184128</c:v>
                </c:pt>
                <c:pt idx="97">
                  <c:v>6946446.7513184128</c:v>
                </c:pt>
                <c:pt idx="98">
                  <c:v>6946446.7513184128</c:v>
                </c:pt>
                <c:pt idx="99">
                  <c:v>6946446.7513184128</c:v>
                </c:pt>
                <c:pt idx="100">
                  <c:v>6946446.7513184128</c:v>
                </c:pt>
                <c:pt idx="101">
                  <c:v>6946446.7513184128</c:v>
                </c:pt>
                <c:pt idx="102">
                  <c:v>6946446.7513184128</c:v>
                </c:pt>
                <c:pt idx="103">
                  <c:v>6946446.7513184128</c:v>
                </c:pt>
                <c:pt idx="104">
                  <c:v>6946446.7513184128</c:v>
                </c:pt>
                <c:pt idx="105">
                  <c:v>6946446.7513184128</c:v>
                </c:pt>
                <c:pt idx="106">
                  <c:v>6946446.7513184128</c:v>
                </c:pt>
                <c:pt idx="107">
                  <c:v>6946446.7513184128</c:v>
                </c:pt>
                <c:pt idx="108">
                  <c:v>6946446.7513184128</c:v>
                </c:pt>
                <c:pt idx="109">
                  <c:v>6946446.7513184128</c:v>
                </c:pt>
                <c:pt idx="110">
                  <c:v>6946446.7513184128</c:v>
                </c:pt>
                <c:pt idx="111">
                  <c:v>6946446.7513184128</c:v>
                </c:pt>
                <c:pt idx="112">
                  <c:v>6946446.7513184128</c:v>
                </c:pt>
                <c:pt idx="113">
                  <c:v>6946446.7513184128</c:v>
                </c:pt>
                <c:pt idx="114">
                  <c:v>6946446.7513184128</c:v>
                </c:pt>
                <c:pt idx="115">
                  <c:v>8267905.2658198187</c:v>
                </c:pt>
                <c:pt idx="116">
                  <c:v>8267905.2658198187</c:v>
                </c:pt>
                <c:pt idx="117">
                  <c:v>8267905.2658198187</c:v>
                </c:pt>
                <c:pt idx="118">
                  <c:v>8267905.2658198187</c:v>
                </c:pt>
                <c:pt idx="119">
                  <c:v>9769562.6686623264</c:v>
                </c:pt>
                <c:pt idx="120">
                  <c:v>9769562.6686623264</c:v>
                </c:pt>
                <c:pt idx="121">
                  <c:v>9769562.6686623264</c:v>
                </c:pt>
                <c:pt idx="122">
                  <c:v>9769562.6686623264</c:v>
                </c:pt>
                <c:pt idx="123">
                  <c:v>9769562.6686623264</c:v>
                </c:pt>
                <c:pt idx="124">
                  <c:v>9769562.6686623264</c:v>
                </c:pt>
                <c:pt idx="125">
                  <c:v>9769562.6686623264</c:v>
                </c:pt>
                <c:pt idx="126">
                  <c:v>9769562.6686623264</c:v>
                </c:pt>
                <c:pt idx="127">
                  <c:v>13159764.006314214</c:v>
                </c:pt>
                <c:pt idx="128">
                  <c:v>13159764.006314214</c:v>
                </c:pt>
                <c:pt idx="129">
                  <c:v>13159764.006314214</c:v>
                </c:pt>
                <c:pt idx="130">
                  <c:v>13159764.006314214</c:v>
                </c:pt>
                <c:pt idx="131">
                  <c:v>13159764.006314214</c:v>
                </c:pt>
                <c:pt idx="132">
                  <c:v>13159764.006314214</c:v>
                </c:pt>
                <c:pt idx="133">
                  <c:v>13159764.006314214</c:v>
                </c:pt>
                <c:pt idx="134">
                  <c:v>13159764.006314214</c:v>
                </c:pt>
                <c:pt idx="135">
                  <c:v>20469751.263771389</c:v>
                </c:pt>
                <c:pt idx="136">
                  <c:v>38560123.769599743</c:v>
                </c:pt>
                <c:pt idx="137">
                  <c:v>38560123.769599743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62483718.430368677</c:v>
                </c:pt>
                <c:pt idx="14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AB-4A59-AFF0-C712F6717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327744"/>
        <c:axId val="309604736"/>
      </c:scatterChart>
      <c:scatterChart>
        <c:scatterStyle val="lineMarker"/>
        <c:varyColors val="0"/>
        <c:ser>
          <c:idx val="3"/>
          <c:order val="3"/>
          <c:tx>
            <c:v>Compensación Total Actual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tx2">
                  <a:lumMod val="75000"/>
                  <a:alpha val="37000"/>
                </a:schemeClr>
              </a:solidFill>
              <a:ln w="6350">
                <a:noFill/>
              </a:ln>
              <a:effectLst/>
            </c:spPr>
          </c:marker>
          <c:xVal>
            <c:numRef>
              <c:f>'Base de Datos'!$Q$8:$Q$157</c:f>
              <c:numCache>
                <c:formatCode>#,##0_);[Red]\(#,##0\)</c:formatCode>
                <c:ptCount val="150"/>
                <c:pt idx="0">
                  <c:v>138</c:v>
                </c:pt>
                <c:pt idx="1">
                  <c:v>142</c:v>
                </c:pt>
                <c:pt idx="2">
                  <c:v>168</c:v>
                </c:pt>
                <c:pt idx="3">
                  <c:v>168</c:v>
                </c:pt>
                <c:pt idx="4">
                  <c:v>168</c:v>
                </c:pt>
                <c:pt idx="5">
                  <c:v>168</c:v>
                </c:pt>
                <c:pt idx="6">
                  <c:v>168</c:v>
                </c:pt>
                <c:pt idx="7">
                  <c:v>168</c:v>
                </c:pt>
                <c:pt idx="8">
                  <c:v>168</c:v>
                </c:pt>
                <c:pt idx="9">
                  <c:v>192</c:v>
                </c:pt>
                <c:pt idx="10">
                  <c:v>192</c:v>
                </c:pt>
                <c:pt idx="11">
                  <c:v>192</c:v>
                </c:pt>
                <c:pt idx="12">
                  <c:v>193</c:v>
                </c:pt>
                <c:pt idx="13">
                  <c:v>199</c:v>
                </c:pt>
                <c:pt idx="14">
                  <c:v>199</c:v>
                </c:pt>
                <c:pt idx="15">
                  <c:v>199</c:v>
                </c:pt>
                <c:pt idx="16">
                  <c:v>199</c:v>
                </c:pt>
                <c:pt idx="17">
                  <c:v>199</c:v>
                </c:pt>
                <c:pt idx="18">
                  <c:v>199</c:v>
                </c:pt>
                <c:pt idx="19">
                  <c:v>200</c:v>
                </c:pt>
                <c:pt idx="20">
                  <c:v>204</c:v>
                </c:pt>
                <c:pt idx="21">
                  <c:v>204</c:v>
                </c:pt>
                <c:pt idx="22">
                  <c:v>204</c:v>
                </c:pt>
                <c:pt idx="23">
                  <c:v>204</c:v>
                </c:pt>
                <c:pt idx="24">
                  <c:v>208</c:v>
                </c:pt>
                <c:pt idx="25">
                  <c:v>209</c:v>
                </c:pt>
                <c:pt idx="26">
                  <c:v>211</c:v>
                </c:pt>
                <c:pt idx="27">
                  <c:v>212</c:v>
                </c:pt>
                <c:pt idx="28">
                  <c:v>212</c:v>
                </c:pt>
                <c:pt idx="29">
                  <c:v>213</c:v>
                </c:pt>
                <c:pt idx="30">
                  <c:v>217</c:v>
                </c:pt>
                <c:pt idx="31">
                  <c:v>217</c:v>
                </c:pt>
                <c:pt idx="32">
                  <c:v>217</c:v>
                </c:pt>
                <c:pt idx="33">
                  <c:v>224</c:v>
                </c:pt>
                <c:pt idx="34">
                  <c:v>224</c:v>
                </c:pt>
                <c:pt idx="35">
                  <c:v>224</c:v>
                </c:pt>
                <c:pt idx="36">
                  <c:v>224</c:v>
                </c:pt>
                <c:pt idx="37">
                  <c:v>227</c:v>
                </c:pt>
                <c:pt idx="38">
                  <c:v>231</c:v>
                </c:pt>
                <c:pt idx="39">
                  <c:v>231</c:v>
                </c:pt>
                <c:pt idx="40">
                  <c:v>231</c:v>
                </c:pt>
                <c:pt idx="41">
                  <c:v>231</c:v>
                </c:pt>
                <c:pt idx="42">
                  <c:v>231</c:v>
                </c:pt>
                <c:pt idx="43">
                  <c:v>231</c:v>
                </c:pt>
                <c:pt idx="44">
                  <c:v>231</c:v>
                </c:pt>
                <c:pt idx="45">
                  <c:v>236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246</c:v>
                </c:pt>
                <c:pt idx="50">
                  <c:v>246</c:v>
                </c:pt>
                <c:pt idx="51">
                  <c:v>248</c:v>
                </c:pt>
                <c:pt idx="52">
                  <c:v>262</c:v>
                </c:pt>
                <c:pt idx="53">
                  <c:v>262</c:v>
                </c:pt>
                <c:pt idx="54">
                  <c:v>262</c:v>
                </c:pt>
                <c:pt idx="55">
                  <c:v>262</c:v>
                </c:pt>
                <c:pt idx="56">
                  <c:v>268</c:v>
                </c:pt>
                <c:pt idx="57">
                  <c:v>268</c:v>
                </c:pt>
                <c:pt idx="58">
                  <c:v>208</c:v>
                </c:pt>
                <c:pt idx="59">
                  <c:v>208</c:v>
                </c:pt>
                <c:pt idx="60">
                  <c:v>208</c:v>
                </c:pt>
                <c:pt idx="61">
                  <c:v>208</c:v>
                </c:pt>
                <c:pt idx="62">
                  <c:v>208</c:v>
                </c:pt>
                <c:pt idx="63">
                  <c:v>208</c:v>
                </c:pt>
                <c:pt idx="64">
                  <c:v>208</c:v>
                </c:pt>
                <c:pt idx="65">
                  <c:v>208</c:v>
                </c:pt>
                <c:pt idx="66">
                  <c:v>208</c:v>
                </c:pt>
                <c:pt idx="67">
                  <c:v>208</c:v>
                </c:pt>
                <c:pt idx="68">
                  <c:v>248</c:v>
                </c:pt>
                <c:pt idx="69">
                  <c:v>300</c:v>
                </c:pt>
                <c:pt idx="70">
                  <c:v>301</c:v>
                </c:pt>
                <c:pt idx="71">
                  <c:v>304</c:v>
                </c:pt>
                <c:pt idx="72">
                  <c:v>304</c:v>
                </c:pt>
                <c:pt idx="73">
                  <c:v>339</c:v>
                </c:pt>
                <c:pt idx="74">
                  <c:v>351</c:v>
                </c:pt>
                <c:pt idx="75">
                  <c:v>357</c:v>
                </c:pt>
                <c:pt idx="76">
                  <c:v>362</c:v>
                </c:pt>
                <c:pt idx="77">
                  <c:v>370</c:v>
                </c:pt>
                <c:pt idx="78">
                  <c:v>370</c:v>
                </c:pt>
                <c:pt idx="79">
                  <c:v>376</c:v>
                </c:pt>
                <c:pt idx="80">
                  <c:v>376</c:v>
                </c:pt>
                <c:pt idx="81">
                  <c:v>381</c:v>
                </c:pt>
                <c:pt idx="82">
                  <c:v>384</c:v>
                </c:pt>
                <c:pt idx="83">
                  <c:v>384</c:v>
                </c:pt>
                <c:pt idx="84">
                  <c:v>396</c:v>
                </c:pt>
                <c:pt idx="85">
                  <c:v>396</c:v>
                </c:pt>
                <c:pt idx="86">
                  <c:v>396</c:v>
                </c:pt>
                <c:pt idx="87">
                  <c:v>396</c:v>
                </c:pt>
                <c:pt idx="88">
                  <c:v>396</c:v>
                </c:pt>
                <c:pt idx="89">
                  <c:v>396</c:v>
                </c:pt>
                <c:pt idx="90">
                  <c:v>396</c:v>
                </c:pt>
                <c:pt idx="91">
                  <c:v>399</c:v>
                </c:pt>
                <c:pt idx="92">
                  <c:v>404</c:v>
                </c:pt>
                <c:pt idx="93">
                  <c:v>408</c:v>
                </c:pt>
                <c:pt idx="94">
                  <c:v>408</c:v>
                </c:pt>
                <c:pt idx="95">
                  <c:v>408</c:v>
                </c:pt>
                <c:pt idx="96">
                  <c:v>408</c:v>
                </c:pt>
                <c:pt idx="97">
                  <c:v>408</c:v>
                </c:pt>
                <c:pt idx="98">
                  <c:v>408</c:v>
                </c:pt>
                <c:pt idx="99">
                  <c:v>408</c:v>
                </c:pt>
                <c:pt idx="100">
                  <c:v>408</c:v>
                </c:pt>
                <c:pt idx="101">
                  <c:v>409</c:v>
                </c:pt>
                <c:pt idx="102">
                  <c:v>410</c:v>
                </c:pt>
                <c:pt idx="103">
                  <c:v>410</c:v>
                </c:pt>
                <c:pt idx="104">
                  <c:v>420</c:v>
                </c:pt>
                <c:pt idx="105">
                  <c:v>420</c:v>
                </c:pt>
                <c:pt idx="106">
                  <c:v>442</c:v>
                </c:pt>
                <c:pt idx="107">
                  <c:v>442</c:v>
                </c:pt>
                <c:pt idx="108">
                  <c:v>442</c:v>
                </c:pt>
                <c:pt idx="109">
                  <c:v>442</c:v>
                </c:pt>
                <c:pt idx="110">
                  <c:v>442</c:v>
                </c:pt>
                <c:pt idx="111">
                  <c:v>452</c:v>
                </c:pt>
                <c:pt idx="112">
                  <c:v>452</c:v>
                </c:pt>
                <c:pt idx="113">
                  <c:v>452</c:v>
                </c:pt>
                <c:pt idx="114">
                  <c:v>457</c:v>
                </c:pt>
                <c:pt idx="115">
                  <c:v>468</c:v>
                </c:pt>
                <c:pt idx="116">
                  <c:v>474</c:v>
                </c:pt>
                <c:pt idx="117">
                  <c:v>478</c:v>
                </c:pt>
                <c:pt idx="118">
                  <c:v>527</c:v>
                </c:pt>
                <c:pt idx="119">
                  <c:v>536</c:v>
                </c:pt>
                <c:pt idx="120">
                  <c:v>540</c:v>
                </c:pt>
                <c:pt idx="121">
                  <c:v>556</c:v>
                </c:pt>
                <c:pt idx="122">
                  <c:v>559</c:v>
                </c:pt>
                <c:pt idx="123">
                  <c:v>559</c:v>
                </c:pt>
                <c:pt idx="124">
                  <c:v>559</c:v>
                </c:pt>
                <c:pt idx="125">
                  <c:v>599</c:v>
                </c:pt>
                <c:pt idx="126">
                  <c:v>610</c:v>
                </c:pt>
                <c:pt idx="127">
                  <c:v>619</c:v>
                </c:pt>
                <c:pt idx="128">
                  <c:v>625</c:v>
                </c:pt>
                <c:pt idx="129">
                  <c:v>632</c:v>
                </c:pt>
                <c:pt idx="130">
                  <c:v>633</c:v>
                </c:pt>
                <c:pt idx="131">
                  <c:v>652</c:v>
                </c:pt>
                <c:pt idx="132">
                  <c:v>655</c:v>
                </c:pt>
                <c:pt idx="133">
                  <c:v>666</c:v>
                </c:pt>
                <c:pt idx="134">
                  <c:v>666</c:v>
                </c:pt>
                <c:pt idx="135">
                  <c:v>805</c:v>
                </c:pt>
                <c:pt idx="136">
                  <c:v>1025</c:v>
                </c:pt>
                <c:pt idx="137">
                  <c:v>1048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1344</c:v>
                </c:pt>
                <c:pt idx="149">
                  <c:v>#N/A</c:v>
                </c:pt>
              </c:numCache>
            </c:numRef>
          </c:xVal>
          <c:yVal>
            <c:numRef>
              <c:f>'Base de Datos'!$AC$8:$AC$157</c:f>
              <c:numCache>
                <c:formatCode>#,##0_);[Red]\(#,##0\)</c:formatCode>
                <c:ptCount val="150"/>
                <c:pt idx="0">
                  <c:v>2295683.1700000004</c:v>
                </c:pt>
                <c:pt idx="1">
                  <c:v>2295683.1700000004</c:v>
                </c:pt>
                <c:pt idx="2">
                  <c:v>2412173.5</c:v>
                </c:pt>
                <c:pt idx="3">
                  <c:v>2412173.5</c:v>
                </c:pt>
                <c:pt idx="4">
                  <c:v>2412173.5</c:v>
                </c:pt>
                <c:pt idx="5">
                  <c:v>2412173.5</c:v>
                </c:pt>
                <c:pt idx="6">
                  <c:v>2412173.5</c:v>
                </c:pt>
                <c:pt idx="7">
                  <c:v>2412173.5</c:v>
                </c:pt>
                <c:pt idx="8">
                  <c:v>2412173.5</c:v>
                </c:pt>
                <c:pt idx="9">
                  <c:v>2706341.0000000005</c:v>
                </c:pt>
                <c:pt idx="10">
                  <c:v>2706341.0000000005</c:v>
                </c:pt>
                <c:pt idx="11">
                  <c:v>2706341.0000000005</c:v>
                </c:pt>
                <c:pt idx="12">
                  <c:v>2295683.1700000004</c:v>
                </c:pt>
                <c:pt idx="13">
                  <c:v>3177009.0000000005</c:v>
                </c:pt>
                <c:pt idx="14">
                  <c:v>3177009.0000000005</c:v>
                </c:pt>
                <c:pt idx="15">
                  <c:v>3177009.0000000005</c:v>
                </c:pt>
                <c:pt idx="16">
                  <c:v>3177009.0000000005</c:v>
                </c:pt>
                <c:pt idx="17">
                  <c:v>3177009.0000000005</c:v>
                </c:pt>
                <c:pt idx="18">
                  <c:v>3177009.0000000005</c:v>
                </c:pt>
                <c:pt idx="19">
                  <c:v>2828714.68</c:v>
                </c:pt>
                <c:pt idx="20">
                  <c:v>2828714.68</c:v>
                </c:pt>
                <c:pt idx="21">
                  <c:v>2828714.68</c:v>
                </c:pt>
                <c:pt idx="22">
                  <c:v>2828714.68</c:v>
                </c:pt>
                <c:pt idx="23">
                  <c:v>2295683.1700000004</c:v>
                </c:pt>
                <c:pt idx="24">
                  <c:v>2536900.52</c:v>
                </c:pt>
                <c:pt idx="25">
                  <c:v>2828714.68</c:v>
                </c:pt>
                <c:pt idx="26">
                  <c:v>3112292.1500000004</c:v>
                </c:pt>
                <c:pt idx="27">
                  <c:v>2828714.68</c:v>
                </c:pt>
                <c:pt idx="28">
                  <c:v>2828714.68</c:v>
                </c:pt>
                <c:pt idx="29">
                  <c:v>2828714.68</c:v>
                </c:pt>
                <c:pt idx="30">
                  <c:v>3218192.45</c:v>
                </c:pt>
                <c:pt idx="31">
                  <c:v>2828714.68</c:v>
                </c:pt>
                <c:pt idx="32">
                  <c:v>2828714.68</c:v>
                </c:pt>
                <c:pt idx="33">
                  <c:v>2536900.52</c:v>
                </c:pt>
                <c:pt idx="34">
                  <c:v>2536900.52</c:v>
                </c:pt>
                <c:pt idx="35">
                  <c:v>2536900.52</c:v>
                </c:pt>
                <c:pt idx="36">
                  <c:v>2828714.68</c:v>
                </c:pt>
                <c:pt idx="37">
                  <c:v>2828714.68</c:v>
                </c:pt>
                <c:pt idx="38">
                  <c:v>3765344.0000000005</c:v>
                </c:pt>
                <c:pt idx="39">
                  <c:v>3765344.0000000005</c:v>
                </c:pt>
                <c:pt idx="40">
                  <c:v>3765344.0000000005</c:v>
                </c:pt>
                <c:pt idx="41">
                  <c:v>3765344.0000000005</c:v>
                </c:pt>
                <c:pt idx="42">
                  <c:v>3765344.0000000005</c:v>
                </c:pt>
                <c:pt idx="43">
                  <c:v>3765344.0000000005</c:v>
                </c:pt>
                <c:pt idx="44">
                  <c:v>3765344.0000000005</c:v>
                </c:pt>
                <c:pt idx="45">
                  <c:v>2828714.68</c:v>
                </c:pt>
                <c:pt idx="46">
                  <c:v>2828714.68</c:v>
                </c:pt>
                <c:pt idx="47">
                  <c:v>2828714.68</c:v>
                </c:pt>
                <c:pt idx="48">
                  <c:v>2828714.68</c:v>
                </c:pt>
                <c:pt idx="49">
                  <c:v>3061695.3400000003</c:v>
                </c:pt>
                <c:pt idx="50">
                  <c:v>2828714.68</c:v>
                </c:pt>
                <c:pt idx="51">
                  <c:v>2828714.68</c:v>
                </c:pt>
                <c:pt idx="52">
                  <c:v>2828714.68</c:v>
                </c:pt>
                <c:pt idx="53">
                  <c:v>2828714.68</c:v>
                </c:pt>
                <c:pt idx="54">
                  <c:v>2828714.68</c:v>
                </c:pt>
                <c:pt idx="55">
                  <c:v>2828714.68</c:v>
                </c:pt>
                <c:pt idx="56">
                  <c:v>2828714.68</c:v>
                </c:pt>
                <c:pt idx="57">
                  <c:v>2828714.68</c:v>
                </c:pt>
                <c:pt idx="58">
                  <c:v>3353509.5000000005</c:v>
                </c:pt>
                <c:pt idx="59">
                  <c:v>3353509.5000000005</c:v>
                </c:pt>
                <c:pt idx="60">
                  <c:v>3353509.5000000005</c:v>
                </c:pt>
                <c:pt idx="61">
                  <c:v>3353509.5000000005</c:v>
                </c:pt>
                <c:pt idx="62">
                  <c:v>3353509.5000000005</c:v>
                </c:pt>
                <c:pt idx="63">
                  <c:v>3353509.5000000005</c:v>
                </c:pt>
                <c:pt idx="64">
                  <c:v>3353509.5000000005</c:v>
                </c:pt>
                <c:pt idx="65">
                  <c:v>3353509.5000000005</c:v>
                </c:pt>
                <c:pt idx="66">
                  <c:v>3353509.5000000005</c:v>
                </c:pt>
                <c:pt idx="67">
                  <c:v>3353509.5000000005</c:v>
                </c:pt>
                <c:pt idx="68">
                  <c:v>2941675.0000000005</c:v>
                </c:pt>
                <c:pt idx="69">
                  <c:v>6763499.1600000001</c:v>
                </c:pt>
                <c:pt idx="70">
                  <c:v>4471346</c:v>
                </c:pt>
                <c:pt idx="71">
                  <c:v>2828714.68</c:v>
                </c:pt>
                <c:pt idx="72">
                  <c:v>2828714.68</c:v>
                </c:pt>
                <c:pt idx="73">
                  <c:v>4457225.96</c:v>
                </c:pt>
                <c:pt idx="74">
                  <c:v>4353679</c:v>
                </c:pt>
                <c:pt idx="75">
                  <c:v>3218192.45</c:v>
                </c:pt>
                <c:pt idx="76">
                  <c:v>4236012</c:v>
                </c:pt>
                <c:pt idx="77">
                  <c:v>5072624.37</c:v>
                </c:pt>
                <c:pt idx="78">
                  <c:v>7441261.080000001</c:v>
                </c:pt>
                <c:pt idx="79">
                  <c:v>5424448.7000000002</c:v>
                </c:pt>
                <c:pt idx="80">
                  <c:v>4745510.1100000003</c:v>
                </c:pt>
                <c:pt idx="81">
                  <c:v>9295693</c:v>
                </c:pt>
                <c:pt idx="82">
                  <c:v>5356201.8400000008</c:v>
                </c:pt>
                <c:pt idx="83">
                  <c:v>4457225.96</c:v>
                </c:pt>
                <c:pt idx="84">
                  <c:v>4745510.1100000003</c:v>
                </c:pt>
                <c:pt idx="85">
                  <c:v>4745510.1100000003</c:v>
                </c:pt>
                <c:pt idx="86">
                  <c:v>4745510.1100000003</c:v>
                </c:pt>
                <c:pt idx="87">
                  <c:v>4745510.1100000003</c:v>
                </c:pt>
                <c:pt idx="88">
                  <c:v>4745510.1100000003</c:v>
                </c:pt>
                <c:pt idx="89">
                  <c:v>4745510.1100000003</c:v>
                </c:pt>
                <c:pt idx="90">
                  <c:v>4745510.1100000003</c:v>
                </c:pt>
                <c:pt idx="91">
                  <c:v>6561111.9200000009</c:v>
                </c:pt>
                <c:pt idx="92">
                  <c:v>6471685.0000000009</c:v>
                </c:pt>
                <c:pt idx="93">
                  <c:v>4745510.1100000003</c:v>
                </c:pt>
                <c:pt idx="94">
                  <c:v>4745510.1100000003</c:v>
                </c:pt>
                <c:pt idx="95">
                  <c:v>4745510.1100000003</c:v>
                </c:pt>
                <c:pt idx="96">
                  <c:v>4745510.1100000003</c:v>
                </c:pt>
                <c:pt idx="97">
                  <c:v>4745510.1100000003</c:v>
                </c:pt>
                <c:pt idx="98">
                  <c:v>4745510.1100000003</c:v>
                </c:pt>
                <c:pt idx="99">
                  <c:v>4745510.1100000003</c:v>
                </c:pt>
                <c:pt idx="100">
                  <c:v>4745510.1100000003</c:v>
                </c:pt>
                <c:pt idx="101">
                  <c:v>7883689</c:v>
                </c:pt>
                <c:pt idx="102">
                  <c:v>5570355.7800000003</c:v>
                </c:pt>
                <c:pt idx="103">
                  <c:v>5818633.1500000004</c:v>
                </c:pt>
                <c:pt idx="104">
                  <c:v>11251318.540000001</c:v>
                </c:pt>
                <c:pt idx="105">
                  <c:v>5424448.7000000002</c:v>
                </c:pt>
                <c:pt idx="106">
                  <c:v>4745510.1100000003</c:v>
                </c:pt>
                <c:pt idx="107">
                  <c:v>4745510.1100000003</c:v>
                </c:pt>
                <c:pt idx="108">
                  <c:v>4745510.1100000003</c:v>
                </c:pt>
                <c:pt idx="109">
                  <c:v>4745510.1100000003</c:v>
                </c:pt>
                <c:pt idx="110">
                  <c:v>4745510.1100000003</c:v>
                </c:pt>
                <c:pt idx="111">
                  <c:v>6023373.7300000004</c:v>
                </c:pt>
                <c:pt idx="112">
                  <c:v>10307629.200000001</c:v>
                </c:pt>
                <c:pt idx="113">
                  <c:v>6354018.0000000009</c:v>
                </c:pt>
                <c:pt idx="114">
                  <c:v>5656252.6900000004</c:v>
                </c:pt>
                <c:pt idx="115">
                  <c:v>6808212.620000001</c:v>
                </c:pt>
                <c:pt idx="116">
                  <c:v>6023373.7300000004</c:v>
                </c:pt>
                <c:pt idx="117">
                  <c:v>7441261.080000001</c:v>
                </c:pt>
                <c:pt idx="118">
                  <c:v>9295693</c:v>
                </c:pt>
                <c:pt idx="119">
                  <c:v>9295693</c:v>
                </c:pt>
                <c:pt idx="120">
                  <c:v>9295693</c:v>
                </c:pt>
                <c:pt idx="121">
                  <c:v>9295693</c:v>
                </c:pt>
                <c:pt idx="122">
                  <c:v>9295693</c:v>
                </c:pt>
                <c:pt idx="123">
                  <c:v>12175004.49</c:v>
                </c:pt>
                <c:pt idx="124">
                  <c:v>6023373.7300000004</c:v>
                </c:pt>
                <c:pt idx="125">
                  <c:v>11477239.180000002</c:v>
                </c:pt>
                <c:pt idx="126">
                  <c:v>9295693</c:v>
                </c:pt>
                <c:pt idx="127">
                  <c:v>9295693</c:v>
                </c:pt>
                <c:pt idx="128">
                  <c:v>13526998.32</c:v>
                </c:pt>
                <c:pt idx="129">
                  <c:v>10253502.380000001</c:v>
                </c:pt>
                <c:pt idx="130">
                  <c:v>13526998.32</c:v>
                </c:pt>
                <c:pt idx="131">
                  <c:v>9363939.8600000013</c:v>
                </c:pt>
                <c:pt idx="132">
                  <c:v>11766700.000000002</c:v>
                </c:pt>
                <c:pt idx="133">
                  <c:v>12133821.040000001</c:v>
                </c:pt>
                <c:pt idx="134">
                  <c:v>8450843.9400000013</c:v>
                </c:pt>
                <c:pt idx="135">
                  <c:v>17586117.596666668</c:v>
                </c:pt>
                <c:pt idx="136">
                  <c:v>28401416.666666664</c:v>
                </c:pt>
                <c:pt idx="137">
                  <c:v>33620000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49110087.455000006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AB-4A59-AFF0-C712F6717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575104"/>
        <c:axId val="309606656"/>
      </c:scatterChart>
      <c:valAx>
        <c:axId val="309327744"/>
        <c:scaling>
          <c:orientation val="minMax"/>
          <c:min val="8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CO" sz="1400" b="1">
                    <a:latin typeface="Arial" panose="020B0604020202020204" pitchFamily="34" charset="0"/>
                    <a:cs typeface="Arial" panose="020B0604020202020204" pitchFamily="34" charset="0"/>
                  </a:rPr>
                  <a:t>Puntos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309604736"/>
        <c:crosses val="autoZero"/>
        <c:crossBetween val="midCat"/>
      </c:valAx>
      <c:valAx>
        <c:axId val="3096047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CO" sz="1400" b="1">
                    <a:latin typeface="Arial" panose="020B0604020202020204" pitchFamily="34" charset="0"/>
                    <a:cs typeface="Arial" panose="020B0604020202020204" pitchFamily="34" charset="0"/>
                  </a:rPr>
                  <a:t>Compensación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309327744"/>
        <c:crosses val="autoZero"/>
        <c:crossBetween val="midCat"/>
        <c:dispUnits>
          <c:builtInUnit val="millions"/>
          <c:dispUnitsLbl>
            <c:txPr>
              <a:bodyPr/>
              <a:lstStyle/>
              <a:p>
                <a:pPr>
                  <a:defRPr sz="1100"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</c:dispUnitsLbl>
        </c:dispUnits>
      </c:valAx>
      <c:valAx>
        <c:axId val="309606656"/>
        <c:scaling>
          <c:orientation val="minMax"/>
        </c:scaling>
        <c:delete val="1"/>
        <c:axPos val="r"/>
        <c:numFmt formatCode="#,##0_);[Red]\(#,##0\)" sourceLinked="1"/>
        <c:majorTickMark val="out"/>
        <c:minorTickMark val="none"/>
        <c:tickLblPos val="nextTo"/>
        <c:crossAx val="310575104"/>
        <c:crosses val="max"/>
        <c:crossBetween val="midCat"/>
      </c:valAx>
      <c:valAx>
        <c:axId val="310575104"/>
        <c:scaling>
          <c:orientation val="minMax"/>
        </c:scaling>
        <c:delete val="1"/>
        <c:axPos val="b"/>
        <c:numFmt formatCode="#,##0_);[Red]\(#,##0\)" sourceLinked="1"/>
        <c:majorTickMark val="out"/>
        <c:minorTickMark val="none"/>
        <c:tickLblPos val="nextTo"/>
        <c:crossAx val="309606656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sz="1800" b="1">
                <a:latin typeface="Arial" panose="020B0604020202020204" pitchFamily="34" charset="0"/>
                <a:cs typeface="Arial" panose="020B0604020202020204" pitchFamily="34" charset="0"/>
              </a:rPr>
              <a:t>Curva</a:t>
            </a:r>
            <a:r>
              <a:rPr lang="es-CO" sz="1800" b="1" baseline="0">
                <a:latin typeface="Arial" panose="020B0604020202020204" pitchFamily="34" charset="0"/>
                <a:cs typeface="Arial" panose="020B0604020202020204" pitchFamily="34" charset="0"/>
              </a:rPr>
              <a:t>s de Competitividad</a:t>
            </a:r>
            <a:endParaRPr lang="es-CO" sz="1800" b="1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258807161164561"/>
          <c:y val="0.13853139458475092"/>
          <c:w val="0.48637398067322257"/>
          <c:h val="0.67706256489843886"/>
        </c:manualLayout>
      </c:layout>
      <c:scatterChart>
        <c:scatterStyle val="smoothMarker"/>
        <c:varyColors val="0"/>
        <c:ser>
          <c:idx val="0"/>
          <c:order val="0"/>
          <c:tx>
            <c:v>Compensación Total Mediana del Mercado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'Base de Datos'!$U$8:$U$157</c:f>
              <c:numCache>
                <c:formatCode>#,##0_);[Red]\(#,##0\)</c:formatCode>
                <c:ptCount val="150"/>
                <c:pt idx="0">
                  <c:v>143</c:v>
                </c:pt>
                <c:pt idx="1">
                  <c:v>143</c:v>
                </c:pt>
                <c:pt idx="2">
                  <c:v>164</c:v>
                </c:pt>
                <c:pt idx="3">
                  <c:v>164</c:v>
                </c:pt>
                <c:pt idx="4">
                  <c:v>164</c:v>
                </c:pt>
                <c:pt idx="5">
                  <c:v>164</c:v>
                </c:pt>
                <c:pt idx="6">
                  <c:v>164</c:v>
                </c:pt>
                <c:pt idx="7">
                  <c:v>164</c:v>
                </c:pt>
                <c:pt idx="8">
                  <c:v>164</c:v>
                </c:pt>
                <c:pt idx="9">
                  <c:v>189</c:v>
                </c:pt>
                <c:pt idx="10">
                  <c:v>189</c:v>
                </c:pt>
                <c:pt idx="11">
                  <c:v>189</c:v>
                </c:pt>
                <c:pt idx="12">
                  <c:v>189</c:v>
                </c:pt>
                <c:pt idx="13">
                  <c:v>189</c:v>
                </c:pt>
                <c:pt idx="14">
                  <c:v>189</c:v>
                </c:pt>
                <c:pt idx="15">
                  <c:v>189</c:v>
                </c:pt>
                <c:pt idx="16">
                  <c:v>189</c:v>
                </c:pt>
                <c:pt idx="17">
                  <c:v>189</c:v>
                </c:pt>
                <c:pt idx="18">
                  <c:v>189</c:v>
                </c:pt>
                <c:pt idx="19">
                  <c:v>189</c:v>
                </c:pt>
                <c:pt idx="20">
                  <c:v>217</c:v>
                </c:pt>
                <c:pt idx="21">
                  <c:v>217</c:v>
                </c:pt>
                <c:pt idx="22">
                  <c:v>217</c:v>
                </c:pt>
                <c:pt idx="23">
                  <c:v>217</c:v>
                </c:pt>
                <c:pt idx="24">
                  <c:v>217</c:v>
                </c:pt>
                <c:pt idx="25">
                  <c:v>217</c:v>
                </c:pt>
                <c:pt idx="26">
                  <c:v>217</c:v>
                </c:pt>
                <c:pt idx="27">
                  <c:v>217</c:v>
                </c:pt>
                <c:pt idx="28">
                  <c:v>217</c:v>
                </c:pt>
                <c:pt idx="29">
                  <c:v>217</c:v>
                </c:pt>
                <c:pt idx="30">
                  <c:v>217</c:v>
                </c:pt>
                <c:pt idx="31">
                  <c:v>217</c:v>
                </c:pt>
                <c:pt idx="32">
                  <c:v>217</c:v>
                </c:pt>
                <c:pt idx="33">
                  <c:v>217</c:v>
                </c:pt>
                <c:pt idx="34">
                  <c:v>217</c:v>
                </c:pt>
                <c:pt idx="35">
                  <c:v>217</c:v>
                </c:pt>
                <c:pt idx="36">
                  <c:v>217</c:v>
                </c:pt>
                <c:pt idx="37">
                  <c:v>217</c:v>
                </c:pt>
                <c:pt idx="38">
                  <c:v>249</c:v>
                </c:pt>
                <c:pt idx="39">
                  <c:v>249</c:v>
                </c:pt>
                <c:pt idx="40">
                  <c:v>249</c:v>
                </c:pt>
                <c:pt idx="41">
                  <c:v>249</c:v>
                </c:pt>
                <c:pt idx="42">
                  <c:v>249</c:v>
                </c:pt>
                <c:pt idx="43">
                  <c:v>249</c:v>
                </c:pt>
                <c:pt idx="44">
                  <c:v>249</c:v>
                </c:pt>
                <c:pt idx="45">
                  <c:v>249</c:v>
                </c:pt>
                <c:pt idx="46">
                  <c:v>249</c:v>
                </c:pt>
                <c:pt idx="47">
                  <c:v>249</c:v>
                </c:pt>
                <c:pt idx="48">
                  <c:v>249</c:v>
                </c:pt>
                <c:pt idx="49">
                  <c:v>249</c:v>
                </c:pt>
                <c:pt idx="50">
                  <c:v>249</c:v>
                </c:pt>
                <c:pt idx="51">
                  <c:v>249</c:v>
                </c:pt>
                <c:pt idx="52">
                  <c:v>249</c:v>
                </c:pt>
                <c:pt idx="53">
                  <c:v>249</c:v>
                </c:pt>
                <c:pt idx="54">
                  <c:v>249</c:v>
                </c:pt>
                <c:pt idx="55">
                  <c:v>249</c:v>
                </c:pt>
                <c:pt idx="56">
                  <c:v>287</c:v>
                </c:pt>
                <c:pt idx="57">
                  <c:v>287</c:v>
                </c:pt>
                <c:pt idx="58">
                  <c:v>217</c:v>
                </c:pt>
                <c:pt idx="59">
                  <c:v>217</c:v>
                </c:pt>
                <c:pt idx="60">
                  <c:v>217</c:v>
                </c:pt>
                <c:pt idx="61">
                  <c:v>217</c:v>
                </c:pt>
                <c:pt idx="62">
                  <c:v>217</c:v>
                </c:pt>
                <c:pt idx="63">
                  <c:v>217</c:v>
                </c:pt>
                <c:pt idx="64">
                  <c:v>217</c:v>
                </c:pt>
                <c:pt idx="65">
                  <c:v>217</c:v>
                </c:pt>
                <c:pt idx="66">
                  <c:v>217</c:v>
                </c:pt>
                <c:pt idx="67">
                  <c:v>217</c:v>
                </c:pt>
                <c:pt idx="68">
                  <c:v>249</c:v>
                </c:pt>
                <c:pt idx="69">
                  <c:v>287</c:v>
                </c:pt>
                <c:pt idx="70">
                  <c:v>287</c:v>
                </c:pt>
                <c:pt idx="71">
                  <c:v>287</c:v>
                </c:pt>
                <c:pt idx="72">
                  <c:v>287</c:v>
                </c:pt>
                <c:pt idx="73">
                  <c:v>330</c:v>
                </c:pt>
                <c:pt idx="74">
                  <c:v>330</c:v>
                </c:pt>
                <c:pt idx="75">
                  <c:v>379</c:v>
                </c:pt>
                <c:pt idx="76">
                  <c:v>379</c:v>
                </c:pt>
                <c:pt idx="77">
                  <c:v>379</c:v>
                </c:pt>
                <c:pt idx="78">
                  <c:v>379</c:v>
                </c:pt>
                <c:pt idx="79">
                  <c:v>379</c:v>
                </c:pt>
                <c:pt idx="80">
                  <c:v>379</c:v>
                </c:pt>
                <c:pt idx="81">
                  <c:v>379</c:v>
                </c:pt>
                <c:pt idx="82">
                  <c:v>379</c:v>
                </c:pt>
                <c:pt idx="83">
                  <c:v>379</c:v>
                </c:pt>
                <c:pt idx="84">
                  <c:v>379</c:v>
                </c:pt>
                <c:pt idx="85">
                  <c:v>379</c:v>
                </c:pt>
                <c:pt idx="86">
                  <c:v>379</c:v>
                </c:pt>
                <c:pt idx="87">
                  <c:v>379</c:v>
                </c:pt>
                <c:pt idx="88">
                  <c:v>379</c:v>
                </c:pt>
                <c:pt idx="89">
                  <c:v>379</c:v>
                </c:pt>
                <c:pt idx="90">
                  <c:v>379</c:v>
                </c:pt>
                <c:pt idx="91">
                  <c:v>379</c:v>
                </c:pt>
                <c:pt idx="92">
                  <c:v>379</c:v>
                </c:pt>
                <c:pt idx="93">
                  <c:v>436</c:v>
                </c:pt>
                <c:pt idx="94">
                  <c:v>436</c:v>
                </c:pt>
                <c:pt idx="95">
                  <c:v>436</c:v>
                </c:pt>
                <c:pt idx="96">
                  <c:v>436</c:v>
                </c:pt>
                <c:pt idx="97">
                  <c:v>436</c:v>
                </c:pt>
                <c:pt idx="98">
                  <c:v>436</c:v>
                </c:pt>
                <c:pt idx="99">
                  <c:v>436</c:v>
                </c:pt>
                <c:pt idx="100">
                  <c:v>436</c:v>
                </c:pt>
                <c:pt idx="101">
                  <c:v>436</c:v>
                </c:pt>
                <c:pt idx="102">
                  <c:v>436</c:v>
                </c:pt>
                <c:pt idx="103">
                  <c:v>436</c:v>
                </c:pt>
                <c:pt idx="104">
                  <c:v>436</c:v>
                </c:pt>
                <c:pt idx="105">
                  <c:v>436</c:v>
                </c:pt>
                <c:pt idx="106">
                  <c:v>436</c:v>
                </c:pt>
                <c:pt idx="107">
                  <c:v>436</c:v>
                </c:pt>
                <c:pt idx="108">
                  <c:v>436</c:v>
                </c:pt>
                <c:pt idx="109">
                  <c:v>436</c:v>
                </c:pt>
                <c:pt idx="110">
                  <c:v>436</c:v>
                </c:pt>
                <c:pt idx="111">
                  <c:v>436</c:v>
                </c:pt>
                <c:pt idx="112">
                  <c:v>436</c:v>
                </c:pt>
                <c:pt idx="113">
                  <c:v>436</c:v>
                </c:pt>
                <c:pt idx="114">
                  <c:v>436</c:v>
                </c:pt>
                <c:pt idx="115">
                  <c:v>502</c:v>
                </c:pt>
                <c:pt idx="116">
                  <c:v>502</c:v>
                </c:pt>
                <c:pt idx="117">
                  <c:v>502</c:v>
                </c:pt>
                <c:pt idx="118">
                  <c:v>502</c:v>
                </c:pt>
                <c:pt idx="119">
                  <c:v>577</c:v>
                </c:pt>
                <c:pt idx="120">
                  <c:v>577</c:v>
                </c:pt>
                <c:pt idx="121">
                  <c:v>577</c:v>
                </c:pt>
                <c:pt idx="122">
                  <c:v>577</c:v>
                </c:pt>
                <c:pt idx="123">
                  <c:v>577</c:v>
                </c:pt>
                <c:pt idx="124">
                  <c:v>577</c:v>
                </c:pt>
                <c:pt idx="125">
                  <c:v>577</c:v>
                </c:pt>
                <c:pt idx="126">
                  <c:v>577</c:v>
                </c:pt>
                <c:pt idx="127">
                  <c:v>663</c:v>
                </c:pt>
                <c:pt idx="128">
                  <c:v>663</c:v>
                </c:pt>
                <c:pt idx="129">
                  <c:v>663</c:v>
                </c:pt>
                <c:pt idx="130">
                  <c:v>663</c:v>
                </c:pt>
                <c:pt idx="131">
                  <c:v>663</c:v>
                </c:pt>
                <c:pt idx="132">
                  <c:v>663</c:v>
                </c:pt>
                <c:pt idx="133">
                  <c:v>663</c:v>
                </c:pt>
                <c:pt idx="134">
                  <c:v>663</c:v>
                </c:pt>
                <c:pt idx="135">
                  <c:v>762</c:v>
                </c:pt>
                <c:pt idx="136">
                  <c:v>1007</c:v>
                </c:pt>
                <c:pt idx="137">
                  <c:v>1007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1331</c:v>
                </c:pt>
                <c:pt idx="149">
                  <c:v>#N/A</c:v>
                </c:pt>
              </c:numCache>
            </c:numRef>
          </c:xVal>
          <c:yVal>
            <c:numRef>
              <c:f>'Base de Datos'!$CC$8:$CC$157</c:f>
              <c:numCache>
                <c:formatCode>#,##0_);[Red]\(#,##0\)</c:formatCode>
                <c:ptCount val="150"/>
                <c:pt idx="0">
                  <c:v>2756000</c:v>
                </c:pt>
                <c:pt idx="1">
                  <c:v>2756000</c:v>
                </c:pt>
                <c:pt idx="2">
                  <c:v>3009000</c:v>
                </c:pt>
                <c:pt idx="3">
                  <c:v>3009000</c:v>
                </c:pt>
                <c:pt idx="4">
                  <c:v>3009000</c:v>
                </c:pt>
                <c:pt idx="5">
                  <c:v>3009000</c:v>
                </c:pt>
                <c:pt idx="6">
                  <c:v>3009000</c:v>
                </c:pt>
                <c:pt idx="7">
                  <c:v>3009000</c:v>
                </c:pt>
                <c:pt idx="8">
                  <c:v>3009000</c:v>
                </c:pt>
                <c:pt idx="9">
                  <c:v>3309000</c:v>
                </c:pt>
                <c:pt idx="10">
                  <c:v>3309000</c:v>
                </c:pt>
                <c:pt idx="11">
                  <c:v>3309000</c:v>
                </c:pt>
                <c:pt idx="12">
                  <c:v>3309000</c:v>
                </c:pt>
                <c:pt idx="13">
                  <c:v>3309000</c:v>
                </c:pt>
                <c:pt idx="14">
                  <c:v>3309000</c:v>
                </c:pt>
                <c:pt idx="15">
                  <c:v>3309000</c:v>
                </c:pt>
                <c:pt idx="16">
                  <c:v>3309000</c:v>
                </c:pt>
                <c:pt idx="17">
                  <c:v>3309000</c:v>
                </c:pt>
                <c:pt idx="18">
                  <c:v>3309000</c:v>
                </c:pt>
                <c:pt idx="19">
                  <c:v>3309000</c:v>
                </c:pt>
                <c:pt idx="20">
                  <c:v>3645000</c:v>
                </c:pt>
                <c:pt idx="21">
                  <c:v>3645000</c:v>
                </c:pt>
                <c:pt idx="22">
                  <c:v>3645000</c:v>
                </c:pt>
                <c:pt idx="23">
                  <c:v>3645000</c:v>
                </c:pt>
                <c:pt idx="24">
                  <c:v>3645000</c:v>
                </c:pt>
                <c:pt idx="25">
                  <c:v>3645000</c:v>
                </c:pt>
                <c:pt idx="26">
                  <c:v>3645000</c:v>
                </c:pt>
                <c:pt idx="27">
                  <c:v>3645000</c:v>
                </c:pt>
                <c:pt idx="28">
                  <c:v>3645000</c:v>
                </c:pt>
                <c:pt idx="29">
                  <c:v>3645000</c:v>
                </c:pt>
                <c:pt idx="30">
                  <c:v>3645000</c:v>
                </c:pt>
                <c:pt idx="31">
                  <c:v>3645000</c:v>
                </c:pt>
                <c:pt idx="32">
                  <c:v>3645000</c:v>
                </c:pt>
                <c:pt idx="33">
                  <c:v>3645000</c:v>
                </c:pt>
                <c:pt idx="34">
                  <c:v>3645000</c:v>
                </c:pt>
                <c:pt idx="35">
                  <c:v>3645000</c:v>
                </c:pt>
                <c:pt idx="36">
                  <c:v>3645000</c:v>
                </c:pt>
                <c:pt idx="37">
                  <c:v>3645000</c:v>
                </c:pt>
                <c:pt idx="38">
                  <c:v>4329000</c:v>
                </c:pt>
                <c:pt idx="39">
                  <c:v>4329000</c:v>
                </c:pt>
                <c:pt idx="40">
                  <c:v>4329000</c:v>
                </c:pt>
                <c:pt idx="41">
                  <c:v>4329000</c:v>
                </c:pt>
                <c:pt idx="42">
                  <c:v>4329000</c:v>
                </c:pt>
                <c:pt idx="43">
                  <c:v>4329000</c:v>
                </c:pt>
                <c:pt idx="44">
                  <c:v>4329000</c:v>
                </c:pt>
                <c:pt idx="45">
                  <c:v>4329000</c:v>
                </c:pt>
                <c:pt idx="46">
                  <c:v>4329000</c:v>
                </c:pt>
                <c:pt idx="47">
                  <c:v>4329000</c:v>
                </c:pt>
                <c:pt idx="48">
                  <c:v>4329000</c:v>
                </c:pt>
                <c:pt idx="49">
                  <c:v>4329000</c:v>
                </c:pt>
                <c:pt idx="50">
                  <c:v>4329000</c:v>
                </c:pt>
                <c:pt idx="51">
                  <c:v>4329000</c:v>
                </c:pt>
                <c:pt idx="52">
                  <c:v>4329000</c:v>
                </c:pt>
                <c:pt idx="53">
                  <c:v>4329000</c:v>
                </c:pt>
                <c:pt idx="54">
                  <c:v>4329000</c:v>
                </c:pt>
                <c:pt idx="55">
                  <c:v>4329000</c:v>
                </c:pt>
                <c:pt idx="56">
                  <c:v>5302000</c:v>
                </c:pt>
                <c:pt idx="57">
                  <c:v>5302000</c:v>
                </c:pt>
                <c:pt idx="58">
                  <c:v>3645000</c:v>
                </c:pt>
                <c:pt idx="59">
                  <c:v>3645000</c:v>
                </c:pt>
                <c:pt idx="60">
                  <c:v>3645000</c:v>
                </c:pt>
                <c:pt idx="61">
                  <c:v>3645000</c:v>
                </c:pt>
                <c:pt idx="62">
                  <c:v>3645000</c:v>
                </c:pt>
                <c:pt idx="63">
                  <c:v>3645000</c:v>
                </c:pt>
                <c:pt idx="64">
                  <c:v>3645000</c:v>
                </c:pt>
                <c:pt idx="65">
                  <c:v>3645000</c:v>
                </c:pt>
                <c:pt idx="66">
                  <c:v>3645000</c:v>
                </c:pt>
                <c:pt idx="67">
                  <c:v>3645000</c:v>
                </c:pt>
                <c:pt idx="68">
                  <c:v>4329000</c:v>
                </c:pt>
                <c:pt idx="69">
                  <c:v>5302000</c:v>
                </c:pt>
                <c:pt idx="70">
                  <c:v>5302000</c:v>
                </c:pt>
                <c:pt idx="71">
                  <c:v>5302000</c:v>
                </c:pt>
                <c:pt idx="72">
                  <c:v>5302000</c:v>
                </c:pt>
                <c:pt idx="73">
                  <c:v>6403000</c:v>
                </c:pt>
                <c:pt idx="74">
                  <c:v>6403000</c:v>
                </c:pt>
                <c:pt idx="75">
                  <c:v>7657000</c:v>
                </c:pt>
                <c:pt idx="76">
                  <c:v>7657000</c:v>
                </c:pt>
                <c:pt idx="77">
                  <c:v>7657000</c:v>
                </c:pt>
                <c:pt idx="78">
                  <c:v>7657000</c:v>
                </c:pt>
                <c:pt idx="79">
                  <c:v>7657000</c:v>
                </c:pt>
                <c:pt idx="80">
                  <c:v>7657000</c:v>
                </c:pt>
                <c:pt idx="81">
                  <c:v>7657000</c:v>
                </c:pt>
                <c:pt idx="82">
                  <c:v>7657000</c:v>
                </c:pt>
                <c:pt idx="83">
                  <c:v>7657000</c:v>
                </c:pt>
                <c:pt idx="84">
                  <c:v>7657000</c:v>
                </c:pt>
                <c:pt idx="85">
                  <c:v>7657000</c:v>
                </c:pt>
                <c:pt idx="86">
                  <c:v>7657000</c:v>
                </c:pt>
                <c:pt idx="87">
                  <c:v>7657000</c:v>
                </c:pt>
                <c:pt idx="88">
                  <c:v>7657000</c:v>
                </c:pt>
                <c:pt idx="89">
                  <c:v>7657000</c:v>
                </c:pt>
                <c:pt idx="90">
                  <c:v>7657000</c:v>
                </c:pt>
                <c:pt idx="91">
                  <c:v>7657000</c:v>
                </c:pt>
                <c:pt idx="92">
                  <c:v>7657000</c:v>
                </c:pt>
                <c:pt idx="93">
                  <c:v>9117000</c:v>
                </c:pt>
                <c:pt idx="94">
                  <c:v>9117000</c:v>
                </c:pt>
                <c:pt idx="95">
                  <c:v>9117000</c:v>
                </c:pt>
                <c:pt idx="96">
                  <c:v>9117000</c:v>
                </c:pt>
                <c:pt idx="97">
                  <c:v>9117000</c:v>
                </c:pt>
                <c:pt idx="98">
                  <c:v>9117000</c:v>
                </c:pt>
                <c:pt idx="99">
                  <c:v>9117000</c:v>
                </c:pt>
                <c:pt idx="100">
                  <c:v>9117000</c:v>
                </c:pt>
                <c:pt idx="101">
                  <c:v>9117000</c:v>
                </c:pt>
                <c:pt idx="102">
                  <c:v>9117000</c:v>
                </c:pt>
                <c:pt idx="103">
                  <c:v>9117000</c:v>
                </c:pt>
                <c:pt idx="104">
                  <c:v>9117000</c:v>
                </c:pt>
                <c:pt idx="105">
                  <c:v>9117000</c:v>
                </c:pt>
                <c:pt idx="106">
                  <c:v>9117000</c:v>
                </c:pt>
                <c:pt idx="107">
                  <c:v>9117000</c:v>
                </c:pt>
                <c:pt idx="108">
                  <c:v>9117000</c:v>
                </c:pt>
                <c:pt idx="109">
                  <c:v>9117000</c:v>
                </c:pt>
                <c:pt idx="110">
                  <c:v>9117000</c:v>
                </c:pt>
                <c:pt idx="111">
                  <c:v>9117000</c:v>
                </c:pt>
                <c:pt idx="112">
                  <c:v>9117000</c:v>
                </c:pt>
                <c:pt idx="113">
                  <c:v>9117000</c:v>
                </c:pt>
                <c:pt idx="114">
                  <c:v>9117000</c:v>
                </c:pt>
                <c:pt idx="115">
                  <c:v>10807000</c:v>
                </c:pt>
                <c:pt idx="116">
                  <c:v>10807000</c:v>
                </c:pt>
                <c:pt idx="117">
                  <c:v>10807000</c:v>
                </c:pt>
                <c:pt idx="118">
                  <c:v>10807000</c:v>
                </c:pt>
                <c:pt idx="119">
                  <c:v>13266000</c:v>
                </c:pt>
                <c:pt idx="120">
                  <c:v>13266000</c:v>
                </c:pt>
                <c:pt idx="121">
                  <c:v>13266000</c:v>
                </c:pt>
                <c:pt idx="122">
                  <c:v>13266000</c:v>
                </c:pt>
                <c:pt idx="123">
                  <c:v>13266000</c:v>
                </c:pt>
                <c:pt idx="124">
                  <c:v>13266000</c:v>
                </c:pt>
                <c:pt idx="125">
                  <c:v>13266000</c:v>
                </c:pt>
                <c:pt idx="126">
                  <c:v>13266000</c:v>
                </c:pt>
                <c:pt idx="127">
                  <c:v>18041000</c:v>
                </c:pt>
                <c:pt idx="128">
                  <c:v>18041000</c:v>
                </c:pt>
                <c:pt idx="129">
                  <c:v>18041000</c:v>
                </c:pt>
                <c:pt idx="130" formatCode="#,##0_);[Red]\(#,##0\)">
                  <c:v>18041000</c:v>
                </c:pt>
                <c:pt idx="131">
                  <c:v>18041000</c:v>
                </c:pt>
                <c:pt idx="132">
                  <c:v>18041000</c:v>
                </c:pt>
                <c:pt idx="133">
                  <c:v>18041000</c:v>
                </c:pt>
                <c:pt idx="134">
                  <c:v>18041000</c:v>
                </c:pt>
                <c:pt idx="135">
                  <c:v>23539000</c:v>
                </c:pt>
                <c:pt idx="136">
                  <c:v>37144000</c:v>
                </c:pt>
                <c:pt idx="137">
                  <c:v>37144000</c:v>
                </c:pt>
                <c:pt idx="138">
                  <c:v>2528000</c:v>
                </c:pt>
                <c:pt idx="139">
                  <c:v>2336000</c:v>
                </c:pt>
                <c:pt idx="140">
                  <c:v>2168000</c:v>
                </c:pt>
                <c:pt idx="141">
                  <c:v>29870000</c:v>
                </c:pt>
                <c:pt idx="142">
                  <c:v>45474000</c:v>
                </c:pt>
                <c:pt idx="143">
                  <c:v>66187000</c:v>
                </c:pt>
                <c:pt idx="144">
                  <c:v>78904000</c:v>
                </c:pt>
                <c:pt idx="145">
                  <c:v>93565000</c:v>
                </c:pt>
                <c:pt idx="146">
                  <c:v>110391000</c:v>
                </c:pt>
                <c:pt idx="147">
                  <c:v>129716000</c:v>
                </c:pt>
                <c:pt idx="148">
                  <c:v>55137000</c:v>
                </c:pt>
                <c:pt idx="14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56-4B35-9FAC-71329342E00B}"/>
            </c:ext>
          </c:extLst>
        </c:ser>
        <c:ser>
          <c:idx val="1"/>
          <c:order val="1"/>
          <c:tx>
            <c:v>Cuartil 1 del Mercado</c:v>
          </c:tx>
          <c:spPr>
            <a:ln w="19050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'Base de Datos'!$U$8:$U$157</c:f>
              <c:numCache>
                <c:formatCode>#,##0_);[Red]\(#,##0\)</c:formatCode>
                <c:ptCount val="150"/>
                <c:pt idx="0">
                  <c:v>143</c:v>
                </c:pt>
                <c:pt idx="1">
                  <c:v>143</c:v>
                </c:pt>
                <c:pt idx="2">
                  <c:v>164</c:v>
                </c:pt>
                <c:pt idx="3">
                  <c:v>164</c:v>
                </c:pt>
                <c:pt idx="4">
                  <c:v>164</c:v>
                </c:pt>
                <c:pt idx="5">
                  <c:v>164</c:v>
                </c:pt>
                <c:pt idx="6">
                  <c:v>164</c:v>
                </c:pt>
                <c:pt idx="7">
                  <c:v>164</c:v>
                </c:pt>
                <c:pt idx="8">
                  <c:v>164</c:v>
                </c:pt>
                <c:pt idx="9">
                  <c:v>189</c:v>
                </c:pt>
                <c:pt idx="10">
                  <c:v>189</c:v>
                </c:pt>
                <c:pt idx="11">
                  <c:v>189</c:v>
                </c:pt>
                <c:pt idx="12">
                  <c:v>189</c:v>
                </c:pt>
                <c:pt idx="13">
                  <c:v>189</c:v>
                </c:pt>
                <c:pt idx="14">
                  <c:v>189</c:v>
                </c:pt>
                <c:pt idx="15">
                  <c:v>189</c:v>
                </c:pt>
                <c:pt idx="16">
                  <c:v>189</c:v>
                </c:pt>
                <c:pt idx="17">
                  <c:v>189</c:v>
                </c:pt>
                <c:pt idx="18">
                  <c:v>189</c:v>
                </c:pt>
                <c:pt idx="19">
                  <c:v>189</c:v>
                </c:pt>
                <c:pt idx="20">
                  <c:v>217</c:v>
                </c:pt>
                <c:pt idx="21">
                  <c:v>217</c:v>
                </c:pt>
                <c:pt idx="22">
                  <c:v>217</c:v>
                </c:pt>
                <c:pt idx="23">
                  <c:v>217</c:v>
                </c:pt>
                <c:pt idx="24">
                  <c:v>217</c:v>
                </c:pt>
                <c:pt idx="25">
                  <c:v>217</c:v>
                </c:pt>
                <c:pt idx="26">
                  <c:v>217</c:v>
                </c:pt>
                <c:pt idx="27">
                  <c:v>217</c:v>
                </c:pt>
                <c:pt idx="28">
                  <c:v>217</c:v>
                </c:pt>
                <c:pt idx="29">
                  <c:v>217</c:v>
                </c:pt>
                <c:pt idx="30">
                  <c:v>217</c:v>
                </c:pt>
                <c:pt idx="31">
                  <c:v>217</c:v>
                </c:pt>
                <c:pt idx="32">
                  <c:v>217</c:v>
                </c:pt>
                <c:pt idx="33">
                  <c:v>217</c:v>
                </c:pt>
                <c:pt idx="34">
                  <c:v>217</c:v>
                </c:pt>
                <c:pt idx="35">
                  <c:v>217</c:v>
                </c:pt>
                <c:pt idx="36">
                  <c:v>217</c:v>
                </c:pt>
                <c:pt idx="37">
                  <c:v>217</c:v>
                </c:pt>
                <c:pt idx="38">
                  <c:v>249</c:v>
                </c:pt>
                <c:pt idx="39">
                  <c:v>249</c:v>
                </c:pt>
                <c:pt idx="40">
                  <c:v>249</c:v>
                </c:pt>
                <c:pt idx="41">
                  <c:v>249</c:v>
                </c:pt>
                <c:pt idx="42">
                  <c:v>249</c:v>
                </c:pt>
                <c:pt idx="43">
                  <c:v>249</c:v>
                </c:pt>
                <c:pt idx="44">
                  <c:v>249</c:v>
                </c:pt>
                <c:pt idx="45">
                  <c:v>249</c:v>
                </c:pt>
                <c:pt idx="46">
                  <c:v>249</c:v>
                </c:pt>
                <c:pt idx="47">
                  <c:v>249</c:v>
                </c:pt>
                <c:pt idx="48">
                  <c:v>249</c:v>
                </c:pt>
                <c:pt idx="49">
                  <c:v>249</c:v>
                </c:pt>
                <c:pt idx="50">
                  <c:v>249</c:v>
                </c:pt>
                <c:pt idx="51">
                  <c:v>249</c:v>
                </c:pt>
                <c:pt idx="52">
                  <c:v>249</c:v>
                </c:pt>
                <c:pt idx="53">
                  <c:v>249</c:v>
                </c:pt>
                <c:pt idx="54">
                  <c:v>249</c:v>
                </c:pt>
                <c:pt idx="55">
                  <c:v>249</c:v>
                </c:pt>
                <c:pt idx="56">
                  <c:v>287</c:v>
                </c:pt>
                <c:pt idx="57">
                  <c:v>287</c:v>
                </c:pt>
                <c:pt idx="58">
                  <c:v>217</c:v>
                </c:pt>
                <c:pt idx="59">
                  <c:v>217</c:v>
                </c:pt>
                <c:pt idx="60">
                  <c:v>217</c:v>
                </c:pt>
                <c:pt idx="61">
                  <c:v>217</c:v>
                </c:pt>
                <c:pt idx="62">
                  <c:v>217</c:v>
                </c:pt>
                <c:pt idx="63">
                  <c:v>217</c:v>
                </c:pt>
                <c:pt idx="64">
                  <c:v>217</c:v>
                </c:pt>
                <c:pt idx="65">
                  <c:v>217</c:v>
                </c:pt>
                <c:pt idx="66">
                  <c:v>217</c:v>
                </c:pt>
                <c:pt idx="67">
                  <c:v>217</c:v>
                </c:pt>
                <c:pt idx="68">
                  <c:v>249</c:v>
                </c:pt>
                <c:pt idx="69">
                  <c:v>287</c:v>
                </c:pt>
                <c:pt idx="70">
                  <c:v>287</c:v>
                </c:pt>
                <c:pt idx="71">
                  <c:v>287</c:v>
                </c:pt>
                <c:pt idx="72">
                  <c:v>287</c:v>
                </c:pt>
                <c:pt idx="73">
                  <c:v>330</c:v>
                </c:pt>
                <c:pt idx="74">
                  <c:v>330</c:v>
                </c:pt>
                <c:pt idx="75">
                  <c:v>379</c:v>
                </c:pt>
                <c:pt idx="76">
                  <c:v>379</c:v>
                </c:pt>
                <c:pt idx="77">
                  <c:v>379</c:v>
                </c:pt>
                <c:pt idx="78">
                  <c:v>379</c:v>
                </c:pt>
                <c:pt idx="79">
                  <c:v>379</c:v>
                </c:pt>
                <c:pt idx="80">
                  <c:v>379</c:v>
                </c:pt>
                <c:pt idx="81">
                  <c:v>379</c:v>
                </c:pt>
                <c:pt idx="82">
                  <c:v>379</c:v>
                </c:pt>
                <c:pt idx="83">
                  <c:v>379</c:v>
                </c:pt>
                <c:pt idx="84">
                  <c:v>379</c:v>
                </c:pt>
                <c:pt idx="85">
                  <c:v>379</c:v>
                </c:pt>
                <c:pt idx="86">
                  <c:v>379</c:v>
                </c:pt>
                <c:pt idx="87">
                  <c:v>379</c:v>
                </c:pt>
                <c:pt idx="88">
                  <c:v>379</c:v>
                </c:pt>
                <c:pt idx="89">
                  <c:v>379</c:v>
                </c:pt>
                <c:pt idx="90">
                  <c:v>379</c:v>
                </c:pt>
                <c:pt idx="91">
                  <c:v>379</c:v>
                </c:pt>
                <c:pt idx="92">
                  <c:v>379</c:v>
                </c:pt>
                <c:pt idx="93">
                  <c:v>436</c:v>
                </c:pt>
                <c:pt idx="94">
                  <c:v>436</c:v>
                </c:pt>
                <c:pt idx="95">
                  <c:v>436</c:v>
                </c:pt>
                <c:pt idx="96">
                  <c:v>436</c:v>
                </c:pt>
                <c:pt idx="97">
                  <c:v>436</c:v>
                </c:pt>
                <c:pt idx="98">
                  <c:v>436</c:v>
                </c:pt>
                <c:pt idx="99">
                  <c:v>436</c:v>
                </c:pt>
                <c:pt idx="100">
                  <c:v>436</c:v>
                </c:pt>
                <c:pt idx="101">
                  <c:v>436</c:v>
                </c:pt>
                <c:pt idx="102">
                  <c:v>436</c:v>
                </c:pt>
                <c:pt idx="103">
                  <c:v>436</c:v>
                </c:pt>
                <c:pt idx="104">
                  <c:v>436</c:v>
                </c:pt>
                <c:pt idx="105">
                  <c:v>436</c:v>
                </c:pt>
                <c:pt idx="106">
                  <c:v>436</c:v>
                </c:pt>
                <c:pt idx="107">
                  <c:v>436</c:v>
                </c:pt>
                <c:pt idx="108">
                  <c:v>436</c:v>
                </c:pt>
                <c:pt idx="109">
                  <c:v>436</c:v>
                </c:pt>
                <c:pt idx="110">
                  <c:v>436</c:v>
                </c:pt>
                <c:pt idx="111">
                  <c:v>436</c:v>
                </c:pt>
                <c:pt idx="112">
                  <c:v>436</c:v>
                </c:pt>
                <c:pt idx="113">
                  <c:v>436</c:v>
                </c:pt>
                <c:pt idx="114">
                  <c:v>436</c:v>
                </c:pt>
                <c:pt idx="115">
                  <c:v>502</c:v>
                </c:pt>
                <c:pt idx="116">
                  <c:v>502</c:v>
                </c:pt>
                <c:pt idx="117">
                  <c:v>502</c:v>
                </c:pt>
                <c:pt idx="118">
                  <c:v>502</c:v>
                </c:pt>
                <c:pt idx="119">
                  <c:v>577</c:v>
                </c:pt>
                <c:pt idx="120">
                  <c:v>577</c:v>
                </c:pt>
                <c:pt idx="121">
                  <c:v>577</c:v>
                </c:pt>
                <c:pt idx="122">
                  <c:v>577</c:v>
                </c:pt>
                <c:pt idx="123">
                  <c:v>577</c:v>
                </c:pt>
                <c:pt idx="124">
                  <c:v>577</c:v>
                </c:pt>
                <c:pt idx="125">
                  <c:v>577</c:v>
                </c:pt>
                <c:pt idx="126">
                  <c:v>577</c:v>
                </c:pt>
                <c:pt idx="127">
                  <c:v>663</c:v>
                </c:pt>
                <c:pt idx="128">
                  <c:v>663</c:v>
                </c:pt>
                <c:pt idx="129">
                  <c:v>663</c:v>
                </c:pt>
                <c:pt idx="130">
                  <c:v>663</c:v>
                </c:pt>
                <c:pt idx="131">
                  <c:v>663</c:v>
                </c:pt>
                <c:pt idx="132">
                  <c:v>663</c:v>
                </c:pt>
                <c:pt idx="133">
                  <c:v>663</c:v>
                </c:pt>
                <c:pt idx="134">
                  <c:v>663</c:v>
                </c:pt>
                <c:pt idx="135">
                  <c:v>762</c:v>
                </c:pt>
                <c:pt idx="136">
                  <c:v>1007</c:v>
                </c:pt>
                <c:pt idx="137">
                  <c:v>1007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1331</c:v>
                </c:pt>
                <c:pt idx="149">
                  <c:v>#N/A</c:v>
                </c:pt>
              </c:numCache>
            </c:numRef>
          </c:xVal>
          <c:yVal>
            <c:numRef>
              <c:f>'Base de Datos'!$BW$8:$BW$157</c:f>
              <c:numCache>
                <c:formatCode>#,##0_);[Red]\(#,##0\)</c:formatCode>
                <c:ptCount val="150"/>
                <c:pt idx="0">
                  <c:v>2307000</c:v>
                </c:pt>
                <c:pt idx="1">
                  <c:v>2307000</c:v>
                </c:pt>
                <c:pt idx="2">
                  <c:v>2540000</c:v>
                </c:pt>
                <c:pt idx="3">
                  <c:v>2540000</c:v>
                </c:pt>
                <c:pt idx="4">
                  <c:v>2540000</c:v>
                </c:pt>
                <c:pt idx="5">
                  <c:v>2540000</c:v>
                </c:pt>
                <c:pt idx="6">
                  <c:v>2540000</c:v>
                </c:pt>
                <c:pt idx="7">
                  <c:v>2540000</c:v>
                </c:pt>
                <c:pt idx="8">
                  <c:v>2540000</c:v>
                </c:pt>
                <c:pt idx="9">
                  <c:v>2818000</c:v>
                </c:pt>
                <c:pt idx="10">
                  <c:v>2818000</c:v>
                </c:pt>
                <c:pt idx="11">
                  <c:v>2818000</c:v>
                </c:pt>
                <c:pt idx="12">
                  <c:v>2818000</c:v>
                </c:pt>
                <c:pt idx="13">
                  <c:v>2818000</c:v>
                </c:pt>
                <c:pt idx="14">
                  <c:v>2818000</c:v>
                </c:pt>
                <c:pt idx="15">
                  <c:v>2818000</c:v>
                </c:pt>
                <c:pt idx="16">
                  <c:v>2818000</c:v>
                </c:pt>
                <c:pt idx="17">
                  <c:v>2818000</c:v>
                </c:pt>
                <c:pt idx="18">
                  <c:v>2818000</c:v>
                </c:pt>
                <c:pt idx="19">
                  <c:v>2818000</c:v>
                </c:pt>
                <c:pt idx="20">
                  <c:v>3129000</c:v>
                </c:pt>
                <c:pt idx="21">
                  <c:v>3129000</c:v>
                </c:pt>
                <c:pt idx="22">
                  <c:v>3129000</c:v>
                </c:pt>
                <c:pt idx="23">
                  <c:v>3129000</c:v>
                </c:pt>
                <c:pt idx="24">
                  <c:v>3129000</c:v>
                </c:pt>
                <c:pt idx="25">
                  <c:v>3129000</c:v>
                </c:pt>
                <c:pt idx="26">
                  <c:v>3129000</c:v>
                </c:pt>
                <c:pt idx="27">
                  <c:v>3129000</c:v>
                </c:pt>
                <c:pt idx="28">
                  <c:v>3129000</c:v>
                </c:pt>
                <c:pt idx="29">
                  <c:v>3129000</c:v>
                </c:pt>
                <c:pt idx="30">
                  <c:v>3129000</c:v>
                </c:pt>
                <c:pt idx="31">
                  <c:v>3129000</c:v>
                </c:pt>
                <c:pt idx="32">
                  <c:v>3129000</c:v>
                </c:pt>
                <c:pt idx="33">
                  <c:v>3129000</c:v>
                </c:pt>
                <c:pt idx="34">
                  <c:v>3129000</c:v>
                </c:pt>
                <c:pt idx="35">
                  <c:v>3129000</c:v>
                </c:pt>
                <c:pt idx="36">
                  <c:v>3129000</c:v>
                </c:pt>
                <c:pt idx="37">
                  <c:v>3129000</c:v>
                </c:pt>
                <c:pt idx="38">
                  <c:v>3485000</c:v>
                </c:pt>
                <c:pt idx="39">
                  <c:v>3485000</c:v>
                </c:pt>
                <c:pt idx="40">
                  <c:v>3485000</c:v>
                </c:pt>
                <c:pt idx="41">
                  <c:v>3485000</c:v>
                </c:pt>
                <c:pt idx="42">
                  <c:v>3485000</c:v>
                </c:pt>
                <c:pt idx="43">
                  <c:v>3485000</c:v>
                </c:pt>
                <c:pt idx="44">
                  <c:v>3485000</c:v>
                </c:pt>
                <c:pt idx="45">
                  <c:v>3485000</c:v>
                </c:pt>
                <c:pt idx="46">
                  <c:v>3485000</c:v>
                </c:pt>
                <c:pt idx="47">
                  <c:v>3485000</c:v>
                </c:pt>
                <c:pt idx="48">
                  <c:v>3485000</c:v>
                </c:pt>
                <c:pt idx="49">
                  <c:v>3485000</c:v>
                </c:pt>
                <c:pt idx="50">
                  <c:v>3485000</c:v>
                </c:pt>
                <c:pt idx="51">
                  <c:v>3485000</c:v>
                </c:pt>
                <c:pt idx="52">
                  <c:v>3485000</c:v>
                </c:pt>
                <c:pt idx="53">
                  <c:v>3485000</c:v>
                </c:pt>
                <c:pt idx="54">
                  <c:v>3485000</c:v>
                </c:pt>
                <c:pt idx="55">
                  <c:v>3485000</c:v>
                </c:pt>
                <c:pt idx="56">
                  <c:v>3907000</c:v>
                </c:pt>
                <c:pt idx="57">
                  <c:v>3907000</c:v>
                </c:pt>
                <c:pt idx="58">
                  <c:v>3129000</c:v>
                </c:pt>
                <c:pt idx="59">
                  <c:v>3129000</c:v>
                </c:pt>
                <c:pt idx="60">
                  <c:v>3129000</c:v>
                </c:pt>
                <c:pt idx="61">
                  <c:v>3129000</c:v>
                </c:pt>
                <c:pt idx="62">
                  <c:v>3129000</c:v>
                </c:pt>
                <c:pt idx="63">
                  <c:v>3129000</c:v>
                </c:pt>
                <c:pt idx="64">
                  <c:v>3129000</c:v>
                </c:pt>
                <c:pt idx="65">
                  <c:v>3129000</c:v>
                </c:pt>
                <c:pt idx="66">
                  <c:v>3129000</c:v>
                </c:pt>
                <c:pt idx="67">
                  <c:v>3129000</c:v>
                </c:pt>
                <c:pt idx="68">
                  <c:v>3485000</c:v>
                </c:pt>
                <c:pt idx="69">
                  <c:v>3907000</c:v>
                </c:pt>
                <c:pt idx="70">
                  <c:v>3907000</c:v>
                </c:pt>
                <c:pt idx="71">
                  <c:v>3907000</c:v>
                </c:pt>
                <c:pt idx="72">
                  <c:v>3907000</c:v>
                </c:pt>
                <c:pt idx="73">
                  <c:v>4385000</c:v>
                </c:pt>
                <c:pt idx="74">
                  <c:v>4385000</c:v>
                </c:pt>
                <c:pt idx="75">
                  <c:v>5109000</c:v>
                </c:pt>
                <c:pt idx="76">
                  <c:v>5109000</c:v>
                </c:pt>
                <c:pt idx="77">
                  <c:v>5109000</c:v>
                </c:pt>
                <c:pt idx="78">
                  <c:v>5109000</c:v>
                </c:pt>
                <c:pt idx="79">
                  <c:v>5109000</c:v>
                </c:pt>
                <c:pt idx="80">
                  <c:v>5109000</c:v>
                </c:pt>
                <c:pt idx="81">
                  <c:v>5109000</c:v>
                </c:pt>
                <c:pt idx="82">
                  <c:v>5109000</c:v>
                </c:pt>
                <c:pt idx="83">
                  <c:v>5109000</c:v>
                </c:pt>
                <c:pt idx="84">
                  <c:v>5109000</c:v>
                </c:pt>
                <c:pt idx="85">
                  <c:v>5109000</c:v>
                </c:pt>
                <c:pt idx="86">
                  <c:v>5109000</c:v>
                </c:pt>
                <c:pt idx="87">
                  <c:v>5109000</c:v>
                </c:pt>
                <c:pt idx="88">
                  <c:v>5109000</c:v>
                </c:pt>
                <c:pt idx="89">
                  <c:v>5109000</c:v>
                </c:pt>
                <c:pt idx="90">
                  <c:v>5109000</c:v>
                </c:pt>
                <c:pt idx="91">
                  <c:v>5109000</c:v>
                </c:pt>
                <c:pt idx="92">
                  <c:v>5109000</c:v>
                </c:pt>
                <c:pt idx="93">
                  <c:v>7056000</c:v>
                </c:pt>
                <c:pt idx="94">
                  <c:v>7056000</c:v>
                </c:pt>
                <c:pt idx="95">
                  <c:v>7056000</c:v>
                </c:pt>
                <c:pt idx="96">
                  <c:v>7056000</c:v>
                </c:pt>
                <c:pt idx="97">
                  <c:v>7056000</c:v>
                </c:pt>
                <c:pt idx="98">
                  <c:v>7056000</c:v>
                </c:pt>
                <c:pt idx="99">
                  <c:v>7056000</c:v>
                </c:pt>
                <c:pt idx="100">
                  <c:v>7056000</c:v>
                </c:pt>
                <c:pt idx="101">
                  <c:v>7056000</c:v>
                </c:pt>
                <c:pt idx="102">
                  <c:v>7056000</c:v>
                </c:pt>
                <c:pt idx="103">
                  <c:v>7056000</c:v>
                </c:pt>
                <c:pt idx="104">
                  <c:v>7056000</c:v>
                </c:pt>
                <c:pt idx="105">
                  <c:v>7056000</c:v>
                </c:pt>
                <c:pt idx="106">
                  <c:v>7056000</c:v>
                </c:pt>
                <c:pt idx="107">
                  <c:v>7056000</c:v>
                </c:pt>
                <c:pt idx="108">
                  <c:v>7056000</c:v>
                </c:pt>
                <c:pt idx="109">
                  <c:v>7056000</c:v>
                </c:pt>
                <c:pt idx="110">
                  <c:v>7056000</c:v>
                </c:pt>
                <c:pt idx="111">
                  <c:v>7056000</c:v>
                </c:pt>
                <c:pt idx="112">
                  <c:v>7056000</c:v>
                </c:pt>
                <c:pt idx="113">
                  <c:v>7056000</c:v>
                </c:pt>
                <c:pt idx="114">
                  <c:v>7056000</c:v>
                </c:pt>
                <c:pt idx="115">
                  <c:v>9397000</c:v>
                </c:pt>
                <c:pt idx="116">
                  <c:v>9397000</c:v>
                </c:pt>
                <c:pt idx="117">
                  <c:v>9397000</c:v>
                </c:pt>
                <c:pt idx="118">
                  <c:v>9397000</c:v>
                </c:pt>
                <c:pt idx="119">
                  <c:v>12057000</c:v>
                </c:pt>
                <c:pt idx="120">
                  <c:v>12057000</c:v>
                </c:pt>
                <c:pt idx="121">
                  <c:v>12057000</c:v>
                </c:pt>
                <c:pt idx="122">
                  <c:v>12057000</c:v>
                </c:pt>
                <c:pt idx="123">
                  <c:v>12057000</c:v>
                </c:pt>
                <c:pt idx="124">
                  <c:v>12057000</c:v>
                </c:pt>
                <c:pt idx="125">
                  <c:v>12057000</c:v>
                </c:pt>
                <c:pt idx="126">
                  <c:v>12057000</c:v>
                </c:pt>
                <c:pt idx="127">
                  <c:v>15107000</c:v>
                </c:pt>
                <c:pt idx="128">
                  <c:v>15107000</c:v>
                </c:pt>
                <c:pt idx="129">
                  <c:v>15107000</c:v>
                </c:pt>
                <c:pt idx="130">
                  <c:v>15107000</c:v>
                </c:pt>
                <c:pt idx="131">
                  <c:v>15107000</c:v>
                </c:pt>
                <c:pt idx="132">
                  <c:v>15107000</c:v>
                </c:pt>
                <c:pt idx="133">
                  <c:v>15107000</c:v>
                </c:pt>
                <c:pt idx="134">
                  <c:v>15107000</c:v>
                </c:pt>
                <c:pt idx="135">
                  <c:v>18617000</c:v>
                </c:pt>
                <c:pt idx="136">
                  <c:v>27306000</c:v>
                </c:pt>
                <c:pt idx="137">
                  <c:v>27306000</c:v>
                </c:pt>
                <c:pt idx="138">
                  <c:v>2095000</c:v>
                </c:pt>
                <c:pt idx="139">
                  <c:v>1918000</c:v>
                </c:pt>
                <c:pt idx="140">
                  <c:v>1762000</c:v>
                </c:pt>
                <c:pt idx="141">
                  <c:v>22660000</c:v>
                </c:pt>
                <c:pt idx="142">
                  <c:v>32625000</c:v>
                </c:pt>
                <c:pt idx="143">
                  <c:v>45853000</c:v>
                </c:pt>
                <c:pt idx="144">
                  <c:v>53974000</c:v>
                </c:pt>
                <c:pt idx="145">
                  <c:v>63336000</c:v>
                </c:pt>
                <c:pt idx="146">
                  <c:v>74082000</c:v>
                </c:pt>
                <c:pt idx="147">
                  <c:v>86423000</c:v>
                </c:pt>
                <c:pt idx="148">
                  <c:v>38796000</c:v>
                </c:pt>
                <c:pt idx="14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56-4B35-9FAC-71329342E00B}"/>
            </c:ext>
          </c:extLst>
        </c:ser>
        <c:ser>
          <c:idx val="2"/>
          <c:order val="2"/>
          <c:tx>
            <c:v>Cuartil 3 del Mercado</c:v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'Base de Datos'!$U$8:$U$157</c:f>
              <c:numCache>
                <c:formatCode>#,##0_);[Red]\(#,##0\)</c:formatCode>
                <c:ptCount val="150"/>
                <c:pt idx="0">
                  <c:v>143</c:v>
                </c:pt>
                <c:pt idx="1">
                  <c:v>143</c:v>
                </c:pt>
                <c:pt idx="2">
                  <c:v>164</c:v>
                </c:pt>
                <c:pt idx="3">
                  <c:v>164</c:v>
                </c:pt>
                <c:pt idx="4">
                  <c:v>164</c:v>
                </c:pt>
                <c:pt idx="5">
                  <c:v>164</c:v>
                </c:pt>
                <c:pt idx="6">
                  <c:v>164</c:v>
                </c:pt>
                <c:pt idx="7">
                  <c:v>164</c:v>
                </c:pt>
                <c:pt idx="8">
                  <c:v>164</c:v>
                </c:pt>
                <c:pt idx="9">
                  <c:v>189</c:v>
                </c:pt>
                <c:pt idx="10">
                  <c:v>189</c:v>
                </c:pt>
                <c:pt idx="11">
                  <c:v>189</c:v>
                </c:pt>
                <c:pt idx="12">
                  <c:v>189</c:v>
                </c:pt>
                <c:pt idx="13">
                  <c:v>189</c:v>
                </c:pt>
                <c:pt idx="14">
                  <c:v>189</c:v>
                </c:pt>
                <c:pt idx="15">
                  <c:v>189</c:v>
                </c:pt>
                <c:pt idx="16">
                  <c:v>189</c:v>
                </c:pt>
                <c:pt idx="17">
                  <c:v>189</c:v>
                </c:pt>
                <c:pt idx="18">
                  <c:v>189</c:v>
                </c:pt>
                <c:pt idx="19">
                  <c:v>189</c:v>
                </c:pt>
                <c:pt idx="20">
                  <c:v>217</c:v>
                </c:pt>
                <c:pt idx="21">
                  <c:v>217</c:v>
                </c:pt>
                <c:pt idx="22">
                  <c:v>217</c:v>
                </c:pt>
                <c:pt idx="23">
                  <c:v>217</c:v>
                </c:pt>
                <c:pt idx="24">
                  <c:v>217</c:v>
                </c:pt>
                <c:pt idx="25">
                  <c:v>217</c:v>
                </c:pt>
                <c:pt idx="26">
                  <c:v>217</c:v>
                </c:pt>
                <c:pt idx="27">
                  <c:v>217</c:v>
                </c:pt>
                <c:pt idx="28">
                  <c:v>217</c:v>
                </c:pt>
                <c:pt idx="29">
                  <c:v>217</c:v>
                </c:pt>
                <c:pt idx="30">
                  <c:v>217</c:v>
                </c:pt>
                <c:pt idx="31">
                  <c:v>217</c:v>
                </c:pt>
                <c:pt idx="32">
                  <c:v>217</c:v>
                </c:pt>
                <c:pt idx="33">
                  <c:v>217</c:v>
                </c:pt>
                <c:pt idx="34">
                  <c:v>217</c:v>
                </c:pt>
                <c:pt idx="35">
                  <c:v>217</c:v>
                </c:pt>
                <c:pt idx="36">
                  <c:v>217</c:v>
                </c:pt>
                <c:pt idx="37">
                  <c:v>217</c:v>
                </c:pt>
                <c:pt idx="38">
                  <c:v>249</c:v>
                </c:pt>
                <c:pt idx="39">
                  <c:v>249</c:v>
                </c:pt>
                <c:pt idx="40">
                  <c:v>249</c:v>
                </c:pt>
                <c:pt idx="41">
                  <c:v>249</c:v>
                </c:pt>
                <c:pt idx="42">
                  <c:v>249</c:v>
                </c:pt>
                <c:pt idx="43">
                  <c:v>249</c:v>
                </c:pt>
                <c:pt idx="44">
                  <c:v>249</c:v>
                </c:pt>
                <c:pt idx="45">
                  <c:v>249</c:v>
                </c:pt>
                <c:pt idx="46">
                  <c:v>249</c:v>
                </c:pt>
                <c:pt idx="47">
                  <c:v>249</c:v>
                </c:pt>
                <c:pt idx="48">
                  <c:v>249</c:v>
                </c:pt>
                <c:pt idx="49">
                  <c:v>249</c:v>
                </c:pt>
                <c:pt idx="50">
                  <c:v>249</c:v>
                </c:pt>
                <c:pt idx="51">
                  <c:v>249</c:v>
                </c:pt>
                <c:pt idx="52">
                  <c:v>249</c:v>
                </c:pt>
                <c:pt idx="53">
                  <c:v>249</c:v>
                </c:pt>
                <c:pt idx="54">
                  <c:v>249</c:v>
                </c:pt>
                <c:pt idx="55">
                  <c:v>249</c:v>
                </c:pt>
                <c:pt idx="56">
                  <c:v>287</c:v>
                </c:pt>
                <c:pt idx="57">
                  <c:v>287</c:v>
                </c:pt>
                <c:pt idx="58">
                  <c:v>217</c:v>
                </c:pt>
                <c:pt idx="59">
                  <c:v>217</c:v>
                </c:pt>
                <c:pt idx="60">
                  <c:v>217</c:v>
                </c:pt>
                <c:pt idx="61">
                  <c:v>217</c:v>
                </c:pt>
                <c:pt idx="62">
                  <c:v>217</c:v>
                </c:pt>
                <c:pt idx="63">
                  <c:v>217</c:v>
                </c:pt>
                <c:pt idx="64">
                  <c:v>217</c:v>
                </c:pt>
                <c:pt idx="65">
                  <c:v>217</c:v>
                </c:pt>
                <c:pt idx="66">
                  <c:v>217</c:v>
                </c:pt>
                <c:pt idx="67">
                  <c:v>217</c:v>
                </c:pt>
                <c:pt idx="68">
                  <c:v>249</c:v>
                </c:pt>
                <c:pt idx="69">
                  <c:v>287</c:v>
                </c:pt>
                <c:pt idx="70">
                  <c:v>287</c:v>
                </c:pt>
                <c:pt idx="71">
                  <c:v>287</c:v>
                </c:pt>
                <c:pt idx="72">
                  <c:v>287</c:v>
                </c:pt>
                <c:pt idx="73">
                  <c:v>330</c:v>
                </c:pt>
                <c:pt idx="74">
                  <c:v>330</c:v>
                </c:pt>
                <c:pt idx="75">
                  <c:v>379</c:v>
                </c:pt>
                <c:pt idx="76">
                  <c:v>379</c:v>
                </c:pt>
                <c:pt idx="77">
                  <c:v>379</c:v>
                </c:pt>
                <c:pt idx="78">
                  <c:v>379</c:v>
                </c:pt>
                <c:pt idx="79">
                  <c:v>379</c:v>
                </c:pt>
                <c:pt idx="80">
                  <c:v>379</c:v>
                </c:pt>
                <c:pt idx="81">
                  <c:v>379</c:v>
                </c:pt>
                <c:pt idx="82">
                  <c:v>379</c:v>
                </c:pt>
                <c:pt idx="83">
                  <c:v>379</c:v>
                </c:pt>
                <c:pt idx="84">
                  <c:v>379</c:v>
                </c:pt>
                <c:pt idx="85">
                  <c:v>379</c:v>
                </c:pt>
                <c:pt idx="86">
                  <c:v>379</c:v>
                </c:pt>
                <c:pt idx="87">
                  <c:v>379</c:v>
                </c:pt>
                <c:pt idx="88">
                  <c:v>379</c:v>
                </c:pt>
                <c:pt idx="89">
                  <c:v>379</c:v>
                </c:pt>
                <c:pt idx="90">
                  <c:v>379</c:v>
                </c:pt>
                <c:pt idx="91">
                  <c:v>379</c:v>
                </c:pt>
                <c:pt idx="92">
                  <c:v>379</c:v>
                </c:pt>
                <c:pt idx="93">
                  <c:v>436</c:v>
                </c:pt>
                <c:pt idx="94">
                  <c:v>436</c:v>
                </c:pt>
                <c:pt idx="95">
                  <c:v>436</c:v>
                </c:pt>
                <c:pt idx="96">
                  <c:v>436</c:v>
                </c:pt>
                <c:pt idx="97">
                  <c:v>436</c:v>
                </c:pt>
                <c:pt idx="98">
                  <c:v>436</c:v>
                </c:pt>
                <c:pt idx="99">
                  <c:v>436</c:v>
                </c:pt>
                <c:pt idx="100">
                  <c:v>436</c:v>
                </c:pt>
                <c:pt idx="101">
                  <c:v>436</c:v>
                </c:pt>
                <c:pt idx="102">
                  <c:v>436</c:v>
                </c:pt>
                <c:pt idx="103">
                  <c:v>436</c:v>
                </c:pt>
                <c:pt idx="104">
                  <c:v>436</c:v>
                </c:pt>
                <c:pt idx="105">
                  <c:v>436</c:v>
                </c:pt>
                <c:pt idx="106">
                  <c:v>436</c:v>
                </c:pt>
                <c:pt idx="107">
                  <c:v>436</c:v>
                </c:pt>
                <c:pt idx="108">
                  <c:v>436</c:v>
                </c:pt>
                <c:pt idx="109">
                  <c:v>436</c:v>
                </c:pt>
                <c:pt idx="110">
                  <c:v>436</c:v>
                </c:pt>
                <c:pt idx="111">
                  <c:v>436</c:v>
                </c:pt>
                <c:pt idx="112">
                  <c:v>436</c:v>
                </c:pt>
                <c:pt idx="113">
                  <c:v>436</c:v>
                </c:pt>
                <c:pt idx="114">
                  <c:v>436</c:v>
                </c:pt>
                <c:pt idx="115">
                  <c:v>502</c:v>
                </c:pt>
                <c:pt idx="116">
                  <c:v>502</c:v>
                </c:pt>
                <c:pt idx="117">
                  <c:v>502</c:v>
                </c:pt>
                <c:pt idx="118">
                  <c:v>502</c:v>
                </c:pt>
                <c:pt idx="119">
                  <c:v>577</c:v>
                </c:pt>
                <c:pt idx="120">
                  <c:v>577</c:v>
                </c:pt>
                <c:pt idx="121">
                  <c:v>577</c:v>
                </c:pt>
                <c:pt idx="122">
                  <c:v>577</c:v>
                </c:pt>
                <c:pt idx="123">
                  <c:v>577</c:v>
                </c:pt>
                <c:pt idx="124">
                  <c:v>577</c:v>
                </c:pt>
                <c:pt idx="125">
                  <c:v>577</c:v>
                </c:pt>
                <c:pt idx="126">
                  <c:v>577</c:v>
                </c:pt>
                <c:pt idx="127">
                  <c:v>663</c:v>
                </c:pt>
                <c:pt idx="128">
                  <c:v>663</c:v>
                </c:pt>
                <c:pt idx="129">
                  <c:v>663</c:v>
                </c:pt>
                <c:pt idx="130">
                  <c:v>663</c:v>
                </c:pt>
                <c:pt idx="131">
                  <c:v>663</c:v>
                </c:pt>
                <c:pt idx="132">
                  <c:v>663</c:v>
                </c:pt>
                <c:pt idx="133">
                  <c:v>663</c:v>
                </c:pt>
                <c:pt idx="134">
                  <c:v>663</c:v>
                </c:pt>
                <c:pt idx="135">
                  <c:v>762</c:v>
                </c:pt>
                <c:pt idx="136">
                  <c:v>1007</c:v>
                </c:pt>
                <c:pt idx="137">
                  <c:v>1007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1331</c:v>
                </c:pt>
                <c:pt idx="149">
                  <c:v>#N/A</c:v>
                </c:pt>
              </c:numCache>
            </c:numRef>
          </c:xVal>
          <c:yVal>
            <c:numRef>
              <c:f>'Base de Datos'!$CK$8:$CK$157</c:f>
              <c:numCache>
                <c:formatCode>#,##0_);[Red]\(#,##0\)</c:formatCode>
                <c:ptCount val="150"/>
                <c:pt idx="0">
                  <c:v>3479000</c:v>
                </c:pt>
                <c:pt idx="1">
                  <c:v>3479000</c:v>
                </c:pt>
                <c:pt idx="2">
                  <c:v>3904000</c:v>
                </c:pt>
                <c:pt idx="3">
                  <c:v>3904000</c:v>
                </c:pt>
                <c:pt idx="4">
                  <c:v>3904000</c:v>
                </c:pt>
                <c:pt idx="5">
                  <c:v>3904000</c:v>
                </c:pt>
                <c:pt idx="6">
                  <c:v>3904000</c:v>
                </c:pt>
                <c:pt idx="7">
                  <c:v>3904000</c:v>
                </c:pt>
                <c:pt idx="8">
                  <c:v>3904000</c:v>
                </c:pt>
                <c:pt idx="9">
                  <c:v>4410000</c:v>
                </c:pt>
                <c:pt idx="10">
                  <c:v>4410000</c:v>
                </c:pt>
                <c:pt idx="11">
                  <c:v>4410000</c:v>
                </c:pt>
                <c:pt idx="12">
                  <c:v>4410000</c:v>
                </c:pt>
                <c:pt idx="13">
                  <c:v>4410000</c:v>
                </c:pt>
                <c:pt idx="14">
                  <c:v>4410000</c:v>
                </c:pt>
                <c:pt idx="15">
                  <c:v>4410000</c:v>
                </c:pt>
                <c:pt idx="16">
                  <c:v>4410000</c:v>
                </c:pt>
                <c:pt idx="17">
                  <c:v>4410000</c:v>
                </c:pt>
                <c:pt idx="18">
                  <c:v>4410000</c:v>
                </c:pt>
                <c:pt idx="19">
                  <c:v>4410000</c:v>
                </c:pt>
                <c:pt idx="20">
                  <c:v>4977000</c:v>
                </c:pt>
                <c:pt idx="21">
                  <c:v>4977000</c:v>
                </c:pt>
                <c:pt idx="22">
                  <c:v>4977000</c:v>
                </c:pt>
                <c:pt idx="23">
                  <c:v>4977000</c:v>
                </c:pt>
                <c:pt idx="24">
                  <c:v>4977000</c:v>
                </c:pt>
                <c:pt idx="25">
                  <c:v>4977000</c:v>
                </c:pt>
                <c:pt idx="26">
                  <c:v>4977000</c:v>
                </c:pt>
                <c:pt idx="27">
                  <c:v>4977000</c:v>
                </c:pt>
                <c:pt idx="28">
                  <c:v>4977000</c:v>
                </c:pt>
                <c:pt idx="29">
                  <c:v>4977000</c:v>
                </c:pt>
                <c:pt idx="30">
                  <c:v>4977000</c:v>
                </c:pt>
                <c:pt idx="31">
                  <c:v>4977000</c:v>
                </c:pt>
                <c:pt idx="32">
                  <c:v>4977000</c:v>
                </c:pt>
                <c:pt idx="33">
                  <c:v>4977000</c:v>
                </c:pt>
                <c:pt idx="34">
                  <c:v>4977000</c:v>
                </c:pt>
                <c:pt idx="35">
                  <c:v>4977000</c:v>
                </c:pt>
                <c:pt idx="36">
                  <c:v>4977000</c:v>
                </c:pt>
                <c:pt idx="37">
                  <c:v>4977000</c:v>
                </c:pt>
                <c:pt idx="38">
                  <c:v>5625000</c:v>
                </c:pt>
                <c:pt idx="39">
                  <c:v>5625000</c:v>
                </c:pt>
                <c:pt idx="40">
                  <c:v>5625000</c:v>
                </c:pt>
                <c:pt idx="41">
                  <c:v>5625000</c:v>
                </c:pt>
                <c:pt idx="42">
                  <c:v>5625000</c:v>
                </c:pt>
                <c:pt idx="43">
                  <c:v>5625000</c:v>
                </c:pt>
                <c:pt idx="44">
                  <c:v>5625000</c:v>
                </c:pt>
                <c:pt idx="45">
                  <c:v>5625000</c:v>
                </c:pt>
                <c:pt idx="46">
                  <c:v>5625000</c:v>
                </c:pt>
                <c:pt idx="47">
                  <c:v>5625000</c:v>
                </c:pt>
                <c:pt idx="48">
                  <c:v>5625000</c:v>
                </c:pt>
                <c:pt idx="49">
                  <c:v>5625000</c:v>
                </c:pt>
                <c:pt idx="50">
                  <c:v>5625000</c:v>
                </c:pt>
                <c:pt idx="51">
                  <c:v>5625000</c:v>
                </c:pt>
                <c:pt idx="52">
                  <c:v>5625000</c:v>
                </c:pt>
                <c:pt idx="53">
                  <c:v>5625000</c:v>
                </c:pt>
                <c:pt idx="54">
                  <c:v>5625000</c:v>
                </c:pt>
                <c:pt idx="55">
                  <c:v>5625000</c:v>
                </c:pt>
                <c:pt idx="56">
                  <c:v>6395000</c:v>
                </c:pt>
                <c:pt idx="57">
                  <c:v>6395000</c:v>
                </c:pt>
                <c:pt idx="58">
                  <c:v>4977000</c:v>
                </c:pt>
                <c:pt idx="59">
                  <c:v>4977000</c:v>
                </c:pt>
                <c:pt idx="60">
                  <c:v>4977000</c:v>
                </c:pt>
                <c:pt idx="61">
                  <c:v>4977000</c:v>
                </c:pt>
                <c:pt idx="62">
                  <c:v>4977000</c:v>
                </c:pt>
                <c:pt idx="63">
                  <c:v>4977000</c:v>
                </c:pt>
                <c:pt idx="64">
                  <c:v>4977000</c:v>
                </c:pt>
                <c:pt idx="65">
                  <c:v>4977000</c:v>
                </c:pt>
                <c:pt idx="66">
                  <c:v>4977000</c:v>
                </c:pt>
                <c:pt idx="67">
                  <c:v>4977000</c:v>
                </c:pt>
                <c:pt idx="68">
                  <c:v>5625000</c:v>
                </c:pt>
                <c:pt idx="69">
                  <c:v>6395000</c:v>
                </c:pt>
                <c:pt idx="70">
                  <c:v>6395000</c:v>
                </c:pt>
                <c:pt idx="71">
                  <c:v>6395000</c:v>
                </c:pt>
                <c:pt idx="72">
                  <c:v>6395000</c:v>
                </c:pt>
                <c:pt idx="73">
                  <c:v>7266000</c:v>
                </c:pt>
                <c:pt idx="74">
                  <c:v>7266000</c:v>
                </c:pt>
                <c:pt idx="75">
                  <c:v>8258000</c:v>
                </c:pt>
                <c:pt idx="76">
                  <c:v>8258000</c:v>
                </c:pt>
                <c:pt idx="77">
                  <c:v>8258000</c:v>
                </c:pt>
                <c:pt idx="78">
                  <c:v>8258000</c:v>
                </c:pt>
                <c:pt idx="79">
                  <c:v>8258000</c:v>
                </c:pt>
                <c:pt idx="80">
                  <c:v>8258000</c:v>
                </c:pt>
                <c:pt idx="81">
                  <c:v>8258000</c:v>
                </c:pt>
                <c:pt idx="82">
                  <c:v>8258000</c:v>
                </c:pt>
                <c:pt idx="83">
                  <c:v>8258000</c:v>
                </c:pt>
                <c:pt idx="84">
                  <c:v>8258000</c:v>
                </c:pt>
                <c:pt idx="85">
                  <c:v>8258000</c:v>
                </c:pt>
                <c:pt idx="86">
                  <c:v>8258000</c:v>
                </c:pt>
                <c:pt idx="87">
                  <c:v>8258000</c:v>
                </c:pt>
                <c:pt idx="88">
                  <c:v>8258000</c:v>
                </c:pt>
                <c:pt idx="89">
                  <c:v>8258000</c:v>
                </c:pt>
                <c:pt idx="90">
                  <c:v>8258000</c:v>
                </c:pt>
                <c:pt idx="91">
                  <c:v>8258000</c:v>
                </c:pt>
                <c:pt idx="92">
                  <c:v>8258000</c:v>
                </c:pt>
                <c:pt idx="93">
                  <c:v>9412000</c:v>
                </c:pt>
                <c:pt idx="94">
                  <c:v>9412000</c:v>
                </c:pt>
                <c:pt idx="95">
                  <c:v>9412000</c:v>
                </c:pt>
                <c:pt idx="96">
                  <c:v>9412000</c:v>
                </c:pt>
                <c:pt idx="97">
                  <c:v>9412000</c:v>
                </c:pt>
                <c:pt idx="98">
                  <c:v>9412000</c:v>
                </c:pt>
                <c:pt idx="99">
                  <c:v>9412000</c:v>
                </c:pt>
                <c:pt idx="100">
                  <c:v>9412000</c:v>
                </c:pt>
                <c:pt idx="101">
                  <c:v>9412000</c:v>
                </c:pt>
                <c:pt idx="102">
                  <c:v>9412000</c:v>
                </c:pt>
                <c:pt idx="103">
                  <c:v>9412000</c:v>
                </c:pt>
                <c:pt idx="104">
                  <c:v>9412000</c:v>
                </c:pt>
                <c:pt idx="105">
                  <c:v>9412000</c:v>
                </c:pt>
                <c:pt idx="106">
                  <c:v>9412000</c:v>
                </c:pt>
                <c:pt idx="107">
                  <c:v>9412000</c:v>
                </c:pt>
                <c:pt idx="108">
                  <c:v>9412000</c:v>
                </c:pt>
                <c:pt idx="109">
                  <c:v>9412000</c:v>
                </c:pt>
                <c:pt idx="110">
                  <c:v>9412000</c:v>
                </c:pt>
                <c:pt idx="111">
                  <c:v>9412000</c:v>
                </c:pt>
                <c:pt idx="112">
                  <c:v>9412000</c:v>
                </c:pt>
                <c:pt idx="113">
                  <c:v>9412000</c:v>
                </c:pt>
                <c:pt idx="114">
                  <c:v>9412000</c:v>
                </c:pt>
                <c:pt idx="115">
                  <c:v>11207000</c:v>
                </c:pt>
                <c:pt idx="116">
                  <c:v>11207000</c:v>
                </c:pt>
                <c:pt idx="117">
                  <c:v>11207000</c:v>
                </c:pt>
                <c:pt idx="118">
                  <c:v>11207000</c:v>
                </c:pt>
                <c:pt idx="119">
                  <c:v>13298000</c:v>
                </c:pt>
                <c:pt idx="120">
                  <c:v>13298000</c:v>
                </c:pt>
                <c:pt idx="121">
                  <c:v>13298000</c:v>
                </c:pt>
                <c:pt idx="122">
                  <c:v>13298000</c:v>
                </c:pt>
                <c:pt idx="123">
                  <c:v>13298000</c:v>
                </c:pt>
                <c:pt idx="124">
                  <c:v>13298000</c:v>
                </c:pt>
                <c:pt idx="125">
                  <c:v>13298000</c:v>
                </c:pt>
                <c:pt idx="126">
                  <c:v>13298000</c:v>
                </c:pt>
                <c:pt idx="127">
                  <c:v>17813000</c:v>
                </c:pt>
                <c:pt idx="128">
                  <c:v>17813000</c:v>
                </c:pt>
                <c:pt idx="129">
                  <c:v>17813000</c:v>
                </c:pt>
                <c:pt idx="130">
                  <c:v>17813000</c:v>
                </c:pt>
                <c:pt idx="131">
                  <c:v>17813000</c:v>
                </c:pt>
                <c:pt idx="132">
                  <c:v>17813000</c:v>
                </c:pt>
                <c:pt idx="133">
                  <c:v>17813000</c:v>
                </c:pt>
                <c:pt idx="134">
                  <c:v>17813000</c:v>
                </c:pt>
                <c:pt idx="135">
                  <c:v>27337000</c:v>
                </c:pt>
                <c:pt idx="136">
                  <c:v>50906000</c:v>
                </c:pt>
                <c:pt idx="137">
                  <c:v>50906000</c:v>
                </c:pt>
                <c:pt idx="138">
                  <c:v>3094000</c:v>
                </c:pt>
                <c:pt idx="139">
                  <c:v>2770000</c:v>
                </c:pt>
                <c:pt idx="140">
                  <c:v>2486000</c:v>
                </c:pt>
                <c:pt idx="141">
                  <c:v>38304000</c:v>
                </c:pt>
                <c:pt idx="142">
                  <c:v>65336000</c:v>
                </c:pt>
                <c:pt idx="143">
                  <c:v>101219000</c:v>
                </c:pt>
                <c:pt idx="144">
                  <c:v>123248000</c:v>
                </c:pt>
                <c:pt idx="145">
                  <c:v>148645000</c:v>
                </c:pt>
                <c:pt idx="146">
                  <c:v>177794000</c:v>
                </c:pt>
                <c:pt idx="147">
                  <c:v>211271000</c:v>
                </c:pt>
                <c:pt idx="148">
                  <c:v>82075000</c:v>
                </c:pt>
                <c:pt idx="14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56-4B35-9FAC-71329342E00B}"/>
            </c:ext>
          </c:extLst>
        </c:ser>
        <c:ser>
          <c:idx val="4"/>
          <c:order val="4"/>
          <c:tx>
            <c:v>Compensación Equitativa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'Base de Datos'!$U$8:$U$157</c:f>
              <c:numCache>
                <c:formatCode>#,##0_);[Red]\(#,##0\)</c:formatCode>
                <c:ptCount val="150"/>
                <c:pt idx="0">
                  <c:v>143</c:v>
                </c:pt>
                <c:pt idx="1">
                  <c:v>143</c:v>
                </c:pt>
                <c:pt idx="2">
                  <c:v>164</c:v>
                </c:pt>
                <c:pt idx="3">
                  <c:v>164</c:v>
                </c:pt>
                <c:pt idx="4">
                  <c:v>164</c:v>
                </c:pt>
                <c:pt idx="5">
                  <c:v>164</c:v>
                </c:pt>
                <c:pt idx="6">
                  <c:v>164</c:v>
                </c:pt>
                <c:pt idx="7">
                  <c:v>164</c:v>
                </c:pt>
                <c:pt idx="8">
                  <c:v>164</c:v>
                </c:pt>
                <c:pt idx="9">
                  <c:v>189</c:v>
                </c:pt>
                <c:pt idx="10">
                  <c:v>189</c:v>
                </c:pt>
                <c:pt idx="11">
                  <c:v>189</c:v>
                </c:pt>
                <c:pt idx="12">
                  <c:v>189</c:v>
                </c:pt>
                <c:pt idx="13">
                  <c:v>189</c:v>
                </c:pt>
                <c:pt idx="14">
                  <c:v>189</c:v>
                </c:pt>
                <c:pt idx="15">
                  <c:v>189</c:v>
                </c:pt>
                <c:pt idx="16">
                  <c:v>189</c:v>
                </c:pt>
                <c:pt idx="17">
                  <c:v>189</c:v>
                </c:pt>
                <c:pt idx="18">
                  <c:v>189</c:v>
                </c:pt>
                <c:pt idx="19">
                  <c:v>189</c:v>
                </c:pt>
                <c:pt idx="20">
                  <c:v>217</c:v>
                </c:pt>
                <c:pt idx="21">
                  <c:v>217</c:v>
                </c:pt>
                <c:pt idx="22">
                  <c:v>217</c:v>
                </c:pt>
                <c:pt idx="23">
                  <c:v>217</c:v>
                </c:pt>
                <c:pt idx="24">
                  <c:v>217</c:v>
                </c:pt>
                <c:pt idx="25">
                  <c:v>217</c:v>
                </c:pt>
                <c:pt idx="26">
                  <c:v>217</c:v>
                </c:pt>
                <c:pt idx="27">
                  <c:v>217</c:v>
                </c:pt>
                <c:pt idx="28">
                  <c:v>217</c:v>
                </c:pt>
                <c:pt idx="29">
                  <c:v>217</c:v>
                </c:pt>
                <c:pt idx="30">
                  <c:v>217</c:v>
                </c:pt>
                <c:pt idx="31">
                  <c:v>217</c:v>
                </c:pt>
                <c:pt idx="32">
                  <c:v>217</c:v>
                </c:pt>
                <c:pt idx="33">
                  <c:v>217</c:v>
                </c:pt>
                <c:pt idx="34">
                  <c:v>217</c:v>
                </c:pt>
                <c:pt idx="35">
                  <c:v>217</c:v>
                </c:pt>
                <c:pt idx="36">
                  <c:v>217</c:v>
                </c:pt>
                <c:pt idx="37">
                  <c:v>217</c:v>
                </c:pt>
                <c:pt idx="38">
                  <c:v>249</c:v>
                </c:pt>
                <c:pt idx="39">
                  <c:v>249</c:v>
                </c:pt>
                <c:pt idx="40">
                  <c:v>249</c:v>
                </c:pt>
                <c:pt idx="41">
                  <c:v>249</c:v>
                </c:pt>
                <c:pt idx="42">
                  <c:v>249</c:v>
                </c:pt>
                <c:pt idx="43">
                  <c:v>249</c:v>
                </c:pt>
                <c:pt idx="44">
                  <c:v>249</c:v>
                </c:pt>
                <c:pt idx="45">
                  <c:v>249</c:v>
                </c:pt>
                <c:pt idx="46">
                  <c:v>249</c:v>
                </c:pt>
                <c:pt idx="47">
                  <c:v>249</c:v>
                </c:pt>
                <c:pt idx="48">
                  <c:v>249</c:v>
                </c:pt>
                <c:pt idx="49">
                  <c:v>249</c:v>
                </c:pt>
                <c:pt idx="50">
                  <c:v>249</c:v>
                </c:pt>
                <c:pt idx="51">
                  <c:v>249</c:v>
                </c:pt>
                <c:pt idx="52">
                  <c:v>249</c:v>
                </c:pt>
                <c:pt idx="53">
                  <c:v>249</c:v>
                </c:pt>
                <c:pt idx="54">
                  <c:v>249</c:v>
                </c:pt>
                <c:pt idx="55">
                  <c:v>249</c:v>
                </c:pt>
                <c:pt idx="56">
                  <c:v>287</c:v>
                </c:pt>
                <c:pt idx="57">
                  <c:v>287</c:v>
                </c:pt>
                <c:pt idx="58">
                  <c:v>217</c:v>
                </c:pt>
                <c:pt idx="59">
                  <c:v>217</c:v>
                </c:pt>
                <c:pt idx="60">
                  <c:v>217</c:v>
                </c:pt>
                <c:pt idx="61">
                  <c:v>217</c:v>
                </c:pt>
                <c:pt idx="62">
                  <c:v>217</c:v>
                </c:pt>
                <c:pt idx="63">
                  <c:v>217</c:v>
                </c:pt>
                <c:pt idx="64">
                  <c:v>217</c:v>
                </c:pt>
                <c:pt idx="65">
                  <c:v>217</c:v>
                </c:pt>
                <c:pt idx="66">
                  <c:v>217</c:v>
                </c:pt>
                <c:pt idx="67">
                  <c:v>217</c:v>
                </c:pt>
                <c:pt idx="68">
                  <c:v>249</c:v>
                </c:pt>
                <c:pt idx="69">
                  <c:v>287</c:v>
                </c:pt>
                <c:pt idx="70">
                  <c:v>287</c:v>
                </c:pt>
                <c:pt idx="71">
                  <c:v>287</c:v>
                </c:pt>
                <c:pt idx="72">
                  <c:v>287</c:v>
                </c:pt>
                <c:pt idx="73">
                  <c:v>330</c:v>
                </c:pt>
                <c:pt idx="74">
                  <c:v>330</c:v>
                </c:pt>
                <c:pt idx="75">
                  <c:v>379</c:v>
                </c:pt>
                <c:pt idx="76">
                  <c:v>379</c:v>
                </c:pt>
                <c:pt idx="77">
                  <c:v>379</c:v>
                </c:pt>
                <c:pt idx="78">
                  <c:v>379</c:v>
                </c:pt>
                <c:pt idx="79">
                  <c:v>379</c:v>
                </c:pt>
                <c:pt idx="80">
                  <c:v>379</c:v>
                </c:pt>
                <c:pt idx="81">
                  <c:v>379</c:v>
                </c:pt>
                <c:pt idx="82">
                  <c:v>379</c:v>
                </c:pt>
                <c:pt idx="83">
                  <c:v>379</c:v>
                </c:pt>
                <c:pt idx="84">
                  <c:v>379</c:v>
                </c:pt>
                <c:pt idx="85">
                  <c:v>379</c:v>
                </c:pt>
                <c:pt idx="86">
                  <c:v>379</c:v>
                </c:pt>
                <c:pt idx="87">
                  <c:v>379</c:v>
                </c:pt>
                <c:pt idx="88">
                  <c:v>379</c:v>
                </c:pt>
                <c:pt idx="89">
                  <c:v>379</c:v>
                </c:pt>
                <c:pt idx="90">
                  <c:v>379</c:v>
                </c:pt>
                <c:pt idx="91">
                  <c:v>379</c:v>
                </c:pt>
                <c:pt idx="92">
                  <c:v>379</c:v>
                </c:pt>
                <c:pt idx="93">
                  <c:v>436</c:v>
                </c:pt>
                <c:pt idx="94">
                  <c:v>436</c:v>
                </c:pt>
                <c:pt idx="95">
                  <c:v>436</c:v>
                </c:pt>
                <c:pt idx="96">
                  <c:v>436</c:v>
                </c:pt>
                <c:pt idx="97">
                  <c:v>436</c:v>
                </c:pt>
                <c:pt idx="98">
                  <c:v>436</c:v>
                </c:pt>
                <c:pt idx="99">
                  <c:v>436</c:v>
                </c:pt>
                <c:pt idx="100">
                  <c:v>436</c:v>
                </c:pt>
                <c:pt idx="101">
                  <c:v>436</c:v>
                </c:pt>
                <c:pt idx="102">
                  <c:v>436</c:v>
                </c:pt>
                <c:pt idx="103">
                  <c:v>436</c:v>
                </c:pt>
                <c:pt idx="104">
                  <c:v>436</c:v>
                </c:pt>
                <c:pt idx="105">
                  <c:v>436</c:v>
                </c:pt>
                <c:pt idx="106">
                  <c:v>436</c:v>
                </c:pt>
                <c:pt idx="107">
                  <c:v>436</c:v>
                </c:pt>
                <c:pt idx="108">
                  <c:v>436</c:v>
                </c:pt>
                <c:pt idx="109">
                  <c:v>436</c:v>
                </c:pt>
                <c:pt idx="110">
                  <c:v>436</c:v>
                </c:pt>
                <c:pt idx="111">
                  <c:v>436</c:v>
                </c:pt>
                <c:pt idx="112">
                  <c:v>436</c:v>
                </c:pt>
                <c:pt idx="113">
                  <c:v>436</c:v>
                </c:pt>
                <c:pt idx="114">
                  <c:v>436</c:v>
                </c:pt>
                <c:pt idx="115">
                  <c:v>502</c:v>
                </c:pt>
                <c:pt idx="116">
                  <c:v>502</c:v>
                </c:pt>
                <c:pt idx="117">
                  <c:v>502</c:v>
                </c:pt>
                <c:pt idx="118">
                  <c:v>502</c:v>
                </c:pt>
                <c:pt idx="119">
                  <c:v>577</c:v>
                </c:pt>
                <c:pt idx="120">
                  <c:v>577</c:v>
                </c:pt>
                <c:pt idx="121">
                  <c:v>577</c:v>
                </c:pt>
                <c:pt idx="122">
                  <c:v>577</c:v>
                </c:pt>
                <c:pt idx="123">
                  <c:v>577</c:v>
                </c:pt>
                <c:pt idx="124">
                  <c:v>577</c:v>
                </c:pt>
                <c:pt idx="125">
                  <c:v>577</c:v>
                </c:pt>
                <c:pt idx="126">
                  <c:v>577</c:v>
                </c:pt>
                <c:pt idx="127">
                  <c:v>663</c:v>
                </c:pt>
                <c:pt idx="128">
                  <c:v>663</c:v>
                </c:pt>
                <c:pt idx="129">
                  <c:v>663</c:v>
                </c:pt>
                <c:pt idx="130">
                  <c:v>663</c:v>
                </c:pt>
                <c:pt idx="131">
                  <c:v>663</c:v>
                </c:pt>
                <c:pt idx="132">
                  <c:v>663</c:v>
                </c:pt>
                <c:pt idx="133">
                  <c:v>663</c:v>
                </c:pt>
                <c:pt idx="134">
                  <c:v>663</c:v>
                </c:pt>
                <c:pt idx="135">
                  <c:v>762</c:v>
                </c:pt>
                <c:pt idx="136">
                  <c:v>1007</c:v>
                </c:pt>
                <c:pt idx="137">
                  <c:v>1007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1331</c:v>
                </c:pt>
                <c:pt idx="149">
                  <c:v>#N/A</c:v>
                </c:pt>
              </c:numCache>
            </c:numRef>
          </c:xVal>
          <c:yVal>
            <c:numRef>
              <c:f>'Base de Datos'!$BQ$8:$BQ$157</c:f>
              <c:numCache>
                <c:formatCode>#,##0_);[Red]\(#,##0\)</c:formatCode>
                <c:ptCount val="150"/>
                <c:pt idx="0">
                  <c:v>2351305.3471424235</c:v>
                </c:pt>
                <c:pt idx="1">
                  <c:v>2351305.3471424235</c:v>
                </c:pt>
                <c:pt idx="2">
                  <c:v>2584918.4911405994</c:v>
                </c:pt>
                <c:pt idx="3">
                  <c:v>2584918.4911405994</c:v>
                </c:pt>
                <c:pt idx="4">
                  <c:v>2584918.4911405994</c:v>
                </c:pt>
                <c:pt idx="5">
                  <c:v>2584918.4911405994</c:v>
                </c:pt>
                <c:pt idx="6">
                  <c:v>2584918.4911405994</c:v>
                </c:pt>
                <c:pt idx="7">
                  <c:v>2584918.4911405994</c:v>
                </c:pt>
                <c:pt idx="8">
                  <c:v>2584918.4911405994</c:v>
                </c:pt>
                <c:pt idx="9">
                  <c:v>2863029.376852714</c:v>
                </c:pt>
                <c:pt idx="10">
                  <c:v>2863029.376852714</c:v>
                </c:pt>
                <c:pt idx="11">
                  <c:v>2863029.376852714</c:v>
                </c:pt>
                <c:pt idx="12">
                  <c:v>2863029.376852714</c:v>
                </c:pt>
                <c:pt idx="13">
                  <c:v>2863029.376852714</c:v>
                </c:pt>
                <c:pt idx="14">
                  <c:v>2863029.376852714</c:v>
                </c:pt>
                <c:pt idx="15">
                  <c:v>2863029.376852714</c:v>
                </c:pt>
                <c:pt idx="16">
                  <c:v>2863029.376852714</c:v>
                </c:pt>
                <c:pt idx="17">
                  <c:v>2863029.376852714</c:v>
                </c:pt>
                <c:pt idx="18">
                  <c:v>2863029.376852714</c:v>
                </c:pt>
                <c:pt idx="19">
                  <c:v>2863029.376852714</c:v>
                </c:pt>
                <c:pt idx="20">
                  <c:v>3174513.5688502821</c:v>
                </c:pt>
                <c:pt idx="21">
                  <c:v>3174513.5688502821</c:v>
                </c:pt>
                <c:pt idx="22">
                  <c:v>3174513.5688502821</c:v>
                </c:pt>
                <c:pt idx="23">
                  <c:v>3174513.5688502821</c:v>
                </c:pt>
                <c:pt idx="24">
                  <c:v>3174513.5688502821</c:v>
                </c:pt>
                <c:pt idx="25">
                  <c:v>3174513.5688502821</c:v>
                </c:pt>
                <c:pt idx="26">
                  <c:v>3174513.5688502821</c:v>
                </c:pt>
                <c:pt idx="27">
                  <c:v>3174513.5688502821</c:v>
                </c:pt>
                <c:pt idx="28">
                  <c:v>3174513.5688502821</c:v>
                </c:pt>
                <c:pt idx="29">
                  <c:v>3174513.5688502821</c:v>
                </c:pt>
                <c:pt idx="30">
                  <c:v>3174513.5688502821</c:v>
                </c:pt>
                <c:pt idx="31">
                  <c:v>3174513.5688502821</c:v>
                </c:pt>
                <c:pt idx="32">
                  <c:v>3174513.5688502821</c:v>
                </c:pt>
                <c:pt idx="33">
                  <c:v>3174513.5688502821</c:v>
                </c:pt>
                <c:pt idx="34">
                  <c:v>3174513.5688502821</c:v>
                </c:pt>
                <c:pt idx="35">
                  <c:v>3174513.5688502821</c:v>
                </c:pt>
                <c:pt idx="36">
                  <c:v>3174513.5688502821</c:v>
                </c:pt>
                <c:pt idx="37">
                  <c:v>3174513.5688502821</c:v>
                </c:pt>
                <c:pt idx="38">
                  <c:v>3530495.5025617885</c:v>
                </c:pt>
                <c:pt idx="39">
                  <c:v>3530495.5025617885</c:v>
                </c:pt>
                <c:pt idx="40">
                  <c:v>3530495.5025617885</c:v>
                </c:pt>
                <c:pt idx="41">
                  <c:v>3530495.5025617885</c:v>
                </c:pt>
                <c:pt idx="42">
                  <c:v>3530495.5025617885</c:v>
                </c:pt>
                <c:pt idx="43">
                  <c:v>3530495.5025617885</c:v>
                </c:pt>
                <c:pt idx="44">
                  <c:v>3530495.5025617885</c:v>
                </c:pt>
                <c:pt idx="45">
                  <c:v>3530495.5025617885</c:v>
                </c:pt>
                <c:pt idx="46">
                  <c:v>3530495.5025617885</c:v>
                </c:pt>
                <c:pt idx="47">
                  <c:v>3530495.5025617885</c:v>
                </c:pt>
                <c:pt idx="48">
                  <c:v>3530495.5025617885</c:v>
                </c:pt>
                <c:pt idx="49">
                  <c:v>3530495.5025617885</c:v>
                </c:pt>
                <c:pt idx="50">
                  <c:v>3530495.5025617885</c:v>
                </c:pt>
                <c:pt idx="51">
                  <c:v>3530495.5025617885</c:v>
                </c:pt>
                <c:pt idx="52">
                  <c:v>3530495.5025617885</c:v>
                </c:pt>
                <c:pt idx="53">
                  <c:v>3530495.5025617885</c:v>
                </c:pt>
                <c:pt idx="54">
                  <c:v>3530495.5025617885</c:v>
                </c:pt>
                <c:pt idx="55">
                  <c:v>3530495.5025617885</c:v>
                </c:pt>
                <c:pt idx="56">
                  <c:v>3953224.048844202</c:v>
                </c:pt>
                <c:pt idx="57">
                  <c:v>3953224.048844202</c:v>
                </c:pt>
                <c:pt idx="58">
                  <c:v>3174513.5688502821</c:v>
                </c:pt>
                <c:pt idx="59">
                  <c:v>3174513.5688502821</c:v>
                </c:pt>
                <c:pt idx="60">
                  <c:v>3174513.5688502821</c:v>
                </c:pt>
                <c:pt idx="61">
                  <c:v>3174513.5688502821</c:v>
                </c:pt>
                <c:pt idx="62">
                  <c:v>3174513.5688502821</c:v>
                </c:pt>
                <c:pt idx="63">
                  <c:v>3174513.5688502821</c:v>
                </c:pt>
                <c:pt idx="64">
                  <c:v>3174513.5688502821</c:v>
                </c:pt>
                <c:pt idx="65">
                  <c:v>3174513.5688502821</c:v>
                </c:pt>
                <c:pt idx="66">
                  <c:v>3174513.5688502821</c:v>
                </c:pt>
                <c:pt idx="67">
                  <c:v>3174513.5688502821</c:v>
                </c:pt>
                <c:pt idx="68">
                  <c:v>3530495.5025617885</c:v>
                </c:pt>
                <c:pt idx="69">
                  <c:v>3953224.048844202</c:v>
                </c:pt>
                <c:pt idx="70">
                  <c:v>3953224.048844202</c:v>
                </c:pt>
                <c:pt idx="71">
                  <c:v>3953224.048844202</c:v>
                </c:pt>
                <c:pt idx="72">
                  <c:v>3953224.048844202</c:v>
                </c:pt>
                <c:pt idx="73">
                  <c:v>4431574.7722690385</c:v>
                </c:pt>
                <c:pt idx="74">
                  <c:v>4431574.7722690385</c:v>
                </c:pt>
                <c:pt idx="75">
                  <c:v>4976672.1082647825</c:v>
                </c:pt>
                <c:pt idx="76">
                  <c:v>4976672.1082647825</c:v>
                </c:pt>
                <c:pt idx="77">
                  <c:v>4976672.1082647825</c:v>
                </c:pt>
                <c:pt idx="78">
                  <c:v>4976672.1082647825</c:v>
                </c:pt>
                <c:pt idx="79">
                  <c:v>4976672.1082647825</c:v>
                </c:pt>
                <c:pt idx="80">
                  <c:v>4976672.1082647825</c:v>
                </c:pt>
                <c:pt idx="81">
                  <c:v>4976672.1082647825</c:v>
                </c:pt>
                <c:pt idx="82">
                  <c:v>4976672.1082647825</c:v>
                </c:pt>
                <c:pt idx="83">
                  <c:v>4976672.1082647825</c:v>
                </c:pt>
                <c:pt idx="84">
                  <c:v>4976672.1082647825</c:v>
                </c:pt>
                <c:pt idx="85">
                  <c:v>4976672.1082647825</c:v>
                </c:pt>
                <c:pt idx="86">
                  <c:v>4976672.1082647825</c:v>
                </c:pt>
                <c:pt idx="87">
                  <c:v>4976672.1082647825</c:v>
                </c:pt>
                <c:pt idx="88">
                  <c:v>4976672.1082647825</c:v>
                </c:pt>
                <c:pt idx="89">
                  <c:v>4976672.1082647825</c:v>
                </c:pt>
                <c:pt idx="90">
                  <c:v>4976672.1082647825</c:v>
                </c:pt>
                <c:pt idx="91">
                  <c:v>4976672.1082647825</c:v>
                </c:pt>
                <c:pt idx="92">
                  <c:v>4976672.1082647825</c:v>
                </c:pt>
                <c:pt idx="93">
                  <c:v>5788705.6260986775</c:v>
                </c:pt>
                <c:pt idx="94">
                  <c:v>5788705.6260986775</c:v>
                </c:pt>
                <c:pt idx="95">
                  <c:v>5788705.6260986775</c:v>
                </c:pt>
                <c:pt idx="96">
                  <c:v>5788705.6260986775</c:v>
                </c:pt>
                <c:pt idx="97">
                  <c:v>5788705.6260986775</c:v>
                </c:pt>
                <c:pt idx="98">
                  <c:v>5788705.6260986775</c:v>
                </c:pt>
                <c:pt idx="99">
                  <c:v>5788705.6260986775</c:v>
                </c:pt>
                <c:pt idx="100">
                  <c:v>5788705.6260986775</c:v>
                </c:pt>
                <c:pt idx="101">
                  <c:v>5788705.6260986775</c:v>
                </c:pt>
                <c:pt idx="102">
                  <c:v>5788705.6260986775</c:v>
                </c:pt>
                <c:pt idx="103">
                  <c:v>5788705.6260986775</c:v>
                </c:pt>
                <c:pt idx="104">
                  <c:v>5788705.6260986775</c:v>
                </c:pt>
                <c:pt idx="105">
                  <c:v>5788705.6260986775</c:v>
                </c:pt>
                <c:pt idx="106">
                  <c:v>5788705.6260986775</c:v>
                </c:pt>
                <c:pt idx="107">
                  <c:v>5788705.6260986775</c:v>
                </c:pt>
                <c:pt idx="108">
                  <c:v>5788705.6260986775</c:v>
                </c:pt>
                <c:pt idx="109">
                  <c:v>5788705.6260986775</c:v>
                </c:pt>
                <c:pt idx="110">
                  <c:v>5788705.6260986775</c:v>
                </c:pt>
                <c:pt idx="111">
                  <c:v>5788705.6260986775</c:v>
                </c:pt>
                <c:pt idx="112">
                  <c:v>5788705.6260986775</c:v>
                </c:pt>
                <c:pt idx="113">
                  <c:v>5788705.6260986775</c:v>
                </c:pt>
                <c:pt idx="114">
                  <c:v>5788705.6260986775</c:v>
                </c:pt>
                <c:pt idx="115">
                  <c:v>6889921.0548498491</c:v>
                </c:pt>
                <c:pt idx="116">
                  <c:v>6889921.0548498491</c:v>
                </c:pt>
                <c:pt idx="117">
                  <c:v>6889921.0548498491</c:v>
                </c:pt>
                <c:pt idx="118">
                  <c:v>6889921.0548498491</c:v>
                </c:pt>
                <c:pt idx="119">
                  <c:v>8141302.2238852717</c:v>
                </c:pt>
                <c:pt idx="120">
                  <c:v>8141302.2238852717</c:v>
                </c:pt>
                <c:pt idx="121">
                  <c:v>8141302.2238852717</c:v>
                </c:pt>
                <c:pt idx="122">
                  <c:v>8141302.2238852717</c:v>
                </c:pt>
                <c:pt idx="123">
                  <c:v>8141302.2238852717</c:v>
                </c:pt>
                <c:pt idx="124">
                  <c:v>8141302.2238852717</c:v>
                </c:pt>
                <c:pt idx="125">
                  <c:v>8141302.2238852717</c:v>
                </c:pt>
                <c:pt idx="126">
                  <c:v>8141302.2238852717</c:v>
                </c:pt>
                <c:pt idx="127">
                  <c:v>10966470.005261846</c:v>
                </c:pt>
                <c:pt idx="128">
                  <c:v>10966470.005261846</c:v>
                </c:pt>
                <c:pt idx="129">
                  <c:v>10966470.005261846</c:v>
                </c:pt>
                <c:pt idx="130" formatCode="#,##0_);[Red]\(#,##0\)">
                  <c:v>10966470.005261846</c:v>
                </c:pt>
                <c:pt idx="131">
                  <c:v>10966470.005261846</c:v>
                </c:pt>
                <c:pt idx="132">
                  <c:v>10966470.005261846</c:v>
                </c:pt>
                <c:pt idx="133">
                  <c:v>10966470.005261846</c:v>
                </c:pt>
                <c:pt idx="134">
                  <c:v>10966470.005261846</c:v>
                </c:pt>
                <c:pt idx="135">
                  <c:v>17058126.053142823</c:v>
                </c:pt>
                <c:pt idx="136">
                  <c:v>32133436.474666454</c:v>
                </c:pt>
                <c:pt idx="137">
                  <c:v>32133436.474666454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52069765.358640566</c:v>
                </c:pt>
                <c:pt idx="14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45-41AB-9381-2ADD81FBB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689152"/>
        <c:axId val="310695808"/>
      </c:scatterChart>
      <c:scatterChart>
        <c:scatterStyle val="lineMarker"/>
        <c:varyColors val="0"/>
        <c:ser>
          <c:idx val="3"/>
          <c:order val="3"/>
          <c:tx>
            <c:v>Compensación Total Actual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tx2">
                  <a:lumMod val="75000"/>
                  <a:alpha val="3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'Base de Datos'!$Q$8:$Q$157</c:f>
              <c:numCache>
                <c:formatCode>#,##0_);[Red]\(#,##0\)</c:formatCode>
                <c:ptCount val="150"/>
                <c:pt idx="0">
                  <c:v>138</c:v>
                </c:pt>
                <c:pt idx="1">
                  <c:v>142</c:v>
                </c:pt>
                <c:pt idx="2">
                  <c:v>168</c:v>
                </c:pt>
                <c:pt idx="3">
                  <c:v>168</c:v>
                </c:pt>
                <c:pt idx="4">
                  <c:v>168</c:v>
                </c:pt>
                <c:pt idx="5">
                  <c:v>168</c:v>
                </c:pt>
                <c:pt idx="6">
                  <c:v>168</c:v>
                </c:pt>
                <c:pt idx="7">
                  <c:v>168</c:v>
                </c:pt>
                <c:pt idx="8">
                  <c:v>168</c:v>
                </c:pt>
                <c:pt idx="9">
                  <c:v>192</c:v>
                </c:pt>
                <c:pt idx="10">
                  <c:v>192</c:v>
                </c:pt>
                <c:pt idx="11">
                  <c:v>192</c:v>
                </c:pt>
                <c:pt idx="12">
                  <c:v>193</c:v>
                </c:pt>
                <c:pt idx="13">
                  <c:v>199</c:v>
                </c:pt>
                <c:pt idx="14">
                  <c:v>199</c:v>
                </c:pt>
                <c:pt idx="15">
                  <c:v>199</c:v>
                </c:pt>
                <c:pt idx="16">
                  <c:v>199</c:v>
                </c:pt>
                <c:pt idx="17">
                  <c:v>199</c:v>
                </c:pt>
                <c:pt idx="18">
                  <c:v>199</c:v>
                </c:pt>
                <c:pt idx="19">
                  <c:v>200</c:v>
                </c:pt>
                <c:pt idx="20">
                  <c:v>204</c:v>
                </c:pt>
                <c:pt idx="21">
                  <c:v>204</c:v>
                </c:pt>
                <c:pt idx="22">
                  <c:v>204</c:v>
                </c:pt>
                <c:pt idx="23">
                  <c:v>204</c:v>
                </c:pt>
                <c:pt idx="24">
                  <c:v>208</c:v>
                </c:pt>
                <c:pt idx="25">
                  <c:v>209</c:v>
                </c:pt>
                <c:pt idx="26">
                  <c:v>211</c:v>
                </c:pt>
                <c:pt idx="27">
                  <c:v>212</c:v>
                </c:pt>
                <c:pt idx="28">
                  <c:v>212</c:v>
                </c:pt>
                <c:pt idx="29">
                  <c:v>213</c:v>
                </c:pt>
                <c:pt idx="30">
                  <c:v>217</c:v>
                </c:pt>
                <c:pt idx="31">
                  <c:v>217</c:v>
                </c:pt>
                <c:pt idx="32">
                  <c:v>217</c:v>
                </c:pt>
                <c:pt idx="33">
                  <c:v>224</c:v>
                </c:pt>
                <c:pt idx="34">
                  <c:v>224</c:v>
                </c:pt>
                <c:pt idx="35">
                  <c:v>224</c:v>
                </c:pt>
                <c:pt idx="36">
                  <c:v>224</c:v>
                </c:pt>
                <c:pt idx="37">
                  <c:v>227</c:v>
                </c:pt>
                <c:pt idx="38">
                  <c:v>231</c:v>
                </c:pt>
                <c:pt idx="39">
                  <c:v>231</c:v>
                </c:pt>
                <c:pt idx="40">
                  <c:v>231</c:v>
                </c:pt>
                <c:pt idx="41">
                  <c:v>231</c:v>
                </c:pt>
                <c:pt idx="42">
                  <c:v>231</c:v>
                </c:pt>
                <c:pt idx="43">
                  <c:v>231</c:v>
                </c:pt>
                <c:pt idx="44">
                  <c:v>231</c:v>
                </c:pt>
                <c:pt idx="45">
                  <c:v>236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246</c:v>
                </c:pt>
                <c:pt idx="50">
                  <c:v>246</c:v>
                </c:pt>
                <c:pt idx="51">
                  <c:v>248</c:v>
                </c:pt>
                <c:pt idx="52">
                  <c:v>262</c:v>
                </c:pt>
                <c:pt idx="53">
                  <c:v>262</c:v>
                </c:pt>
                <c:pt idx="54">
                  <c:v>262</c:v>
                </c:pt>
                <c:pt idx="55">
                  <c:v>262</c:v>
                </c:pt>
                <c:pt idx="56">
                  <c:v>268</c:v>
                </c:pt>
                <c:pt idx="57">
                  <c:v>268</c:v>
                </c:pt>
                <c:pt idx="58">
                  <c:v>208</c:v>
                </c:pt>
                <c:pt idx="59">
                  <c:v>208</c:v>
                </c:pt>
                <c:pt idx="60">
                  <c:v>208</c:v>
                </c:pt>
                <c:pt idx="61">
                  <c:v>208</c:v>
                </c:pt>
                <c:pt idx="62">
                  <c:v>208</c:v>
                </c:pt>
                <c:pt idx="63">
                  <c:v>208</c:v>
                </c:pt>
                <c:pt idx="64">
                  <c:v>208</c:v>
                </c:pt>
                <c:pt idx="65">
                  <c:v>208</c:v>
                </c:pt>
                <c:pt idx="66">
                  <c:v>208</c:v>
                </c:pt>
                <c:pt idx="67">
                  <c:v>208</c:v>
                </c:pt>
                <c:pt idx="68">
                  <c:v>248</c:v>
                </c:pt>
                <c:pt idx="69">
                  <c:v>300</c:v>
                </c:pt>
                <c:pt idx="70">
                  <c:v>301</c:v>
                </c:pt>
                <c:pt idx="71">
                  <c:v>304</c:v>
                </c:pt>
                <c:pt idx="72">
                  <c:v>304</c:v>
                </c:pt>
                <c:pt idx="73">
                  <c:v>339</c:v>
                </c:pt>
                <c:pt idx="74">
                  <c:v>351</c:v>
                </c:pt>
                <c:pt idx="75">
                  <c:v>357</c:v>
                </c:pt>
                <c:pt idx="76">
                  <c:v>362</c:v>
                </c:pt>
                <c:pt idx="77">
                  <c:v>370</c:v>
                </c:pt>
                <c:pt idx="78">
                  <c:v>370</c:v>
                </c:pt>
                <c:pt idx="79">
                  <c:v>376</c:v>
                </c:pt>
                <c:pt idx="80">
                  <c:v>376</c:v>
                </c:pt>
                <c:pt idx="81">
                  <c:v>381</c:v>
                </c:pt>
                <c:pt idx="82">
                  <c:v>384</c:v>
                </c:pt>
                <c:pt idx="83">
                  <c:v>384</c:v>
                </c:pt>
                <c:pt idx="84">
                  <c:v>396</c:v>
                </c:pt>
                <c:pt idx="85">
                  <c:v>396</c:v>
                </c:pt>
                <c:pt idx="86">
                  <c:v>396</c:v>
                </c:pt>
                <c:pt idx="87">
                  <c:v>396</c:v>
                </c:pt>
                <c:pt idx="88">
                  <c:v>396</c:v>
                </c:pt>
                <c:pt idx="89">
                  <c:v>396</c:v>
                </c:pt>
                <c:pt idx="90">
                  <c:v>396</c:v>
                </c:pt>
                <c:pt idx="91">
                  <c:v>399</c:v>
                </c:pt>
                <c:pt idx="92">
                  <c:v>404</c:v>
                </c:pt>
                <c:pt idx="93">
                  <c:v>408</c:v>
                </c:pt>
                <c:pt idx="94">
                  <c:v>408</c:v>
                </c:pt>
                <c:pt idx="95">
                  <c:v>408</c:v>
                </c:pt>
                <c:pt idx="96">
                  <c:v>408</c:v>
                </c:pt>
                <c:pt idx="97">
                  <c:v>408</c:v>
                </c:pt>
                <c:pt idx="98">
                  <c:v>408</c:v>
                </c:pt>
                <c:pt idx="99">
                  <c:v>408</c:v>
                </c:pt>
                <c:pt idx="100">
                  <c:v>408</c:v>
                </c:pt>
                <c:pt idx="101">
                  <c:v>409</c:v>
                </c:pt>
                <c:pt idx="102">
                  <c:v>410</c:v>
                </c:pt>
                <c:pt idx="103">
                  <c:v>410</c:v>
                </c:pt>
                <c:pt idx="104">
                  <c:v>420</c:v>
                </c:pt>
                <c:pt idx="105">
                  <c:v>420</c:v>
                </c:pt>
                <c:pt idx="106">
                  <c:v>442</c:v>
                </c:pt>
                <c:pt idx="107">
                  <c:v>442</c:v>
                </c:pt>
                <c:pt idx="108">
                  <c:v>442</c:v>
                </c:pt>
                <c:pt idx="109">
                  <c:v>442</c:v>
                </c:pt>
                <c:pt idx="110">
                  <c:v>442</c:v>
                </c:pt>
                <c:pt idx="111">
                  <c:v>452</c:v>
                </c:pt>
                <c:pt idx="112">
                  <c:v>452</c:v>
                </c:pt>
                <c:pt idx="113">
                  <c:v>452</c:v>
                </c:pt>
                <c:pt idx="114">
                  <c:v>457</c:v>
                </c:pt>
                <c:pt idx="115">
                  <c:v>468</c:v>
                </c:pt>
                <c:pt idx="116">
                  <c:v>474</c:v>
                </c:pt>
                <c:pt idx="117">
                  <c:v>478</c:v>
                </c:pt>
                <c:pt idx="118">
                  <c:v>527</c:v>
                </c:pt>
                <c:pt idx="119">
                  <c:v>536</c:v>
                </c:pt>
                <c:pt idx="120">
                  <c:v>540</c:v>
                </c:pt>
                <c:pt idx="121">
                  <c:v>556</c:v>
                </c:pt>
                <c:pt idx="122">
                  <c:v>559</c:v>
                </c:pt>
                <c:pt idx="123">
                  <c:v>559</c:v>
                </c:pt>
                <c:pt idx="124">
                  <c:v>559</c:v>
                </c:pt>
                <c:pt idx="125">
                  <c:v>599</c:v>
                </c:pt>
                <c:pt idx="126">
                  <c:v>610</c:v>
                </c:pt>
                <c:pt idx="127">
                  <c:v>619</c:v>
                </c:pt>
                <c:pt idx="128">
                  <c:v>625</c:v>
                </c:pt>
                <c:pt idx="129">
                  <c:v>632</c:v>
                </c:pt>
                <c:pt idx="130">
                  <c:v>633</c:v>
                </c:pt>
                <c:pt idx="131">
                  <c:v>652</c:v>
                </c:pt>
                <c:pt idx="132">
                  <c:v>655</c:v>
                </c:pt>
                <c:pt idx="133">
                  <c:v>666</c:v>
                </c:pt>
                <c:pt idx="134">
                  <c:v>666</c:v>
                </c:pt>
                <c:pt idx="135">
                  <c:v>805</c:v>
                </c:pt>
                <c:pt idx="136">
                  <c:v>1025</c:v>
                </c:pt>
                <c:pt idx="137">
                  <c:v>1048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1344</c:v>
                </c:pt>
                <c:pt idx="149">
                  <c:v>#N/A</c:v>
                </c:pt>
              </c:numCache>
            </c:numRef>
          </c:xVal>
          <c:yVal>
            <c:numRef>
              <c:f>'Base de Datos'!$AC$8:$AC$157</c:f>
              <c:numCache>
                <c:formatCode>#,##0_);[Red]\(#,##0\)</c:formatCode>
                <c:ptCount val="150"/>
                <c:pt idx="0">
                  <c:v>2295683.1700000004</c:v>
                </c:pt>
                <c:pt idx="1">
                  <c:v>2295683.1700000004</c:v>
                </c:pt>
                <c:pt idx="2">
                  <c:v>2412173.5</c:v>
                </c:pt>
                <c:pt idx="3">
                  <c:v>2412173.5</c:v>
                </c:pt>
                <c:pt idx="4">
                  <c:v>2412173.5</c:v>
                </c:pt>
                <c:pt idx="5">
                  <c:v>2412173.5</c:v>
                </c:pt>
                <c:pt idx="6">
                  <c:v>2412173.5</c:v>
                </c:pt>
                <c:pt idx="7">
                  <c:v>2412173.5</c:v>
                </c:pt>
                <c:pt idx="8">
                  <c:v>2412173.5</c:v>
                </c:pt>
                <c:pt idx="9">
                  <c:v>2706341.0000000005</c:v>
                </c:pt>
                <c:pt idx="10">
                  <c:v>2706341.0000000005</c:v>
                </c:pt>
                <c:pt idx="11">
                  <c:v>2706341.0000000005</c:v>
                </c:pt>
                <c:pt idx="12">
                  <c:v>2295683.1700000004</c:v>
                </c:pt>
                <c:pt idx="13">
                  <c:v>3177009.0000000005</c:v>
                </c:pt>
                <c:pt idx="14">
                  <c:v>3177009.0000000005</c:v>
                </c:pt>
                <c:pt idx="15">
                  <c:v>3177009.0000000005</c:v>
                </c:pt>
                <c:pt idx="16">
                  <c:v>3177009.0000000005</c:v>
                </c:pt>
                <c:pt idx="17">
                  <c:v>3177009.0000000005</c:v>
                </c:pt>
                <c:pt idx="18">
                  <c:v>3177009.0000000005</c:v>
                </c:pt>
                <c:pt idx="19">
                  <c:v>2828714.68</c:v>
                </c:pt>
                <c:pt idx="20">
                  <c:v>2828714.68</c:v>
                </c:pt>
                <c:pt idx="21">
                  <c:v>2828714.68</c:v>
                </c:pt>
                <c:pt idx="22">
                  <c:v>2828714.68</c:v>
                </c:pt>
                <c:pt idx="23">
                  <c:v>2295683.1700000004</c:v>
                </c:pt>
                <c:pt idx="24">
                  <c:v>2536900.52</c:v>
                </c:pt>
                <c:pt idx="25">
                  <c:v>2828714.68</c:v>
                </c:pt>
                <c:pt idx="26">
                  <c:v>3112292.1500000004</c:v>
                </c:pt>
                <c:pt idx="27">
                  <c:v>2828714.68</c:v>
                </c:pt>
                <c:pt idx="28">
                  <c:v>2828714.68</c:v>
                </c:pt>
                <c:pt idx="29">
                  <c:v>2828714.68</c:v>
                </c:pt>
                <c:pt idx="30">
                  <c:v>3218192.45</c:v>
                </c:pt>
                <c:pt idx="31">
                  <c:v>2828714.68</c:v>
                </c:pt>
                <c:pt idx="32">
                  <c:v>2828714.68</c:v>
                </c:pt>
                <c:pt idx="33">
                  <c:v>2536900.52</c:v>
                </c:pt>
                <c:pt idx="34">
                  <c:v>2536900.52</c:v>
                </c:pt>
                <c:pt idx="35">
                  <c:v>2536900.52</c:v>
                </c:pt>
                <c:pt idx="36">
                  <c:v>2828714.68</c:v>
                </c:pt>
                <c:pt idx="37">
                  <c:v>2828714.68</c:v>
                </c:pt>
                <c:pt idx="38">
                  <c:v>3765344.0000000005</c:v>
                </c:pt>
                <c:pt idx="39">
                  <c:v>3765344.0000000005</c:v>
                </c:pt>
                <c:pt idx="40">
                  <c:v>3765344.0000000005</c:v>
                </c:pt>
                <c:pt idx="41">
                  <c:v>3765344.0000000005</c:v>
                </c:pt>
                <c:pt idx="42">
                  <c:v>3765344.0000000005</c:v>
                </c:pt>
                <c:pt idx="43">
                  <c:v>3765344.0000000005</c:v>
                </c:pt>
                <c:pt idx="44">
                  <c:v>3765344.0000000005</c:v>
                </c:pt>
                <c:pt idx="45">
                  <c:v>2828714.68</c:v>
                </c:pt>
                <c:pt idx="46">
                  <c:v>2828714.68</c:v>
                </c:pt>
                <c:pt idx="47">
                  <c:v>2828714.68</c:v>
                </c:pt>
                <c:pt idx="48">
                  <c:v>2828714.68</c:v>
                </c:pt>
                <c:pt idx="49">
                  <c:v>3061695.3400000003</c:v>
                </c:pt>
                <c:pt idx="50">
                  <c:v>2828714.68</c:v>
                </c:pt>
                <c:pt idx="51">
                  <c:v>2828714.68</c:v>
                </c:pt>
                <c:pt idx="52">
                  <c:v>2828714.68</c:v>
                </c:pt>
                <c:pt idx="53">
                  <c:v>2828714.68</c:v>
                </c:pt>
                <c:pt idx="54">
                  <c:v>2828714.68</c:v>
                </c:pt>
                <c:pt idx="55">
                  <c:v>2828714.68</c:v>
                </c:pt>
                <c:pt idx="56">
                  <c:v>2828714.68</c:v>
                </c:pt>
                <c:pt idx="57">
                  <c:v>2828714.68</c:v>
                </c:pt>
                <c:pt idx="58">
                  <c:v>3353509.5000000005</c:v>
                </c:pt>
                <c:pt idx="59">
                  <c:v>3353509.5000000005</c:v>
                </c:pt>
                <c:pt idx="60">
                  <c:v>3353509.5000000005</c:v>
                </c:pt>
                <c:pt idx="61">
                  <c:v>3353509.5000000005</c:v>
                </c:pt>
                <c:pt idx="62">
                  <c:v>3353509.5000000005</c:v>
                </c:pt>
                <c:pt idx="63">
                  <c:v>3353509.5000000005</c:v>
                </c:pt>
                <c:pt idx="64">
                  <c:v>3353509.5000000005</c:v>
                </c:pt>
                <c:pt idx="65">
                  <c:v>3353509.5000000005</c:v>
                </c:pt>
                <c:pt idx="66">
                  <c:v>3353509.5000000005</c:v>
                </c:pt>
                <c:pt idx="67">
                  <c:v>3353509.5000000005</c:v>
                </c:pt>
                <c:pt idx="68">
                  <c:v>2941675.0000000005</c:v>
                </c:pt>
                <c:pt idx="69">
                  <c:v>6763499.1600000001</c:v>
                </c:pt>
                <c:pt idx="70">
                  <c:v>4471346</c:v>
                </c:pt>
                <c:pt idx="71">
                  <c:v>2828714.68</c:v>
                </c:pt>
                <c:pt idx="72">
                  <c:v>2828714.68</c:v>
                </c:pt>
                <c:pt idx="73">
                  <c:v>4457225.96</c:v>
                </c:pt>
                <c:pt idx="74">
                  <c:v>4353679</c:v>
                </c:pt>
                <c:pt idx="75">
                  <c:v>3218192.45</c:v>
                </c:pt>
                <c:pt idx="76">
                  <c:v>4236012</c:v>
                </c:pt>
                <c:pt idx="77">
                  <c:v>5072624.37</c:v>
                </c:pt>
                <c:pt idx="78">
                  <c:v>7441261.080000001</c:v>
                </c:pt>
                <c:pt idx="79">
                  <c:v>5424448.7000000002</c:v>
                </c:pt>
                <c:pt idx="80">
                  <c:v>4745510.1100000003</c:v>
                </c:pt>
                <c:pt idx="81">
                  <c:v>9295693</c:v>
                </c:pt>
                <c:pt idx="82">
                  <c:v>5356201.8400000008</c:v>
                </c:pt>
                <c:pt idx="83">
                  <c:v>4457225.96</c:v>
                </c:pt>
                <c:pt idx="84">
                  <c:v>4745510.1100000003</c:v>
                </c:pt>
                <c:pt idx="85">
                  <c:v>4745510.1100000003</c:v>
                </c:pt>
                <c:pt idx="86">
                  <c:v>4745510.1100000003</c:v>
                </c:pt>
                <c:pt idx="87">
                  <c:v>4745510.1100000003</c:v>
                </c:pt>
                <c:pt idx="88">
                  <c:v>4745510.1100000003</c:v>
                </c:pt>
                <c:pt idx="89">
                  <c:v>4745510.1100000003</c:v>
                </c:pt>
                <c:pt idx="90">
                  <c:v>4745510.1100000003</c:v>
                </c:pt>
                <c:pt idx="91">
                  <c:v>6561111.9200000009</c:v>
                </c:pt>
                <c:pt idx="92">
                  <c:v>6471685.0000000009</c:v>
                </c:pt>
                <c:pt idx="93">
                  <c:v>4745510.1100000003</c:v>
                </c:pt>
                <c:pt idx="94">
                  <c:v>4745510.1100000003</c:v>
                </c:pt>
                <c:pt idx="95">
                  <c:v>4745510.1100000003</c:v>
                </c:pt>
                <c:pt idx="96">
                  <c:v>4745510.1100000003</c:v>
                </c:pt>
                <c:pt idx="97">
                  <c:v>4745510.1100000003</c:v>
                </c:pt>
                <c:pt idx="98">
                  <c:v>4745510.1100000003</c:v>
                </c:pt>
                <c:pt idx="99">
                  <c:v>4745510.1100000003</c:v>
                </c:pt>
                <c:pt idx="100">
                  <c:v>4745510.1100000003</c:v>
                </c:pt>
                <c:pt idx="101">
                  <c:v>7883689</c:v>
                </c:pt>
                <c:pt idx="102">
                  <c:v>5570355.7800000003</c:v>
                </c:pt>
                <c:pt idx="103">
                  <c:v>5818633.1500000004</c:v>
                </c:pt>
                <c:pt idx="104">
                  <c:v>11251318.540000001</c:v>
                </c:pt>
                <c:pt idx="105">
                  <c:v>5424448.7000000002</c:v>
                </c:pt>
                <c:pt idx="106">
                  <c:v>4745510.1100000003</c:v>
                </c:pt>
                <c:pt idx="107">
                  <c:v>4745510.1100000003</c:v>
                </c:pt>
                <c:pt idx="108">
                  <c:v>4745510.1100000003</c:v>
                </c:pt>
                <c:pt idx="109">
                  <c:v>4745510.1100000003</c:v>
                </c:pt>
                <c:pt idx="110">
                  <c:v>4745510.1100000003</c:v>
                </c:pt>
                <c:pt idx="111">
                  <c:v>6023373.7300000004</c:v>
                </c:pt>
                <c:pt idx="112">
                  <c:v>10307629.200000001</c:v>
                </c:pt>
                <c:pt idx="113">
                  <c:v>6354018.0000000009</c:v>
                </c:pt>
                <c:pt idx="114">
                  <c:v>5656252.6900000004</c:v>
                </c:pt>
                <c:pt idx="115">
                  <c:v>6808212.620000001</c:v>
                </c:pt>
                <c:pt idx="116">
                  <c:v>6023373.7300000004</c:v>
                </c:pt>
                <c:pt idx="117">
                  <c:v>7441261.080000001</c:v>
                </c:pt>
                <c:pt idx="118">
                  <c:v>9295693</c:v>
                </c:pt>
                <c:pt idx="119">
                  <c:v>9295693</c:v>
                </c:pt>
                <c:pt idx="120">
                  <c:v>9295693</c:v>
                </c:pt>
                <c:pt idx="121">
                  <c:v>9295693</c:v>
                </c:pt>
                <c:pt idx="122">
                  <c:v>9295693</c:v>
                </c:pt>
                <c:pt idx="123">
                  <c:v>12175004.49</c:v>
                </c:pt>
                <c:pt idx="124">
                  <c:v>6023373.7300000004</c:v>
                </c:pt>
                <c:pt idx="125">
                  <c:v>11477239.180000002</c:v>
                </c:pt>
                <c:pt idx="126">
                  <c:v>9295693</c:v>
                </c:pt>
                <c:pt idx="127">
                  <c:v>9295693</c:v>
                </c:pt>
                <c:pt idx="128">
                  <c:v>13526998.32</c:v>
                </c:pt>
                <c:pt idx="129">
                  <c:v>10253502.380000001</c:v>
                </c:pt>
                <c:pt idx="130">
                  <c:v>13526998.32</c:v>
                </c:pt>
                <c:pt idx="131">
                  <c:v>9363939.8600000013</c:v>
                </c:pt>
                <c:pt idx="132">
                  <c:v>11766700.000000002</c:v>
                </c:pt>
                <c:pt idx="133">
                  <c:v>12133821.040000001</c:v>
                </c:pt>
                <c:pt idx="134">
                  <c:v>8450843.9400000013</c:v>
                </c:pt>
                <c:pt idx="135">
                  <c:v>17586117.596666668</c:v>
                </c:pt>
                <c:pt idx="136">
                  <c:v>28401416.666666664</c:v>
                </c:pt>
                <c:pt idx="137">
                  <c:v>33620000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49110087.455000006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6-4B35-9FAC-71329342E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03616"/>
        <c:axId val="310702080"/>
      </c:scatterChart>
      <c:valAx>
        <c:axId val="310689152"/>
        <c:scaling>
          <c:orientation val="minMax"/>
          <c:max val="1400"/>
          <c:min val="8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CO" sz="1400">
                    <a:latin typeface="Arial" panose="020B0604020202020204" pitchFamily="34" charset="0"/>
                    <a:cs typeface="Arial" panose="020B0604020202020204" pitchFamily="34" charset="0"/>
                  </a:rPr>
                  <a:t>Puntos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310695808"/>
        <c:crosses val="autoZero"/>
        <c:crossBetween val="midCat"/>
        <c:majorUnit val="200"/>
      </c:valAx>
      <c:valAx>
        <c:axId val="3106958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CO" sz="1400">
                    <a:latin typeface="Arial" panose="020B0604020202020204" pitchFamily="34" charset="0"/>
                    <a:cs typeface="Arial" panose="020B0604020202020204" pitchFamily="34" charset="0"/>
                  </a:rPr>
                  <a:t>Compensación Total</a:t>
                </a:r>
              </a:p>
            </c:rich>
          </c:tx>
          <c:layout>
            <c:manualLayout>
              <c:xMode val="edge"/>
              <c:yMode val="edge"/>
              <c:x val="1.6048209658913487E-2"/>
              <c:y val="0.2410501828930518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310689152"/>
        <c:crosses val="autoZero"/>
        <c:crossBetween val="midCat"/>
        <c:dispUnits>
          <c:builtInUnit val="millions"/>
          <c:dispUnitsLbl>
            <c:txPr>
              <a:bodyPr/>
              <a:lstStyle/>
              <a:p>
                <a:pPr>
                  <a:defRPr sz="1100"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</c:dispUnitsLbl>
        </c:dispUnits>
      </c:valAx>
      <c:valAx>
        <c:axId val="310702080"/>
        <c:scaling>
          <c:orientation val="minMax"/>
        </c:scaling>
        <c:delete val="1"/>
        <c:axPos val="r"/>
        <c:numFmt formatCode="#,##0_);[Red]\(#,##0\)" sourceLinked="1"/>
        <c:majorTickMark val="out"/>
        <c:minorTickMark val="none"/>
        <c:tickLblPos val="nextTo"/>
        <c:crossAx val="310703616"/>
        <c:crosses val="max"/>
        <c:crossBetween val="midCat"/>
      </c:valAx>
      <c:valAx>
        <c:axId val="310703616"/>
        <c:scaling>
          <c:orientation val="minMax"/>
        </c:scaling>
        <c:delete val="1"/>
        <c:axPos val="b"/>
        <c:numFmt formatCode="#,##0_);[Red]\(#,##0\)" sourceLinked="1"/>
        <c:majorTickMark val="out"/>
        <c:minorTickMark val="none"/>
        <c:tickLblPos val="nextTo"/>
        <c:crossAx val="310702080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60392632977230332"/>
          <c:y val="0.21740752743395778"/>
          <c:w val="0.3939691376510947"/>
          <c:h val="0.469376907705729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>
                <a:solidFill>
                  <a:schemeClr val="tx1">
                    <a:lumMod val="75000"/>
                    <a:lumOff val="25000"/>
                  </a:schemeClr>
                </a:solidFill>
              </a:rPr>
              <a:t>NIVEL DE EQUIDAD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952160644991144"/>
          <c:y val="0.10434095619574875"/>
          <c:w val="0.71626779188486611"/>
          <c:h val="0.78294988401472143"/>
        </c:manualLayout>
      </c:layout>
      <c:doughnut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53-48C7-9620-500E4E3328E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53-48C7-9620-500E4E3328EE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53-48C7-9620-500E4E3328EE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53-48C7-9620-500E4E3328EE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653-48C7-9620-500E4E3328EE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653-48C7-9620-500E4E3328EE}"/>
              </c:ext>
            </c:extLst>
          </c:dPt>
          <c:dPt>
            <c:idx val="6"/>
            <c:bubble3D val="0"/>
            <c:spPr>
              <a:solidFill>
                <a:srgbClr val="F79646">
                  <a:lumMod val="75000"/>
                </a:srgb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653-48C7-9620-500E4E3328EE}"/>
              </c:ext>
            </c:extLst>
          </c:dPt>
          <c:dPt>
            <c:idx val="7"/>
            <c:bubble3D val="0"/>
            <c:spPr>
              <a:solidFill>
                <a:srgbClr val="FFFF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653-48C7-9620-500E4E3328EE}"/>
              </c:ext>
            </c:extLst>
          </c:dPt>
          <c:dPt>
            <c:idx val="8"/>
            <c:bubble3D val="0"/>
            <c:spPr>
              <a:solidFill>
                <a:srgbClr val="00B05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653-48C7-9620-500E4E3328EE}"/>
              </c:ext>
            </c:extLst>
          </c:dPt>
          <c:dPt>
            <c:idx val="9"/>
            <c:bubble3D val="0"/>
            <c:spPr>
              <a:solidFill>
                <a:srgbClr val="00B05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653-48C7-9620-500E4E3328EE}"/>
              </c:ext>
            </c:extLst>
          </c:dPt>
          <c:dPt>
            <c:idx val="10"/>
            <c:bubble3D val="0"/>
            <c:spPr>
              <a:noFill/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653-48C7-9620-500E4E3328EE}"/>
              </c:ext>
            </c:extLst>
          </c:dPt>
          <c:dLbls>
            <c:dLbl>
              <c:idx val="0"/>
              <c:layout>
                <c:manualLayout>
                  <c:x val="-0.12248803827751197"/>
                  <c:y val="-7.94979341409199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653-48C7-9620-500E4E3328EE}"/>
                </c:ext>
              </c:extLst>
            </c:dLbl>
            <c:dLbl>
              <c:idx val="1"/>
              <c:layout>
                <c:manualLayout>
                  <c:x val="-0.1041108789972682"/>
                  <c:y val="-9.961610381785186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0653-48C7-9620-500E4E3328EE}"/>
                </c:ext>
              </c:extLst>
            </c:dLbl>
            <c:dLbl>
              <c:idx val="2"/>
              <c:layout>
                <c:manualLayout>
                  <c:x val="-7.7316728266109636E-2"/>
                  <c:y val="-0.1180432782941055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0653-48C7-9620-500E4E3328EE}"/>
                </c:ext>
              </c:extLst>
            </c:dLbl>
            <c:dLbl>
              <c:idx val="3"/>
              <c:layout>
                <c:manualLayout>
                  <c:x val="-3.062188654989555E-2"/>
                  <c:y val="-0.1247206480308462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0653-48C7-9620-500E4E3328EE}"/>
                </c:ext>
              </c:extLst>
            </c:dLbl>
            <c:dLbl>
              <c:idx val="4"/>
              <c:layout>
                <c:manualLayout>
                  <c:x val="4.2105415394504256E-2"/>
                  <c:y val="-0.1213819631624759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0653-48C7-9620-500E4E3328EE}"/>
                </c:ext>
              </c:extLst>
            </c:dLbl>
            <c:dLbl>
              <c:idx val="5"/>
              <c:layout>
                <c:manualLayout>
                  <c:x val="0.10334928229665079"/>
                  <c:y val="-0.1087866467191535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0653-48C7-9620-500E4E3328EE}"/>
                </c:ext>
              </c:extLst>
            </c:dLbl>
            <c:dLbl>
              <c:idx val="6"/>
              <c:layout>
                <c:manualLayout>
                  <c:x val="0.14264245540735965"/>
                  <c:y val="-8.034347969304078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0653-48C7-9620-500E4E3328EE}"/>
                </c:ext>
              </c:extLst>
            </c:dLbl>
            <c:dLbl>
              <c:idx val="7"/>
              <c:layout>
                <c:manualLayout>
                  <c:x val="0.15387176602924618"/>
                  <c:y val="-5.020935131456116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0653-48C7-9620-500E4E3328EE}"/>
                </c:ext>
              </c:extLst>
            </c:dLbl>
            <c:dLbl>
              <c:idx val="8"/>
              <c:layout>
                <c:manualLayout>
                  <c:x val="0.15769950184798329"/>
                  <c:y val="-6.677369736740815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653-48C7-9620-500E4E3328EE}"/>
                </c:ext>
              </c:extLst>
            </c:dLbl>
            <c:dLbl>
              <c:idx val="9"/>
              <c:layout>
                <c:manualLayout>
                  <c:x val="0.14162679425837321"/>
                  <c:y val="3.765691617201468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0653-48C7-9620-500E4E3328E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653-48C7-9620-500E4E3328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'Nivel de Equidad'!$O$8:$O$18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653-48C7-9620-500E4E3328E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scatterChart>
        <c:scatterStyle val="smoothMarker"/>
        <c:varyColors val="0"/>
        <c:ser>
          <c:idx val="1"/>
          <c:order val="1"/>
          <c:spPr>
            <a:ln w="50800" cap="rnd">
              <a:solidFill>
                <a:schemeClr val="tx1"/>
              </a:solidFill>
              <a:round/>
              <a:headEnd type="oval"/>
              <a:tailEnd type="triangle" w="sm" len="med"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'Nivel de Equidad'!$Q$14:$Q$15</c:f>
              <c:numCache>
                <c:formatCode>General</c:formatCode>
                <c:ptCount val="2"/>
                <c:pt idx="0">
                  <c:v>0</c:v>
                </c:pt>
                <c:pt idx="1">
                  <c:v>0.84457004779782041</c:v>
                </c:pt>
              </c:numCache>
            </c:numRef>
          </c:xVal>
          <c:yVal>
            <c:numRef>
              <c:f>'Nivel de Equidad'!$R$14:$R$15</c:f>
              <c:numCache>
                <c:formatCode>General</c:formatCode>
                <c:ptCount val="2"/>
                <c:pt idx="0">
                  <c:v>0</c:v>
                </c:pt>
                <c:pt idx="1">
                  <c:v>0.53544508062245511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0653-48C7-9620-500E4E3328E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605018752"/>
        <c:axId val="1605026240"/>
      </c:scatterChart>
      <c:valAx>
        <c:axId val="1605018752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605026240"/>
        <c:crosses val="autoZero"/>
        <c:crossBetween val="midCat"/>
      </c:valAx>
      <c:valAx>
        <c:axId val="1605026240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160501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>
                <a:solidFill>
                  <a:schemeClr val="tx1">
                    <a:lumMod val="75000"/>
                    <a:lumOff val="25000"/>
                  </a:schemeClr>
                </a:solidFill>
              </a:rPr>
              <a:t>NIVEL DE COMPETITIVIDAD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952160644991144"/>
          <c:y val="0.10434095619574875"/>
          <c:w val="0.71626779188486611"/>
          <c:h val="0.78294988401472143"/>
        </c:manualLayout>
      </c:layout>
      <c:doughnut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E42-4468-B34D-7EAA087470D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E42-4468-B34D-7EAA087470D2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E42-4468-B34D-7EAA087470D2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E42-4468-B34D-7EAA087470D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E42-4468-B34D-7EAA087470D2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E42-4468-B34D-7EAA087470D2}"/>
              </c:ext>
            </c:extLst>
          </c:dPt>
          <c:dPt>
            <c:idx val="6"/>
            <c:bubble3D val="0"/>
            <c:spPr>
              <a:solidFill>
                <a:srgbClr val="F79646">
                  <a:lumMod val="75000"/>
                </a:srgb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E42-4468-B34D-7EAA087470D2}"/>
              </c:ext>
            </c:extLst>
          </c:dPt>
          <c:dPt>
            <c:idx val="7"/>
            <c:bubble3D val="0"/>
            <c:spPr>
              <a:solidFill>
                <a:srgbClr val="FFFF0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E42-4468-B34D-7EAA087470D2}"/>
              </c:ext>
            </c:extLst>
          </c:dPt>
          <c:dPt>
            <c:idx val="8"/>
            <c:bubble3D val="0"/>
            <c:spPr>
              <a:solidFill>
                <a:srgbClr val="00B05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E42-4468-B34D-7EAA087470D2}"/>
              </c:ext>
            </c:extLst>
          </c:dPt>
          <c:dPt>
            <c:idx val="9"/>
            <c:bubble3D val="0"/>
            <c:spPr>
              <a:solidFill>
                <a:srgbClr val="00B05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E42-4468-B34D-7EAA087470D2}"/>
              </c:ext>
            </c:extLst>
          </c:dPt>
          <c:dPt>
            <c:idx val="10"/>
            <c:bubble3D val="0"/>
            <c:spPr>
              <a:noFill/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E42-4468-B34D-7EAA087470D2}"/>
              </c:ext>
            </c:extLst>
          </c:dPt>
          <c:dLbls>
            <c:dLbl>
              <c:idx val="0"/>
              <c:layout>
                <c:manualLayout>
                  <c:x val="-0.12248803827751197"/>
                  <c:y val="-7.94979341409199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E42-4468-B34D-7EAA087470D2}"/>
                </c:ext>
              </c:extLst>
            </c:dLbl>
            <c:dLbl>
              <c:idx val="1"/>
              <c:layout>
                <c:manualLayout>
                  <c:x val="-0.1041108789972682"/>
                  <c:y val="-9.961610381785186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E42-4468-B34D-7EAA087470D2}"/>
                </c:ext>
              </c:extLst>
            </c:dLbl>
            <c:dLbl>
              <c:idx val="2"/>
              <c:layout>
                <c:manualLayout>
                  <c:x val="-7.7316728266109636E-2"/>
                  <c:y val="-0.1180432782941055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E42-4468-B34D-7EAA087470D2}"/>
                </c:ext>
              </c:extLst>
            </c:dLbl>
            <c:dLbl>
              <c:idx val="3"/>
              <c:layout>
                <c:manualLayout>
                  <c:x val="-3.062188654989555E-2"/>
                  <c:y val="-0.1247206480308462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7E42-4468-B34D-7EAA087470D2}"/>
                </c:ext>
              </c:extLst>
            </c:dLbl>
            <c:dLbl>
              <c:idx val="4"/>
              <c:layout>
                <c:manualLayout>
                  <c:x val="4.2105415394504256E-2"/>
                  <c:y val="-0.1213819631624759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7E42-4468-B34D-7EAA087470D2}"/>
                </c:ext>
              </c:extLst>
            </c:dLbl>
            <c:dLbl>
              <c:idx val="5"/>
              <c:layout>
                <c:manualLayout>
                  <c:x val="0.10334928229665079"/>
                  <c:y val="-0.1087866467191535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7E42-4468-B34D-7EAA087470D2}"/>
                </c:ext>
              </c:extLst>
            </c:dLbl>
            <c:dLbl>
              <c:idx val="6"/>
              <c:layout>
                <c:manualLayout>
                  <c:x val="0.14264245540735965"/>
                  <c:y val="-8.034347969304078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7E42-4468-B34D-7EAA087470D2}"/>
                </c:ext>
              </c:extLst>
            </c:dLbl>
            <c:dLbl>
              <c:idx val="7"/>
              <c:layout>
                <c:manualLayout>
                  <c:x val="0.15387176602924618"/>
                  <c:y val="-5.020935131456116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7E42-4468-B34D-7EAA087470D2}"/>
                </c:ext>
              </c:extLst>
            </c:dLbl>
            <c:dLbl>
              <c:idx val="8"/>
              <c:layout>
                <c:manualLayout>
                  <c:x val="0.15769950184798329"/>
                  <c:y val="-6.677369736740815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7E42-4468-B34D-7EAA087470D2}"/>
                </c:ext>
              </c:extLst>
            </c:dLbl>
            <c:dLbl>
              <c:idx val="9"/>
              <c:layout>
                <c:manualLayout>
                  <c:x val="0.14162679425837321"/>
                  <c:y val="3.765691617201468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7E42-4468-B34D-7EAA087470D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E42-4468-B34D-7EAA087470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'Nivel de Competitividad'!$O$14:$O$24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E42-4468-B34D-7EAA087470D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scatterChart>
        <c:scatterStyle val="smoothMarker"/>
        <c:varyColors val="0"/>
        <c:ser>
          <c:idx val="1"/>
          <c:order val="1"/>
          <c:spPr>
            <a:ln w="50800" cap="rnd">
              <a:solidFill>
                <a:schemeClr val="tx1"/>
              </a:solidFill>
              <a:round/>
              <a:headEnd type="oval"/>
              <a:tailEnd type="triangle" w="sm" len="med"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'Nivel de Competitividad'!$Q$20:$Q$21</c:f>
              <c:numCache>
                <c:formatCode>General</c:formatCode>
                <c:ptCount val="2"/>
                <c:pt idx="0">
                  <c:v>0</c:v>
                </c:pt>
                <c:pt idx="1">
                  <c:v>-0.44692807508588517</c:v>
                </c:pt>
              </c:numCache>
            </c:numRef>
          </c:xVal>
          <c:yVal>
            <c:numRef>
              <c:f>'Nivel de Competitividad'!$R$20:$R$21</c:f>
              <c:numCache>
                <c:formatCode>General</c:formatCode>
                <c:ptCount val="2"/>
                <c:pt idx="0">
                  <c:v>0</c:v>
                </c:pt>
                <c:pt idx="1">
                  <c:v>0.89456989425087707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7E42-4468-B34D-7EAA087470D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605018752"/>
        <c:axId val="1605026240"/>
      </c:scatterChart>
      <c:valAx>
        <c:axId val="1605018752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605026240"/>
        <c:crosses val="autoZero"/>
        <c:crossBetween val="midCat"/>
      </c:valAx>
      <c:valAx>
        <c:axId val="1605026240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160501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s-ES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Composición de los cargos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7314593510982322E-2"/>
          <c:y val="0.31962945399528564"/>
          <c:w val="0.82477186926976598"/>
          <c:h val="0.67621214014914799"/>
        </c:manualLayout>
      </c:layout>
      <c:pie3DChart>
        <c:varyColors val="1"/>
        <c:ser>
          <c:idx val="0"/>
          <c:order val="0"/>
          <c:spPr>
            <a:effectLst>
              <a:outerShdw blurRad="127000" sx="104000" sy="104000" algn="tl" rotWithShape="0">
                <a:prstClr val="black">
                  <a:alpha val="69000"/>
                </a:prstClr>
              </a:outerShdw>
            </a:effectLst>
            <a:scene3d>
              <a:camera prst="orthographicFront"/>
              <a:lightRig rig="threePt" dir="t"/>
            </a:scene3d>
            <a:sp3d/>
          </c:spPr>
          <c:dPt>
            <c:idx val="0"/>
            <c:bubble3D val="0"/>
            <c:spPr>
              <a:solidFill>
                <a:srgbClr val="3C7A56"/>
              </a:solidFill>
              <a:effectLst>
                <a:outerShdw blurRad="127000" sx="104000" sy="104000" algn="tl" rotWithShape="0">
                  <a:prstClr val="black">
                    <a:alpha val="69000"/>
                  </a:prstClr>
                </a:outerShdw>
              </a:effectLst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1-0206-4AED-A460-B09488FF23C7}"/>
              </c:ext>
            </c:extLst>
          </c:dPt>
          <c:dPt>
            <c:idx val="1"/>
            <c:bubble3D val="0"/>
            <c:spPr>
              <a:solidFill>
                <a:srgbClr val="006A56"/>
              </a:solidFill>
              <a:effectLst>
                <a:outerShdw blurRad="127000" sx="104000" sy="104000" algn="tl" rotWithShape="0">
                  <a:prstClr val="black">
                    <a:alpha val="69000"/>
                  </a:prstClr>
                </a:outerShdw>
              </a:effectLst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0206-4AED-A460-B09488FF23C7}"/>
              </c:ext>
            </c:extLst>
          </c:dPt>
          <c:dPt>
            <c:idx val="2"/>
            <c:bubble3D val="0"/>
            <c:spPr>
              <a:solidFill>
                <a:srgbClr val="689D44"/>
              </a:solidFill>
              <a:effectLst>
                <a:outerShdw blurRad="127000" sx="104000" sy="104000" algn="tl" rotWithShape="0">
                  <a:prstClr val="black">
                    <a:alpha val="69000"/>
                  </a:prstClr>
                </a:outerShdw>
              </a:effectLst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0206-4AED-A460-B09488FF23C7}"/>
              </c:ext>
            </c:extLst>
          </c:dPt>
          <c:dPt>
            <c:idx val="3"/>
            <c:bubble3D val="0"/>
            <c:spPr>
              <a:solidFill>
                <a:srgbClr val="146059"/>
              </a:solidFill>
              <a:effectLst>
                <a:outerShdw blurRad="127000" sx="104000" sy="104000" algn="tl" rotWithShape="0">
                  <a:prstClr val="black">
                    <a:alpha val="69000"/>
                  </a:prstClr>
                </a:outerShdw>
              </a:effectLst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0206-4AED-A460-B09488FF23C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900" b="1">
                      <a:solidFill>
                        <a:schemeClr val="bg1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7400843611901964"/>
                      <c:h val="0.172512684756232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206-4AED-A460-B09488FF23C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1">
                      <a:solidFill>
                        <a:schemeClr val="bg1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06-4AED-A460-B09488FF23C7}"/>
                </c:ext>
              </c:extLst>
            </c:dLbl>
            <c:dLbl>
              <c:idx val="2"/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963636945265768"/>
                      <c:h val="0.1350540480917714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206-4AED-A460-B09488FF23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Criticidades!$C$3:$C$6</c:f>
              <c:strCache>
                <c:ptCount val="4"/>
                <c:pt idx="0">
                  <c:v>Relevante</c:v>
                </c:pt>
                <c:pt idx="1">
                  <c:v>Importante</c:v>
                </c:pt>
                <c:pt idx="2">
                  <c:v>Muy Importante</c:v>
                </c:pt>
                <c:pt idx="3">
                  <c:v>Crítico</c:v>
                </c:pt>
              </c:strCache>
            </c:strRef>
          </c:cat>
          <c:val>
            <c:numRef>
              <c:f>Criticidades!$E$3:$E$6</c:f>
              <c:numCache>
                <c:formatCode>#,##0_);[Red]\(#,##0\)</c:formatCode>
                <c:ptCount val="4"/>
                <c:pt idx="0">
                  <c:v>38</c:v>
                </c:pt>
                <c:pt idx="1">
                  <c:v>15</c:v>
                </c:pt>
                <c:pt idx="2">
                  <c:v>12</c:v>
                </c:pt>
                <c:pt idx="3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06-4AED-A460-B09488FF23C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txPr>
    <a:bodyPr/>
    <a:lstStyle/>
    <a:p>
      <a:pPr>
        <a:defRPr>
          <a:latin typeface="Helvetica" panose="020B0604020202020204" pitchFamily="34" charset="0"/>
          <a:cs typeface="Helvetica" panose="020B0604020202020204" pitchFamily="34" charset="0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Radio" firstButton="1" fmlaLink="$AA$3" lockText="1" noThreeD="1"/>
</file>

<file path=xl/ctrlProps/ctrlProp40.xml><?xml version="1.0" encoding="utf-8"?>
<formControlPr xmlns="http://schemas.microsoft.com/office/spreadsheetml/2009/9/main" objectType="Radio" checked="Checked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g"/><Relationship Id="rId1" Type="http://schemas.openxmlformats.org/officeDocument/2006/relationships/image" Target="../media/image6.jp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9.jpg"/><Relationship Id="rId1" Type="http://schemas.openxmlformats.org/officeDocument/2006/relationships/image" Target="../media/image8.jp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11.jpg"/><Relationship Id="rId1" Type="http://schemas.openxmlformats.org/officeDocument/2006/relationships/image" Target="../media/image10.jp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g"/><Relationship Id="rId2" Type="http://schemas.openxmlformats.org/officeDocument/2006/relationships/image" Target="../media/image12.jpg"/><Relationship Id="rId1" Type="http://schemas.openxmlformats.org/officeDocument/2006/relationships/chart" Target="../charts/chart5.xml"/><Relationship Id="rId4" Type="http://schemas.openxmlformats.org/officeDocument/2006/relationships/image" Target="../media/image14.jp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jpg"/><Relationship Id="rId1" Type="http://schemas.openxmlformats.org/officeDocument/2006/relationships/image" Target="../media/image15.jp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openxmlformats.org/officeDocument/2006/relationships/image" Target="../media/image17.jpg"/><Relationship Id="rId1" Type="http://schemas.openxmlformats.org/officeDocument/2006/relationships/chart" Target="../charts/chart6.xml"/><Relationship Id="rId6" Type="http://schemas.openxmlformats.org/officeDocument/2006/relationships/image" Target="../media/image21.jpg"/><Relationship Id="rId5" Type="http://schemas.openxmlformats.org/officeDocument/2006/relationships/image" Target="../media/image20.jpg"/><Relationship Id="rId4" Type="http://schemas.openxmlformats.org/officeDocument/2006/relationships/image" Target="../media/image19.jp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g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0</xdr:colOff>
      <xdr:row>33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507"/>
        <a:stretch/>
      </xdr:blipFill>
      <xdr:spPr>
        <a:xfrm>
          <a:off x="0" y="0"/>
          <a:ext cx="15119048" cy="64860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563880</xdr:colOff>
          <xdr:row>2</xdr:row>
          <xdr:rowOff>175260</xdr:rowOff>
        </xdr:from>
        <xdr:to>
          <xdr:col>5</xdr:col>
          <xdr:colOff>563880</xdr:colOff>
          <xdr:row>5</xdr:row>
          <xdr:rowOff>137160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2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Plantilla de Valoración de Cargos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556260</xdr:colOff>
          <xdr:row>12</xdr:row>
          <xdr:rowOff>60960</xdr:rowOff>
        </xdr:from>
        <xdr:to>
          <xdr:col>5</xdr:col>
          <xdr:colOff>556260</xdr:colOff>
          <xdr:row>15</xdr:row>
          <xdr:rowOff>7620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2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Base de Datos del Personal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541020</xdr:colOff>
          <xdr:row>15</xdr:row>
          <xdr:rowOff>60960</xdr:rowOff>
        </xdr:from>
        <xdr:to>
          <xdr:col>5</xdr:col>
          <xdr:colOff>541020</xdr:colOff>
          <xdr:row>18</xdr:row>
          <xdr:rowOff>38100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2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Posicionamiento por Equidad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541020</xdr:colOff>
          <xdr:row>18</xdr:row>
          <xdr:rowOff>114300</xdr:rowOff>
        </xdr:from>
        <xdr:to>
          <xdr:col>5</xdr:col>
          <xdr:colOff>541020</xdr:colOff>
          <xdr:row>21</xdr:row>
          <xdr:rowOff>68580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2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Posicionamiento por Competitividad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541020</xdr:colOff>
          <xdr:row>21</xdr:row>
          <xdr:rowOff>175260</xdr:rowOff>
        </xdr:from>
        <xdr:to>
          <xdr:col>5</xdr:col>
          <xdr:colOff>541020</xdr:colOff>
          <xdr:row>24</xdr:row>
          <xdr:rowOff>114300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2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Gráficos de Dispersión</a:t>
              </a:r>
            </a:p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Equidad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541020</xdr:colOff>
          <xdr:row>25</xdr:row>
          <xdr:rowOff>38100</xdr:rowOff>
        </xdr:from>
        <xdr:to>
          <xdr:col>5</xdr:col>
          <xdr:colOff>541020</xdr:colOff>
          <xdr:row>27</xdr:row>
          <xdr:rowOff>175260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2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Gráficos de Dispersión</a:t>
              </a:r>
            </a:p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Competitividad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792480</xdr:colOff>
          <xdr:row>2</xdr:row>
          <xdr:rowOff>144780</xdr:rowOff>
        </xdr:from>
        <xdr:to>
          <xdr:col>9</xdr:col>
          <xdr:colOff>792480</xdr:colOff>
          <xdr:row>5</xdr:row>
          <xdr:rowOff>99060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2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Costos de Nivelación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769620</xdr:colOff>
          <xdr:row>15</xdr:row>
          <xdr:rowOff>68580</xdr:rowOff>
        </xdr:from>
        <xdr:to>
          <xdr:col>9</xdr:col>
          <xdr:colOff>769620</xdr:colOff>
          <xdr:row>18</xdr:row>
          <xdr:rowOff>22860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2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Glosario de Términos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556260</xdr:colOff>
          <xdr:row>9</xdr:row>
          <xdr:rowOff>22860</xdr:rowOff>
        </xdr:from>
        <xdr:to>
          <xdr:col>5</xdr:col>
          <xdr:colOff>556260</xdr:colOff>
          <xdr:row>11</xdr:row>
          <xdr:rowOff>175260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2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Política de Administración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556260</xdr:colOff>
          <xdr:row>6</xdr:row>
          <xdr:rowOff>7620</xdr:rowOff>
        </xdr:from>
        <xdr:to>
          <xdr:col>5</xdr:col>
          <xdr:colOff>556260</xdr:colOff>
          <xdr:row>8</xdr:row>
          <xdr:rowOff>144780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2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Actualización de Curva</a:t>
              </a:r>
            </a:p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y Variables de Costo Laboral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784860</xdr:colOff>
          <xdr:row>5</xdr:row>
          <xdr:rowOff>175260</xdr:rowOff>
        </xdr:from>
        <xdr:to>
          <xdr:col>9</xdr:col>
          <xdr:colOff>784860</xdr:colOff>
          <xdr:row>8</xdr:row>
          <xdr:rowOff>137160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2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Estructura Salarial con</a:t>
              </a:r>
            </a:p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Mediana de Mercado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784860</xdr:colOff>
          <xdr:row>12</xdr:row>
          <xdr:rowOff>68580</xdr:rowOff>
        </xdr:from>
        <xdr:to>
          <xdr:col>9</xdr:col>
          <xdr:colOff>784860</xdr:colOff>
          <xdr:row>15</xdr:row>
          <xdr:rowOff>7620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2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Resumen Criticidad de Cargos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784860</xdr:colOff>
          <xdr:row>9</xdr:row>
          <xdr:rowOff>30480</xdr:rowOff>
        </xdr:from>
        <xdr:to>
          <xdr:col>9</xdr:col>
          <xdr:colOff>784860</xdr:colOff>
          <xdr:row>11</xdr:row>
          <xdr:rowOff>175260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2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Estructura Salarial con</a:t>
              </a:r>
            </a:p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Política de Administración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0</xdr:colOff>
      <xdr:row>9</xdr:row>
      <xdr:rowOff>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000750" cy="1714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2735580</xdr:colOff>
          <xdr:row>6</xdr:row>
          <xdr:rowOff>38100</xdr:rowOff>
        </xdr:from>
        <xdr:to>
          <xdr:col>3</xdr:col>
          <xdr:colOff>327660</xdr:colOff>
          <xdr:row>7</xdr:row>
          <xdr:rowOff>137160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03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38100</xdr:rowOff>
        </xdr:from>
        <xdr:to>
          <xdr:col>6</xdr:col>
          <xdr:colOff>0</xdr:colOff>
          <xdr:row>4</xdr:row>
          <xdr:rowOff>144780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 Plantilla de Valoración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22860</xdr:rowOff>
        </xdr:from>
        <xdr:to>
          <xdr:col>5</xdr:col>
          <xdr:colOff>723900</xdr:colOff>
          <xdr:row>4</xdr:row>
          <xdr:rowOff>114300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 Plantilla de Valoración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1</xdr:row>
          <xdr:rowOff>0</xdr:rowOff>
        </xdr:from>
        <xdr:to>
          <xdr:col>5</xdr:col>
          <xdr:colOff>746760</xdr:colOff>
          <xdr:row>4</xdr:row>
          <xdr:rowOff>106680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7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 Plantilla de Valoración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22860</xdr:rowOff>
        </xdr:from>
        <xdr:to>
          <xdr:col>4</xdr:col>
          <xdr:colOff>723900</xdr:colOff>
          <xdr:row>4</xdr:row>
          <xdr:rowOff>137160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8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 Plantilla de Valoración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38100</xdr:rowOff>
        </xdr:from>
        <xdr:to>
          <xdr:col>5</xdr:col>
          <xdr:colOff>708660</xdr:colOff>
          <xdr:row>4</xdr:row>
          <xdr:rowOff>144780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9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 Plantilla de Valoración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1</xdr:row>
          <xdr:rowOff>30480</xdr:rowOff>
        </xdr:from>
        <xdr:to>
          <xdr:col>4</xdr:col>
          <xdr:colOff>746760</xdr:colOff>
          <xdr:row>4</xdr:row>
          <xdr:rowOff>137160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A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 Plantilla de Valoración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5</xdr:col>
          <xdr:colOff>723900</xdr:colOff>
          <xdr:row>4</xdr:row>
          <xdr:rowOff>106680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B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 Plantilla de Valoración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0</xdr:rowOff>
        </xdr:from>
        <xdr:to>
          <xdr:col>6</xdr:col>
          <xdr:colOff>746760</xdr:colOff>
          <xdr:row>4</xdr:row>
          <xdr:rowOff>106680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C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 Plantilla de Valoración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</xdr:row>
          <xdr:rowOff>0</xdr:rowOff>
        </xdr:from>
        <xdr:to>
          <xdr:col>6</xdr:col>
          <xdr:colOff>754380</xdr:colOff>
          <xdr:row>4</xdr:row>
          <xdr:rowOff>106680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D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 Plantilla de Valoración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5</xdr:col>
          <xdr:colOff>723900</xdr:colOff>
          <xdr:row>4</xdr:row>
          <xdr:rowOff>106680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E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 Plantilla de Valoración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5</xdr:col>
          <xdr:colOff>723900</xdr:colOff>
          <xdr:row>4</xdr:row>
          <xdr:rowOff>106680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F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 Plantilla de Valoración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5</xdr:col>
          <xdr:colOff>723900</xdr:colOff>
          <xdr:row>4</xdr:row>
          <xdr:rowOff>106680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0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 Plantilla de Valoración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4</xdr:col>
          <xdr:colOff>723900</xdr:colOff>
          <xdr:row>4</xdr:row>
          <xdr:rowOff>106680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 Plantilla de Valoración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12</xdr:row>
      <xdr:rowOff>61912</xdr:rowOff>
    </xdr:from>
    <xdr:to>
      <xdr:col>9</xdr:col>
      <xdr:colOff>1038224</xdr:colOff>
      <xdr:row>26</xdr:row>
      <xdr:rowOff>138112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290512</xdr:colOff>
      <xdr:row>29</xdr:row>
      <xdr:rowOff>423862</xdr:rowOff>
    </xdr:from>
    <xdr:to>
      <xdr:col>10</xdr:col>
      <xdr:colOff>709612</xdr:colOff>
      <xdr:row>47</xdr:row>
      <xdr:rowOff>104775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5156</xdr:rowOff>
    </xdr:from>
    <xdr:to>
      <xdr:col>13</xdr:col>
      <xdr:colOff>481965</xdr:colOff>
      <xdr:row>4</xdr:row>
      <xdr:rowOff>117887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10319"/>
        <a:stretch/>
      </xdr:blipFill>
      <xdr:spPr>
        <a:xfrm>
          <a:off x="0" y="5156"/>
          <a:ext cx="13321553" cy="7658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693420</xdr:colOff>
          <xdr:row>1</xdr:row>
          <xdr:rowOff>83820</xdr:rowOff>
        </xdr:from>
        <xdr:to>
          <xdr:col>16</xdr:col>
          <xdr:colOff>0</xdr:colOff>
          <xdr:row>3</xdr:row>
          <xdr:rowOff>45720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3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9</xdr:col>
      <xdr:colOff>304800</xdr:colOff>
      <xdr:row>15</xdr:row>
      <xdr:rowOff>130175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aller">
              <a:extLst>
                <a:ext uri="{FF2B5EF4-FFF2-40B4-BE49-F238E27FC236}">
                  <a16:creationId xmlns:a16="http://schemas.microsoft.com/office/drawing/2014/main" id="{00000000-0008-0000-1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ll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56500" y="3683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2470</xdr:colOff>
      <xdr:row>0</xdr:row>
      <xdr:rowOff>14112</xdr:rowOff>
    </xdr:from>
    <xdr:to>
      <xdr:col>12</xdr:col>
      <xdr:colOff>1107974</xdr:colOff>
      <xdr:row>5</xdr:row>
      <xdr:rowOff>1569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0" y="14112"/>
          <a:ext cx="18879154" cy="10717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899160</xdr:colOff>
          <xdr:row>0</xdr:row>
          <xdr:rowOff>99060</xdr:rowOff>
        </xdr:from>
        <xdr:to>
          <xdr:col>3</xdr:col>
          <xdr:colOff>1973580</xdr:colOff>
          <xdr:row>2</xdr:row>
          <xdr:rowOff>30480</xdr:rowOff>
        </xdr:to>
        <xdr:sp macro="" textlink="">
          <xdr:nvSpPr>
            <xdr:cNvPr id="6175" name="Button 31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17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 Plantilla de Valoración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899160</xdr:colOff>
          <xdr:row>2</xdr:row>
          <xdr:rowOff>99060</xdr:rowOff>
        </xdr:from>
        <xdr:to>
          <xdr:col>3</xdr:col>
          <xdr:colOff>1973580</xdr:colOff>
          <xdr:row>4</xdr:row>
          <xdr:rowOff>60960</xdr:rowOff>
        </xdr:to>
        <xdr:sp macro="" textlink="">
          <xdr:nvSpPr>
            <xdr:cNvPr id="6176" name="Button 32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17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899160</xdr:colOff>
          <xdr:row>4</xdr:row>
          <xdr:rowOff>114300</xdr:rowOff>
        </xdr:from>
        <xdr:to>
          <xdr:col>3</xdr:col>
          <xdr:colOff>1973580</xdr:colOff>
          <xdr:row>4</xdr:row>
          <xdr:rowOff>403860</xdr:rowOff>
        </xdr:to>
        <xdr:sp macro="" textlink="">
          <xdr:nvSpPr>
            <xdr:cNvPr id="6178" name="Button 34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17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Todo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62752</xdr:colOff>
      <xdr:row>0</xdr:row>
      <xdr:rowOff>0</xdr:rowOff>
    </xdr:from>
    <xdr:to>
      <xdr:col>1</xdr:col>
      <xdr:colOff>3370729</xdr:colOff>
      <xdr:row>3</xdr:row>
      <xdr:rowOff>61628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GrpSpPr/>
      </xdr:nvGrpSpPr>
      <xdr:grpSpPr>
        <a:xfrm>
          <a:off x="62752" y="0"/>
          <a:ext cx="3415553" cy="760875"/>
          <a:chOff x="0" y="0"/>
          <a:chExt cx="5726869" cy="632115"/>
        </a:xfrm>
      </xdr:grpSpPr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00000000-0008-0000-1500-000003000000}"/>
              </a:ext>
            </a:extLst>
          </xdr:cNvPr>
          <xdr:cNvSpPr/>
        </xdr:nvSpPr>
        <xdr:spPr>
          <a:xfrm>
            <a:off x="0" y="1"/>
            <a:ext cx="5726869" cy="632114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pic>
        <xdr:nvPicPr>
          <xdr:cNvPr id="2" name="Imagen 1">
            <a:extLst>
              <a:ext uri="{FF2B5EF4-FFF2-40B4-BE49-F238E27FC236}">
                <a16:creationId xmlns:a16="http://schemas.microsoft.com/office/drawing/2014/main" id="{00000000-0008-0000-15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67689"/>
          <a:stretch/>
        </xdr:blipFill>
        <xdr:spPr>
          <a:xfrm>
            <a:off x="149449" y="0"/>
            <a:ext cx="4699641" cy="623881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480060</xdr:colOff>
          <xdr:row>0</xdr:row>
          <xdr:rowOff>76200</xdr:rowOff>
        </xdr:from>
        <xdr:to>
          <xdr:col>1</xdr:col>
          <xdr:colOff>1562100</xdr:colOff>
          <xdr:row>1</xdr:row>
          <xdr:rowOff>198120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18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159726</xdr:colOff>
      <xdr:row>3</xdr:row>
      <xdr:rowOff>74738</xdr:rowOff>
    </xdr:from>
    <xdr:to>
      <xdr:col>7</xdr:col>
      <xdr:colOff>339726</xdr:colOff>
      <xdr:row>3</xdr:row>
      <xdr:rowOff>218738</xdr:rowOff>
    </xdr:to>
    <xdr:sp macro="[0]!ValoracionConocimiento" textlink="">
      <xdr:nvSpPr>
        <xdr:cNvPr id="4" name="Redondear rectángulo de esquina del mismo lado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6446226" y="624257"/>
          <a:ext cx="180000" cy="144000"/>
        </a:xfrm>
        <a:prstGeom prst="round2SameRect">
          <a:avLst/>
        </a:prstGeom>
        <a:solidFill>
          <a:srgbClr val="51B99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8</xdr:col>
      <xdr:colOff>164210</xdr:colOff>
      <xdr:row>3</xdr:row>
      <xdr:rowOff>74738</xdr:rowOff>
    </xdr:from>
    <xdr:to>
      <xdr:col>8</xdr:col>
      <xdr:colOff>344210</xdr:colOff>
      <xdr:row>3</xdr:row>
      <xdr:rowOff>218738</xdr:rowOff>
    </xdr:to>
    <xdr:sp macro="[0]!ValoracionExperiencia" textlink="">
      <xdr:nvSpPr>
        <xdr:cNvPr id="7" name="Redondear rectángulo de esquina del mismo lado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6948941" y="624257"/>
          <a:ext cx="180000" cy="144000"/>
        </a:xfrm>
        <a:prstGeom prst="round2SameRect">
          <a:avLst/>
        </a:prstGeom>
        <a:solidFill>
          <a:srgbClr val="51B99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9</xdr:col>
      <xdr:colOff>163249</xdr:colOff>
      <xdr:row>3</xdr:row>
      <xdr:rowOff>74738</xdr:rowOff>
    </xdr:from>
    <xdr:to>
      <xdr:col>9</xdr:col>
      <xdr:colOff>343249</xdr:colOff>
      <xdr:row>3</xdr:row>
      <xdr:rowOff>218738</xdr:rowOff>
    </xdr:to>
    <xdr:sp macro="[0]!ValoracionHabilidadGerencia" textlink="">
      <xdr:nvSpPr>
        <xdr:cNvPr id="8" name="Redondear rectángulo de esquina del mismo lado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>
          <a:off x="7446211" y="624257"/>
          <a:ext cx="180000" cy="144000"/>
        </a:xfrm>
        <a:prstGeom prst="round2SameRect">
          <a:avLst/>
        </a:prstGeom>
        <a:solidFill>
          <a:srgbClr val="51B99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162298</xdr:colOff>
      <xdr:row>3</xdr:row>
      <xdr:rowOff>74738</xdr:rowOff>
    </xdr:from>
    <xdr:to>
      <xdr:col>10</xdr:col>
      <xdr:colOff>342298</xdr:colOff>
      <xdr:row>3</xdr:row>
      <xdr:rowOff>218738</xdr:rowOff>
    </xdr:to>
    <xdr:sp macro="[0]!ValoracionRolCargo" textlink="">
      <xdr:nvSpPr>
        <xdr:cNvPr id="10" name="Redondear rectángulo de esquina del mismo lado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SpPr/>
      </xdr:nvSpPr>
      <xdr:spPr>
        <a:xfrm>
          <a:off x="7943490" y="624257"/>
          <a:ext cx="180000" cy="144000"/>
        </a:xfrm>
        <a:prstGeom prst="round2SameRect">
          <a:avLst/>
        </a:prstGeom>
        <a:solidFill>
          <a:srgbClr val="51B99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12</xdr:col>
      <xdr:colOff>166783</xdr:colOff>
      <xdr:row>3</xdr:row>
      <xdr:rowOff>74738</xdr:rowOff>
    </xdr:from>
    <xdr:to>
      <xdr:col>12</xdr:col>
      <xdr:colOff>346783</xdr:colOff>
      <xdr:row>3</xdr:row>
      <xdr:rowOff>218738</xdr:rowOff>
    </xdr:to>
    <xdr:sp macro="[0]!ValoracionContacto" textlink="">
      <xdr:nvSpPr>
        <xdr:cNvPr id="11" name="Redondear rectángulo de esquina del mismo lado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SpPr/>
      </xdr:nvSpPr>
      <xdr:spPr>
        <a:xfrm>
          <a:off x="8446206" y="624257"/>
          <a:ext cx="180000" cy="144000"/>
        </a:xfrm>
        <a:prstGeom prst="round2SameRect">
          <a:avLst/>
        </a:prstGeom>
        <a:solidFill>
          <a:srgbClr val="51B99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13</xdr:col>
      <xdr:colOff>165832</xdr:colOff>
      <xdr:row>3</xdr:row>
      <xdr:rowOff>74738</xdr:rowOff>
    </xdr:from>
    <xdr:to>
      <xdr:col>13</xdr:col>
      <xdr:colOff>345832</xdr:colOff>
      <xdr:row>3</xdr:row>
      <xdr:rowOff>218738</xdr:rowOff>
    </xdr:to>
    <xdr:sp macro="[0]!ValoracionFrecuenciaContacto" textlink="">
      <xdr:nvSpPr>
        <xdr:cNvPr id="12" name="Redondear rectángulo de esquina del mismo lado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SpPr/>
      </xdr:nvSpPr>
      <xdr:spPr>
        <a:xfrm>
          <a:off x="8943486" y="624257"/>
          <a:ext cx="180000" cy="144000"/>
        </a:xfrm>
        <a:prstGeom prst="round2SameRect">
          <a:avLst/>
        </a:prstGeom>
        <a:solidFill>
          <a:srgbClr val="51B99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14</xdr:col>
      <xdr:colOff>167141</xdr:colOff>
      <xdr:row>3</xdr:row>
      <xdr:rowOff>74738</xdr:rowOff>
    </xdr:from>
    <xdr:to>
      <xdr:col>14</xdr:col>
      <xdr:colOff>347141</xdr:colOff>
      <xdr:row>3</xdr:row>
      <xdr:rowOff>218738</xdr:rowOff>
    </xdr:to>
    <xdr:sp macro="[0]!ValoracionContenidoRelaciones" textlink="">
      <xdr:nvSpPr>
        <xdr:cNvPr id="13" name="Redondear rectángulo de esquina del mismo lado 12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SpPr/>
      </xdr:nvSpPr>
      <xdr:spPr>
        <a:xfrm>
          <a:off x="9443026" y="624257"/>
          <a:ext cx="180000" cy="144000"/>
        </a:xfrm>
        <a:prstGeom prst="round2SameRect">
          <a:avLst/>
        </a:prstGeom>
        <a:solidFill>
          <a:srgbClr val="51B99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17</xdr:col>
      <xdr:colOff>178885</xdr:colOff>
      <xdr:row>3</xdr:row>
      <xdr:rowOff>74738</xdr:rowOff>
    </xdr:from>
    <xdr:to>
      <xdr:col>18</xdr:col>
      <xdr:colOff>331585</xdr:colOff>
      <xdr:row>3</xdr:row>
      <xdr:rowOff>218738</xdr:rowOff>
    </xdr:to>
    <xdr:sp macro="[0]!ValoracionComplejidadConceptual" textlink="">
      <xdr:nvSpPr>
        <xdr:cNvPr id="14" name="Redondear rectángulo de esquina del mismo lado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SpPr/>
      </xdr:nvSpPr>
      <xdr:spPr>
        <a:xfrm>
          <a:off x="11418385" y="627188"/>
          <a:ext cx="648000" cy="144000"/>
        </a:xfrm>
        <a:prstGeom prst="round2SameRect">
          <a:avLst/>
        </a:prstGeom>
        <a:solidFill>
          <a:srgbClr val="70CDA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19</xdr:col>
      <xdr:colOff>173804</xdr:colOff>
      <xdr:row>3</xdr:row>
      <xdr:rowOff>74739</xdr:rowOff>
    </xdr:from>
    <xdr:to>
      <xdr:col>20</xdr:col>
      <xdr:colOff>326504</xdr:colOff>
      <xdr:row>3</xdr:row>
      <xdr:rowOff>218739</xdr:rowOff>
    </xdr:to>
    <xdr:sp macro="[0]!ValoracionGuiasApoyo" textlink="">
      <xdr:nvSpPr>
        <xdr:cNvPr id="16" name="Redondear rectángulo de esquina del mismo lado 15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12403904" y="627189"/>
          <a:ext cx="648000" cy="144000"/>
        </a:xfrm>
        <a:prstGeom prst="round2SameRect">
          <a:avLst/>
        </a:prstGeom>
        <a:solidFill>
          <a:srgbClr val="70CDA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23</xdr:col>
      <xdr:colOff>165297</xdr:colOff>
      <xdr:row>3</xdr:row>
      <xdr:rowOff>74738</xdr:rowOff>
    </xdr:from>
    <xdr:to>
      <xdr:col>23</xdr:col>
      <xdr:colOff>345297</xdr:colOff>
      <xdr:row>3</xdr:row>
      <xdr:rowOff>218738</xdr:rowOff>
    </xdr:to>
    <xdr:sp macro="[0]!ValoracionImpacto" textlink="">
      <xdr:nvSpPr>
        <xdr:cNvPr id="18" name="Redondear rectángulo de esquina del mismo lado 17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SpPr/>
      </xdr:nvSpPr>
      <xdr:spPr>
        <a:xfrm>
          <a:off x="11932335" y="624257"/>
          <a:ext cx="180000" cy="144000"/>
        </a:xfrm>
        <a:prstGeom prst="round2SameRect">
          <a:avLst/>
        </a:prstGeom>
        <a:solidFill>
          <a:srgbClr val="A2C92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24</xdr:col>
      <xdr:colOff>165457</xdr:colOff>
      <xdr:row>3</xdr:row>
      <xdr:rowOff>74738</xdr:rowOff>
    </xdr:from>
    <xdr:to>
      <xdr:col>24</xdr:col>
      <xdr:colOff>345457</xdr:colOff>
      <xdr:row>3</xdr:row>
      <xdr:rowOff>218738</xdr:rowOff>
    </xdr:to>
    <xdr:sp macro="[0]!ValoracionAutonomia" textlink="">
      <xdr:nvSpPr>
        <xdr:cNvPr id="19" name="Redondear rectángulo de esquina del mismo lado 18"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12430726" y="624257"/>
          <a:ext cx="180000" cy="144000"/>
        </a:xfrm>
        <a:prstGeom prst="round2SameRect">
          <a:avLst/>
        </a:prstGeom>
        <a:solidFill>
          <a:srgbClr val="A2C92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25</xdr:col>
      <xdr:colOff>158853</xdr:colOff>
      <xdr:row>3</xdr:row>
      <xdr:rowOff>74738</xdr:rowOff>
    </xdr:from>
    <xdr:to>
      <xdr:col>25</xdr:col>
      <xdr:colOff>338853</xdr:colOff>
      <xdr:row>3</xdr:row>
      <xdr:rowOff>218738</xdr:rowOff>
    </xdr:to>
    <xdr:sp macro="[0]!ValoracionMagnitudes" textlink="">
      <xdr:nvSpPr>
        <xdr:cNvPr id="20" name="Redondear rectángulo de esquina del mismo lado 19"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2922353" y="624257"/>
          <a:ext cx="180000" cy="144000"/>
        </a:xfrm>
        <a:prstGeom prst="round2SameRect">
          <a:avLst/>
        </a:prstGeom>
        <a:solidFill>
          <a:srgbClr val="A2C92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27</xdr:col>
      <xdr:colOff>165469</xdr:colOff>
      <xdr:row>3</xdr:row>
      <xdr:rowOff>74738</xdr:rowOff>
    </xdr:from>
    <xdr:to>
      <xdr:col>29</xdr:col>
      <xdr:colOff>377085</xdr:colOff>
      <xdr:row>3</xdr:row>
      <xdr:rowOff>218738</xdr:rowOff>
    </xdr:to>
    <xdr:sp macro="[0]!ValoracionCriticidad" textlink="">
      <xdr:nvSpPr>
        <xdr:cNvPr id="21" name="Redondear rectángulo de esquina del mismo lado 20"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SpPr/>
      </xdr:nvSpPr>
      <xdr:spPr>
        <a:xfrm>
          <a:off x="13427200" y="624257"/>
          <a:ext cx="1296000" cy="144000"/>
        </a:xfrm>
        <a:prstGeom prst="round2SameRect">
          <a:avLst/>
        </a:prstGeom>
        <a:solidFill>
          <a:srgbClr val="A0CA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11906</xdr:colOff>
      <xdr:row>0</xdr:row>
      <xdr:rowOff>5559</xdr:rowOff>
    </xdr:from>
    <xdr:to>
      <xdr:col>13</xdr:col>
      <xdr:colOff>0</xdr:colOff>
      <xdr:row>4</xdr:row>
      <xdr:rowOff>29987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6" y="5559"/>
          <a:ext cx="10989469" cy="7330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678180</xdr:colOff>
          <xdr:row>1</xdr:row>
          <xdr:rowOff>22860</xdr:rowOff>
        </xdr:from>
        <xdr:to>
          <xdr:col>3</xdr:col>
          <xdr:colOff>784860</xdr:colOff>
          <xdr:row>3</xdr:row>
          <xdr:rowOff>30480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A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142876</xdr:colOff>
      <xdr:row>29</xdr:row>
      <xdr:rowOff>20615</xdr:rowOff>
    </xdr:from>
    <xdr:to>
      <xdr:col>7</xdr:col>
      <xdr:colOff>1092996</xdr:colOff>
      <xdr:row>42</xdr:row>
      <xdr:rowOff>148590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1470" y="5259365"/>
          <a:ext cx="6786564" cy="24439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89889</xdr:colOff>
      <xdr:row>24</xdr:row>
      <xdr:rowOff>61119</xdr:rowOff>
    </xdr:from>
    <xdr:to>
      <xdr:col>13</xdr:col>
      <xdr:colOff>682112</xdr:colOff>
      <xdr:row>31</xdr:row>
      <xdr:rowOff>135429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9663" y="4513849"/>
          <a:ext cx="8411006" cy="1373023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0</xdr:rowOff>
    </xdr:from>
    <xdr:to>
      <xdr:col>17</xdr:col>
      <xdr:colOff>0</xdr:colOff>
      <xdr:row>5</xdr:row>
      <xdr:rowOff>42164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00" y="0"/>
          <a:ext cx="11714956" cy="1002284"/>
        </a:xfrm>
        <a:prstGeom prst="rect">
          <a:avLst/>
        </a:prstGeom>
      </xdr:spPr>
    </xdr:pic>
    <xdr:clientData/>
  </xdr:twoCellAnchor>
  <xdr:twoCellAnchor>
    <xdr:from>
      <xdr:col>1</xdr:col>
      <xdr:colOff>704850</xdr:colOff>
      <xdr:row>5</xdr:row>
      <xdr:rowOff>171450</xdr:rowOff>
    </xdr:from>
    <xdr:to>
      <xdr:col>15</xdr:col>
      <xdr:colOff>35718</xdr:colOff>
      <xdr:row>24</xdr:row>
      <xdr:rowOff>119062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365760</xdr:colOff>
          <xdr:row>1</xdr:row>
          <xdr:rowOff>137160</xdr:rowOff>
        </xdr:from>
        <xdr:to>
          <xdr:col>15</xdr:col>
          <xdr:colOff>670560</xdr:colOff>
          <xdr:row>3</xdr:row>
          <xdr:rowOff>30480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1B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637242</xdr:colOff>
      <xdr:row>24</xdr:row>
      <xdr:rowOff>47625</xdr:rowOff>
    </xdr:from>
    <xdr:to>
      <xdr:col>14</xdr:col>
      <xdr:colOff>33821</xdr:colOff>
      <xdr:row>31</xdr:row>
      <xdr:rowOff>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8305" y="4619625"/>
          <a:ext cx="8540579" cy="1285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16</xdr:col>
      <xdr:colOff>0</xdr:colOff>
      <xdr:row>5</xdr:row>
      <xdr:rowOff>49784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2545568" cy="938784"/>
        </a:xfrm>
        <a:prstGeom prst="rect">
          <a:avLst/>
        </a:prstGeom>
      </xdr:spPr>
    </xdr:pic>
    <xdr:clientData/>
  </xdr:twoCellAnchor>
  <xdr:twoCellAnchor>
    <xdr:from>
      <xdr:col>1</xdr:col>
      <xdr:colOff>669131</xdr:colOff>
      <xdr:row>5</xdr:row>
      <xdr:rowOff>147638</xdr:rowOff>
    </xdr:from>
    <xdr:to>
      <xdr:col>15</xdr:col>
      <xdr:colOff>1931</xdr:colOff>
      <xdr:row>24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1</xdr:row>
          <xdr:rowOff>182880</xdr:rowOff>
        </xdr:from>
        <xdr:to>
          <xdr:col>15</xdr:col>
          <xdr:colOff>480060</xdr:colOff>
          <xdr:row>3</xdr:row>
          <xdr:rowOff>99060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1C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31751</xdr:colOff>
      <xdr:row>5</xdr:row>
      <xdr:rowOff>10589</xdr:rowOff>
    </xdr:from>
    <xdr:to>
      <xdr:col>18</xdr:col>
      <xdr:colOff>285751</xdr:colOff>
      <xdr:row>23</xdr:row>
      <xdr:rowOff>0</xdr:rowOff>
    </xdr:to>
    <xdr:grpSp>
      <xdr:nvGrpSpPr>
        <xdr:cNvPr id="22" name="Grupo 21">
          <a:extLst>
            <a:ext uri="{FF2B5EF4-FFF2-40B4-BE49-F238E27FC236}">
              <a16:creationId xmlns:a16="http://schemas.microsoft.com/office/drawing/2014/main" id="{00000000-0008-0000-1A00-000016000000}"/>
            </a:ext>
          </a:extLst>
        </xdr:cNvPr>
        <xdr:cNvGrpSpPr/>
      </xdr:nvGrpSpPr>
      <xdr:grpSpPr>
        <a:xfrm>
          <a:off x="9861551" y="1085009"/>
          <a:ext cx="3187700" cy="3540331"/>
          <a:chOff x="9419167" y="1121839"/>
          <a:chExt cx="3111500" cy="3651244"/>
        </a:xfrm>
      </xdr:grpSpPr>
      <xdr:grpSp>
        <xdr:nvGrpSpPr>
          <xdr:cNvPr id="4" name="Grupo 3">
            <a:extLst>
              <a:ext uri="{FF2B5EF4-FFF2-40B4-BE49-F238E27FC236}">
                <a16:creationId xmlns:a16="http://schemas.microsoft.com/office/drawing/2014/main" id="{00000000-0008-0000-1A00-000004000000}"/>
              </a:ext>
            </a:extLst>
          </xdr:cNvPr>
          <xdr:cNvGrpSpPr/>
        </xdr:nvGrpSpPr>
        <xdr:grpSpPr>
          <a:xfrm>
            <a:off x="9419167" y="1121839"/>
            <a:ext cx="3111500" cy="3412309"/>
            <a:chOff x="9419167" y="1682750"/>
            <a:chExt cx="3111500" cy="3560476"/>
          </a:xfrm>
        </xdr:grpSpPr>
        <xdr:graphicFrame macro="">
          <xdr:nvGraphicFramePr>
            <xdr:cNvPr id="9" name="Gráfico 8">
              <a:extLst>
                <a:ext uri="{FF2B5EF4-FFF2-40B4-BE49-F238E27FC236}">
                  <a16:creationId xmlns:a16="http://schemas.microsoft.com/office/drawing/2014/main" id="{00000000-0008-0000-1A00-000009000000}"/>
                </a:ext>
              </a:extLst>
            </xdr:cNvPr>
            <xdr:cNvGraphicFramePr>
              <a:graphicFrameLocks/>
            </xdr:cNvGraphicFramePr>
          </xdr:nvGraphicFramePr>
          <xdr:xfrm>
            <a:off x="9419167" y="1682750"/>
            <a:ext cx="3111500" cy="356047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pSp>
          <xdr:nvGrpSpPr>
            <xdr:cNvPr id="11" name="Grupo 10">
              <a:extLst>
                <a:ext uri="{FF2B5EF4-FFF2-40B4-BE49-F238E27FC236}">
                  <a16:creationId xmlns:a16="http://schemas.microsoft.com/office/drawing/2014/main" id="{00000000-0008-0000-1A00-00000B000000}"/>
                </a:ext>
              </a:extLst>
            </xdr:cNvPr>
            <xdr:cNvGrpSpPr/>
          </xdr:nvGrpSpPr>
          <xdr:grpSpPr>
            <a:xfrm>
              <a:off x="10534501" y="3566582"/>
              <a:ext cx="880832" cy="180000"/>
              <a:chOff x="10541001" y="3852331"/>
              <a:chExt cx="880832" cy="180000"/>
            </a:xfrm>
          </xdr:grpSpPr>
          <xdr:sp macro="" textlink="">
            <xdr:nvSpPr>
              <xdr:cNvPr id="3" name="Elipse 2">
                <a:extLst>
                  <a:ext uri="{FF2B5EF4-FFF2-40B4-BE49-F238E27FC236}">
                    <a16:creationId xmlns:a16="http://schemas.microsoft.com/office/drawing/2014/main" id="{00000000-0008-0000-1A00-000003000000}"/>
                  </a:ext>
                </a:extLst>
              </xdr:cNvPr>
              <xdr:cNvSpPr/>
            </xdr:nvSpPr>
            <xdr:spPr>
              <a:xfrm>
                <a:off x="10541001" y="3852331"/>
                <a:ext cx="180000" cy="180000"/>
              </a:xfrm>
              <a:prstGeom prst="ellipse">
                <a:avLst/>
              </a:prstGeom>
              <a:solidFill>
                <a:srgbClr val="FF00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MX" sz="1100"/>
              </a:p>
            </xdr:txBody>
          </xdr:sp>
          <xdr:sp macro="" textlink="">
            <xdr:nvSpPr>
              <xdr:cNvPr id="10" name="Rectángulo 9">
                <a:extLst>
                  <a:ext uri="{FF2B5EF4-FFF2-40B4-BE49-F238E27FC236}">
                    <a16:creationId xmlns:a16="http://schemas.microsoft.com/office/drawing/2014/main" id="{00000000-0008-0000-1A00-00000A000000}"/>
                  </a:ext>
                </a:extLst>
              </xdr:cNvPr>
              <xdr:cNvSpPr/>
            </xdr:nvSpPr>
            <xdr:spPr>
              <a:xfrm>
                <a:off x="10773833" y="3852331"/>
                <a:ext cx="648000" cy="180000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l"/>
                <a:r>
                  <a:rPr lang="es-MX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Inadecuado</a:t>
                </a:r>
              </a:p>
            </xdr:txBody>
          </xdr:sp>
        </xdr:grpSp>
        <xdr:grpSp>
          <xdr:nvGrpSpPr>
            <xdr:cNvPr id="13" name="Grupo 12">
              <a:extLst>
                <a:ext uri="{FF2B5EF4-FFF2-40B4-BE49-F238E27FC236}">
                  <a16:creationId xmlns:a16="http://schemas.microsoft.com/office/drawing/2014/main" id="{00000000-0008-0000-1A00-00000D000000}"/>
                </a:ext>
              </a:extLst>
            </xdr:cNvPr>
            <xdr:cNvGrpSpPr/>
          </xdr:nvGrpSpPr>
          <xdr:grpSpPr>
            <a:xfrm>
              <a:off x="10534501" y="3786010"/>
              <a:ext cx="880832" cy="180000"/>
              <a:chOff x="10541001" y="3852331"/>
              <a:chExt cx="880832" cy="180000"/>
            </a:xfrm>
          </xdr:grpSpPr>
          <xdr:sp macro="" textlink="">
            <xdr:nvSpPr>
              <xdr:cNvPr id="14" name="Elipse 13">
                <a:extLst>
                  <a:ext uri="{FF2B5EF4-FFF2-40B4-BE49-F238E27FC236}">
                    <a16:creationId xmlns:a16="http://schemas.microsoft.com/office/drawing/2014/main" id="{00000000-0008-0000-1A00-00000E000000}"/>
                  </a:ext>
                </a:extLst>
              </xdr:cNvPr>
              <xdr:cNvSpPr/>
            </xdr:nvSpPr>
            <xdr:spPr>
              <a:xfrm>
                <a:off x="10541001" y="3852331"/>
                <a:ext cx="180000" cy="180000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MX" sz="1100"/>
              </a:p>
            </xdr:txBody>
          </xdr:sp>
          <xdr:sp macro="" textlink="">
            <xdr:nvSpPr>
              <xdr:cNvPr id="15" name="Rectángulo 14">
                <a:extLst>
                  <a:ext uri="{FF2B5EF4-FFF2-40B4-BE49-F238E27FC236}">
                    <a16:creationId xmlns:a16="http://schemas.microsoft.com/office/drawing/2014/main" id="{00000000-0008-0000-1A00-00000F000000}"/>
                  </a:ext>
                </a:extLst>
              </xdr:cNvPr>
              <xdr:cNvSpPr/>
            </xdr:nvSpPr>
            <xdr:spPr>
              <a:xfrm>
                <a:off x="10773833" y="3852331"/>
                <a:ext cx="648000" cy="180000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l"/>
                <a:r>
                  <a:rPr lang="es-MX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Aceptable</a:t>
                </a:r>
              </a:p>
            </xdr:txBody>
          </xdr:sp>
        </xdr:grpSp>
        <xdr:grpSp>
          <xdr:nvGrpSpPr>
            <xdr:cNvPr id="16" name="Grupo 15">
              <a:extLst>
                <a:ext uri="{FF2B5EF4-FFF2-40B4-BE49-F238E27FC236}">
                  <a16:creationId xmlns:a16="http://schemas.microsoft.com/office/drawing/2014/main" id="{00000000-0008-0000-1A00-000010000000}"/>
                </a:ext>
              </a:extLst>
            </xdr:cNvPr>
            <xdr:cNvGrpSpPr/>
          </xdr:nvGrpSpPr>
          <xdr:grpSpPr>
            <a:xfrm>
              <a:off x="10534501" y="4005438"/>
              <a:ext cx="880832" cy="180000"/>
              <a:chOff x="10541001" y="3852331"/>
              <a:chExt cx="880832" cy="180000"/>
            </a:xfrm>
          </xdr:grpSpPr>
          <xdr:sp macro="" textlink="">
            <xdr:nvSpPr>
              <xdr:cNvPr id="17" name="Elipse 16">
                <a:extLst>
                  <a:ext uri="{FF2B5EF4-FFF2-40B4-BE49-F238E27FC236}">
                    <a16:creationId xmlns:a16="http://schemas.microsoft.com/office/drawing/2014/main" id="{00000000-0008-0000-1A00-000011000000}"/>
                  </a:ext>
                </a:extLst>
              </xdr:cNvPr>
              <xdr:cNvSpPr/>
            </xdr:nvSpPr>
            <xdr:spPr>
              <a:xfrm>
                <a:off x="10541001" y="3852331"/>
                <a:ext cx="180000" cy="180000"/>
              </a:xfrm>
              <a:prstGeom prst="ellipse">
                <a:avLst/>
              </a:prstGeom>
              <a:solidFill>
                <a:srgbClr val="FFFF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MX" sz="1100"/>
              </a:p>
            </xdr:txBody>
          </xdr:sp>
          <xdr:sp macro="" textlink="">
            <xdr:nvSpPr>
              <xdr:cNvPr id="18" name="Rectángulo 17">
                <a:extLst>
                  <a:ext uri="{FF2B5EF4-FFF2-40B4-BE49-F238E27FC236}">
                    <a16:creationId xmlns:a16="http://schemas.microsoft.com/office/drawing/2014/main" id="{00000000-0008-0000-1A00-000012000000}"/>
                  </a:ext>
                </a:extLst>
              </xdr:cNvPr>
              <xdr:cNvSpPr/>
            </xdr:nvSpPr>
            <xdr:spPr>
              <a:xfrm>
                <a:off x="10773833" y="3852331"/>
                <a:ext cx="648000" cy="180000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l"/>
                <a:r>
                  <a:rPr lang="es-MX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Bueno</a:t>
                </a:r>
              </a:p>
            </xdr:txBody>
          </xdr:sp>
        </xdr:grpSp>
        <xdr:grpSp>
          <xdr:nvGrpSpPr>
            <xdr:cNvPr id="19" name="Grupo 18">
              <a:extLst>
                <a:ext uri="{FF2B5EF4-FFF2-40B4-BE49-F238E27FC236}">
                  <a16:creationId xmlns:a16="http://schemas.microsoft.com/office/drawing/2014/main" id="{00000000-0008-0000-1A00-000013000000}"/>
                </a:ext>
              </a:extLst>
            </xdr:cNvPr>
            <xdr:cNvGrpSpPr/>
          </xdr:nvGrpSpPr>
          <xdr:grpSpPr>
            <a:xfrm>
              <a:off x="10534501" y="4224865"/>
              <a:ext cx="880832" cy="180000"/>
              <a:chOff x="10541001" y="3852331"/>
              <a:chExt cx="880832" cy="180000"/>
            </a:xfrm>
          </xdr:grpSpPr>
          <xdr:sp macro="" textlink="">
            <xdr:nvSpPr>
              <xdr:cNvPr id="20" name="Elipse 19">
                <a:extLst>
                  <a:ext uri="{FF2B5EF4-FFF2-40B4-BE49-F238E27FC236}">
                    <a16:creationId xmlns:a16="http://schemas.microsoft.com/office/drawing/2014/main" id="{00000000-0008-0000-1A00-000014000000}"/>
                  </a:ext>
                </a:extLst>
              </xdr:cNvPr>
              <xdr:cNvSpPr/>
            </xdr:nvSpPr>
            <xdr:spPr>
              <a:xfrm>
                <a:off x="10541001" y="3852331"/>
                <a:ext cx="180000" cy="180000"/>
              </a:xfrm>
              <a:prstGeom prst="ellipse">
                <a:avLst/>
              </a:prstGeom>
              <a:solidFill>
                <a:srgbClr val="00B05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MX" sz="1100"/>
              </a:p>
            </xdr:txBody>
          </xdr:sp>
          <xdr:sp macro="" textlink="">
            <xdr:nvSpPr>
              <xdr:cNvPr id="21" name="Rectángulo 20">
                <a:extLst>
                  <a:ext uri="{FF2B5EF4-FFF2-40B4-BE49-F238E27FC236}">
                    <a16:creationId xmlns:a16="http://schemas.microsoft.com/office/drawing/2014/main" id="{00000000-0008-0000-1A00-000015000000}"/>
                  </a:ext>
                </a:extLst>
              </xdr:cNvPr>
              <xdr:cNvSpPr/>
            </xdr:nvSpPr>
            <xdr:spPr>
              <a:xfrm>
                <a:off x="10773833" y="3852331"/>
                <a:ext cx="648000" cy="180000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l"/>
                <a:r>
                  <a:rPr lang="es-MX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Muy Bueno</a:t>
                </a:r>
              </a:p>
            </xdr:txBody>
          </xdr:sp>
        </xdr:grpSp>
      </xdr:grpSp>
      <xdr:sp macro="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1A00-00000C000000}"/>
              </a:ext>
            </a:extLst>
          </xdr:cNvPr>
          <xdr:cNvSpPr/>
        </xdr:nvSpPr>
        <xdr:spPr>
          <a:xfrm>
            <a:off x="9420267" y="3831167"/>
            <a:ext cx="3110400" cy="94191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 editAs="oneCell">
    <xdr:from>
      <xdr:col>0</xdr:col>
      <xdr:colOff>0</xdr:colOff>
      <xdr:row>37</xdr:row>
      <xdr:rowOff>52922</xdr:rowOff>
    </xdr:from>
    <xdr:to>
      <xdr:col>19</xdr:col>
      <xdr:colOff>0</xdr:colOff>
      <xdr:row>41</xdr:row>
      <xdr:rowOff>969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3750"/>
        <a:stretch/>
      </xdr:blipFill>
      <xdr:spPr>
        <a:xfrm>
          <a:off x="0" y="7725839"/>
          <a:ext cx="12594167" cy="709200"/>
        </a:xfrm>
        <a:prstGeom prst="rect">
          <a:avLst/>
        </a:prstGeom>
      </xdr:spPr>
    </xdr:pic>
    <xdr:clientData/>
  </xdr:twoCellAnchor>
  <xdr:twoCellAnchor editAs="oneCell">
    <xdr:from>
      <xdr:col>0</xdr:col>
      <xdr:colOff>38099</xdr:colOff>
      <xdr:row>19</xdr:row>
      <xdr:rowOff>52917</xdr:rowOff>
    </xdr:from>
    <xdr:to>
      <xdr:col>19</xdr:col>
      <xdr:colOff>0</xdr:colOff>
      <xdr:row>23</xdr:row>
      <xdr:rowOff>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099" y="4064000"/>
          <a:ext cx="12556068" cy="7090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19</xdr:col>
      <xdr:colOff>0</xdr:colOff>
      <xdr:row>5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12594167" cy="1111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594360</xdr:colOff>
          <xdr:row>2</xdr:row>
          <xdr:rowOff>0</xdr:rowOff>
        </xdr:from>
        <xdr:to>
          <xdr:col>18</xdr:col>
          <xdr:colOff>213360</xdr:colOff>
          <xdr:row>2</xdr:row>
          <xdr:rowOff>289560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D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118276</xdr:colOff>
      <xdr:row>12</xdr:row>
      <xdr:rowOff>8678</xdr:rowOff>
    </xdr:from>
    <xdr:to>
      <xdr:col>9</xdr:col>
      <xdr:colOff>937661</xdr:colOff>
      <xdr:row>28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677" r="4566"/>
        <a:stretch/>
      </xdr:blipFill>
      <xdr:spPr>
        <a:xfrm>
          <a:off x="3242476" y="2127038"/>
          <a:ext cx="5292325" cy="284120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0</xdr:colOff>
      <xdr:row>4</xdr:row>
      <xdr:rowOff>169333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17459"/>
        <a:stretch/>
      </xdr:blipFill>
      <xdr:spPr>
        <a:xfrm>
          <a:off x="0" y="0"/>
          <a:ext cx="8530167" cy="889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556260</xdr:colOff>
          <xdr:row>1</xdr:row>
          <xdr:rowOff>68580</xdr:rowOff>
        </xdr:from>
        <xdr:to>
          <xdr:col>3</xdr:col>
          <xdr:colOff>678180</xdr:colOff>
          <xdr:row>2</xdr:row>
          <xdr:rowOff>175260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E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22355</xdr:colOff>
      <xdr:row>11</xdr:row>
      <xdr:rowOff>0</xdr:rowOff>
    </xdr:from>
    <xdr:to>
      <xdr:col>17</xdr:col>
      <xdr:colOff>762005</xdr:colOff>
      <xdr:row>28</xdr:row>
      <xdr:rowOff>31749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pSpPr/>
      </xdr:nvGrpSpPr>
      <xdr:grpSpPr>
        <a:xfrm>
          <a:off x="10065515" y="2506980"/>
          <a:ext cx="2964690" cy="3544569"/>
          <a:chOff x="9822522" y="2582333"/>
          <a:chExt cx="2930400" cy="3651249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1C00-000005000000}"/>
              </a:ext>
            </a:extLst>
          </xdr:cNvPr>
          <xdr:cNvGrpSpPr/>
        </xdr:nvGrpSpPr>
        <xdr:grpSpPr>
          <a:xfrm>
            <a:off x="9822522" y="2582333"/>
            <a:ext cx="2930400" cy="3560476"/>
            <a:chOff x="9758933" y="2582333"/>
            <a:chExt cx="2930484" cy="3560476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00000000-0008-0000-1C00-000019000000}"/>
                </a:ext>
              </a:extLst>
            </xdr:cNvPr>
            <xdr:cNvGraphicFramePr>
              <a:graphicFrameLocks/>
            </xdr:cNvGraphicFramePr>
          </xdr:nvGraphicFramePr>
          <xdr:xfrm>
            <a:off x="9758933" y="2582333"/>
            <a:ext cx="2930484" cy="356047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pSp>
          <xdr:nvGrpSpPr>
            <xdr:cNvPr id="13" name="Grupo 12">
              <a:extLst>
                <a:ext uri="{FF2B5EF4-FFF2-40B4-BE49-F238E27FC236}">
                  <a16:creationId xmlns:a16="http://schemas.microsoft.com/office/drawing/2014/main" id="{00000000-0008-0000-1C00-00000D000000}"/>
                </a:ext>
              </a:extLst>
            </xdr:cNvPr>
            <xdr:cNvGrpSpPr/>
          </xdr:nvGrpSpPr>
          <xdr:grpSpPr>
            <a:xfrm>
              <a:off x="10783759" y="4476755"/>
              <a:ext cx="880832" cy="179999"/>
              <a:chOff x="10541001" y="3852331"/>
              <a:chExt cx="880832" cy="180000"/>
            </a:xfrm>
          </xdr:grpSpPr>
          <xdr:sp macro="" textlink="">
            <xdr:nvSpPr>
              <xdr:cNvPr id="14" name="Elipse 13">
                <a:extLst>
                  <a:ext uri="{FF2B5EF4-FFF2-40B4-BE49-F238E27FC236}">
                    <a16:creationId xmlns:a16="http://schemas.microsoft.com/office/drawing/2014/main" id="{00000000-0008-0000-1C00-00000E000000}"/>
                  </a:ext>
                </a:extLst>
              </xdr:cNvPr>
              <xdr:cNvSpPr/>
            </xdr:nvSpPr>
            <xdr:spPr>
              <a:xfrm>
                <a:off x="10541001" y="3852331"/>
                <a:ext cx="180000" cy="180000"/>
              </a:xfrm>
              <a:prstGeom prst="ellipse">
                <a:avLst/>
              </a:prstGeom>
              <a:solidFill>
                <a:srgbClr val="FF00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MX" sz="1100"/>
              </a:p>
            </xdr:txBody>
          </xdr:sp>
          <xdr:sp macro="" textlink="">
            <xdr:nvSpPr>
              <xdr:cNvPr id="15" name="Rectángulo 14">
                <a:extLst>
                  <a:ext uri="{FF2B5EF4-FFF2-40B4-BE49-F238E27FC236}">
                    <a16:creationId xmlns:a16="http://schemas.microsoft.com/office/drawing/2014/main" id="{00000000-0008-0000-1C00-00000F000000}"/>
                  </a:ext>
                </a:extLst>
              </xdr:cNvPr>
              <xdr:cNvSpPr/>
            </xdr:nvSpPr>
            <xdr:spPr>
              <a:xfrm>
                <a:off x="10773833" y="3852331"/>
                <a:ext cx="648000" cy="180000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l"/>
                <a:r>
                  <a:rPr lang="es-MX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Inadecuado</a:t>
                </a:r>
              </a:p>
            </xdr:txBody>
          </xdr:sp>
        </xdr:grpSp>
        <xdr:grpSp>
          <xdr:nvGrpSpPr>
            <xdr:cNvPr id="16" name="Grupo 15">
              <a:extLst>
                <a:ext uri="{FF2B5EF4-FFF2-40B4-BE49-F238E27FC236}">
                  <a16:creationId xmlns:a16="http://schemas.microsoft.com/office/drawing/2014/main" id="{00000000-0008-0000-1C00-000010000000}"/>
                </a:ext>
              </a:extLst>
            </xdr:cNvPr>
            <xdr:cNvGrpSpPr/>
          </xdr:nvGrpSpPr>
          <xdr:grpSpPr>
            <a:xfrm>
              <a:off x="10783759" y="4696182"/>
              <a:ext cx="880832" cy="180000"/>
              <a:chOff x="10541001" y="3852331"/>
              <a:chExt cx="880832" cy="180000"/>
            </a:xfrm>
          </xdr:grpSpPr>
          <xdr:sp macro="" textlink="">
            <xdr:nvSpPr>
              <xdr:cNvPr id="17" name="Elipse 16">
                <a:extLst>
                  <a:ext uri="{FF2B5EF4-FFF2-40B4-BE49-F238E27FC236}">
                    <a16:creationId xmlns:a16="http://schemas.microsoft.com/office/drawing/2014/main" id="{00000000-0008-0000-1C00-000011000000}"/>
                  </a:ext>
                </a:extLst>
              </xdr:cNvPr>
              <xdr:cNvSpPr/>
            </xdr:nvSpPr>
            <xdr:spPr>
              <a:xfrm>
                <a:off x="10541001" y="3852331"/>
                <a:ext cx="180000" cy="180000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MX" sz="1100"/>
              </a:p>
            </xdr:txBody>
          </xdr:sp>
          <xdr:sp macro="" textlink="">
            <xdr:nvSpPr>
              <xdr:cNvPr id="18" name="Rectángulo 17">
                <a:extLst>
                  <a:ext uri="{FF2B5EF4-FFF2-40B4-BE49-F238E27FC236}">
                    <a16:creationId xmlns:a16="http://schemas.microsoft.com/office/drawing/2014/main" id="{00000000-0008-0000-1C00-000012000000}"/>
                  </a:ext>
                </a:extLst>
              </xdr:cNvPr>
              <xdr:cNvSpPr/>
            </xdr:nvSpPr>
            <xdr:spPr>
              <a:xfrm>
                <a:off x="10773833" y="3852331"/>
                <a:ext cx="648000" cy="180000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l"/>
                <a:r>
                  <a:rPr lang="es-MX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Aceptable</a:t>
                </a:r>
              </a:p>
            </xdr:txBody>
          </xdr:sp>
        </xdr:grpSp>
        <xdr:grpSp>
          <xdr:nvGrpSpPr>
            <xdr:cNvPr id="19" name="Grupo 18">
              <a:extLst>
                <a:ext uri="{FF2B5EF4-FFF2-40B4-BE49-F238E27FC236}">
                  <a16:creationId xmlns:a16="http://schemas.microsoft.com/office/drawing/2014/main" id="{00000000-0008-0000-1C00-000013000000}"/>
                </a:ext>
              </a:extLst>
            </xdr:cNvPr>
            <xdr:cNvGrpSpPr/>
          </xdr:nvGrpSpPr>
          <xdr:grpSpPr>
            <a:xfrm>
              <a:off x="10783759" y="4915610"/>
              <a:ext cx="880832" cy="180000"/>
              <a:chOff x="10541001" y="3852331"/>
              <a:chExt cx="880832" cy="180000"/>
            </a:xfrm>
          </xdr:grpSpPr>
          <xdr:sp macro="" textlink="">
            <xdr:nvSpPr>
              <xdr:cNvPr id="20" name="Elipse 19">
                <a:extLst>
                  <a:ext uri="{FF2B5EF4-FFF2-40B4-BE49-F238E27FC236}">
                    <a16:creationId xmlns:a16="http://schemas.microsoft.com/office/drawing/2014/main" id="{00000000-0008-0000-1C00-000014000000}"/>
                  </a:ext>
                </a:extLst>
              </xdr:cNvPr>
              <xdr:cNvSpPr/>
            </xdr:nvSpPr>
            <xdr:spPr>
              <a:xfrm>
                <a:off x="10541001" y="3852331"/>
                <a:ext cx="180000" cy="180000"/>
              </a:xfrm>
              <a:prstGeom prst="ellipse">
                <a:avLst/>
              </a:prstGeom>
              <a:solidFill>
                <a:srgbClr val="FFFF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MX" sz="1100"/>
              </a:p>
            </xdr:txBody>
          </xdr:sp>
          <xdr:sp macro="" textlink="">
            <xdr:nvSpPr>
              <xdr:cNvPr id="21" name="Rectángulo 20">
                <a:extLst>
                  <a:ext uri="{FF2B5EF4-FFF2-40B4-BE49-F238E27FC236}">
                    <a16:creationId xmlns:a16="http://schemas.microsoft.com/office/drawing/2014/main" id="{00000000-0008-0000-1C00-000015000000}"/>
                  </a:ext>
                </a:extLst>
              </xdr:cNvPr>
              <xdr:cNvSpPr/>
            </xdr:nvSpPr>
            <xdr:spPr>
              <a:xfrm>
                <a:off x="10773833" y="3852331"/>
                <a:ext cx="648000" cy="180000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l"/>
                <a:r>
                  <a:rPr lang="es-MX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Bueno</a:t>
                </a:r>
              </a:p>
            </xdr:txBody>
          </xdr:sp>
        </xdr:grpSp>
        <xdr:grpSp>
          <xdr:nvGrpSpPr>
            <xdr:cNvPr id="22" name="Grupo 21">
              <a:extLst>
                <a:ext uri="{FF2B5EF4-FFF2-40B4-BE49-F238E27FC236}">
                  <a16:creationId xmlns:a16="http://schemas.microsoft.com/office/drawing/2014/main" id="{00000000-0008-0000-1C00-000016000000}"/>
                </a:ext>
              </a:extLst>
            </xdr:cNvPr>
            <xdr:cNvGrpSpPr/>
          </xdr:nvGrpSpPr>
          <xdr:grpSpPr>
            <a:xfrm>
              <a:off x="10783759" y="5135037"/>
              <a:ext cx="880832" cy="180000"/>
              <a:chOff x="10541001" y="3852331"/>
              <a:chExt cx="880832" cy="180000"/>
            </a:xfrm>
          </xdr:grpSpPr>
          <xdr:sp macro="" textlink="">
            <xdr:nvSpPr>
              <xdr:cNvPr id="23" name="Elipse 22">
                <a:extLst>
                  <a:ext uri="{FF2B5EF4-FFF2-40B4-BE49-F238E27FC236}">
                    <a16:creationId xmlns:a16="http://schemas.microsoft.com/office/drawing/2014/main" id="{00000000-0008-0000-1C00-000017000000}"/>
                  </a:ext>
                </a:extLst>
              </xdr:cNvPr>
              <xdr:cNvSpPr/>
            </xdr:nvSpPr>
            <xdr:spPr>
              <a:xfrm>
                <a:off x="10541001" y="3852331"/>
                <a:ext cx="180000" cy="180000"/>
              </a:xfrm>
              <a:prstGeom prst="ellipse">
                <a:avLst/>
              </a:prstGeom>
              <a:solidFill>
                <a:srgbClr val="00B05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MX" sz="1100"/>
              </a:p>
            </xdr:txBody>
          </xdr:sp>
          <xdr:sp macro="" textlink="">
            <xdr:nvSpPr>
              <xdr:cNvPr id="24" name="Rectángulo 23">
                <a:extLst>
                  <a:ext uri="{FF2B5EF4-FFF2-40B4-BE49-F238E27FC236}">
                    <a16:creationId xmlns:a16="http://schemas.microsoft.com/office/drawing/2014/main" id="{00000000-0008-0000-1C00-000018000000}"/>
                  </a:ext>
                </a:extLst>
              </xdr:cNvPr>
              <xdr:cNvSpPr/>
            </xdr:nvSpPr>
            <xdr:spPr>
              <a:xfrm>
                <a:off x="10773833" y="3852331"/>
                <a:ext cx="648000" cy="180000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l"/>
                <a:r>
                  <a:rPr lang="es-MX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Muy Bueno</a:t>
                </a:r>
              </a:p>
            </xdr:txBody>
          </xdr:sp>
        </xdr:grpSp>
      </xdr:grpSp>
      <xdr:sp macro="" textlink="">
        <xdr:nvSpPr>
          <xdr:cNvPr id="27" name="Rectángulo 26">
            <a:extLst>
              <a:ext uri="{FF2B5EF4-FFF2-40B4-BE49-F238E27FC236}">
                <a16:creationId xmlns:a16="http://schemas.microsoft.com/office/drawing/2014/main" id="{00000000-0008-0000-1C00-00001B000000}"/>
              </a:ext>
            </a:extLst>
          </xdr:cNvPr>
          <xdr:cNvSpPr/>
        </xdr:nvSpPr>
        <xdr:spPr>
          <a:xfrm>
            <a:off x="9822522" y="5365749"/>
            <a:ext cx="2930400" cy="867833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 editAs="oneCell">
    <xdr:from>
      <xdr:col>4</xdr:col>
      <xdr:colOff>8464</xdr:colOff>
      <xdr:row>3</xdr:row>
      <xdr:rowOff>15773</xdr:rowOff>
    </xdr:from>
    <xdr:to>
      <xdr:col>15</xdr:col>
      <xdr:colOff>126999</xdr:colOff>
      <xdr:row>8</xdr:row>
      <xdr:rowOff>14817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23631" y="925940"/>
          <a:ext cx="7802035" cy="95154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20955</xdr:rowOff>
    </xdr:from>
    <xdr:to>
      <xdr:col>18</xdr:col>
      <xdr:colOff>0</xdr:colOff>
      <xdr:row>2</xdr:row>
      <xdr:rowOff>51621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955"/>
          <a:ext cx="12656820" cy="7621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213360</xdr:colOff>
          <xdr:row>0</xdr:row>
          <xdr:rowOff>259080</xdr:rowOff>
        </xdr:from>
        <xdr:to>
          <xdr:col>17</xdr:col>
          <xdr:colOff>495300</xdr:colOff>
          <xdr:row>1</xdr:row>
          <xdr:rowOff>182880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487680</xdr:colOff>
          <xdr:row>3</xdr:row>
          <xdr:rowOff>106680</xdr:rowOff>
        </xdr:from>
        <xdr:to>
          <xdr:col>3</xdr:col>
          <xdr:colOff>22860</xdr:colOff>
          <xdr:row>5</xdr:row>
          <xdr:rowOff>60960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1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Cuartil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487680</xdr:colOff>
          <xdr:row>4</xdr:row>
          <xdr:rowOff>99060</xdr:rowOff>
        </xdr:from>
        <xdr:to>
          <xdr:col>3</xdr:col>
          <xdr:colOff>685800</xdr:colOff>
          <xdr:row>6</xdr:row>
          <xdr:rowOff>38100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1F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Mediana del Mercado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487680</xdr:colOff>
          <xdr:row>5</xdr:row>
          <xdr:rowOff>99060</xdr:rowOff>
        </xdr:from>
        <xdr:to>
          <xdr:col>3</xdr:col>
          <xdr:colOff>685800</xdr:colOff>
          <xdr:row>7</xdr:row>
          <xdr:rowOff>30480</xdr:rowOff>
        </xdr:to>
        <xdr:sp macro="" textlink="">
          <xdr:nvSpPr>
            <xdr:cNvPr id="8199" name="Option 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1F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Cuartil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487680</xdr:colOff>
          <xdr:row>6</xdr:row>
          <xdr:rowOff>99060</xdr:rowOff>
        </xdr:from>
        <xdr:to>
          <xdr:col>3</xdr:col>
          <xdr:colOff>685800</xdr:colOff>
          <xdr:row>8</xdr:row>
          <xdr:rowOff>30480</xdr:rowOff>
        </xdr:to>
        <xdr:sp macro="" textlink="">
          <xdr:nvSpPr>
            <xdr:cNvPr id="8200" name="Option 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1F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Política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8</xdr:row>
      <xdr:rowOff>179917</xdr:rowOff>
    </xdr:from>
    <xdr:to>
      <xdr:col>18</xdr:col>
      <xdr:colOff>0</xdr:colOff>
      <xdr:row>10</xdr:row>
      <xdr:rowOff>179917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042584"/>
          <a:ext cx="12763500" cy="5291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135463</xdr:rowOff>
    </xdr:from>
    <xdr:to>
      <xdr:col>17</xdr:col>
      <xdr:colOff>698500</xdr:colOff>
      <xdr:row>27</xdr:row>
      <xdr:rowOff>175296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5427130"/>
          <a:ext cx="12689417" cy="75949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137581</xdr:rowOff>
    </xdr:from>
    <xdr:to>
      <xdr:col>17</xdr:col>
      <xdr:colOff>698500</xdr:colOff>
      <xdr:row>44</xdr:row>
      <xdr:rowOff>171229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t="5613"/>
        <a:stretch/>
      </xdr:blipFill>
      <xdr:spPr>
        <a:xfrm>
          <a:off x="0" y="9535581"/>
          <a:ext cx="12689417" cy="753314"/>
        </a:xfrm>
        <a:prstGeom prst="rect">
          <a:avLst/>
        </a:prstGeom>
      </xdr:spPr>
    </xdr:pic>
    <xdr:clientData/>
  </xdr:twoCellAnchor>
  <xdr:twoCellAnchor editAs="oneCell">
    <xdr:from>
      <xdr:col>15</xdr:col>
      <xdr:colOff>105836</xdr:colOff>
      <xdr:row>3</xdr:row>
      <xdr:rowOff>15773</xdr:rowOff>
    </xdr:from>
    <xdr:to>
      <xdr:col>17</xdr:col>
      <xdr:colOff>52920</xdr:colOff>
      <xdr:row>8</xdr:row>
      <xdr:rowOff>14817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5127" r="76425"/>
        <a:stretch/>
      </xdr:blipFill>
      <xdr:spPr>
        <a:xfrm>
          <a:off x="10604503" y="925940"/>
          <a:ext cx="1439334" cy="95154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10795</xdr:rowOff>
    </xdr:from>
    <xdr:to>
      <xdr:col>17</xdr:col>
      <xdr:colOff>0</xdr:colOff>
      <xdr:row>5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795"/>
          <a:ext cx="11254740" cy="9036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144780</xdr:colOff>
          <xdr:row>1</xdr:row>
          <xdr:rowOff>137160</xdr:rowOff>
        </xdr:from>
        <xdr:to>
          <xdr:col>15</xdr:col>
          <xdr:colOff>381000</xdr:colOff>
          <xdr:row>3</xdr:row>
          <xdr:rowOff>60960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0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11906</xdr:colOff>
      <xdr:row>0</xdr:row>
      <xdr:rowOff>12700</xdr:rowOff>
    </xdr:from>
    <xdr:to>
      <xdr:col>16</xdr:col>
      <xdr:colOff>110490</xdr:colOff>
      <xdr:row>4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6" y="12700"/>
          <a:ext cx="15382875" cy="6897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685800</xdr:colOff>
          <xdr:row>1</xdr:row>
          <xdr:rowOff>22860</xdr:rowOff>
        </xdr:from>
        <xdr:to>
          <xdr:col>15</xdr:col>
          <xdr:colOff>861060</xdr:colOff>
          <xdr:row>2</xdr:row>
          <xdr:rowOff>137160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21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541020</xdr:colOff>
          <xdr:row>1</xdr:row>
          <xdr:rowOff>22860</xdr:rowOff>
        </xdr:from>
        <xdr:to>
          <xdr:col>14</xdr:col>
          <xdr:colOff>449580</xdr:colOff>
          <xdr:row>2</xdr:row>
          <xdr:rowOff>114300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21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Costos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347186</xdr:colOff>
      <xdr:row>12</xdr:row>
      <xdr:rowOff>61435</xdr:rowOff>
    </xdr:from>
    <xdr:to>
      <xdr:col>5</xdr:col>
      <xdr:colOff>958691</xdr:colOff>
      <xdr:row>28</xdr:row>
      <xdr:rowOff>6190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49165</xdr:rowOff>
    </xdr:from>
    <xdr:to>
      <xdr:col>7</xdr:col>
      <xdr:colOff>0</xdr:colOff>
      <xdr:row>1</xdr:row>
      <xdr:rowOff>14618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5699" b="17766"/>
        <a:stretch/>
      </xdr:blipFill>
      <xdr:spPr>
        <a:xfrm>
          <a:off x="0" y="49165"/>
          <a:ext cx="8335108" cy="10615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944880</xdr:colOff>
          <xdr:row>0</xdr:row>
          <xdr:rowOff>411480</xdr:rowOff>
        </xdr:from>
        <xdr:to>
          <xdr:col>5</xdr:col>
          <xdr:colOff>2042160</xdr:colOff>
          <xdr:row>0</xdr:row>
          <xdr:rowOff>708660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2A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 al 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7</xdr:col>
      <xdr:colOff>1066800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23825" y="66675"/>
          <a:ext cx="5676900" cy="476250"/>
        </a:xfrm>
        <a:prstGeom prst="rect">
          <a:avLst/>
        </a:prstGeom>
        <a:solidFill>
          <a:srgbClr val="A0CA4A"/>
        </a:solidFill>
        <a:ln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numCol="2" rtlCol="0" anchor="t"/>
        <a:lstStyle/>
        <a:p>
          <a:r>
            <a:rPr lang="es-CO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Previamente</a:t>
          </a:r>
          <a:r>
            <a:rPr lang="es-CO" sz="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se deben definir el piso y el techo</a:t>
          </a:r>
          <a:endParaRPr lang="es-CO" sz="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s-CO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1. [F5],</a:t>
          </a:r>
          <a:r>
            <a:rPr lang="es-CO" sz="8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en referencia escriba </a:t>
          </a:r>
          <a:r>
            <a:rPr lang="es-CO" sz="800" i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Semilla y </a:t>
          </a:r>
          <a:r>
            <a:rPr lang="es-CO" sz="800" i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[Enter]</a:t>
          </a:r>
          <a:endParaRPr lang="es-CO" sz="800" i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s-CO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2. [Ctrl] + C</a:t>
          </a:r>
        </a:p>
        <a:p>
          <a:endParaRPr lang="es-CO" sz="8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s-CO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3. [F5],</a:t>
          </a:r>
          <a:r>
            <a:rPr lang="es-CO" sz="8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en referencia escriba </a:t>
          </a:r>
          <a:r>
            <a:rPr lang="es-CO" sz="800" i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Destino y </a:t>
          </a:r>
          <a:r>
            <a:rPr lang="es-CO" sz="800" i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[Enter]</a:t>
          </a:r>
        </a:p>
        <a:p>
          <a:r>
            <a:rPr lang="es-CO" sz="800" i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4. [Enter]</a:t>
          </a:r>
          <a:r>
            <a:rPr lang="es-CO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sereshumanosrealizados.sharepoint.com/sites/ASCENSOINMOBILIARIA/Documentos%20compartidos/T&#233;cnica/Archivos%20de%20trabajo%20interno/Taller%20de%20Valoracion/02%20-%20Formato%20Preparaci&#243;n%20Archivos%20Valoraci&#243;n%20ASCENSO%20-%20TALLER%20VALORACION.xlsm" TargetMode="External"/><Relationship Id="rId2" Type="http://schemas.microsoft.com/office/2019/04/relationships/externalLinkLongPath" Target="https://sereshumanosrealizados.sharepoint.com/sites/ASCENSOINMOBILIARIA/Documentos%20compartidos/T&#233;cnica/Archivos%20de%20trabajo%20interno/Taller%20de%20Valoracion/02%20-%20Formato%20Preparaci&#243;n%20Archivos%20Valoraci&#243;n%20ASCENSO%20-%20TALLER%20VALORACION.xlsm?F238A6E3" TargetMode="External"/><Relationship Id="rId1" Type="http://schemas.openxmlformats.org/officeDocument/2006/relationships/externalLinkPath" Target="file:///\\F238A6E3\02%20-%20Formato%20Preparaci&#243;n%20Archivos%20Valoraci&#243;n%20ASCENSO%20-%20TALLER%20VALORAC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ereshumanosrealizados.sharepoint.com/sites/EXTRUSIONES/Documentos%20compartidos/Estructura%20Salarial/T&#233;cnica/Entregables%20del%20cliente/Formulario%20de%20requerimientos%20V2.xlsx" TargetMode="External"/><Relationship Id="rId1" Type="http://schemas.openxmlformats.org/officeDocument/2006/relationships/externalLinkPath" Target="https://sereshumanosrealizados.sharepoint.com/sites/EXTRUSIONES/Documentos%20compartidos/Estructura%20Salarial/T&#233;cnica/Entregables%20del%20cliente/Formulario%20de%20requerimientos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Categorias Configuración"/>
      <sheetName val="Categorias"/>
      <sheetName val="Menú"/>
      <sheetName val="Glosario de Términos"/>
      <sheetName val="Valoración Tablas"/>
      <sheetName val="Conocimiento"/>
      <sheetName val="Experiencia"/>
      <sheetName val="Habilidad Gerencia"/>
      <sheetName val="Rol del Cargo"/>
      <sheetName val="Contacto"/>
      <sheetName val="Frecuencia del Contacto"/>
      <sheetName val="Contenido Relaciones"/>
      <sheetName val="Complejidad Conceptual"/>
      <sheetName val="Guías de Apoyo"/>
      <sheetName val="Impacto"/>
      <sheetName val="Autonomía"/>
      <sheetName val="Magnitudes"/>
      <sheetName val="Criticidad"/>
      <sheetName val="Posicionamiento por área"/>
      <sheetName val="Estructura Vs Mediana"/>
      <sheetName val="Tabla Dinámica"/>
      <sheetName val="Plantilla de Valoración"/>
      <sheetName val="Gerencia General"/>
      <sheetName val="Construcción"/>
      <sheetName val="Proyectos"/>
      <sheetName val="SST"/>
      <sheetName val="Compras"/>
      <sheetName val="Comercial"/>
      <sheetName val="Administrativo"/>
      <sheetName val="Financiera"/>
      <sheetName val="Convernsion y pendientes"/>
      <sheetName val="Hoja5"/>
      <sheetName val="Hoja2"/>
      <sheetName val="Base de Datos"/>
      <sheetName val="Actualización Curva - Costo Lab"/>
      <sheetName val="Gráfico de Dispersión Equidad"/>
      <sheetName val="Gráfico de Dispersión Competiti"/>
      <sheetName val="Nivel de Equidad"/>
      <sheetName val="Hoja1"/>
      <sheetName val="Política de Administración"/>
      <sheetName val="Nivel de Competitividad"/>
      <sheetName val="Estructura Vs Política"/>
      <sheetName val="Curva Equidad y Competitividad"/>
      <sheetName val="Criticidades"/>
      <sheetName val="Niveles"/>
      <sheetName val="NivelSHR"/>
      <sheetName val="Factor 1"/>
      <sheetName val="Factor 2"/>
      <sheetName val="Factor 3"/>
      <sheetName val="Factor 4"/>
      <sheetName val="Variables"/>
      <sheetName val="02 - Formato Preparación Archiv"/>
    </sheetNames>
    <sheetDataSet>
      <sheetData sheetId="0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/>
      <sheetData sheetId="43"/>
      <sheetData sheetId="44"/>
      <sheetData sheetId="45" refreshError="1"/>
      <sheetData sheetId="46" refreshError="1"/>
      <sheetData sheetId="47" refreshError="1"/>
      <sheetData sheetId="48" refreshError="1"/>
      <sheetData sheetId="49" refreshError="1"/>
      <sheetData sheetId="50"/>
      <sheetData sheetId="5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os generales"/>
      <sheetName val="Practicas de compensación"/>
      <sheetName val="Información por cargo"/>
      <sheetName val="Hoja1"/>
      <sheetName val="LISTA"/>
      <sheetName val="Explicación Tipología y Niveles"/>
      <sheetName val="Listas"/>
    </sheetNames>
    <sheetDataSet>
      <sheetData sheetId="0" refreshError="1"/>
      <sheetData sheetId="1" refreshError="1"/>
      <sheetData sheetId="2">
        <row r="5">
          <cell r="D5" t="str">
            <v>Nombre del Cargo</v>
          </cell>
          <cell r="E5" t="str">
            <v>Número de personas que ocupan el cargo</v>
          </cell>
          <cell r="F5" t="str">
            <v>¿Tiene impacto directo en ingresos/egresos?
(SI / NO)</v>
          </cell>
          <cell r="G5" t="str">
            <v>¿Responsables de Ingresos o Egresos?</v>
          </cell>
          <cell r="H5" t="str">
            <v>Monto anual por el que tienen impacto directo</v>
          </cell>
          <cell r="I5" t="str">
            <v>Tipo de contrato</v>
          </cell>
          <cell r="J5" t="str">
            <v>Modalidad de trabajo (presencial, hibrido, remoto)</v>
          </cell>
          <cell r="K5" t="str">
            <v>Cargo del jefe inmediato</v>
          </cell>
        </row>
        <row r="6">
          <cell r="D6" t="str">
            <v>GERENCIA COMERCIAL Y MERCADEO</v>
          </cell>
          <cell r="F6" t="str">
            <v>SI</v>
          </cell>
          <cell r="G6" t="str">
            <v>EGRESOS</v>
          </cell>
          <cell r="H6" t="str">
            <v>70 MM</v>
          </cell>
          <cell r="J6" t="str">
            <v>Hibrido</v>
          </cell>
        </row>
        <row r="7">
          <cell r="D7" t="str">
            <v>GERENCIA DE OPERACIONES</v>
          </cell>
          <cell r="F7" t="str">
            <v>SI</v>
          </cell>
          <cell r="G7" t="str">
            <v>INGRESOS</v>
          </cell>
          <cell r="H7" t="str">
            <v>40 MM</v>
          </cell>
          <cell r="J7" t="str">
            <v>Hibrido</v>
          </cell>
        </row>
        <row r="8">
          <cell r="D8" t="str">
            <v>GERENTE GENERAL</v>
          </cell>
          <cell r="F8" t="str">
            <v>SI</v>
          </cell>
          <cell r="G8" t="str">
            <v>INGRESOS Y EGRESOS</v>
          </cell>
          <cell r="H8" t="str">
            <v>110 MM</v>
          </cell>
          <cell r="J8" t="str">
            <v>Hibrido</v>
          </cell>
        </row>
        <row r="9">
          <cell r="D9" t="str">
            <v>COORDINADOR DE PRODUCCION</v>
          </cell>
          <cell r="E9">
            <v>7</v>
          </cell>
          <cell r="F9" t="str">
            <v>NO</v>
          </cell>
          <cell r="G9" t="str">
            <v>EGRESOS</v>
          </cell>
          <cell r="H9" t="str">
            <v>11-500 M</v>
          </cell>
          <cell r="I9" t="str">
            <v>Contrato a Término Indefinido</v>
          </cell>
          <cell r="J9" t="str">
            <v>Presencial</v>
          </cell>
          <cell r="K9" t="str">
            <v xml:space="preserve">Director de producción </v>
          </cell>
        </row>
        <row r="10">
          <cell r="D10" t="str">
            <v>ANALISTA COTIZACIONES DISEÑO Y DESARROLLO</v>
          </cell>
          <cell r="E10">
            <v>1</v>
          </cell>
          <cell r="H10">
            <v>0</v>
          </cell>
          <cell r="I10" t="str">
            <v>Contrato a Término Indefinido</v>
          </cell>
          <cell r="J10" t="str">
            <v>Presencial</v>
          </cell>
          <cell r="K10" t="str">
            <v>Directora de diseño y desarrollo</v>
          </cell>
        </row>
        <row r="11">
          <cell r="D11" t="str">
            <v>ANALISTA DE COMERCIO EXTERIOR</v>
          </cell>
          <cell r="E11">
            <v>2</v>
          </cell>
          <cell r="H11">
            <v>0</v>
          </cell>
          <cell r="I11" t="str">
            <v>Contrato a Término Indefinido</v>
          </cell>
          <cell r="J11" t="str">
            <v>Presencial</v>
          </cell>
          <cell r="K11" t="str">
            <v xml:space="preserve">Coordinadora de Comercio exterior </v>
          </cell>
        </row>
        <row r="12">
          <cell r="D12" t="str">
            <v xml:space="preserve">COORDINADOR DE INGENIERIA </v>
          </cell>
          <cell r="E12">
            <v>8</v>
          </cell>
          <cell r="H12" t="str">
            <v xml:space="preserve">29752 - 59502 MM  </v>
          </cell>
          <cell r="I12" t="str">
            <v>Contrato a Término Indefinido</v>
          </cell>
          <cell r="J12" t="str">
            <v>Presencial</v>
          </cell>
          <cell r="K12" t="str">
            <v xml:space="preserve">Director Senior de ingenieria </v>
          </cell>
        </row>
        <row r="13">
          <cell r="D13" t="str">
            <v>DIRECTOR DE GESTION HUMANA</v>
          </cell>
          <cell r="E13">
            <v>1</v>
          </cell>
          <cell r="H13" t="str">
            <v>372 M</v>
          </cell>
          <cell r="I13" t="str">
            <v>Contrato a Término Indefinido</v>
          </cell>
          <cell r="J13" t="str">
            <v>Hibrido</v>
          </cell>
          <cell r="K13" t="str">
            <v xml:space="preserve">Gerente General </v>
          </cell>
        </row>
        <row r="14">
          <cell r="D14" t="str">
            <v>DIRECTOR DE MATERIALES</v>
          </cell>
          <cell r="E14">
            <v>1</v>
          </cell>
          <cell r="H14" t="str">
            <v xml:space="preserve">932 - 1859 MM </v>
          </cell>
          <cell r="I14" t="str">
            <v>Contrato a Término Indefinido</v>
          </cell>
          <cell r="J14" t="str">
            <v>Presencial</v>
          </cell>
          <cell r="K14" t="str">
            <v xml:space="preserve">Gerente de operaciones </v>
          </cell>
        </row>
        <row r="15">
          <cell r="D15" t="str">
            <v>DIRECTOR DE LOGISTICA</v>
          </cell>
          <cell r="E15">
            <v>1</v>
          </cell>
          <cell r="H15" t="str">
            <v xml:space="preserve">3720 - 7435 MM </v>
          </cell>
          <cell r="I15" t="str">
            <v>Contrato a Término Indefinido</v>
          </cell>
          <cell r="J15" t="str">
            <v>Hibrido</v>
          </cell>
          <cell r="K15" t="str">
            <v xml:space="preserve">Gerente de operaciones </v>
          </cell>
        </row>
        <row r="16">
          <cell r="D16" t="str">
            <v>DIRECTOR DE CENTRO DE TRANSFORMACION</v>
          </cell>
          <cell r="E16">
            <v>1</v>
          </cell>
          <cell r="H16">
            <v>0</v>
          </cell>
          <cell r="I16" t="str">
            <v>Contrato a Término Indefinido</v>
          </cell>
          <cell r="J16" t="str">
            <v>Presencial</v>
          </cell>
          <cell r="K16" t="str">
            <v xml:space="preserve">Gerente de operaciones </v>
          </cell>
        </row>
        <row r="17">
          <cell r="D17" t="str">
            <v>PROGRAMADOR DE PRODUCCION</v>
          </cell>
          <cell r="E17">
            <v>1</v>
          </cell>
          <cell r="H17" t="str">
            <v>11 - 500 M</v>
          </cell>
          <cell r="I17" t="str">
            <v>Contrato a Término Indefinido</v>
          </cell>
          <cell r="J17" t="str">
            <v>Hibrido</v>
          </cell>
          <cell r="K17" t="str">
            <v xml:space="preserve">Director de producción </v>
          </cell>
        </row>
        <row r="18">
          <cell r="D18" t="str">
            <v>COORDINADOR DE DISEÑO Y DESARROLLO</v>
          </cell>
          <cell r="E18">
            <v>5</v>
          </cell>
          <cell r="H18" t="str">
            <v>501 - 931 M</v>
          </cell>
          <cell r="I18" t="str">
            <v>Contrato a Término Indefinido</v>
          </cell>
          <cell r="J18" t="str">
            <v>Presencial</v>
          </cell>
          <cell r="K18" t="str">
            <v>Directora de diseño y desarrollo</v>
          </cell>
        </row>
        <row r="19">
          <cell r="D19" t="str">
            <v>ANALISTA DE SERVICIOS</v>
          </cell>
          <cell r="E19">
            <v>3</v>
          </cell>
          <cell r="H19">
            <v>0</v>
          </cell>
          <cell r="I19" t="str">
            <v>Contrato a Término Indefinido</v>
          </cell>
          <cell r="J19" t="str">
            <v>Presencial</v>
          </cell>
          <cell r="K19" t="str">
            <v xml:space="preserve">Coordinadora de servicio al cliente </v>
          </cell>
        </row>
        <row r="20">
          <cell r="D20" t="str">
            <v>AUXILIAR DE DISEÑO Y COMUNICACIONES EN MERCADEO</v>
          </cell>
          <cell r="E20">
            <v>1</v>
          </cell>
          <cell r="H20">
            <v>0</v>
          </cell>
          <cell r="I20" t="str">
            <v>Contrato a Término Indefinido</v>
          </cell>
          <cell r="J20" t="str">
            <v>Presencial</v>
          </cell>
          <cell r="K20" t="str">
            <v xml:space="preserve">Coordinadora de Mercadeo </v>
          </cell>
        </row>
        <row r="21">
          <cell r="D21" t="str">
            <v>INGENIERO DE DATOS</v>
          </cell>
          <cell r="E21">
            <v>1</v>
          </cell>
          <cell r="H21" t="str">
            <v xml:space="preserve">0 - 1 M </v>
          </cell>
          <cell r="I21" t="str">
            <v>Contrato a Término Indefinido</v>
          </cell>
          <cell r="J21" t="str">
            <v>Hibrido</v>
          </cell>
          <cell r="K21" t="str">
            <v>Director de TIC</v>
          </cell>
        </row>
        <row r="22">
          <cell r="D22" t="str">
            <v>COORDINADORA DE COMERCIO EXTERIOR</v>
          </cell>
          <cell r="E22">
            <v>1</v>
          </cell>
          <cell r="H22" t="str">
            <v xml:space="preserve">7436 - 14875 MM </v>
          </cell>
          <cell r="I22" t="str">
            <v>Contrato a Término Indefinido</v>
          </cell>
          <cell r="J22" t="str">
            <v>Hibrido</v>
          </cell>
          <cell r="K22" t="str">
            <v xml:space="preserve">Director de Logistica </v>
          </cell>
        </row>
        <row r="23">
          <cell r="D23" t="str">
            <v>ANALISTA DE MERCADEO</v>
          </cell>
          <cell r="E23">
            <v>2</v>
          </cell>
          <cell r="H23">
            <v>0</v>
          </cell>
          <cell r="I23" t="str">
            <v>Contrato a Término Indefinido</v>
          </cell>
          <cell r="J23" t="str">
            <v>Hibrido</v>
          </cell>
          <cell r="K23" t="str">
            <v xml:space="preserve">Coordinadora de Mercadeo </v>
          </cell>
        </row>
        <row r="24">
          <cell r="D24" t="str">
            <v>ANALISTA DE SEGURIDAD Y SALUD EN EL TRABAJO</v>
          </cell>
          <cell r="E24">
            <v>2</v>
          </cell>
          <cell r="H24">
            <v>0</v>
          </cell>
          <cell r="I24" t="str">
            <v>Contrato a Término Indefinido</v>
          </cell>
          <cell r="J24" t="str">
            <v>Presencial</v>
          </cell>
          <cell r="K24" t="str">
            <v xml:space="preserve">Coordinadora de seguridad y salud en el trabajo </v>
          </cell>
        </row>
        <row r="25">
          <cell r="D25" t="str">
            <v>ANALISTA DE MATRICERIA CNC</v>
          </cell>
          <cell r="E25">
            <v>7</v>
          </cell>
          <cell r="I25" t="str">
            <v>Contrato a Término Indefinido</v>
          </cell>
          <cell r="J25" t="str">
            <v>Presencial</v>
          </cell>
          <cell r="K25" t="str">
            <v>Director de Taller</v>
          </cell>
        </row>
        <row r="26">
          <cell r="D26" t="str">
            <v>ANALISTA DE CONTABILIDAD</v>
          </cell>
          <cell r="E26">
            <v>3</v>
          </cell>
          <cell r="I26" t="str">
            <v>Contrato a Término Indefinido</v>
          </cell>
          <cell r="J26" t="str">
            <v>Hibrido</v>
          </cell>
          <cell r="K26" t="str">
            <v xml:space="preserve">Coordinadora contable </v>
          </cell>
        </row>
        <row r="27">
          <cell r="D27" t="str">
            <v>AUXILIAR DE CEDI</v>
          </cell>
          <cell r="E27">
            <v>7</v>
          </cell>
          <cell r="I27" t="str">
            <v>Contrato a Término Indefinido</v>
          </cell>
          <cell r="J27" t="str">
            <v>Presencial</v>
          </cell>
          <cell r="K27" t="str">
            <v xml:space="preserve">Director logistico </v>
          </cell>
        </row>
        <row r="28">
          <cell r="D28" t="str">
            <v>ANALISTA SOPORTE TIC</v>
          </cell>
          <cell r="E28">
            <v>1</v>
          </cell>
          <cell r="H28">
            <v>0</v>
          </cell>
          <cell r="I28" t="str">
            <v>Contrato a Término Indefinido</v>
          </cell>
          <cell r="J28" t="str">
            <v>Hibrido</v>
          </cell>
          <cell r="K28" t="str">
            <v>Coordinador TIC</v>
          </cell>
        </row>
        <row r="29">
          <cell r="D29" t="str">
            <v>ANALISTA ADMINISTRATIVA Y CONTABLE</v>
          </cell>
          <cell r="E29">
            <v>1</v>
          </cell>
          <cell r="H29">
            <v>0</v>
          </cell>
          <cell r="I29" t="str">
            <v>Contrato a Término Indefinido</v>
          </cell>
          <cell r="J29" t="str">
            <v>Hibrido</v>
          </cell>
          <cell r="K29" t="str">
            <v xml:space="preserve">Directora administrativa y contable </v>
          </cell>
        </row>
        <row r="30">
          <cell r="D30" t="str">
            <v>ADMINISTRADOR FEDEXTRU</v>
          </cell>
          <cell r="E30">
            <v>1</v>
          </cell>
          <cell r="I30" t="str">
            <v>Contrato a Término Indefinido</v>
          </cell>
          <cell r="J30" t="str">
            <v>Hibrido</v>
          </cell>
          <cell r="K30" t="str">
            <v xml:space="preserve">Directora administrativa y contable </v>
          </cell>
        </row>
        <row r="31">
          <cell r="D31" t="str">
            <v>ANALISTA CALIDAD</v>
          </cell>
          <cell r="E31">
            <v>4</v>
          </cell>
          <cell r="H31">
            <v>0</v>
          </cell>
          <cell r="I31" t="str">
            <v>Contrato a Término Indefinido</v>
          </cell>
          <cell r="J31" t="str">
            <v>Presencial</v>
          </cell>
          <cell r="K31" t="str">
            <v xml:space="preserve">Jefe de calidad </v>
          </cell>
        </row>
        <row r="32">
          <cell r="D32" t="str">
            <v>ANALISTA ADMINISTRATIVA DE DISEÑO Y DESARROLLO</v>
          </cell>
          <cell r="E32">
            <v>1</v>
          </cell>
          <cell r="H32">
            <v>0</v>
          </cell>
          <cell r="I32" t="str">
            <v>Contrato a Término Indefinido</v>
          </cell>
          <cell r="J32" t="str">
            <v>Presencial</v>
          </cell>
          <cell r="K32" t="str">
            <v>Directora de diseño y desarrollo</v>
          </cell>
        </row>
        <row r="33">
          <cell r="D33" t="str">
            <v>ANALISTA DE COSTOS</v>
          </cell>
          <cell r="E33">
            <v>1</v>
          </cell>
          <cell r="H33">
            <v>0</v>
          </cell>
          <cell r="I33" t="str">
            <v>Contrato a Término Indefinido</v>
          </cell>
          <cell r="J33" t="str">
            <v>Hibrido</v>
          </cell>
          <cell r="K33" t="str">
            <v xml:space="preserve">Director de costos </v>
          </cell>
        </row>
        <row r="34">
          <cell r="D34" t="str">
            <v>ANALISTA DE DE COMPRAS</v>
          </cell>
          <cell r="E34">
            <v>2</v>
          </cell>
          <cell r="H34">
            <v>0</v>
          </cell>
          <cell r="I34" t="str">
            <v>Contrato a Término Indefinido</v>
          </cell>
          <cell r="J34" t="str">
            <v>Hibrido</v>
          </cell>
          <cell r="K34" t="str">
            <v xml:space="preserve">Jefe de compras </v>
          </cell>
        </row>
        <row r="35">
          <cell r="D35" t="str">
            <v>ANALISTA DE NOMINA</v>
          </cell>
          <cell r="E35">
            <v>1</v>
          </cell>
          <cell r="H35">
            <v>0</v>
          </cell>
          <cell r="I35" t="str">
            <v>Contrato a Término Indefinido</v>
          </cell>
          <cell r="J35" t="str">
            <v>Hibrido</v>
          </cell>
          <cell r="K35" t="str">
            <v xml:space="preserve">Directora contable </v>
          </cell>
        </row>
        <row r="36">
          <cell r="D36" t="str">
            <v>ANALISTA DE MEJORA CONTINUA</v>
          </cell>
          <cell r="E36">
            <v>1</v>
          </cell>
          <cell r="H36">
            <v>0</v>
          </cell>
          <cell r="I36" t="str">
            <v>Contrato a Término Indefinido</v>
          </cell>
          <cell r="J36" t="str">
            <v>Presencial</v>
          </cell>
          <cell r="K36" t="str">
            <v>Jefe de mejora continua</v>
          </cell>
        </row>
        <row r="37">
          <cell r="D37" t="str">
            <v>ANALISTA DE GESTION HUMANA</v>
          </cell>
          <cell r="E37">
            <v>1</v>
          </cell>
          <cell r="H37">
            <v>0</v>
          </cell>
          <cell r="I37" t="str">
            <v>Contrato a Término Indefinido</v>
          </cell>
          <cell r="J37" t="str">
            <v>Hibrido</v>
          </cell>
          <cell r="K37" t="str">
            <v xml:space="preserve">Director de gestión humana </v>
          </cell>
        </row>
        <row r="38">
          <cell r="D38" t="str">
            <v>ANALISTA DOCUMENTAL DE INGENIERIA</v>
          </cell>
          <cell r="E38">
            <v>1</v>
          </cell>
          <cell r="H38">
            <v>0</v>
          </cell>
          <cell r="I38" t="str">
            <v>Contrato a Término Indefinido</v>
          </cell>
          <cell r="J38" t="str">
            <v>Presencial</v>
          </cell>
          <cell r="K38" t="str">
            <v xml:space="preserve">Director Senior de ingenieria </v>
          </cell>
        </row>
        <row r="39">
          <cell r="D39" t="str">
            <v>ANALISTA TECNICO PROYECTOS ALIADOS</v>
          </cell>
          <cell r="E39">
            <v>1</v>
          </cell>
          <cell r="H39">
            <v>0</v>
          </cell>
          <cell r="I39" t="str">
            <v>Contrato a Término Indefinido</v>
          </cell>
          <cell r="J39" t="str">
            <v>Presencial</v>
          </cell>
          <cell r="K39" t="str">
            <v xml:space="preserve">Jefe de proyectos aliados </v>
          </cell>
        </row>
        <row r="40">
          <cell r="D40" t="str">
            <v>ANALISTA DE LABORATORIO</v>
          </cell>
          <cell r="E40">
            <v>3</v>
          </cell>
          <cell r="H40">
            <v>0</v>
          </cell>
          <cell r="I40" t="str">
            <v>Contrato a Término Indefinido</v>
          </cell>
          <cell r="J40" t="str">
            <v>Presencial</v>
          </cell>
          <cell r="K40" t="str">
            <v>Coordinador de laboratorio</v>
          </cell>
        </row>
        <row r="41">
          <cell r="D41" t="str">
            <v>ANALISTA DE TERCERIZADOS</v>
          </cell>
          <cell r="E41">
            <v>1</v>
          </cell>
          <cell r="H41">
            <v>0</v>
          </cell>
          <cell r="I41" t="str">
            <v>Contrato a Término Indefinido</v>
          </cell>
          <cell r="J41" t="str">
            <v>Presencial</v>
          </cell>
          <cell r="K41" t="str">
            <v xml:space="preserve">Jefe de compras </v>
          </cell>
        </row>
        <row r="42">
          <cell r="D42" t="str">
            <v>ANALISTA OPERATIVO DESARROLLO</v>
          </cell>
          <cell r="E42">
            <v>1</v>
          </cell>
          <cell r="H42">
            <v>0</v>
          </cell>
          <cell r="I42" t="str">
            <v>Contrato a Término Indefinido</v>
          </cell>
          <cell r="J42" t="str">
            <v>Presencial</v>
          </cell>
          <cell r="K42" t="str">
            <v>Directora de diseño y desarrollo</v>
          </cell>
        </row>
        <row r="43">
          <cell r="D43" t="str">
            <v>ANALISTA DE TECNOLOGÍAS DE LA INFORMACIÓN</v>
          </cell>
          <cell r="E43">
            <v>2</v>
          </cell>
          <cell r="H43">
            <v>0</v>
          </cell>
          <cell r="I43" t="str">
            <v>Contrato a Término Indefinido</v>
          </cell>
          <cell r="J43" t="str">
            <v>Hibrido</v>
          </cell>
          <cell r="K43" t="str">
            <v>Coordinador TIC</v>
          </cell>
        </row>
        <row r="44">
          <cell r="D44" t="str">
            <v>AUXILIAR ADMINISTRATIVA CEDI</v>
          </cell>
          <cell r="E44">
            <v>1</v>
          </cell>
          <cell r="H44">
            <v>0</v>
          </cell>
          <cell r="I44" t="str">
            <v>Contrato a Término Indefinido</v>
          </cell>
          <cell r="J44" t="str">
            <v>Presencial</v>
          </cell>
          <cell r="K44" t="str">
            <v>Coordinador CEDI</v>
          </cell>
        </row>
        <row r="45">
          <cell r="D45" t="str">
            <v>AUXILIAR SERVICIO AL CLIENTE</v>
          </cell>
          <cell r="E45">
            <v>1</v>
          </cell>
          <cell r="H45">
            <v>0</v>
          </cell>
          <cell r="I45" t="str">
            <v>Contrato a Término Indefinido</v>
          </cell>
          <cell r="J45" t="str">
            <v>Hibrido</v>
          </cell>
          <cell r="K45" t="str">
            <v xml:space="preserve">Coordinadora de Mercadeo </v>
          </cell>
        </row>
        <row r="46">
          <cell r="D46" t="str">
            <v xml:space="preserve">JEFE DE CALIDAD </v>
          </cell>
          <cell r="E46">
            <v>1</v>
          </cell>
          <cell r="H46">
            <v>0</v>
          </cell>
          <cell r="I46" t="str">
            <v>Contrato a Término Indefinido</v>
          </cell>
          <cell r="J46" t="str">
            <v>Presencial</v>
          </cell>
          <cell r="K46" t="str">
            <v>Director de calidad</v>
          </cell>
        </row>
        <row r="47">
          <cell r="D47" t="str">
            <v>AUXILIAR DE PRODUCCION</v>
          </cell>
          <cell r="E47">
            <v>3</v>
          </cell>
          <cell r="I47" t="str">
            <v>Contrato a Término Indefinido</v>
          </cell>
          <cell r="J47" t="str">
            <v>Presencial</v>
          </cell>
          <cell r="K47" t="str">
            <v xml:space="preserve">Director de producción </v>
          </cell>
        </row>
        <row r="48">
          <cell r="D48" t="str">
            <v>AUXILIAR DE MATRICERIA</v>
          </cell>
          <cell r="E48">
            <v>6</v>
          </cell>
          <cell r="H48">
            <v>0</v>
          </cell>
          <cell r="I48" t="str">
            <v>Contrato a Término Indefinido</v>
          </cell>
          <cell r="J48" t="str">
            <v>Presencial</v>
          </cell>
          <cell r="K48" t="str">
            <v>Director de Taller</v>
          </cell>
        </row>
        <row r="49">
          <cell r="D49" t="str">
            <v>AUXILIAR FACTURACION</v>
          </cell>
          <cell r="E49">
            <v>1</v>
          </cell>
          <cell r="H49">
            <v>0</v>
          </cell>
          <cell r="I49" t="str">
            <v>Contrato a Término Indefinido</v>
          </cell>
          <cell r="J49" t="str">
            <v>Presencial</v>
          </cell>
          <cell r="K49" t="str">
            <v>Coordinador CEDI</v>
          </cell>
        </row>
        <row r="50">
          <cell r="D50" t="str">
            <v>COORDINADOR CEDI</v>
          </cell>
          <cell r="E50">
            <v>1</v>
          </cell>
          <cell r="H50">
            <v>0</v>
          </cell>
          <cell r="I50" t="str">
            <v>Contrato a Término Indefinido</v>
          </cell>
          <cell r="J50" t="str">
            <v>Presencial</v>
          </cell>
          <cell r="K50" t="str">
            <v xml:space="preserve">Director de Logistica </v>
          </cell>
        </row>
        <row r="51">
          <cell r="D51" t="str">
            <v>DIRECTOR DE COSTOS</v>
          </cell>
          <cell r="E51">
            <v>1</v>
          </cell>
          <cell r="H51" t="str">
            <v xml:space="preserve">14876 - 29751 MM </v>
          </cell>
          <cell r="I51" t="str">
            <v>Contrato a Término Indefinido</v>
          </cell>
          <cell r="J51" t="str">
            <v>Hibrido</v>
          </cell>
          <cell r="K51" t="str">
            <v xml:space="preserve">Gerente administrativa y financiera </v>
          </cell>
        </row>
        <row r="52">
          <cell r="D52" t="str">
            <v>DIRECTOR DE TIC</v>
          </cell>
          <cell r="E52">
            <v>1</v>
          </cell>
          <cell r="H52" t="str">
            <v xml:space="preserve">14876 - 29751 MM </v>
          </cell>
          <cell r="I52" t="str">
            <v>Contrato a Término Indefinido</v>
          </cell>
          <cell r="J52" t="str">
            <v>Hibrido</v>
          </cell>
          <cell r="K52" t="str">
            <v xml:space="preserve">Gerente administrativa y financiera </v>
          </cell>
        </row>
        <row r="53">
          <cell r="D53" t="str">
            <v>DIRECTOR DE CALIDAD Y CONTROL DE PROCESOS</v>
          </cell>
          <cell r="E53">
            <v>1</v>
          </cell>
          <cell r="H53" t="str">
            <v>501 - 931 M</v>
          </cell>
          <cell r="I53" t="str">
            <v>Contrato a Término Indefinido</v>
          </cell>
          <cell r="J53" t="str">
            <v>Presencial</v>
          </cell>
          <cell r="K53" t="str">
            <v xml:space="preserve">Gerente de operaciones </v>
          </cell>
        </row>
        <row r="54">
          <cell r="D54" t="str">
            <v>COORDINADORA DE CONTABILIDAD</v>
          </cell>
          <cell r="E54">
            <v>1</v>
          </cell>
          <cell r="H54" t="str">
            <v>11 - 500 M</v>
          </cell>
          <cell r="I54" t="str">
            <v>Contrato a Término Indefinido</v>
          </cell>
          <cell r="J54" t="str">
            <v>Hibrido</v>
          </cell>
          <cell r="K54" t="str">
            <v xml:space="preserve">Directora administrativa y contable </v>
          </cell>
        </row>
        <row r="55">
          <cell r="D55" t="str">
            <v>COORDINADOR DE MANTENIMIENTO</v>
          </cell>
          <cell r="E55">
            <v>1</v>
          </cell>
          <cell r="H55" t="str">
            <v>11 - 500 M</v>
          </cell>
          <cell r="I55" t="str">
            <v>Contrato a Término Indefinido</v>
          </cell>
          <cell r="J55" t="str">
            <v>Presencial</v>
          </cell>
          <cell r="K55" t="str">
            <v xml:space="preserve">Director de mantenimiento y proyectos </v>
          </cell>
        </row>
        <row r="56">
          <cell r="D56" t="str">
            <v>COORDINADOR SERVICIO AL CLIENTE</v>
          </cell>
          <cell r="E56">
            <v>1</v>
          </cell>
          <cell r="H56" t="str">
            <v>11 - 500 M</v>
          </cell>
          <cell r="I56" t="str">
            <v>Contrato a Término Indefinido</v>
          </cell>
          <cell r="J56" t="str">
            <v>Presencial</v>
          </cell>
          <cell r="K56" t="str">
            <v xml:space="preserve">Gerente comercial y de mercadeo </v>
          </cell>
        </row>
        <row r="57">
          <cell r="D57" t="str">
            <v>DIRECTOR DE INNOVACION</v>
          </cell>
          <cell r="E57">
            <v>1</v>
          </cell>
          <cell r="H57" t="str">
            <v>10 MM</v>
          </cell>
          <cell r="I57" t="str">
            <v>Contrato a Término Indefinido</v>
          </cell>
          <cell r="J57" t="str">
            <v>Presencial</v>
          </cell>
          <cell r="K57" t="str">
            <v xml:space="preserve">Gerente general </v>
          </cell>
        </row>
        <row r="58">
          <cell r="D58" t="str">
            <v>DIRECTOR DE  MANTENIMIENTO Y PROYECTOS</v>
          </cell>
          <cell r="E58">
            <v>1</v>
          </cell>
          <cell r="H58" t="str">
            <v xml:space="preserve">3720 - 7435 MM </v>
          </cell>
          <cell r="I58" t="str">
            <v>Contrato a Término Indefinido</v>
          </cell>
          <cell r="J58" t="str">
            <v>Presencial</v>
          </cell>
          <cell r="K58" t="str">
            <v xml:space="preserve">Gerente de operaciones </v>
          </cell>
        </row>
        <row r="59">
          <cell r="D59" t="str">
            <v>DIRECTORA ADMINISTRATIVA Y CONTABLE</v>
          </cell>
          <cell r="E59">
            <v>1</v>
          </cell>
          <cell r="H59" t="str">
            <v xml:space="preserve">7436 - 14875 MM </v>
          </cell>
          <cell r="I59" t="str">
            <v>Contrato a Término Indefinido</v>
          </cell>
          <cell r="J59" t="str">
            <v>Hibrido</v>
          </cell>
          <cell r="K59" t="str">
            <v xml:space="preserve">Gerente administrativa y financiera </v>
          </cell>
        </row>
        <row r="60">
          <cell r="D60" t="str">
            <v>DIRECTOR DE VENTAS LATAM</v>
          </cell>
          <cell r="E60">
            <v>1</v>
          </cell>
          <cell r="H60" t="str">
            <v xml:space="preserve">7436 - 14875 MM </v>
          </cell>
          <cell r="I60" t="str">
            <v>Contrato a Término Indefinido</v>
          </cell>
          <cell r="J60" t="str">
            <v>Presencial</v>
          </cell>
          <cell r="K60" t="str">
            <v xml:space="preserve">Gerente comercial y de mercadeo </v>
          </cell>
        </row>
        <row r="61">
          <cell r="D61" t="str">
            <v xml:space="preserve">DIRECTOR DE VENTAS NACIONAL </v>
          </cell>
          <cell r="E61">
            <v>1</v>
          </cell>
          <cell r="H61" t="str">
            <v xml:space="preserve">14876 - 29751 MM </v>
          </cell>
          <cell r="I61" t="str">
            <v>Contrato a Término Indefinido</v>
          </cell>
          <cell r="J61" t="str">
            <v>Presencial</v>
          </cell>
          <cell r="K61" t="str">
            <v xml:space="preserve">Gerente comercial y de mercadeo </v>
          </cell>
        </row>
        <row r="62">
          <cell r="D62" t="str">
            <v>COORDINADOR DE TERCERIZADOS</v>
          </cell>
          <cell r="E62">
            <v>1</v>
          </cell>
          <cell r="H62">
            <v>0</v>
          </cell>
          <cell r="I62" t="str">
            <v>Contrato a Término Indefinido</v>
          </cell>
          <cell r="J62" t="str">
            <v>Presencial</v>
          </cell>
        </row>
        <row r="63">
          <cell r="D63" t="str">
            <v>COORDINADOR DE MERCADEO</v>
          </cell>
          <cell r="E63">
            <v>1</v>
          </cell>
          <cell r="H63" t="str">
            <v>501 - 931 M</v>
          </cell>
          <cell r="I63" t="str">
            <v>Contrato a Término Indefinido</v>
          </cell>
          <cell r="J63" t="str">
            <v>Presencial</v>
          </cell>
          <cell r="K63" t="str">
            <v xml:space="preserve">Gerente comercial y de mercadeo </v>
          </cell>
        </row>
        <row r="64">
          <cell r="D64" t="str">
            <v>DIRECTORA DE DISEÑO Y  DESARROLLO</v>
          </cell>
          <cell r="H64" t="str">
            <v xml:space="preserve">1860 - 3719 MM </v>
          </cell>
          <cell r="I64" t="str">
            <v>Contrato a Término Indefinido</v>
          </cell>
          <cell r="J64" t="str">
            <v>Presencial</v>
          </cell>
          <cell r="K64" t="str">
            <v xml:space="preserve">Gerente comercial y de mercadeo </v>
          </cell>
        </row>
        <row r="65">
          <cell r="D65" t="str">
            <v>COORDINADOR DE LABORATORIO</v>
          </cell>
          <cell r="E65">
            <v>1</v>
          </cell>
          <cell r="H65" t="str">
            <v>11 - 500 M</v>
          </cell>
          <cell r="I65" t="str">
            <v>Contrato a Término Indefinido</v>
          </cell>
          <cell r="J65" t="str">
            <v>Presencial</v>
          </cell>
          <cell r="K65" t="str">
            <v>Director de calidad</v>
          </cell>
        </row>
        <row r="66">
          <cell r="D66" t="str">
            <v>COORDINADOR TIC</v>
          </cell>
          <cell r="E66">
            <v>1</v>
          </cell>
          <cell r="I66" t="str">
            <v>Contrato a Término Indefinido</v>
          </cell>
          <cell r="J66" t="str">
            <v>Hibrido</v>
          </cell>
          <cell r="K66" t="str">
            <v>Director TIC</v>
          </cell>
        </row>
        <row r="67">
          <cell r="D67" t="str">
            <v>COORDINADOR  SST</v>
          </cell>
          <cell r="E67">
            <v>1</v>
          </cell>
          <cell r="H67" t="str">
            <v>11 - 500 M</v>
          </cell>
          <cell r="I67" t="str">
            <v>Contrato a Término Indefinido</v>
          </cell>
          <cell r="J67" t="str">
            <v>Hibrido</v>
          </cell>
          <cell r="K67" t="str">
            <v xml:space="preserve">Gerente de operaciones </v>
          </cell>
        </row>
        <row r="68">
          <cell r="D68" t="str">
            <v>LIDER MECANICO EXPERTO EN MOLDES</v>
          </cell>
          <cell r="E68">
            <v>1</v>
          </cell>
          <cell r="H68">
            <v>0</v>
          </cell>
          <cell r="I68" t="str">
            <v>Contrato a Término Indefinido</v>
          </cell>
          <cell r="J68" t="str">
            <v>Presencial</v>
          </cell>
          <cell r="K68" t="str">
            <v>Director de Taller</v>
          </cell>
        </row>
        <row r="69">
          <cell r="D69" t="str">
            <v>LIDER DE VENTAS EEUU</v>
          </cell>
          <cell r="E69">
            <v>1</v>
          </cell>
          <cell r="H69" t="str">
            <v>3720 - 7435 MM</v>
          </cell>
          <cell r="I69" t="str">
            <v>Contrato a Término Indefinido</v>
          </cell>
          <cell r="J69" t="str">
            <v>Hibrido</v>
          </cell>
          <cell r="K69" t="str">
            <v>Director de ventas EEUU</v>
          </cell>
        </row>
        <row r="70">
          <cell r="D70" t="str">
            <v xml:space="preserve">LIDER DE VENTAS LATINOAMERICA </v>
          </cell>
          <cell r="E70">
            <v>1</v>
          </cell>
          <cell r="H70">
            <v>0</v>
          </cell>
          <cell r="I70" t="str">
            <v>Contrato a Término Indefinido</v>
          </cell>
          <cell r="J70" t="str">
            <v>Hibrido</v>
          </cell>
          <cell r="K70" t="str">
            <v>Director de ventas Latinoamerica</v>
          </cell>
        </row>
        <row r="71">
          <cell r="D71" t="str">
            <v>LIDER DE ZONA</v>
          </cell>
          <cell r="E71">
            <v>1</v>
          </cell>
          <cell r="H71" t="str">
            <v>1860 - 3719 MM</v>
          </cell>
          <cell r="I71" t="str">
            <v>Contrato a Término Indefinido</v>
          </cell>
          <cell r="J71" t="str">
            <v>Hibrido</v>
          </cell>
          <cell r="K71" t="str">
            <v>Director de ventas Nacional</v>
          </cell>
        </row>
        <row r="72">
          <cell r="D72" t="str">
            <v>LIDER DE COMERCIO EXTERIOR</v>
          </cell>
          <cell r="E72">
            <v>1</v>
          </cell>
          <cell r="I72" t="str">
            <v>Contrato a Término Indefinido</v>
          </cell>
          <cell r="J72" t="str">
            <v>Hibrido</v>
          </cell>
          <cell r="K72" t="str">
            <v>Coordinador de comercio exterior</v>
          </cell>
        </row>
        <row r="73">
          <cell r="D73" t="str">
            <v>JEFE DE COMPRAS</v>
          </cell>
          <cell r="E73">
            <v>1</v>
          </cell>
          <cell r="H73">
            <v>0</v>
          </cell>
          <cell r="I73" t="str">
            <v>Contrato a Término Indefinido</v>
          </cell>
          <cell r="J73" t="str">
            <v>Hibrido</v>
          </cell>
          <cell r="K73" t="str">
            <v xml:space="preserve">Director de logistica </v>
          </cell>
        </row>
        <row r="74">
          <cell r="D74" t="str">
            <v>TECNICO DE MANTENIMIENTO</v>
          </cell>
          <cell r="E74">
            <v>10</v>
          </cell>
          <cell r="I74" t="str">
            <v>Contrato a Término Indefinido</v>
          </cell>
          <cell r="J74" t="str">
            <v>Presencial</v>
          </cell>
          <cell r="K74" t="str">
            <v xml:space="preserve">Coordinador de mantenimiento </v>
          </cell>
        </row>
        <row r="75">
          <cell r="D75" t="str">
            <v>LIDER DE CANAL</v>
          </cell>
          <cell r="E75">
            <v>1</v>
          </cell>
          <cell r="H75" t="str">
            <v xml:space="preserve">1860 - 3719 MM </v>
          </cell>
          <cell r="I75" t="str">
            <v>Contrato a Término Indefinido</v>
          </cell>
          <cell r="J75" t="str">
            <v>Hibrido</v>
          </cell>
          <cell r="K75" t="str">
            <v>Director de ventas Nacional</v>
          </cell>
        </row>
        <row r="76">
          <cell r="D76" t="str">
            <v>JEFE DE MEJORAMIENTO CONTINUO</v>
          </cell>
          <cell r="E76">
            <v>1</v>
          </cell>
          <cell r="H76" t="str">
            <v xml:space="preserve">1860 - 3719 MM </v>
          </cell>
          <cell r="I76" t="str">
            <v>Contrato a Término Indefinido</v>
          </cell>
          <cell r="J76" t="str">
            <v>Hibrido</v>
          </cell>
          <cell r="K76" t="str">
            <v>Gerente de operaciones</v>
          </cell>
        </row>
        <row r="77">
          <cell r="D77" t="str">
            <v>INGENIERO DE FORMULACIONES</v>
          </cell>
          <cell r="E77">
            <v>1</v>
          </cell>
          <cell r="H77" t="str">
            <v>11 - 500 M</v>
          </cell>
          <cell r="I77" t="str">
            <v>Contrato a Término Indefinido</v>
          </cell>
          <cell r="J77" t="str">
            <v>Presencial</v>
          </cell>
          <cell r="K77" t="str">
            <v xml:space="preserve">Director de materiales </v>
          </cell>
        </row>
        <row r="78">
          <cell r="D78" t="str">
            <v>LIDER DE GESTIÓN HUMANA Y DESARROLLO DEL TALENTO</v>
          </cell>
          <cell r="E78">
            <v>1</v>
          </cell>
          <cell r="I78" t="str">
            <v>Contrato a Término Indefinido</v>
          </cell>
          <cell r="J78" t="str">
            <v>Hibrido</v>
          </cell>
          <cell r="K78" t="str">
            <v xml:space="preserve">Director de gestón humana </v>
          </cell>
        </row>
        <row r="79">
          <cell r="D79" t="str">
            <v>LIDER DE DISEÑO Y COMUNICACIONES EN MERCADEO</v>
          </cell>
          <cell r="E79">
            <v>1</v>
          </cell>
          <cell r="H79" t="str">
            <v>11 - 500 M</v>
          </cell>
          <cell r="I79" t="str">
            <v>Contrato a Término Indefinido</v>
          </cell>
          <cell r="J79" t="str">
            <v>Hibrido</v>
          </cell>
          <cell r="K79" t="str">
            <v xml:space="preserve">Coordinadora de mercadeo </v>
          </cell>
        </row>
        <row r="80">
          <cell r="D80" t="str">
            <v>JEFE DE TERCERIZADOS</v>
          </cell>
          <cell r="E80">
            <v>1</v>
          </cell>
          <cell r="H80" t="str">
            <v xml:space="preserve">932 - 1859 MM </v>
          </cell>
          <cell r="I80" t="str">
            <v>Contrato a Término Indefinido</v>
          </cell>
          <cell r="J80" t="str">
            <v>Presencial</v>
          </cell>
        </row>
        <row r="81">
          <cell r="D81" t="str">
            <v>INGENIERO DE MEJORA CONTINUA</v>
          </cell>
          <cell r="E81" t="str">
            <v>g</v>
          </cell>
          <cell r="I81" t="str">
            <v>Contrato a Término Indefinido</v>
          </cell>
          <cell r="J81" t="str">
            <v>Hibrido</v>
          </cell>
          <cell r="K81" t="str">
            <v>Jefe de mejora continua</v>
          </cell>
        </row>
        <row r="82">
          <cell r="D82" t="str">
            <v xml:space="preserve">LIDER DE COSTOS </v>
          </cell>
          <cell r="E82">
            <v>1</v>
          </cell>
          <cell r="H82">
            <v>0</v>
          </cell>
          <cell r="I82" t="str">
            <v>Contrato a Término Indefinido</v>
          </cell>
          <cell r="J82" t="str">
            <v>Hibrido</v>
          </cell>
          <cell r="K82" t="str">
            <v xml:space="preserve">Director de costos </v>
          </cell>
        </row>
        <row r="83">
          <cell r="D83" t="str">
            <v>COORDINADORA DE GESTION HUMANA</v>
          </cell>
          <cell r="E83">
            <v>1</v>
          </cell>
          <cell r="H83">
            <v>0</v>
          </cell>
          <cell r="I83" t="str">
            <v>Contrato a Término Indefinido</v>
          </cell>
          <cell r="J83" t="str">
            <v>Hibrido</v>
          </cell>
          <cell r="K83" t="str">
            <v xml:space="preserve">Director de gestion humana </v>
          </cell>
        </row>
        <row r="84">
          <cell r="D84" t="str">
            <v xml:space="preserve">GERENTE ADMINISTRATIVA Y FINANCIERA </v>
          </cell>
          <cell r="E84">
            <v>1</v>
          </cell>
          <cell r="H84" t="str">
            <v>20 MM</v>
          </cell>
          <cell r="I84" t="str">
            <v>Contrato a Término Indefinido</v>
          </cell>
          <cell r="J84" t="str">
            <v>Hibrido</v>
          </cell>
          <cell r="K84" t="str">
            <v xml:space="preserve">Gerente general </v>
          </cell>
        </row>
        <row r="119">
          <cell r="I119" t="str">
            <v>SI</v>
          </cell>
        </row>
        <row r="120">
          <cell r="I120" t="str">
            <v>NO</v>
          </cell>
        </row>
        <row r="122">
          <cell r="I122" t="str">
            <v>EGRESOS</v>
          </cell>
        </row>
        <row r="123">
          <cell r="I123" t="str">
            <v>INGRESOS</v>
          </cell>
        </row>
        <row r="124">
          <cell r="I124" t="str">
            <v>INGRESOS Y EGRESOS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R" refreshedDate="45904.999045833334" createdVersion="8" refreshedVersion="8" minRefreshableVersion="3" recordCount="81" xr:uid="{B2DE5C36-F44C-4A76-A235-AA98BFC45999}">
  <cacheSource type="worksheet">
    <worksheetSource name="Cargos_Catalogo"/>
  </cacheSource>
  <cacheFields count="45">
    <cacheField name="Cargo" numFmtId="0">
      <sharedItems/>
    </cacheField>
    <cacheField name="Taller" numFmtId="0">
      <sharedItems containsBlank="1" containsMixedTypes="1" containsNumber="1" containsInteger="1" minValue="0" maxValue="0" count="40">
        <s v="Gerencia General"/>
        <e v="#N/A"/>
        <n v="0"/>
        <s v="Gerente comercial y de mercadeo "/>
        <s v="Gerente de operaciones "/>
        <s v="Gerente General "/>
        <s v="Gerente de operaciones"/>
        <s v="Director de logistica "/>
        <s v="Directora administrativa y contable "/>
        <s v="Director de ventas EEUU"/>
        <s v="Directora de diseño y desarrollo"/>
        <s v="Director de gestion humana "/>
        <s v="Director de ventas Nacional"/>
        <s v="Director TIC"/>
        <s v="Director de mantenimiento y proyectos "/>
        <s v="Director de producción "/>
        <s v="Coordinador de comercio exterior"/>
        <s v="Director de gestón humana "/>
        <s v="Director de materiales "/>
        <s v="Director de calidad"/>
        <s v="Jefe de mejora continua"/>
        <s v="Coordinadora de mercadeo "/>
        <s v="Director de Taller"/>
        <s v="Director de TIC"/>
        <s v="Directora contable "/>
        <s v="Coordinador de mantenimiento "/>
        <s v="Coordinadora de seguridad y salud en el trabajo "/>
        <s v="Jefe de calidad "/>
        <s v="Jefe de compras "/>
        <s v="Coordinadora de Comercio exterior "/>
        <s v="Director de costos "/>
        <s v="Coordinadora de servicio al cliente "/>
        <s v="Jefe de proyectos aliados "/>
        <s v="Director Senior de ingenieria "/>
        <s v="Coordinador de laboratorio"/>
        <s v="Director logistico "/>
        <s v="Coordinador CEDI"/>
        <s v="Taller 1" u="1"/>
        <s v="Taller 2" u="1"/>
        <m u="1"/>
      </sharedItems>
    </cacheField>
    <cacheField name="Area Especifica" numFmtId="0">
      <sharedItems containsMixedTypes="1" containsNumber="1" containsInteger="1" minValue="0" maxValue="0"/>
    </cacheField>
    <cacheField name="Área" numFmtId="0">
      <sharedItems/>
    </cacheField>
    <cacheField name="Cargo Homologado" numFmtId="0">
      <sharedItems containsNonDate="0" containsString="0" containsBlank="1"/>
    </cacheField>
    <cacheField name="Puntos" numFmtId="174">
      <sharedItems containsSemiMixedTypes="0" containsString="0" containsNumber="1" containsInteger="1" minValue="138" maxValue="1344"/>
    </cacheField>
    <cacheField name="Conocimientos" numFmtId="174">
      <sharedItems/>
    </cacheField>
    <cacheField name="Experiencia Específica" numFmtId="174">
      <sharedItems/>
    </cacheField>
    <cacheField name="Habilidad Gerencial" numFmtId="174">
      <sharedItems/>
    </cacheField>
    <cacheField name="Rol del Cargo" numFmtId="174">
      <sharedItems containsSemiMixedTypes="0" containsString="0" containsNumber="1" containsInteger="1" minValue="1" maxValue="4"/>
    </cacheField>
    <cacheField name="PuntosC&amp;H" numFmtId="174">
      <sharedItems containsSemiMixedTypes="0" containsString="0" containsNumber="1" containsInteger="1" minValue="72" maxValue="562"/>
    </cacheField>
    <cacheField name="Contacto" numFmtId="174">
      <sharedItems/>
    </cacheField>
    <cacheField name="Frecuencia del Contacto" numFmtId="174">
      <sharedItems containsSemiMixedTypes="0" containsString="0" containsNumber="1" containsInteger="1" minValue="3" maxValue="4"/>
    </cacheField>
    <cacheField name="Contenido de las Relaciones" numFmtId="174">
      <sharedItems/>
    </cacheField>
    <cacheField name="PuntosHC" numFmtId="174">
      <sharedItems containsSemiMixedTypes="0" containsString="0" containsNumber="1" containsInteger="1" minValue="25" maxValue="176"/>
    </cacheField>
    <cacheField name="Total Puntos1" numFmtId="174">
      <sharedItems containsSemiMixedTypes="0" containsString="0" containsNumber="1" containsInteger="1" minValue="97" maxValue="738"/>
    </cacheField>
    <cacheField name="Complejidad Conceptual" numFmtId="174">
      <sharedItems containsSemiMixedTypes="0" containsString="0" containsNumber="1" containsInteger="1" minValue="1" maxValue="4"/>
    </cacheField>
    <cacheField name="TendenciaCC" numFmtId="174">
      <sharedItems/>
    </cacheField>
    <cacheField name="Guias de Apoyo" numFmtId="174">
      <sharedItems/>
    </cacheField>
    <cacheField name="TendenciaGA" numFmtId="174">
      <sharedItems/>
    </cacheField>
    <cacheField name="Porcentaje" numFmtId="10">
      <sharedItems containsSemiMixedTypes="0" containsString="0" containsNumber="1" minValue="0.11" maxValue="0.41"/>
    </cacheField>
    <cacheField name="Total Puntos2" numFmtId="175">
      <sharedItems containsSemiMixedTypes="0" containsString="0" containsNumber="1" minValue="10.67" maxValue="302.58"/>
    </cacheField>
    <cacheField name="Impacto del cargo" numFmtId="174">
      <sharedItems/>
    </cacheField>
    <cacheField name="Autonomia" numFmtId="174">
      <sharedItems/>
    </cacheField>
    <cacheField name="Magnitud de Cifras" numFmtId="174">
      <sharedItems containsSemiMixedTypes="0" containsString="0" containsNumber="1" containsInteger="1" minValue="1" maxValue="6"/>
    </cacheField>
    <cacheField name="PuntosRR" numFmtId="174">
      <sharedItems containsSemiMixedTypes="0" containsString="0" containsNumber="1" containsInteger="1" minValue="30" maxValue="303"/>
    </cacheField>
    <cacheField name="Criterio 1" numFmtId="168">
      <sharedItems containsSemiMixedTypes="0" containsString="0" containsNumber="1" containsInteger="1" minValue="0" maxValue="1"/>
    </cacheField>
    <cacheField name="Criterio 2" numFmtId="168">
      <sharedItems containsSemiMixedTypes="0" containsString="0" containsNumber="1" containsInteger="1" minValue="0" maxValue="1"/>
    </cacheField>
    <cacheField name="Criterio 3" numFmtId="168">
      <sharedItems containsSemiMixedTypes="0" containsString="0" containsNumber="1" containsInteger="1" minValue="0" maxValue="1"/>
    </cacheField>
    <cacheField name="Categoria" numFmtId="38">
      <sharedItems containsSemiMixedTypes="0" containsString="0" containsNumber="1" containsInteger="1" minValue="4" maxValue="20" count="15">
        <n v="20"/>
        <n v="18"/>
        <n v="16"/>
        <n v="15"/>
        <n v="14"/>
        <n v="13"/>
        <n v="12"/>
        <n v="11"/>
        <n v="10"/>
        <n v="9"/>
        <n v="8"/>
        <n v="7"/>
        <n v="6"/>
        <n v="5"/>
        <n v="4"/>
      </sharedItems>
    </cacheField>
    <cacheField name="Criticidad" numFmtId="174">
      <sharedItems count="5">
        <s v="Crítico"/>
        <s v="Muy Importante"/>
        <s v="Relevante"/>
        <s v="Importante"/>
        <s v="" u="1"/>
      </sharedItems>
    </cacheField>
    <cacheField name="Nivel" numFmtId="174">
      <sharedItems/>
    </cacheField>
    <cacheField name="Frecuencia" numFmtId="174">
      <sharedItems containsSemiMixedTypes="0" containsString="0" containsNumber="1" containsInteger="1" minValue="1" maxValue="10"/>
    </cacheField>
    <cacheField name="G" numFmtId="174">
      <sharedItems containsSemiMixedTypes="0" containsString="0" containsNumber="1" minValue="2295683.1700000004" maxValue="28165949.790000003"/>
    </cacheField>
    <cacheField name="G+V" numFmtId="174">
      <sharedItems containsSemiMixedTypes="0" containsString="0" containsNumber="1" minValue="2295683.1700000004" maxValue="49110087.455000006"/>
    </cacheField>
    <cacheField name="CT" numFmtId="174">
      <sharedItems containsSemiMixedTypes="0" containsString="0" containsNumber="1" minValue="2295683.1700000004" maxValue="49110087.455000006"/>
    </cacheField>
    <cacheField name="Nivel Forzado" numFmtId="174">
      <sharedItems/>
    </cacheField>
    <cacheField name="PuntosF" numFmtId="174">
      <sharedItems containsNonDate="0" containsString="0" containsBlank="1"/>
    </cacheField>
    <cacheField name="CategoriaF" numFmtId="174">
      <sharedItems containsNonDate="0" containsString="0" containsBlank="1"/>
    </cacheField>
    <cacheField name="NivelF" numFmtId="174">
      <sharedItems containsNonDate="0" containsString="0" containsBlank="1"/>
    </cacheField>
    <cacheField name="CriticidadF" numFmtId="174">
      <sharedItems containsNonDate="0" containsString="0" containsBlank="1"/>
    </cacheField>
    <cacheField name="Nivel SHR" numFmtId="174">
      <sharedItems/>
    </cacheField>
    <cacheField name="Variable Target Constitutivo de Salario" numFmtId="3">
      <sharedItems containsSemiMixedTypes="0" containsString="0" containsNumber="1" containsInteger="1" minValue="0" maxValue="14589000"/>
    </cacheField>
    <cacheField name="Variable Target No Constitutivo de Salario" numFmtId="3">
      <sharedItems containsNonDate="0" containsString="0" containsBlank="1"/>
    </cacheField>
    <cacheField name="Observación" numFmtId="17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7794410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res Humanos Realizados" refreshedDate="46076.633154861112" createdVersion="6" refreshedVersion="8" minRefreshableVersion="3" recordCount="150" xr:uid="{00000000-000A-0000-FFFF-FFFF08000000}">
  <cacheSource type="worksheet">
    <worksheetSource name="Datos_Origen"/>
  </cacheSource>
  <cacheFields count="138">
    <cacheField name="Renglón" numFmtId="1">
      <sharedItems containsNonDate="0" containsString="0" containsBlank="1"/>
    </cacheField>
    <cacheField name="Cédula" numFmtId="3">
      <sharedItems containsNonDate="0" containsString="0" containsBlank="1"/>
    </cacheField>
    <cacheField name="Nombres" numFmtId="0">
      <sharedItems containsNonDate="0" containsString="0" containsBlank="1"/>
    </cacheField>
    <cacheField name="Fecha de Ingreso" numFmtId="0">
      <sharedItems containsNonDate="0" containsString="0" containsBlank="1"/>
    </cacheField>
    <cacheField name="Fecha de Nacimiento " numFmtId="0">
      <sharedItems containsNonDate="0" containsString="0" containsBlank="1"/>
    </cacheField>
    <cacheField name="Cargo Actual Nómina" numFmtId="0">
      <sharedItems/>
    </cacheField>
    <cacheField name="Pacto / Convención" numFmtId="0">
      <sharedItems containsNonDate="0" containsString="0" containsBlank="1"/>
    </cacheField>
    <cacheField name="Cargo Tipo Valorado" numFmtId="0">
      <sharedItems containsBlank="1" count="1293">
        <s v="AUXILIAR ADMINISTRATIVA CEDI"/>
        <s v="AUXILIAR FACTURACION"/>
        <s v="AUXILIAR DE CEDI"/>
        <s v="AUXILIAR DE PRODUCCION"/>
        <s v="AUXILIAR DE DISEÑO Y COMUNICACIONES EN MERCADEO"/>
        <s v="AUXILIAR DE MATRICERIA"/>
        <s v="ANALISTA ADMINISTRATIVA Y CONTABLE"/>
        <s v="ANALISTA DE LABORATORIO"/>
        <s v="ANALISTA OPERATIVO DESARROLLO"/>
        <s v="AUXILIAR SERVICIO AL CLIENTE"/>
        <s v="ANALISTA ADMINISTRATIVA DE DISEÑO Y DESARROLLO"/>
        <s v="LIDER SOPORTE TIC"/>
        <s v="ANALISTA DE MERCADEO"/>
        <s v="ANALISTA DOCUMENTAL DE INGENIERIA"/>
        <s v="ANALISTA DE CARTERA"/>
        <s v="ANALISTA DE IMPUESTOS Y REGISTROS CONTABLES"/>
        <s v="ANALISTA TESORERIA"/>
        <s v="ANALISTA DE SERVICIOS"/>
        <s v="ANALISTA TECNICO PROYECTOS ALIADOS"/>
        <s v="ANALISTA DE COSTOS"/>
        <s v="ANALISTA DE MATRICERIA CNC"/>
        <s v="ANALISTA DE COMERCIO EXTERIOR"/>
        <s v="ANALISTA DE DE COMPRAS"/>
        <s v="ANALISTA COTIZACIONES DISEÑO Y DESARROLLO"/>
        <s v="ANALISTA GESTIÓN HUMANA"/>
        <s v="ANALISTA DE MEJORA CONTINUA"/>
        <s v="ANALISTA CALIDAD"/>
        <s v="ANALISTA DE SEGURIDAD Y SALUD EN EL TRABAJO"/>
        <s v="TECNICO DE MANTENIMIENTO"/>
        <s v="ANALISTA DE NOMINA"/>
        <s v="INGENIERO DE DATOS"/>
        <s v="LIDER MECANICO EXPERTO EN MOLDES"/>
        <s v="LIDER DE TECNOLOGÍAS DE LA INFORMACIÓN"/>
        <s v="LIDER DE DISEÑO Y COMUNICACIONES EN MERCADEO"/>
        <s v="LIDER DE CANAL"/>
        <s v="LIDER DE COSTOS"/>
        <s v="COORDINADOR DE TERCERIZADOS"/>
        <s v="PROGRAMADOR DE PRODUCCION"/>
        <s v="INGENIERO DE MEJORA CONTINUA"/>
        <s v="COORDINADOR CEDI"/>
        <s v="COORDINADOR DE LABORATORIO"/>
        <s v="INGENIERO DE FORMULACIONES"/>
        <s v="LIDER DE COMERCIO EXTERIOR"/>
        <s v="LIDER DE GESTIÓN HUMANA Y DESARROLLO DEL TALENTO"/>
        <s v="COORDINADOR DE PRODUCCION"/>
        <s v="COORDINADOR DE MANTENIMIENTO"/>
        <s v="COORDINADOR TIC"/>
        <s v="COORDINADOR DE INGENIERIA"/>
        <s v="LIDER DE ZONA"/>
        <s v="ADMINISTRADOR FEDEXTRU"/>
        <s v="JEFE DE CALIDAD"/>
        <s v="DIRECTOR COSTOS"/>
        <s v="COORDINADORA DE GESTION HUMANA"/>
        <s v="COORDINADOR DE DISEÑO Y DESARROLLO"/>
        <s v="COORDINADORA DE COMERCIO EXTERIOR"/>
        <s v="LIDER DE VENTAS EEUU"/>
        <s v="JEFE DE TERCERIZADOS"/>
        <s v="COORDINADORA DE CONTABILIDAD"/>
        <s v="JEFE DE COMPRAS"/>
        <s v="COORDINADOR  SST"/>
        <s v="JEFE DE MEJORAMIENTO CONTINUO"/>
        <s v="DIRECTOR DE CENTRO DE TRANSFORMACIÓN"/>
        <s v="DIRECTOR DE PRODUCCION"/>
        <s v="DIRECTOR DE CALIDAD Y CONTROL DE PROCESOS"/>
        <s v="DIRECTOR DE MATERIALES"/>
        <s v="DIRECTOR DE MANTENIMIENTO Y PROYECTOS"/>
        <s v="DIRECTOR ADMINISTRATIVO Y CONTABLE"/>
        <s v="COOORDINADOR DE MERCADEO"/>
        <s v="DIRECTOR TIC"/>
        <s v="DIRECTOR INGENIERIA"/>
        <s v="DIRECTOR DESARROLLO"/>
        <s v="DIRECTOR DE INNOVACION"/>
        <s v="DIRECTOR DE GESTION HUMANA"/>
        <s v="DIRECTOR DE LOGISTICA"/>
        <s v="DIRECTOR NACIONAL DE VENTAS"/>
        <s v="DIRECTOR DE VENTAS EEUU"/>
        <s v="DIRECTOR DE VENTAS LATAM"/>
        <s v="GERENTE ADMINISTRATIVA Y FINANCIERA"/>
        <s v="GERENCIA DE OPERACIONES"/>
        <s v="GERENTE COMERCIAL Y MERCADEO"/>
        <m/>
        <s v="GEERENTE GENERAL"/>
        <s v="GERENTE DE OPERACIONES" u="1"/>
        <s v="GERENTE GENERAL" u="1"/>
        <s v="Analista Senior de Mercadeo y Servicio al Cliente" u="1"/>
        <s v="AUXILIAR ADMINISTRATIVO ABASTECIMIENTO DE REPRESENTACION" u="1"/>
        <s v="ANALISTA FINANCIERA II" u="1"/>
        <s v="ANALISTA COMERCIO EXTERIOR IV" u="1"/>
        <s v="Coordinador de Mercadeo Digital" u="1"/>
        <s v="AUXILIAR DE RIESGOS" u="1"/>
        <s v="Director Financiera" u="1"/>
        <s v="JEFE DE GESTIÓN HUMANA" u="1"/>
        <s v="GERENTE PRODUCCIÓN AGRÍCOLA" u="1"/>
        <s v="Jefe de Producción (Planta de Prendas, Marroquinería y Cinturones)" u="1"/>
        <s v="Coordinador de Activos Fijos" u="1"/>
        <s v="Lider Mantenimiento Electronico" u="1"/>
        <s v="Director Espacios Comerciales" u="1"/>
        <s v="GERENTE ADMINISTRATIVO Y FINANCIERO" u="1"/>
        <s v="Coordinador de Comunicaciones" u="1"/>
        <s v="Analista de Gestion Organizacional" u="1"/>
        <s v="Coordinador de Creditos" u="1"/>
        <s v="Almacenista" u="1"/>
        <s v="ANALISTA DE INGENIERÍA" u="1"/>
        <s v="Asistente Planeacion Forestal" u="1"/>
        <s v="AUXILIAR DE CONTROL INTERNO" u="1"/>
        <s v="ANALISTA DE PLANEACIÓN Y PROYECTOS" u="1"/>
        <s v="ANALISTA JURIDICA" u="1"/>
        <s v="Gerente Desarrollo de Negocios y Clientes" u="1"/>
        <s v="Jefe de Unidad de Negocio (Oulet- Accesorios)" u="1"/>
        <s v="ANALISTA ADMINISTRATIVA II" u="1"/>
        <s v="ASESOR COMERCIAL NACIONAL" u="1"/>
        <s v="OPERADOR DE MONTACARGA" u="1"/>
        <s v="Auxiliar de Creditos" u="1"/>
        <s v="Analista 1 Master Data" u="1"/>
        <s v="Analista 2 Master Data" u="1"/>
        <s v="Analista 3 Master Data" u="1"/>
        <s v="ABOGADO(A)" u="1"/>
        <s v="Director de interventoría" u="1"/>
        <s v="Jefe De Planeacion Financiera" u="1"/>
        <s v="COORDINADOR CREDITO" u="1"/>
        <s v="OFICIAL DE SEGURIDAD" u="1"/>
        <s v="Coordinador Calidad " u="1"/>
        <s v="ANALISTA CALIDAD INSUMOS" u="1"/>
        <s v="Coordinador Relaciones Laborales" u="1"/>
        <s v="AYUDANTE" u="1"/>
        <s v="Analista 3 BI" u="1"/>
        <s v="UI - UX" u="1"/>
        <s v="Director Oficina" u="1"/>
        <s v="Auxiliar de Infraestructura" u="1"/>
        <s v="Auxiliar De Archivo" u="1"/>
        <s v="OPERARIO DE SERVICIOS GENERALES" u="1"/>
        <s v="Director Desarrollo Humano" u="1"/>
        <s v="Analista de Talento Humano - Selección y Dllo" u="1"/>
        <s v="Administrador de Tienda C" u="1"/>
        <s v="AUXILIAR LOGISTICO MEDELLÍN" u="1"/>
        <s v="Director Regional" u="1"/>
        <s v="AUXILIAR ARCHIVO II" u="1"/>
        <s v="Director de Gestión Integral de Proyectos" u="1"/>
        <s v="ANALISTA ESTABILIDAD Y REGULATORIOS" u="1"/>
        <s v="COORDINADOR TRANSPORTE MARÍTIMO-FLUVIAL" u="1"/>
        <s v="ANALISTA DE CONTROL ESTADÍSTICO DE PROCESO" u="1"/>
        <s v="OPERARIO DE MANUFACTURA" u="1"/>
        <s v="COORDINADOR BODEGA I" u="1"/>
        <s v="Ejecutivo Comercial " u="1"/>
        <s v="Auxiliar Ingeniería - Laminación" u="1"/>
        <s v="Analista Senior Financiero" u="1"/>
        <s v="ANALISTA CENTRO DE ENTRENAMIENTO" u="1"/>
        <s v="AUXILIAR ADMINISTRATIVO CONTABILIDAD" u="1"/>
        <s v="Analista de Formacion" u="1"/>
        <s v="OPERARIO MAQUINA ANESTESICOS" u="1"/>
        <s v="Analista 2 BI" u="1"/>
        <s v="Director Canal de Relaciones institucionales" u="1"/>
        <s v="ANALISTA VENTAS Y SERVICIO AL CLIENTE" u="1"/>
        <s v="Auxiliar Supernumerario" u="1"/>
        <s v="Auxiliar Distribucion" u="1"/>
        <s v="Ingeniero De Proceso Pb / Mdf" u="1"/>
        <s v="Administrador de Tienda A" u="1"/>
        <s v="AUXILIAR ABASTECIMIENTO E INVENTARIOS" u="1"/>
        <s v="Analista de Seguridad de la Información" u="1"/>
        <s v="Operario Secadora" u="1"/>
        <s v="INSPECTOR CALIDAD" u="1"/>
        <s v="Analista de Formación" u="1"/>
        <s v="Administrador de Riesgos" u="1"/>
        <s v="ANALISTA MERCADEO II" u="1"/>
        <s v="COORDINADOR GESTION DE RIESGOS Y SARLAFT" u="1"/>
        <s v="Analista 1 BI" u="1"/>
        <s v="SUBDIRECTOR CONTABLE" u="1"/>
        <s v="EJECUTIVO COMERCIAL" u="1"/>
        <s v="Conserje" u="1"/>
        <s v="OPERADOR GRÚA" u="1"/>
        <s v="Operario Afilado" u="1"/>
        <s v="Auxiliar de Seguros" u="1"/>
        <s v="Analista  de Infraestuctura y Seguridad Informatica" u="1"/>
        <s v="Director Ingeniería" u="1"/>
        <s v="AUXILIAR TECNICO CAD CAM" u="1"/>
        <s v="COORDINADOR ADMINISTRACIÓN DOCUMENTOS" u="1"/>
        <s v="ANALISTA SISTEMAS III" u="1"/>
        <s v="DIRECTOR AUDITORÍA" u="1"/>
        <s v="ANALISTA TESORERIA  III " u="1"/>
        <s v="ANALISTA DE INFORMACIÓN" u="1"/>
        <s v="JEFE DE LOGÍSTICA" u="1"/>
        <s v="Analista de Mantenimiento" u="1"/>
        <s v="Lider De Montajes" u="1"/>
        <s v="Especialista SAP" u="1"/>
        <s v="Líder Produccion - MDF y C2" u="1"/>
        <s v="Coordinadora de Beneficios Sociales" u="1"/>
        <s v="Ejecutivo de Cuenta" u="1"/>
        <s v="Operario Sierras" u="1"/>
        <s v="INSPECTOR DE CAMPO" u="1"/>
        <s v="ANALISTA SELECCION" u="1"/>
        <s v="Subdirector de abastecimiento" u="1"/>
        <s v="DIRECTOR ALMACENAMIENTO" u="1"/>
        <s v="Tecnico Mantenimiento Electrectricista" u="1"/>
        <s v="Auxiliar de producción" u="1"/>
        <s v="GERENTE DESARROLLO ORGANIZACIONAL" u="1"/>
        <s v="JEFE DPTO. PRODUCCION" u="1"/>
        <s v="COORDINADOR PRODUCCIÓN BANANO STA. MARTA" u="1"/>
        <s v="GERENTE DE PRODUCTIVIDAD" u="1"/>
        <s v="AUXILIAR DE TICS" u="1"/>
        <s v="Coordinadora Arquitectura Empresarial" u="1"/>
        <s v="ANALISTA CONTABLE" u="1"/>
        <s v="Dibujante Junior" u="1"/>
        <s v="Coordinador de Almacen" u="1"/>
        <s v="ANALISTA TI BASES DE DATOS" u="1"/>
        <s v="Coordinador Ventas Internacionales" u="1"/>
        <s v="ANALISTA DE MANTENIMIENTO OPERATIVO" u="1"/>
        <s v="Gerente Planta de Cueros" u="1"/>
        <s v="Profesional de Desarrollo Organizacional" u="1"/>
        <s v="Auxiliar de Verificación Operaciones" u="1"/>
        <s v="Coordinador de Tecnologia" u="1"/>
        <s v="Desarrollador De Producto" u="1"/>
        <s v="OPERADORES DE PATIO MONTALLANTAS" u="1"/>
        <s v="Director Desarrollo Organizacional" u="1"/>
        <s v="Analista Web" u="1"/>
        <s v="Dibujante Senior" u="1"/>
        <s v="Analista de Talento Humano - SST" u="1"/>
        <s v="Jefe Comercial" u="1"/>
        <s v="Analista de Soporte Tecnico" u="1"/>
        <s v="Pulidor De Metal" u="1"/>
        <s v="Líder Innovación" u="1"/>
        <s v="ANALISTA IMPORTACIONES Y REGIMEN CAMBIARIO" u="1"/>
        <s v="JEFE DE SEGURIDAD Y PROTECCIÓN" u="1"/>
        <s v="Director de planeacion y proyectos" u="1"/>
        <s v="GERENTE DE FUNDACIÓN" u="1"/>
        <s v="Auxiliar Costos e Inventarios " u="1"/>
        <s v="Asistente Exportaciones " u="1"/>
        <s v="Profesional de Desarrollo Humano" u="1"/>
        <s v="AUXILIAR ADMINISTRATIVO CONTROL CALIDAD" u="1"/>
        <s v="Analista de Planeacion Financiera" u="1"/>
        <s v="AUXILIAR ADMINISTRATIVO II" u="1"/>
        <s v="Coordinador De Producto Terminado" u="1"/>
        <s v="Analista selección y desarrollo humano" u="1"/>
        <s v="Coordinador Administrativo y Financiero" u="1"/>
        <s v="ANALISTA GARANTIA DE CALIDAD" u="1"/>
        <s v="TÉCNICO DE TI" u="1"/>
        <s v="Director Canal Accesorios" u="1"/>
        <s v="COORDINADOR PLANEACION DE LA DEMANDA" u="1"/>
        <s v="AUXILIAR CONTRATACIÓN" u="1"/>
        <s v="Auxiliar de Prevencion de Riesgos" u="1"/>
        <s v="Analista de Comunicaciones" u="1"/>
        <s v="COORDINADOR CALIDAD SNACKS" u="1"/>
        <s v="Coordinador Visual Merchandising" u="1"/>
        <s v="Asesor Tecnico Nacional" u="1"/>
        <s v="MAQUINISTA REMOLCADOR" u="1"/>
        <s v="AUXILIAR MICROBIOLOGIA ESPECIALIZADO" u="1"/>
        <s v="Especialista de Compras Core" u="1"/>
        <s v="Auxiliar Cartera" u="1"/>
        <s v="Coordinador de Fabricantes Externos" u="1"/>
        <s v="Coordinador Cartera y Recuperación" u="1"/>
        <s v="Profesional Presupuestador" u="1"/>
        <s v="Auxiliar Administrativa de Bienestar al Asociado" u="1"/>
        <s v="Analista de Almacen" u="1"/>
        <s v="Operario control Room" u="1"/>
        <s v="Coordinadora de Cartera" u="1"/>
        <s v="Coordinador de Formacion" u="1"/>
        <s v="ANALISTA DE COMPRAS AGENCIAS" u="1"/>
        <s v="Secretaria Gerencia" u="1"/>
        <s v="Coordinador Gestión Humana A" u="1"/>
        <s v="Operario Astilladora " u="1"/>
        <s v="AUXILIAR LOGISTICA I" u="1"/>
        <s v="AUXILIAR COMPENSACION" u="1"/>
        <s v="SUPERVISOR PROCESO DIENTES TERMINACION" u="1"/>
        <s v="ANALISTA DOCUMENTAL DE DISPOSITIVOS MEDICOS" u="1"/>
        <s v="ANALISTA INVESTIGACION DISPOSITIVOS MEDICOS" u="1"/>
        <s v="COORDINADOR MONEDA NACIONAL" u="1"/>
        <s v="Director Tecnología de Información" u="1"/>
        <s v="Analista Financiero" u="1"/>
        <s v="Jefe Tesoreria" u="1"/>
        <s v="COORDINADOR PROCESOS CONTABLES Y CONTROL INTERNO" u="1"/>
        <s v="COORDINADOR CENTRO DE SOPORTE" u="1"/>
        <s v="ANALISTA NOMINA" u="1"/>
        <s v="Coordinador de Zona Nappa" u="1"/>
        <s v="ANALISTA VALIDACIONES" u="1"/>
        <s v="Auxiliar Aseo y Cafeteria" u="1"/>
        <s v="AUXILIAR ADMINISTRATIVO CONTABILIDAD Y CONTROL INTERNO" u="1"/>
        <s v="ANALISTA ARQUITECTURA EMPRESARIAL" u="1"/>
        <s v="Lider Proyectos" u="1"/>
        <s v="Profesional en Contabilidad" u="1"/>
        <s v="Coordinador de Procesos Contables" u="1"/>
        <s v="ANALISTA VALIDACIONES - CALIFICACIÓN DE EQUIPOS" u="1"/>
        <s v="COORDINADOR VALIDACIONES" u="1"/>
        <s v="Coordinadora Gestión Humana" u="1"/>
        <s v="Jefe de Diseño" u="1"/>
        <s v="Developer front end" u="1"/>
        <s v="AUXILIAR BIOMATERIALES" u="1"/>
        <s v="ANALISTA DE COMPRAS E INV" u="1"/>
        <s v="Técnico en Recepción" u="1"/>
        <s v="Asistente Contabilidad " u="1"/>
        <s v="Coordinador de Desarrollo Humano" u="1"/>
        <s v="Auxiliar de Procesos" u="1"/>
        <s v="OPERARIO LIDER" u="1"/>
        <s v="SUPERVISOR ABASTECIMIENTO FRUTA" u="1"/>
        <s v="Abogado" u="1"/>
        <s v="Gerente Cadena de Suministros" u="1"/>
        <s v="Especialista de Infraestructura" u="1"/>
        <s v="Desarrollador Origami" u="1"/>
        <s v="Coordinadora de Informática" u="1"/>
        <s v="Auxiliar de Cartera" u="1"/>
        <s v="COORDINADOR SERVICIOS  ADMINISTRATIVOS" u="1"/>
        <s v="Profesional Jurídico" u="1"/>
        <s v="ANALISTA ARCHIVO I" u="1"/>
        <s v="Director de Mercadeo" u="1"/>
        <s v="Tornero" u="1"/>
        <s v="SUPERVISOR CONTENEDORES" u="1"/>
        <s v="ANALISTA ESPECIALIZADO INVESTIGACION" u="1"/>
        <s v="Subgerente de Desarrollo" u="1"/>
        <s v="Jefe de Talento Humano" u="1"/>
        <s v="Coordinador Logistico Transporte" u="1"/>
        <s v="ANALISTA BIENESTAR" u="1"/>
        <s v="JEFE DEPÓSITO DE ADUANA" u="1"/>
        <s v="COORDINADOR PRODUCCIÓN AGRICOLA" u="1"/>
        <s v="Gestor Social" u="1"/>
        <s v="COORDINADOR CRM Y SERVICIO AL CLIEN" u="1"/>
        <s v="Jefe de Fidelizacion" u="1"/>
        <s v="Auxiliar gestion Base de Datos" u="1"/>
        <s v="Analista de Creditos " u="1"/>
        <s v="Analista Laboratorio MDF" u="1"/>
        <s v="Ludotecario" u="1"/>
        <s v="Coordinador Ahorro y Crédito Canal Alternativo" u="1"/>
        <s v="Analista de Redes y circuito economico" u="1"/>
        <s v="MOTORISTA EMBARCACIÓN" u="1"/>
        <s v="Analista Planta de Cueros" u="1"/>
        <s v="Bodeguero de Tienda" u="1"/>
        <s v="ANALISTA ABASTECIMIENTO" u="1"/>
        <s v="Ayudante Patios" u="1"/>
        <s v="Tecnico Mantenimiento Mecanico" u="1"/>
        <s v="OPERARIOS LAVADORES" u="1"/>
        <s v="Director de Negociacion" u="1"/>
        <s v="Coordinador Comercial y de Operaciones" u="1"/>
        <s v="Secretaria de Gerencia" u="1"/>
        <s v="Técnico en TIC e Infraestructura" u="1"/>
        <s v="ANALISTA MICROBIOLOGIA" u="1"/>
        <s v="ANALISTA SISO" u="1"/>
        <s v="Coordinador de Transporte" u="1"/>
        <s v="Gerente Gente y Comunicaciones" u="1"/>
        <s v="Auxiliar operación parqueaderos" u="1"/>
        <s v="Montacarguista" u="1"/>
        <s v="Operario Encoladora" u="1"/>
        <s v="Oficial de Seguridad de la Información" u="1"/>
        <s v="Líder Auditoria" u="1"/>
        <s v="ANALISTA DE MANTENIMIENTO - Abastecimiento" u="1"/>
        <s v="COORDINADOR AMBIENTAL" u="1"/>
        <s v="Asesor Comercial II - Láminas" u="1"/>
        <s v="Director TIC´S" u="1"/>
        <s v="Analista 1 Datamining" u="1"/>
        <s v="Analista 2 Datamining" u="1"/>
        <s v="Analista 3 Datamining" u="1"/>
        <s v="ANALISTA DE TERCEROS" u="1"/>
        <s v="ANALISTA DE MANTENIMIENTO ADMINISTRATIVO" u="1"/>
        <s v="Auxiliar de Ingenieria" u="1"/>
        <s v="Gestor solidaridad, prevención y seguridad social" u="1"/>
        <s v="COORDINADOR DESARROLLO HUMANO" u="1"/>
        <s v="SUPERVISOR PROCESO PLASTICOS" u="1"/>
        <s v="Cientifico de Datos Senior" u="1"/>
        <s v="COORDINADOR  ALMACÉN  SANTA MARTA" u="1"/>
        <s v="Jefe de Sistemas (vector digital)" u="1"/>
        <s v="Analista de Impuestos" u="1"/>
        <s v="Ingeniero Planeacion y Control de Mantenimiento" u="1"/>
        <s v="Coordinador Gestion del Cambio" u="1"/>
        <s v="Director de Investigacion y Desarrollo" u="1"/>
        <s v="COORDINADOR LOGÍSTICA" u="1"/>
        <s v="Coordinador Mesa de Ayuda" u="1"/>
        <s v="Analista Transporte" u="1"/>
        <s v="Director Financiero" u="1"/>
        <s v="COORDINADOR VENTAS" u="1"/>
        <s v="Jefe en Diseño de Prendas" u="1"/>
        <s v="ANALISTA ERP" u="1"/>
        <s v="Auxiliar SARLAFT" u="1"/>
        <s v="ANALISTA ESPECIALIZADO POLIMEROS" u="1"/>
        <s v="Director Fabricación Digital" u="1"/>
        <s v="AUXILIAR SERVICIOS ADMINISTRATIVOS" u="1"/>
        <s v="Lider Costos y Presupuestos" u="1"/>
        <s v="SUPERVISOR PRODUCCIÓN MANUFACTURA" u="1"/>
        <s v="Auxiliar Procesos Regional Ventas" u="1"/>
        <s v="COORDINADOR MERCADEO SOLUCIONES DENTALES" u="1"/>
        <s v="OPERADOR DE PRODUCCIÓN" u="1"/>
        <s v="Coordinador de Redes Sociales" u="1"/>
        <s v="ANALISTA GESTION HUMANA BOGOTÁ" u="1"/>
        <s v="Analista de Fidelizacion" u="1"/>
        <s v="Profesional Estructural Senior" u="1"/>
        <s v="Analista de Servicio al Cliente" u="1"/>
        <s v="Auxiliar de Calidad" u="1"/>
        <s v="Operario De Montacargas" u="1"/>
        <s v="Coordinador Silvicultura" u="1"/>
        <s v="Líder de Cartera" u="1"/>
        <s v="ANALISTA ADMINISTRACIÓN DOCUMENTAL" u="1"/>
        <s v="Jefe de Unidad de Negocio (Calzado Masc)" u="1"/>
        <s v="Director de Productos y Servicio" u="1"/>
        <s v="Analista de Logistica" u="1"/>
        <s v="Director Desarrollo Humano y Organizacional" u="1"/>
        <s v="JEFE TESORERÍA" u="1"/>
        <s v="Operario Formol" u="1"/>
        <s v="Operario IFA" u="1"/>
        <s v="Analista Informacion Comercial" u="1"/>
        <s v="Analista Senior de Inteligencia de Negocio" u="1"/>
        <s v="Jefe de Gestion Comercial" u="1"/>
        <s v="Profesional Eléctrico Junior" u="1"/>
        <s v="Técnico en Logística e Infraestructura" u="1"/>
        <s v="OPERARIO TECNICO LOCATIVO" u="1"/>
        <s v="Lider Logistica Internacional y Aduanas" u="1"/>
        <s v="ANALISTA SERVICIO AL CLIENTE" u="1"/>
        <s v="Analista Ingenieria de Procesos" u="1"/>
        <s v="Coordinador Operaciones TI" u="1"/>
        <s v="AUXILIAR ADMINISTRATIVO IMPORTACIONES REGIMEN CAMBIARIO" u="1"/>
        <s v="ANALISTA AGUAS Y SUELOS" u="1"/>
        <s v="GERENTE DE SERVICIOS AL CAMPO" u="1"/>
        <s v="COORDINADOR GESTION HUMANA - URABÁ" u="1"/>
        <s v="Especialista en Diseño Grafico" u="1"/>
        <s v="JEFE SERVICIOS A EMPLEADOS Y ADMITIVOS." u="1"/>
        <s v="Jefe de Mercadeo" u="1"/>
        <s v="Analista Audiovisual" u="1"/>
        <s v="Analista de Mercadeo Internacional" u="1"/>
        <s v="AUXILIAR ADMINISTRATIVO GESTION DOCUMENTAL" u="1"/>
        <s v="Desarrollador Tecnología" u="1"/>
        <s v="ANALISTA FACTURACIÓN Y CUMPLIDOS" u="1"/>
        <s v="AUXILIAR GESTION HUMANA" u="1"/>
        <s v="Director de Auditoria Interna" u="1"/>
        <s v="COORDINADOR ADVO Y LOGIST CARTAGENA " u="1"/>
        <s v="Analista Marca" u="1"/>
        <s v="Operario Prensa Laminacion" u="1"/>
        <s v="ANALISTA PROYECTOS E INGENIERIA" u="1"/>
        <s v="Director de Redes y Circuito Economico" u="1"/>
        <s v="ANALISTA MERCADEO I" u="1"/>
        <s v="ANALISTA LIQUIDACIÓN EMBARQUES" u="1"/>
        <s v="COORDINADOR INFORMACIÓN MERCADEO-VENTAS" u="1"/>
        <s v="AUXILIAR IMPUESTOS" u="1"/>
        <s v="Lider Planta Manizales" u="1"/>
        <s v="Profesional en Mejoramiento e Innovación" u="1"/>
        <s v="Analista Redes Sociales" u="1"/>
        <s v="JEFE PRODUCCIÓN BANANO" u="1"/>
        <s v="JEFE DE DISTRIBUCION LOGISTICA" u="1"/>
        <s v="Director de Oficina" u="1"/>
        <s v="Coordinador de Tiendas" u="1"/>
        <s v="SUPERVISOR PROFESIONAL CONTROL CALIDAD" u="1"/>
        <s v="ANALISTA VALIDACIONES DISPOSITIVOS MEDICOS" u="1"/>
        <s v="Operario Embalaje" u="1"/>
        <s v="AUXILIAR ADMINISTRATIVO AUDIOVISUALES" u="1"/>
        <s v="AUXILIAR TESORERIA" u="1"/>
        <s v="Analista de Sourcing" u="1"/>
        <s v="Director de Operaciones" u="1"/>
        <s v="Coordinadora Contable" u="1"/>
        <s v="Jefe Planta de Cueros" u="1"/>
        <s v="ADMINISTRADOR ALMACEN 1" u="1"/>
        <s v="Analista Lider de Desarrollo" u="1"/>
        <s v="Coordinador Comercial y Trademarketing" u="1"/>
        <s v="Analista de Desarrollo" u="1"/>
        <s v="Lider Mercadeo" u="1"/>
        <s v="ANALISTA SALUD Y SEGURIDAD" u="1"/>
        <s v="Ingeniero Procesos Linea Acabado" u="1"/>
        <s v="Analista Tic" u="1"/>
        <s v="ANALISTA INVESTIGACIÓN Y DESARROLLO" u="1"/>
        <s v="Auxiliar de Administrativo y compras" u="1"/>
        <s v="JEFE SANIDAD VEGETAL" u="1"/>
        <s v="Coordinador de Planeacion de la Oferta" u="1"/>
        <s v="Ayudante Acabados" u="1"/>
        <s v="Profesional Eléctrico Senior" u="1"/>
        <s v="Ingeniero Mantenimiento Eléctronico" u="1"/>
        <s v="Director de Contabilidad e Impuestos" u="1"/>
        <s v="Analista Comercial" u="1"/>
        <s v="Analista de Auditoria Inventarios" u="1"/>
        <s v="Analista de Comunicacion de Marca" u="1"/>
        <s v="Analista de Información y Mejoras" u="1"/>
        <s v="JEFE DPTO. PROYECTOS" u="1"/>
        <s v="Auxiliar Compras" u="1"/>
        <s v="COORDINADOR LOGISTICO/ INTERVENTORÍA CONSORCIO " u="1"/>
        <s v="ASISTENTE DE AUDITORÍA" u="1"/>
        <s v="Analista Diseño Gráfico" u="1"/>
        <s v="Coordinador de Herramienta" u="1"/>
        <s v="Auxiliar de Auditoria" u="1"/>
        <s v="Cientifico de Datos " u="1"/>
        <s v="Diseñador Gráfico" u="1"/>
        <s v="DIRECTOR TECNICO COSMETICOS" u="1"/>
        <s v="ANALISTA INVESTIGACIÓN COSMÉTICOS" u="1"/>
        <s v="Gerente de Gestion Humana" u="1"/>
        <s v="Coordinador Ambientaly Calidad" u="1"/>
        <s v="Auxiliar de Corresponsales " u="1"/>
        <s v="ANALISTA CARTERA III" u="1"/>
        <s v="Especialista en Diseño de Moda" u="1"/>
        <s v="Auxiliar de Marketing Relacional" u="1"/>
        <s v="ANALISTA SOPORTE TIC" u="1"/>
        <s v="Coordinador de Logistica" u="1"/>
        <s v="COORDINADOR MESA DE DINERO" u="1"/>
        <s v="COORDINADOR NACIONAL DE FLOTAS" u="1"/>
        <s v="ADMINISTRADOR ALMACEN 2" u="1"/>
        <s v="COORDINADOR RESINAS ACRILICAS" u="1"/>
        <s v="Auxiliar de Servicios" u="1"/>
        <s v="Jefe de Logistica" u="1"/>
        <s v="Especialista de Deportes" u="1"/>
        <s v="Gestor Social Senior" u="1"/>
        <s v="Auxiliar SST" u="1"/>
        <s v="AUXILIAR CAJERA III" u="1"/>
        <s v="COORDINADOR MENSAJERIA" u="1"/>
        <s v="Analista Desarrollo TIC (Software)" u="1"/>
        <s v="GERENTE PLANEACION Y RIESGOS" u="1"/>
        <s v="Coordinador de Planeacion de la Demanda" u="1"/>
        <s v="AUXILIAR SISTEMAS IV - Med" u="1"/>
        <s v="Analista Sistemas" u="1"/>
        <s v="Supernumerario" u="1"/>
        <s v="Key Account Manager" u="1"/>
        <s v="Residente de obra" u="1"/>
        <s v="ASISTENTE GERENCIA DE COMPRAS" u="1"/>
        <s v="COORDINADOR DE TICS" u="1"/>
        <s v="COORDINADOR OPERACIONES ALMACEN" u="1"/>
        <s v="Jefe de Ingenieria" u="1"/>
        <s v="Analista Diseño Organizacional" u="1"/>
        <s v="AUXILIAR DE FACTURACIÓN" u="1"/>
        <s v="Especialista de Producto" u="1"/>
        <s v="Coordinador de Proyectos" u="1"/>
        <s v="Operario Montacargas 14" u="1"/>
        <s v="Servicios Generales" u="1"/>
        <s v="DIRECTOR TECNICO ANESTESICOS" u="1"/>
        <s v="COORDINADOR ADMON.TRIBUTARIA Y CAUSACION" u="1"/>
        <s v="Analista de Garantías" u="1"/>
        <s v="Analista Sistemas de Gestión" u="1"/>
        <s v="GERENTE OPERACIONES" u="1"/>
        <s v="Analista de Costos y Presupuestos" u="1"/>
        <s v="Analista de Riesgos" u="1"/>
        <s v="AUXILIAR ADMINISTRATIVO DISEÑO Y PUBLICIDAD" u="1"/>
        <s v="Profesional Hidrosanitario Senior" u="1"/>
        <s v="Gerente de Ventas" u="1"/>
        <s v="ADMINISTRADOR ALMACEN 3" u="1"/>
        <s v="OPERARIOS DE RIESGO" u="1"/>
        <s v="Especialista en Diseño Digital" u="1"/>
        <s v="Asesor de Tienda" u="1"/>
        <s v="COORDINADOR GESTIÓN TECNOLÓGICA" u="1"/>
        <s v="COORDINADOR  VENTAS SNACKS" u="1"/>
        <s v="Auxiliar Gente y Comunicaciones" u="1"/>
        <s v="Director de Desarrollo Organizacional" u="1"/>
        <s v="COORDINADOR ADMINISTRATIVO  ALMACÉN" u="1"/>
        <s v="Operario Resinas " u="1"/>
        <s v="Coordinador Selección y Desarrollo" u="1"/>
        <s v="Profesional Mecánico Junior" u="1"/>
        <s v="Auxiliar Convenios" u="1"/>
        <s v="Especialista en Formacion Comercial" u="1"/>
        <s v="Lider Mantenimiento Mecanico" u="1"/>
        <s v="Supervisor" u="1"/>
        <s v="Director de Producción (Plantas de Corte, Bolsos, Calzado)" u="1"/>
        <s v="AUXILIAR CARTERA IV" u="1"/>
        <s v="ANALISTA VALIDACIONES - SISTEMA APOYO CRITICO" u="1"/>
        <s v="Gestor Convenios" u="1"/>
        <s v="ANALISTA ASUNTOS LEGALES" u="1"/>
        <s v="Jefe De Interventoria (proyectos/logística)" u="1"/>
        <s v="Director de Planta de Cueros" u="1"/>
        <s v="VICEPRESIDENTE FINANCIERO" u="1"/>
        <s v="TÉCNICO DE MANTENIMIENTO ESPECIALIZADO" u="1"/>
        <s v="Cajero" u="1"/>
        <s v="ANALISTA METODOS Y COSTOS" u="1"/>
        <s v="Líder de Gestión y Talento" u="1"/>
        <s v="COORDINADOR GESTION HUMANA" u="1"/>
        <s v="Ayudante Moduladora" u="1"/>
        <s v="JEFE DE TECNOLOGIA INFORMATICA" u="1"/>
        <s v="ANALISTA PLANEACION FINANCIERA" u="1"/>
        <s v="Analista Cultura y Riesgo Psicosocial" u="1"/>
        <s v="Líder Produccion - Aglomerados" u="1"/>
        <s v="Lider Produccion Resinas E Impregnacion" u="1"/>
        <s v="Auxiliar Ejecutivo" u="1"/>
        <s v="Administrador de Sistemas" u="1"/>
        <s v="ANALISTA COMUNICACION INTERNA" u="1"/>
        <s v="ADMINISTRADOR ALMACEN 4" u="1"/>
        <s v="AUXILIAR ADMINISTRATIVO POLIMERIZACIÓN" u="1"/>
        <s v="Recepcionista" u="1"/>
        <s v="JEFE DPTO. MERCADEO Y SERVICIO AL CLIENTE" u="1"/>
        <s v="Operario Planta Agua " u="1"/>
        <s v="Analista de Infraestructura" u="1"/>
        <s v="Director de Creditos y Cartera" u="1"/>
        <s v="Director Comercial" u="1"/>
        <s v="AUXILIAR TECNICO DE LLANTAS" u="1"/>
        <s v="GERENTE COMERCIAL" u="1"/>
        <s v="ANALISTA CARTERA" u="1"/>
        <s v="COORDINADOR VENTAS BOGOTÁ" u="1"/>
        <s v="ANALISTA ESPECIALIZADO DISENO PIEZAS DENTALES" u="1"/>
        <s v="ANALISTA DESARROLLO CORPORATIVO" u="1"/>
        <s v="Analista TICs" u="1"/>
        <s v="Auxiliar Canal Microfinanzas" u="1"/>
        <s v="ANALISTA GESTION HUMANA III" u="1"/>
        <s v="Auxiliar de Tesorería" u="1"/>
        <s v="Director de Analítica" u="1"/>
        <s v="ANALISTA FARMACEUTICO" u="1"/>
        <s v="Jefe de Créditos" u="1"/>
        <s v="Gestor de Seguros Senior" u="1"/>
        <s v="Jefe Operaciones Internacionales" u="1"/>
        <s v="AUXILIAR ADMINISTRATIVO DISENO" u="1"/>
        <s v="COORDINADOR DE LOGÍSTICA" u="1"/>
        <s v="COORDINADOR GESTION DEL CONOCIMIENTO" u="1"/>
        <s v="Jefe de Gestion Humana y Administrativo" u="1"/>
        <s v="ADMINISTRADOR ALMACEN 5" u="1"/>
        <s v="Planeador de la Demanda" u="1"/>
        <s v="Coordinador Gestión de Terceros" u="1"/>
        <s v="JEFE ABASTECIMIENTO Y COMERCIO EXTERIOR" u="1"/>
        <s v="COORDINADOR METROLOGIA" u="1"/>
        <s v="Supervisor de obra" u="1"/>
        <s v="ANALISTA DE SEGUROS" u="1"/>
        <s v="ANALISTA LOGISTICA II" u="1"/>
        <s v="Gerente Forestal" u="1"/>
        <s v="Auxiliar Logístico de Eventos de Bienestar " u="1"/>
        <s v="Analista de Créditos" u="1"/>
        <s v="Analista Comunicaciones" u="1"/>
        <s v="JEFE ASTILLEROS " u="1"/>
        <s v="Auxiliar de Gerencia" u="1"/>
        <s v="AUXILIAR ADMINISTRATIVO GESTION HUMANA" u="1"/>
        <s v="Gerente de Mercadeo" u="1"/>
        <s v="Coordinador SST Planta" u="1"/>
        <s v="Analista Laboratorio De Aguas" u="1"/>
        <s v="Operario Linea Impregnacion" u="1"/>
        <s v="Analista de Fidelización" u="1"/>
        <s v="Gerente Desarrollo de Soluciones" u="1"/>
        <s v="Coordinador de Marketing Relacional" u="1"/>
        <s v="Coordinador de CAD" u="1"/>
        <s v="AUXILIAR ADMINISTRATIVO RECEPCION PLANTA" u="1"/>
        <s v="Líder Comercial" u="1"/>
        <s v="Jefe de Unidad de Negocio (Calzado Fem)" u="1"/>
        <s v="Analista Senior de Comunicaciones" u="1"/>
        <s v="AUXILIAR CONDUCTOR" u="1"/>
        <s v="Analistas Soporte TIC (Hardware)" u="1"/>
        <s v="Jefe De Diseño Organizacional HCM" u="1"/>
        <s v="COORDINADOR LOGISTICA COMERCIAL TMA" u="1"/>
        <s v="CONTRAMAESTRE" u="1"/>
        <s v="Director de Riesgos" u="1"/>
        <s v="Técnico Mantenimiento Electrónico Senior" u="1"/>
        <s v="Auxiliar Canal Externo" u="1"/>
        <s v="Analista de Producción" u="1"/>
        <s v="ANALISTA COMPRAS I" u="1"/>
        <s v="PLANTERO SERVICIOS GENERALES" u="1"/>
        <s v="ANALISTA PROTECCIÓN DE DATOS PERSONALES" u="1"/>
        <s v="Lider Investigacion Desarrollo y Calidad" u="1"/>
        <s v="AUXILIAR DE SISTEMAS DE GESTIÓN" u="1"/>
        <s v="JEFE PRODUCCIÓN Y DISTRIBUCIÓN CARTON" u="1"/>
        <s v="AUXILIAR ADMINISTRATIVO POLIMEROS" u="1"/>
        <s v="AUXILIAR DE SERVICIOS A EMPLEADO Y ADMIN" u="1"/>
        <s v="COORDINADOR INFORMACIÓN PROD. BANANO" u="1"/>
        <s v="Auxiliar de CAD" u="1"/>
        <s v="Especialista en Promesas" u="1"/>
        <s v="JEFE DE MANUFACTURA" u="1"/>
        <s v="AUXILIAR GESTION HUMANA II" u="1"/>
        <s v="AUXILIAR ADMINISTRATIVO VALIDACIONES" u="1"/>
        <s v="ANALISTA MERCADEO Y VENTAS" u="1"/>
        <s v="JEFE PRODUCCIÓN SNACKS" u="1"/>
        <s v="Auxiliar Infraestructura" u="1"/>
        <s v="ANALISTA TECNICO COMERCIAL" u="1"/>
        <s v="COORDINADOR COSTOS OPERATIVOS" u="1"/>
        <s v="Coordinador de Sistemas" u="1"/>
        <s v="JEFE  COMERCIAL SERVICIOS LOGISTICOS" u="1"/>
        <s v="OPERARIO DE ETIQUETADO" u="1"/>
        <s v="Viverista Forestal" u="1"/>
        <s v="ANALISTA TECNICO GARANTIA DE CALIDAD" u="1"/>
        <s v="Jefe Creativo" u="1"/>
        <s v="Analista de Prevencion de Riesgos" u="1"/>
        <s v="NEGOCIADOR (A)" u="1"/>
        <s v="Director Operaciones" u="1"/>
        <s v="GERENTE FINANCIERO" u="1"/>
        <s v="Profesional Control Junior" u="1"/>
        <s v="AUXILIAR CONTROL DE LA CALIDAD" u="1"/>
        <s v="Especialista de Espacios Comerciales" u="1"/>
        <s v="Coordinador de inteligencia de negocios y Gobierno Datos" u="1"/>
        <s v="OPERARIO DE INSPECCIÓN" u="1"/>
        <s v="JEFE CALIDAD MANUFACTURA" u="1"/>
        <s v="ANALISTA VALIDACIONES - PROCESOS FABRI." u="1"/>
        <s v="AUXILIAR SISTEMAS IV - Otras Ciud" u="1"/>
        <s v="Auxiliar Procesos - láminas" u="1"/>
        <s v="Auxiliar Procesos Administrativos" u="1"/>
        <s v="JEFE DESARROLLO ORGANIZACIONAL" u="1"/>
        <s v="COORDINADOR PRODUCCIÓN BANANO" u="1"/>
        <s v="AUXILIAR SEGURIDAD Y SALUD EN EL TRABAJO" u="1"/>
        <s v="Ayudante Resinas" u="1"/>
        <s v="Coordinador de Distribuidores y Franquic" u="1"/>
        <s v="ANALISTA AMBIENTAL" u="1"/>
        <s v="ANALISTA LOGISTICA I" u="1"/>
        <s v="JEFE DE MERCADEO Y VENTAS" u="1"/>
        <s v="ANALISTA COMPENSACION" u="1"/>
        <s v="AUXILIAR COMERCIAL II" u="1"/>
        <s v="Gestor Parqueaderos" u="1"/>
        <s v="Analista de Proyectos" u="1"/>
        <s v="Asesor de Canal Externo" u="1"/>
        <s v="Secretaría - Recepcionista" u="1"/>
        <s v="AUXILIAR ADMINISTRATIVO PRODUCCION" u="1"/>
        <s v="AUXILIAR CAD" u="1"/>
        <s v="Auxiliar Administrativo y contable" u="1"/>
        <s v="Gerente Gestión Humana" u="1"/>
        <s v="JEFE ALMACÉN COMERCIAL" u="1"/>
        <s v="COORDINADOR APLICACIONES Y GESTION DE INFORMACION" u="1"/>
        <s v="Analista de Cartera " u="1"/>
        <s v="AUXILIAR ADMINISTRACIÓN DOCUMENTOS" u="1"/>
        <s v="AUXILIAR ARCHIVO II - FIN" u="1"/>
        <s v="COORDINADOR NORMAS GESTIÓN" u="1"/>
        <s v="Líder de Riesgos y Estrategia" u="1"/>
        <s v="Analista de Crédito y Operaciones" u="1"/>
        <s v="TÉCNICO ELECTROMECÁNICO" u="1"/>
        <s v="JEFE DPTO. COMPRAS" u="1"/>
        <s v="BODEGUEROS" u="1"/>
        <s v="ANALISTA ENTRENAMIENTO Y CALIFICACION ANESTESICOS" u="1"/>
        <s v="Lider Tecnologia De La Informacion" u="1"/>
        <s v="ANALISTA BIOMATERIALES" u="1"/>
        <s v="ANALISTA TECNICO PROYECTOS" u="1"/>
        <s v="ANALISTA LOGÍSTICO AGENCIAS" u="1"/>
        <s v="Auxiliar Jurídico" u="1"/>
        <s v="Gestor CAD" u="1"/>
        <s v="ANALISTA METROLOGIA" u="1"/>
        <s v="Director de Seguros" u="1"/>
        <s v="Asesor Negociador de cartera " u="1"/>
        <s v="COORDINADOR ODONTOQUIRURGICOS" u="1"/>
        <s v="Analista SST" u="1"/>
        <s v="Analista de Procesos" u="1"/>
        <s v="Técnico en mejoramiento e Innovación" u="1"/>
        <s v="Director Canal Nappa" u="1"/>
        <s v="COORDINADOR DE DESPACHOS" u="1"/>
        <s v="VISITADOR ESPECIALIZADO" u="1"/>
        <s v="AUXILIAR DE CAUSACION" u="1"/>
        <s v="Auxiliar soporte técnico TIC" u="1"/>
        <s v="GERENTE INVESTIGACION Y DESARROLLO" u="1"/>
        <s v="OPERARIO MANUAL" u="1"/>
        <s v="OPERARIO MECANICO ANESTESICOS" u="1"/>
        <s v="MARINO" u="1"/>
        <s v="AUXILIAR RECEPCIONISTA" u="1"/>
        <s v="COORDINADOR ALMACÉN DESPACHOS" u="1"/>
        <s v="JEFE CONTABILIDAD" u="1"/>
        <s v="AUXILIAR DE COMPRAS" u="1"/>
        <s v="Auxiliar de Contabilidad" u="1"/>
        <s v="Coordinador Aprovechamiento y Transporte" u="1"/>
        <s v="Director de Unidad de Negocios (Créditos)" u="1"/>
        <s v="Analista de Canales Tercerizados" u="1"/>
        <s v="COORDINADOR SEG. Y SALUD EN EL TRABAJO" u="1"/>
        <s v="ANALISTA INVESTIGACION" u="1"/>
        <s v="Especialista Tecnico" u="1"/>
        <s v="ANALISTA GESTIÓN INTEGRAL" u="1"/>
        <s v="ANALISTA INVESTIGACION MATERIALES IMPRESIÓN 3D" u="1"/>
        <s v="Lider Planta Yarumal" u="1"/>
        <s v="Analista de Nómina" u="1"/>
        <s v="Jefe de Abastecimiento" u="1"/>
        <s v="Coordinador de Mercadeo Internacional" u="1"/>
        <s v="Especialista en Mejoramiento e Innovación" u="1"/>
        <s v="Técnico en información (CRM)" u="1"/>
        <s v="Ayudante de Conduccion" u="1"/>
        <s v="AUXILIAR COLOR DISEÑO Y DESARROLLO" u="1"/>
        <s v="Especialista de Mantenimiento" u="1"/>
        <s v="Analista de Espacios Comerciales" u="1"/>
        <s v="GERENTE DESARROLLO DE MERCADOS" u="1"/>
        <s v="Gestor de Educación" u="1"/>
        <s v="Director Administrativa" u="1"/>
        <s v="Asesor Operativo" u="1"/>
        <s v="Subgerente de Produccion" u="1"/>
        <s v="Analista de Proyectos Sr" u="1"/>
        <s v="Auxiliar de Correspondencia" u="1"/>
        <s v="AUXILIAR ADMINISTRATIVO BODEGA" u="1"/>
        <s v="AUXILIAR ADMINISTRATIVO" u="1"/>
        <s v="Administrador de Tienda B" u="1"/>
        <s v="Auxiliar Social Media Manager" u="1"/>
        <s v="Especialista de Mercadeo y relacionamiento con el cliente" u="1"/>
        <s v="Operario Viruteadora " u="1"/>
        <s v="Coordinador Mercadeo" u="1"/>
        <s v="COORDINADOR  PRESUPUESTOS" u="1"/>
        <s v="Director Canal Velez" u="1"/>
        <s v="ASISTENTE DE PRESIDENCIA" u="1"/>
        <s v="COORDINADOR COMPENSACION Y SALARIOS" u="1"/>
        <s v="Dependiente Judicial" u="1"/>
        <s v="Analista de Ingenieria" u="1"/>
        <s v="Coordinadora Jurídica" u="1"/>
        <s v="Ejecutivo de Cuentas Especiales" u="1"/>
        <s v="Auxiliar de Distribuidores y Franquicias" u="1"/>
        <s v="Analista Metodologico" u="1"/>
        <s v="Gestor Educación" u="1"/>
        <s v="Analista Laboratorio PB" u="1"/>
        <s v="COORDINADOR SEGURIDAD Y SALUD EN EL TRABAJO" u="1"/>
        <s v="GERENTE LOGÍSTICA" u="1"/>
        <s v="Jefe De Planeacion Y Produccion" u="1"/>
        <s v="Analista Canal Digital" u="1"/>
        <s v="COORDINADOR CONTENEDORES" u="1"/>
        <s v="AUXILIAR COMERCIO EXTERIOR" u="1"/>
        <s v="Analista de Relaciones Laborales" u="1"/>
        <s v="Ingeniero Mantenimiento Mecánico" u="1"/>
        <s v="Coordinador de Servicios Generales" u="1"/>
        <s v="ANALISTA GESTION ADMINISTRATIVA Y PROCESOS" u="1"/>
        <s v="Director de Proyectos" u="1"/>
        <s v="Tesorero" u="1"/>
        <s v="Director Servicio y Experiencia al Asociado" u="1"/>
        <s v="Subdirector Regional" u="1"/>
        <s v="Coordinador Sistemas" u="1"/>
        <s v="Inspector" u="1"/>
        <s v="Jefe Regional Tiendas Master" u="1"/>
        <s v="ASESOR COMERCIAL EXPORTACIONES" u="1"/>
        <s v="Analista Compras" u="1"/>
        <s v="ANALISTA SERVICIOS ADMINISTRATIVOS" u="1"/>
        <s v="Especialista de Modelado" u="1"/>
        <s v="Coordinador Comunicaciones" u="1"/>
        <s v="Auxiliar Contabilidad" u="1"/>
        <s v="Coordinador Gestion Ambiental" u="1"/>
        <s v="Promotor Técnico en Seguros" u="1"/>
        <s v="ANALISTA INVESTIGACION SOLUCIONES PROTESICAS" u="1"/>
        <s v="PRESIDENTE" u="1"/>
        <s v="COORDINADOR SST" u="1"/>
        <s v="SUPERVISOR PLANTA DE TRATAMIENTO" u="1"/>
        <s v="Auxiliar Inventarios" u="1"/>
        <s v="Director Costos y Presupuestos" u="1"/>
        <s v="Auxiliar Lubricación" u="1"/>
        <s v="AUXILIAR ADMINISTRATIVO Y LOGISTICO" u="1"/>
        <s v="ANALISTA TECNICO RESINAS ACRILICAS" u="1"/>
        <s v="ANALISTA GESTION HUMANA I" u="1"/>
        <s v="Analista de Calidad" u="1"/>
        <s v="GERENTE ASUNTOS INSTITUCIONALES" u="1"/>
        <s v="COORDINADOR CAJAS" u="1"/>
        <s v="JEFE DPTO. CANAL INSTITUCIONAL" u="1"/>
        <s v="AUXILIAR ADMINISTRATIVO GESTIÓN DEL CONOCIMIENTO" u="1"/>
        <s v="OPERARIOS DE INSPECCION" u="1"/>
        <s v="COORDINADOR TÉCNICO DE DISPOSITIVOS MEDICOS" u="1"/>
        <s v="Coordinador Administrativo" u="1"/>
        <s v="Asesor Canales alternativos" u="1"/>
        <s v="Soldador" u="1"/>
        <s v="Coordinador de Atraccion del Talento" u="1"/>
        <s v="Analista Administrativo y Financiero" u="1"/>
        <s v="Especialista en Diseño de Moda Junior" u="1"/>
        <s v="Especialista de Negociacion" u="1"/>
        <s v="Operario Bascula" u="1"/>
        <s v="Auxiliar de Gestión Documental" u="1"/>
        <s v="Operario Montacargas Impregnacion" u="1"/>
        <s v="ANALISTA SOLUCIONES PROTESICAS" u="1"/>
        <s v="AUXILIAR ADMINISTRATIVO PROGRAMACIÓN DE PRODUCCIÓN" u="1"/>
        <s v="Negociador" u="1"/>
        <s v="Líder Técnico" u="1"/>
        <s v="Mecanico De Mantenimiento" u="1"/>
        <s v="AUXILIAR TI" u="1"/>
        <s v="ANALISTA MERCADEO III" u="1"/>
        <s v="Analista Calidad de Vida" u="1"/>
        <s v="Jefe de Compra de Cueros" u="1"/>
        <s v="Auxiliar en Diseño de Moda" u="1"/>
        <s v="Lider Ambiental y Sistema Integrado De Gestion" u="1"/>
        <s v="Jefe de Microfinanzas" u="1"/>
        <s v="OPERARIO MEZCLAS Y DOSIFICACIÓN" u="1"/>
        <s v="JEFE MANTENIMIENTO MANUFACTURA" u="1"/>
        <s v="JEFE CADENA DE ABASTECIMIENTO" u="1"/>
        <s v="Analista Diseño" u="1"/>
        <s v="Jefe de Créditos y Cartera" u="1"/>
        <s v="ANALISTA COMERCIAL MAYOR II" u="1"/>
        <s v="Asistente Impuestos" u="1"/>
        <s v="Jefe de Comunicaciones" u="1"/>
        <s v="Líder Exportaciones" u="1"/>
        <s v="ESCOLTA" u="1"/>
        <s v="COORDINADOR DE SEGURIDAD FISICA" u="1"/>
        <s v="Coordinador SST interventoria" u="1"/>
        <s v="ANALISTA GESTION HUMANA" u="1"/>
        <s v="COMPRADOR 1" u="1"/>
        <s v="Analista de compras y contratación" u="1"/>
        <s v="Especialista de Compras Corporativas" u="1"/>
        <s v="COMPRADOR 2" u="1"/>
        <s v="Coordinador Comunicaciones y Bienestar" u="1"/>
        <s v="Coordinador Trademarketing" u="1"/>
        <s v="COORDINADOR OPERACIONES SANIDAD VEGETAL" u="1"/>
        <s v="AUXILIAR AUDITORÍA" u="1"/>
        <s v="ANALISTAS DE PRODUCCIÓN AGRÍCOLA" u="1"/>
        <s v="COMPRADOR 3" u="1"/>
        <s v="Técnico en Desarrollo Humano" u="1"/>
        <s v="Conductor" u="1"/>
        <s v="Director Control Interno" u="1"/>
        <s v="COORDINADOR CENTRAL" u="1"/>
        <s v="COMPRADOR 4" u="1"/>
        <s v="COORDINADOR DISENO Y PUBLICIDAD" u="1"/>
        <s v="COMPRADOR 5" u="1"/>
        <s v="Auxiliar Datos" u="1"/>
        <s v="JEFE SANTA MARTA" u="1"/>
        <s v="Analista de Mercadeo Digital" u="1"/>
        <s v="Ingeniero Proyectos (Mecánico/Electronico)" u="1"/>
        <s v="COORDINADOR COMPRAS IMPORTADOS REPRESENTACIONES" u="1"/>
        <s v="ANALISTA MATERIAS PRIMAS" u="1"/>
        <s v="Director de Producto Velez" u="1"/>
        <s v="Analista de Visual Merchandising" u="1"/>
        <s v="ANALISTA VALIDACIONES II (EN ANALISIS)" u="1"/>
        <s v="Ingeniero De Proceso (Resinas, Impregnación, Laminacion y Acabados)" u="1"/>
        <s v="AUXILIAR LOGISTICA III" u="1"/>
        <s v="Lider Planta Barbosa" u="1"/>
        <s v="Auxiliar Almacen" u="1"/>
        <s v="DIRECTOR TECNICO DISPOSITIVOS MEDICOS" u="1"/>
        <s v="Tecnico I" u="1"/>
        <s v="COORDINADOR CAD CAM" u="1"/>
        <s v="INSPECTOR OPERACIÓN LOGÍSTICA" u="1"/>
        <s v="Analista de Auditoria" u="1"/>
        <s v="Ingeniero Trainne" u="1"/>
        <s v="AUXILIAR ADMINISTRATIVO INSPECTOR CALIDAD" u="1"/>
        <s v="Director Compras Corporativas" u="1"/>
        <s v="Jefe de Infraestructura" u="1"/>
        <s v="ANALISTA CENTRO ADMÓN MATERIALES" u="1"/>
        <s v="ANALISTA COMERCIAL III" u="1"/>
        <s v="Analista de Recuperacion" u="1"/>
        <s v="SUPERVISOR MANTENIMIENTO" u="1"/>
        <s v="Analista de vinculación y compensación" u="1"/>
        <s v="JEFE DE VENTAS" u="1"/>
        <s v="Director de Gestión Social y Proyectos" u="1"/>
        <s v="ANALISTA CAD" u="1"/>
        <s v="MECÁNICO DE MANTENIMIENTO" u="1"/>
        <s v="Profesional Control Senior" u="1"/>
        <s v="Analista de Marketing Relacional" u="1"/>
        <s v="Lider Compras" u="1"/>
        <s v="ANALISTA DE AUDITORÍA" u="1"/>
        <s v="COORDINADOR GESTIÓN INTEGRAL" u="1"/>
        <s v="Coordinador Distribución A" u="1"/>
        <s v="Revisora Fiscal" u="1"/>
        <s v="OPERADOR EQUIPO CARGA" u="1"/>
        <s v="AUXILIAR ADMINISTRATIVO GERENCIA Y FINANCIERA" u="1"/>
        <s v="Director de Calidad" u="1"/>
        <s v="Electromecanico" u="1"/>
        <s v="OPERARIO MAQUINA" u="1"/>
        <s v="Coordinador de Canal Extermo - Micro" u="1"/>
        <s v="Analista de Contratacion" u="1"/>
        <s v="DIRECTOR INVESTIGACION Y GESTION TECNOLOGICA" u="1"/>
        <s v="Analista De Abastecimiento" u="1"/>
        <s v="AUXILIAR DE GASTOS DE VIAJE" u="1"/>
        <s v="GERENTE AUDITORÍA" u="1"/>
        <s v="Gestor de Tesoreria" u="1"/>
        <s v="DIRECTOR ADMINISTRATIVO Y FINANCIERO" u="1"/>
        <s v="Jefe de Almacen" u="1"/>
        <s v="ANALISTA DE COMPRAS MEDELLIN" u="1"/>
        <s v="Jefe de Auditoria" u="1"/>
        <s v="Ayudante Carpinteria" u="1"/>
        <s v="JEFE PRODUCCIÓN PLÁTANO" u="1"/>
        <s v="Analista de Auditoria " u="1"/>
        <s v="COMUNICADOR" u="1"/>
        <s v="COORDINADOR  PRODUCCIÓN PLÁTANO" u="1"/>
        <s v="OPERARIO MECANICO" u="1"/>
        <s v="OPERARIO DE SATINADO Y SECADO" u="1"/>
        <s v="Operario Moduladora" u="1"/>
        <s v="Coordinador Zona Franca " u="1"/>
        <s v="SUPERVISOR PROCESO MOLDES" u="1"/>
        <s v="Coordinador Ingenieria de Procesos" u="1"/>
        <s v="Ingeniero Mecánico Junior" u="1"/>
        <s v="Jefe Soluciones TI" u="1"/>
        <s v="Auxiliar de Cobranza" u="1"/>
        <s v="Director Comunicacion de Marca" u="1"/>
        <s v="Coordinador de Medios de Pago" u="1"/>
        <s v="COORDINADOR JURIDICO" u="1"/>
        <s v="Coordinador de Plataformas" u="1"/>
        <s v="ANALISTA ESPECIALIZADO DE COLOR " u="1"/>
        <s v="Coordinador Servicio al Cliente" u="1"/>
        <s v="JEFE DPTO. DESARROLLO ORGANIZACIONAL" u="1"/>
        <s v="INGENIERO DE MANTENIMIENTO" u="1"/>
        <s v="Coordinador Almacén" u="1"/>
        <s v="OPERARIO DE LOGÍSTICA Y EMPAQUE" u="1"/>
        <s v="AUXILIAR MENSAJERIA" u="1"/>
        <s v="AUXILIAR MERCADEO II" u="1"/>
        <s v="JEFE ALMACEN MATERIALES" u="1"/>
        <s v="Auxiliar de Diseño Gráfico" u="1"/>
        <s v="Analista Soporte SAF" u="1"/>
        <s v="Coordinadora Administrativa" u="1"/>
        <s v="SUPERVISOR OPERACIÓN LOGÍSTICA" u="1"/>
        <s v="ANALISTA ASUNTOS REGULATORIOS" u="1"/>
        <s v="Asesor Comercial III - Láminas" u="1"/>
        <s v="JEFE COSTOS Y PRESUPUESTOS" u="1"/>
        <s v="Jefe de Comercio Exterior" u="1"/>
        <s v="Especialista de Patronaje en Vestuario" u="1"/>
        <s v="AUXILIAR DE INFORMACIÓN" u="1"/>
        <s v="Director de Planeacion" u="1"/>
        <s v="Coordinador Médico" u="1"/>
        <s v="AUXILIAR DE MANTENIMIENTO" u="1"/>
        <s v="Ayudante Servicios Generales" u="1"/>
        <s v="CONTROLADOR OPERACIONES" u="1"/>
        <s v="VENDEDOR" u="1"/>
        <s v="Director Infraestructura Tecnológica" u="1"/>
        <s v="COORDINADOR SISOA" u="1"/>
        <s v="Auxiliar Ingeniería - Impregnación" u="1"/>
        <s v="Ayudante Procesos PB" u="1"/>
        <s v="Coordinador de Información y Mejoras" u="1"/>
        <s v="AUXILIAR ADMINISTRATIVO SEGURIDAD Y SALUD EN EL TRABAJO" u="1"/>
        <s v="JEFE DE CONTABILIDAD" u="1"/>
        <s v="COORDINADOR CALIDAD PRODUCCIÓN BANANO" u="1"/>
        <s v="GERENCIA COMERCIALIZACIÓN Y LOGÍSTICA" u="1"/>
        <s v="ANALISTA CALIDAD II" u="1"/>
        <s v="Auxiliar de Mercadeo" u="1"/>
        <s v="Jefe Planeacion y Logistica" u="1"/>
        <s v="Analista Laboratorio Impregnacion " u="1"/>
        <s v="Analista de Nómina y Contratación" u="1"/>
        <s v="Jefe Prevencion de Riesgos" u="1"/>
        <s v="Gestor administrativo y de compras" u="1"/>
        <s v="Subdirector de Mantenimiento de Vehiculos" u="1"/>
        <s v="Analista Juridico" u="1"/>
        <s v="ANALISTA TECNICO DE LLANTAS" u="1"/>
        <s v="Director de Visual Merchandising" u="1"/>
        <s v="VIGILANTE" u="1"/>
        <s v="OPERARIO DE EMPAQUE" u="1"/>
        <s v="Analista de Tesoreria" u="1"/>
        <s v="Analista de Desarrollo Humano" u="1"/>
        <s v="DIRECTOR COMPRAS" u="1"/>
        <s v="COORDINADOR DE ALMACÉN DE MP Y SUMINISTROS" u="1"/>
        <s v="Coordinador Calidad de Vida" u="1"/>
        <s v="AUXILIAR CONTABLE" u="1"/>
        <s v="Operario Montacargas Resinas" u="1"/>
        <s v="JEFE INFORMACIÓN ESTRATÉGICA" u="1"/>
        <s v="Coordinador Planta de Cueros" u="1"/>
        <s v="Especificador" u="1"/>
        <s v="ANALISTA ACTIVOS FIJOS" u="1"/>
        <s v="AUXILIAR RECEPCIONISTA I" u="1"/>
        <s v="Líder TICs" u="1"/>
        <s v="DIRECTOR VENTAS MAYOR" u="1"/>
        <s v="Residentes de interventoría" u="1"/>
        <s v="ANALISTA VALIDACIONES - METODOS ANALITICOS" u="1"/>
        <s v="Analista Auditoria" u="1"/>
        <s v="Analista Logística Internacional y Aduanas" u="1"/>
        <s v="Asesor Comercial" u="1"/>
        <s v="Director Financiero y Administrativo" u="1"/>
        <s v="COORDINADOR  EMBARQUES" u="1"/>
        <s v="Analista de Mesa de Ayuda" u="1"/>
        <s v="COORDINADOR PRODUCCIÓN MANUFACTURA" u="1"/>
        <s v="Analista de Tesorería" u="1"/>
        <s v="Auxiliar de Gestión Social" u="1"/>
        <s v="Jefe SIG" u="1"/>
        <s v="Director de Marketing Relacional" u="1"/>
        <s v="Lubricador" u="1"/>
        <s v="Asistente de Gerencia" u="1"/>
        <s v="Director Gestión Humana" u="1"/>
        <s v="ANALISTA TESORERIA Y CARTERA" u="1"/>
        <s v="ASISTENTE CONTABILIDAD I" u="1"/>
        <s v="Coordinador Tesoreria y Cartera" u="1"/>
        <s v="Lider Riesgos" u="1"/>
        <s v="COORDINADOR DISEÑO Y DESARROLLO DE PRODUCTO" u="1"/>
        <s v="Jefe de Unidad de Negocio (Internacional)" u="1"/>
        <s v="AUXILIAR GARANTIA DE CALIDAD" u="1"/>
        <s v="Profesional de Auditoria de sistemas" u="1"/>
        <s v="COORDINADOR SANIDAD VEGETAL STA. MARTA" u="1"/>
        <s v="Auxiliar de Comunicaciones" u="1"/>
        <s v="Especialista de Abastecimiento" u="1"/>
        <s v="Coordinador Comunicacion de Marca" u="1"/>
        <s v="AUXILIAR DE GESTIÓN AMBIENTAL" u="1"/>
        <s v="Gerente Desarrollo Capacidades Internas" u="1"/>
        <s v="Auxiliar de Compras Corporativas" u="1"/>
        <s v="Especialista en Planeación y Aseguramiento de la Promesa" u="1"/>
        <s v="AUXILIAR ADMINISTRATIVO LICITACIONES Y SERVICIO AL CLIENTE" u="1"/>
        <s v="Mensajero de Tienda" u="1"/>
        <s v="Ayudante Secadora " u="1"/>
        <s v="Coordinador de Logística y Distribución" u="1"/>
        <s v="SUPERVISOR PROCESO DIENTES PRODUCCION" u="1"/>
        <s v="Coordinador de Servicio al Cliente" u="1"/>
        <s v="COORDINADOR CENTRO DISTRIBUCION CEDI" u="1"/>
        <s v="Interventor" u="1"/>
        <s v="Lider De Proceso" u="1"/>
        <s v="AUXILIAR DE ALMACEN" u="1"/>
        <s v="PATRÓN REMOLCADOR" u="1"/>
        <s v="Auxiliar mensajería" u="1"/>
        <s v="Analista de Medios electrónicos" u="1"/>
        <s v="COORDINADOR PRODUCCION ANESTESICOS" u="1"/>
        <s v="JEFE ADMINISTRACIÓN OFERTA" u="1"/>
        <s v="Secretaria Gerencias Administrativa y Comercial " u="1"/>
        <s v="Jefe de Nomina y Contratacion" u="1"/>
        <s v="COORDINADOR ASUNTOS REGULATORIOS" u="1"/>
        <s v="AUXILIAR ADMINISTRATIVO COMPRAS TRANSACCIONAL" u="1"/>
        <s v="Auxiliar de Beneficios Sociales" u="1"/>
        <s v="ANALISTA TI" u="1"/>
        <s v="COORDINADOR MANTENIMIENTO CONTENEDORES" u="1"/>
        <s v="Gerente de Proyectos" u="1"/>
        <s v="Asistente Investigación" u="1"/>
        <s v="COORDINADOR PROCESOS CONTABLES Y CONTROL TRIBUTARIO" u="1"/>
        <s v="GERENTE EXPORTACIONES" u="1"/>
        <s v="Auditor Interno" u="1"/>
        <s v="COORDINADOR MONEDA EXTRANJERA" u="1"/>
        <s v="Analista de Tecnologia" u="1"/>
        <s v="ANALISTA LOGÍSTICO MEDELLÍN " u="1"/>
        <s v="ANALISTA GESTION HUMANA II" u="1"/>
        <s v="Coordinador Compensación y Beneficios" u="1"/>
        <s v="Analista Infraestructura" u="1"/>
        <s v="JEFE AUDITORÍA" u="1"/>
        <s v="COORDINADOR SELECCION" u="1"/>
        <s v="GERENTE GESTION HUMANA" u="1"/>
        <s v="Auxiliar Administrativo Planta de Cueros" u="1"/>
        <s v="Coordinador Distribución y Almacén" u="1"/>
        <s v="COORDINADOR AUDITORIA URABÁ" u="1"/>
        <s v="Gerente de Planeacion y Logistica" u="1"/>
        <s v="Profesional Hidrosanitario Junior" u="1"/>
        <s v="OPERARIO DE PRODUCTOS ESPECIALES" u="1"/>
        <s v="GERENTE SOLUCIONES DENTALES" u="1"/>
        <s v="Operario Prensa PB" u="1"/>
        <s v="COORDINADOR COSTOS Y PRESUPUESTOS" u="1"/>
        <s v="COORDINADOR INFORMACIÓN PROD. PLÁTANO" u="1"/>
        <s v="Analista Gestión de Riesgo" u="1"/>
        <s v="Analista de Inventarios" u="1"/>
        <s v="Analista de Fabricantes Externos" u="1"/>
        <s v="Coordinador de Operaciones" u="1"/>
        <s v="ASISTENTE FINANCIERA III" u="1"/>
        <s v="COORDINADOR DE IMPUESTOS" u="1"/>
        <s v="Coordinador de Pri" u="1"/>
        <s v="Asistente de Gerencia " u="1"/>
        <s v="AUXILIAR ADMINISTRATIVO MANTENIMIENTO" u="1"/>
        <s v="Analista de Convenios-Corresponsales y redes" u="1"/>
        <s v="Coordinador Ahorro y Crédito Canal Presencial" u="1"/>
        <s v="Analista Mercadeo" u="1"/>
        <s v="COORDINADOR DE DESARROLLO " u="1"/>
        <s v="MENSAJERO ALMACEN" u="1"/>
        <s v="Director de Canal Digital" u="1"/>
        <s v="JEFE DPTO. CANAL MAYORISTAS" u="1"/>
        <s v="Director Juridico" u="1"/>
        <s v="ANALISTA SEGURIDAD Y SALUD EN EL TRABAJO" u="1"/>
        <s v="Técnico Planeación y Control de Mantenimiento" u="1"/>
        <s v="AUXILIAR ADMINISTRATIVO RECEPCION REGIONAL" u="1"/>
        <s v="Auxiliar servicios de ahorro y crédito canal presencial" u="1"/>
        <s v="Auxiliar de Creditos " u="1"/>
        <s v="AUXILIAR ADMINISTRATIVO METROLOGIA" u="1"/>
        <s v="Líder Contabilidad e Impuestos" u="1"/>
        <s v="VENDEDOR REGIONAL ORIENTE" u="1"/>
        <s v="JEFE JURIDICO" u="1"/>
        <s v="Auxiliar Planta de Cueros" u="1"/>
        <s v="Profesional Cartera y Tesorería" u="1"/>
        <s v="Auxiliar Administrativa de Gestion Humana" u="1"/>
        <s v="Auxiliar Abastecimiento" u="1"/>
        <s v="COORD. PROCESOS TECNOLOGIA INFORMATICA" u="1"/>
        <s v="MENSAJERO CARTERA" u="1"/>
        <s v="AUXILIAR ADMINISTRATIVO INVESTIGACIÓN" u="1"/>
        <s v="Analista sistema de gestión integral" u="1"/>
        <s v="Analista de Convenios" u="1"/>
        <s v="Auxiliar Admistrativo" u="1"/>
        <s v="ANALISTA CONTABILIDAD II" u="1"/>
        <s v="Subgerente Administrativo y financiero" u="1"/>
        <s v="AUXILIAR MICROBIOLOGIA" u="1"/>
        <s v="Profesional Estructural Junior" u="1"/>
        <s v="AUXILIAR DE OPERACIONES" u="1"/>
        <s v="Especialista Soluciones TI" u="1"/>
        <s v="COORDINADOR INFRAESTRUCTURA" u="1"/>
        <s v="Director Ventas Internacional" u="1"/>
        <s v="Coordinador de Costos y Presupuestos" u="1"/>
        <s v="ANALISTA ADMINISTRACIÓN TRIBUTARIA" u="1"/>
        <s v="Analista Jurídico" u="1"/>
        <s v="JEFE DPTO. TECNOLOGIA INFORMATICA Y COMUNICACIONES" u="1"/>
        <s v="Jefe Tecnico Planta de Cueros" u="1"/>
        <s v="Director Social" u="1"/>
        <s v="ASISTENTE SISTEMAS III " u="1"/>
        <s v="Jefe Datos Maestros" u="1"/>
        <s v="Jefe de Operaciones" u="1"/>
        <s v="Analista de Sostenibilidad" u="1"/>
        <s v="Profesional Mecánico Senior" u="1"/>
        <s v="Analista Back Office" u="1"/>
        <s v="COORDINADOR OPERACIONAL ABASTECIMIENTO" u="1"/>
        <s v="AUXILIAR ADMINISTRATIVA (BOGOTÁ)" u="1"/>
        <s v="Auxiliar de Impuestos" u="1"/>
        <s v="ANALISTA COSTOS" u="1"/>
        <s v="ANALISTA FINANCIERA III" u="1"/>
        <s v="AUXILIAR CONTABILIDAD III" u="1"/>
        <s v="ANALISTA TESORERÍA" u="1"/>
        <s v="ANALISTA ENTRENAMIENTO Y CALIFICACION DISPOSITIVOS MEDICOS" u="1"/>
        <s v="JEFE DE PLANEACIÓN" u="1"/>
        <s v="ASISTENTE ADMINISTRATIVO" u="1"/>
        <s v="Ayudante Laminacion" u="1"/>
        <s v="Promotora Social" u="1"/>
        <s v="AUXILIAR DESPACHADOR III" u="1"/>
        <s v="ANALISTA GESTION TECNOLOGICA" u="1"/>
        <s v="Analista Operaciones Internacionales" u="1"/>
        <s v="Analista de Compras" u="1"/>
        <s v="Analista de Contabilidad" u="1"/>
        <s v="Coordinadora de Gestión del Talento" u="1"/>
        <s v="COORDINADOR INFORMACIÓN AGROINDUSTRIA" u="1"/>
        <s v="AUXILIAR OPERACIÓN LOGÍSTICA" u="1"/>
        <s v="AUXILIAR DE DESPACHOS" u="1"/>
        <s v="Director de Convenios y Medios Electrónicos" u="1"/>
        <s v="Ayudante Procesos MDF" u="1"/>
        <s v="Analista Planeacion de la Oferta" u="1"/>
        <s v="Lider Planta B" u="1"/>
        <s v="Director de Whole Sale" u="1"/>
        <s v="AUXILIAR ADMINISTRATIVO INFORMACION GRANDES INSTITUCIONES" u="1"/>
        <s v="JEFE DPTO. CONTROL CALIDAD" u="1"/>
        <s v="AUXILIAR DE SERVICIO AL CLIENTE" u="1"/>
        <s v="Coordinador de Calidad" u="1"/>
        <s v="Oficial de Cumplimiento SARLAFT" u="1"/>
        <s v="Profesional Arquitectura Junior" u="1"/>
        <s v="Programador Producción" u="1"/>
        <s v="Auxiliar de Servicios Generales" u="1"/>
        <s v="Analista de Datos Maestros" u="1"/>
        <s v="Auxiliar de Logistica" u="1"/>
        <s v="Profesional Arquitectura Senior" u="1"/>
        <s v="Auxiliar Promocion Social" u="1"/>
        <s v="AUXILIAR ADMINISTRATIVO MERCADEO" u="1"/>
        <s v="Especialista en Planeación Financiera" u="1"/>
        <s v="AUXILIAR DE MANUFACTURA" u="1"/>
        <s v="Coordinadora Integral de Riesgos" u="1"/>
        <s v="Bibliotecario" u="1"/>
        <s v="Tecnico Mantenimiento Electronico" u="1"/>
        <s v="Operador de Sistemas" u="1"/>
        <s v="ANALISTA COMPRAS LOGISTICA" u="1"/>
        <s v="AUXILIAR SERVICIOS GENERALES" u="1"/>
        <s v="AUXILIAR CARTERA I" u="1"/>
        <s v="Director de Fabricantes Externos" u="1"/>
        <s v="Gerente de Ventas Planta de Cueros" u="1"/>
        <s v="ANALISTA INSTRUMENTAL" u="1"/>
        <s v="Analista de Microfinanzas" u="1"/>
        <s v="ASISTENTE CONTABILIDAD II" u="1"/>
        <s v="Analista de Gestion Humana" u="1"/>
        <s v="OPERARIO DE GESTION AMBIENTAL" u="1"/>
        <s v="MENSAJERO CARRO" u="1"/>
        <s v="Especialista en Logística e Insfraestructura" u="1"/>
        <s v="COORDINADOR FINANCIERO" u="1"/>
        <s v="DIRECTOR MERCADEO" u="1"/>
        <s v="Secretaria Recepcionista" u="1"/>
        <s v="JEFE LOGÍSTICA VENTAS INTERNACIONALES" u="1"/>
        <s v="ANALISTA COMERCIO EXTERIOR" u="1"/>
        <s v="Mecanico Taller 1" u="1"/>
        <s v="Auxiliar Producción" u="1"/>
        <s v="Lider Mantenimiento" u="1"/>
        <s v="JEFE DPTO. CONTABILIDAD Y COSTOS" u="1"/>
        <s v="Lider Planta A" u="1"/>
        <s v="Agilizador Instalador" u="1"/>
        <s v="Analista Laboratorio Resinas" u="1"/>
        <s v="AUXILIAR LOGISTICO AGENCIA" u="1"/>
        <s v="COORDINADOR SERVICIO A PRODUCTORES" u="1"/>
        <s v="Técnico II" u="1"/>
        <s v="AUXILIAR ADMINISTRATIVO TECNOLOGIAS DIGITALES" u="1"/>
        <s v="Auxiliar de  Mercadeo" u="1"/>
        <s v="Asistente Silvicultura " u="1"/>
        <s v="Coordinador de Dllo de Maquinaria y Equipo" u="1"/>
        <s v="Proyectista" u="1"/>
        <s v="Auxiliar de Calidad de Vida" u="1"/>
        <s v="Analista SAP" u="1"/>
        <s v="COORDINADOR SERVICIOS ADMINISTRATIVOS" u="1"/>
        <s v="Gerente" u="1"/>
        <s v="MENSAJERO" u="1"/>
        <s v="Coordinador Prevencion de Riesgos" u="1"/>
        <s v="COORDINADOR GARANTIA DE CALIDAD ANESTESICOS" u="1"/>
        <s v="Profesional de Bienestar" u="1"/>
        <s v="ANALISTA CONTABILIDAD" u="1"/>
        <s v="SECRETARIA GENERAL" u="1"/>
        <s v="Jefe de Mantenimiento" u="1"/>
        <s v="AUXILIAR ADMINISTRATIVO REGENTE FARMACIA" u="1"/>
        <s v="COORDINADOR SEGUROS" u="1"/>
        <s v="Coordinador de Infraestructura" u="1"/>
        <s v="VISITADOR" u="1"/>
        <s v="Analista Funcional" u="1"/>
        <s v="Gerente Manufactura" u="1"/>
        <s v="Lider Planeacion y Transporte" u="1"/>
        <s v="Analista Gestion del Cambio y Cultura" u="1"/>
        <s v="Jefe Regional Tiendas Junior" u="1"/>
        <s v="Gestor de Seguros" u="1"/>
        <s v="Asesor de ahorro y crédito canal presencial" u="1"/>
        <s v="Analista Inventarios" u="1"/>
        <s v="AUXILIAR CADENA DE ABASTECIMIENTO" u="1"/>
        <s v="Auxiliar Investigación y Desarrollo" u="1"/>
        <s v="JEFE CONTABILIDAD FINCAS PROPIAS" u="1"/>
        <s v="Coordinador Gente y Comunicaciones" u="1"/>
        <s v="Coordinador de producción" u="1"/>
        <s v="Analista de Atraccion del Talento" u="1"/>
        <s v="Analista Riesgos" u="1"/>
        <s v="Auxiliar Comercial" u="1"/>
        <s v="Auxiliar de Compras e Inventarios" u="1"/>
        <s v="Coordinador zonal  Redes y circuitos economicos" u="1"/>
        <s v="OPERARIO ESPECIALIZADO" u="1"/>
        <s v="Especialista en Comunicacion de Moda" u="1"/>
        <s v="Director Canal Outlet" u="1"/>
        <s v="ANALISTA DESARROLLO HUMANO" u="1"/>
        <s v="Operario Cargador " u="1"/>
        <s v="Asesor Comercial I - Láminas" u="1"/>
        <s v="Director de Compras Core" u="1"/>
        <s v="Analista de Gestión Documental" u="1"/>
        <s v="Profesional en Logística e Infraestructura" u="1"/>
        <s v="Verificador de Datos" u="1"/>
        <s v="Analista de Talento Humano" u="1"/>
        <s v="Analista Comercial y de Operaciones" u="1"/>
        <s v="Jefe de Cartera" u="1"/>
        <s v="COORDINADOR ALMACEN GENERAL" u="1"/>
        <s v="AUXILIAR DOSIFICACIÓN Y MEZCLAS" u="1"/>
        <s v="COORDINADOR CCIO. EXTERIOR ABASTECIMIENT" u="1"/>
        <s v="Subdirector de Operaciones" u="1"/>
        <s v="Ayudante Embalaje" u="1"/>
        <s v="Operario Línea acabados" u="1"/>
        <s v="Analista Canal de Relaciones institucionales" u="1"/>
        <s v="Auxiliar Campo" u="1"/>
        <s v="Analista en Diseño de Moda" u="1"/>
        <s v="Auxiliar de CRM" u="1"/>
        <s v="JEFE DPTO. GARANTIA DE CALIDAD" u="1"/>
        <s v="Jefe de Servicios Administrativos" u="1"/>
        <s v="SUPERVISOR BODEGA SNACKS" u="1"/>
        <s v="Auxiliar Centro de servicio" u="1"/>
        <s v="COORDINADOR COMERCIO EXTERIOR" u="1"/>
        <s v="Auxiliar de SST" u="1"/>
        <s v="Profesional en Comunicaciones" u="1"/>
        <s v="Auxiliar Exportaciones" u="1"/>
        <s v="OPERADOR REACH STACKER" u="1"/>
        <s v="GERENTE SISTEMAS" u="1"/>
        <s v="ANALISTA BASE DATOS III" u="1"/>
        <s v="Jefe De Auditoria Y Costos" u="1"/>
        <s v="Ingeniero Procesos Impregnación" u="1"/>
        <s v="Líder de Operaciones" u="1"/>
        <s v="JEFE DPTO. INGENIERIA" u="1"/>
        <s v="ANALISTA ALMACÉN" u="1"/>
        <s v="Key Account " u="1"/>
        <s v="Analista Operaciones TI" u="1"/>
        <s v="Auxiliar Gestion Ambiental" u="1"/>
        <s v="Analista Selección y Desarrollo" u="1"/>
        <s v="LUBRICADOR MANTENIMIENTO FÁBRICA" u="1"/>
        <s v="COORDINADOR IMPORTACIONES Y REGIMEN CAMBIARIO" u="1"/>
        <s v="Jefe Regional Tiendas Senior" u="1"/>
        <s v="ANALISTA FISICOQUIMICO" u="1"/>
        <s v="ANALISTA AUDITORÍA" u="1"/>
        <s v="Jefe de Procesos" u="1"/>
        <s v="Analista Gestion Temporales" u="1"/>
        <s v="Contador" u="1"/>
        <s v="Agilizador " u="1"/>
        <s v="ANALISTA LOGISTICO" u="1"/>
        <s v="Director Administrativo" u="1"/>
        <s v="Asesor de Microfinanzas" u="1"/>
        <s v="Coordinador de Desarrollo" u="1"/>
        <s v="Director Unidad de Negocios Nappa" u="1"/>
        <s v="Tecnico de Mantenimiento Infraestructura" u="1"/>
        <s v="Auxiliar de Garantías" u="1"/>
        <s v="Coordinador SST Corporativo" u="1"/>
        <s v="COORDINADOR SEGURIDAD FISICA Y ELECTRONICA" u="1"/>
      </sharedItems>
    </cacheField>
    <cacheField name="Área" numFmtId="0">
      <sharedItems containsMixedTypes="1" containsNumber="1" containsInteger="1" minValue="0" maxValue="0"/>
    </cacheField>
    <cacheField name="Área funcional" numFmtId="0">
      <sharedItems containsNonDate="0" containsString="0" containsBlank="1"/>
    </cacheField>
    <cacheField name="Área Específica" numFmtId="0">
      <sharedItems containsNonDate="0" containsString="0" containsBlank="1"/>
    </cacheField>
    <cacheField name="Ciudad" numFmtId="0">
      <sharedItems containsNonDate="0" containsString="0" containsBlank="1"/>
    </cacheField>
    <cacheField name="Segmentación Individual" numFmtId="0">
      <sharedItems containsNonDate="0" containsString="0" containsBlank="1"/>
    </cacheField>
    <cacheField name="Segmentación" numFmtId="174">
      <sharedItems containsSemiMixedTypes="0" containsString="0" containsNumber="1" containsInteger="1" minValue="0" maxValue="0"/>
    </cacheField>
    <cacheField name="Cargo Homologación" numFmtId="0">
      <sharedItems containsNonDate="0" containsString="0" containsBlank="1"/>
    </cacheField>
    <cacheField name="Puntos valoración" numFmtId="174">
      <sharedItems containsMixedTypes="1" containsNumber="1" containsInteger="1" minValue="138" maxValue="1344"/>
    </cacheField>
    <cacheField name="Categoria" numFmtId="0">
      <sharedItems containsMixedTypes="1" containsNumber="1" containsInteger="1" minValue="1" maxValue="25" count="26">
        <n v="4"/>
        <n v="5"/>
        <n v="6"/>
        <n v="7"/>
        <n v="8"/>
        <n v="9"/>
        <n v="10"/>
        <n v="11"/>
        <n v="12"/>
        <n v="13"/>
        <n v="14"/>
        <n v="15"/>
        <n v="16"/>
        <n v="18"/>
        <n v="3"/>
        <n v="2"/>
        <n v="1"/>
        <n v="17"/>
        <n v="19"/>
        <n v="21"/>
        <n v="22"/>
        <n v="23"/>
        <n v="24"/>
        <n v="25"/>
        <n v="20"/>
        <e v="#N/A"/>
      </sharedItems>
    </cacheField>
    <cacheField name="Nivel" numFmtId="0">
      <sharedItems count="7">
        <s v="Operativo"/>
        <s v="Soporte"/>
        <s v="Táctico"/>
        <s v="Gerencia media"/>
        <s v="Gerencia Alta"/>
        <e v="#N/A"/>
        <s v="Ejecutivo"/>
      </sharedItems>
    </cacheField>
    <cacheField name="Criticidad" numFmtId="0">
      <sharedItems count="6">
        <s v="Relevante"/>
        <s v="Importante"/>
        <s v="Crítico"/>
        <s v="Muy Importante"/>
        <e v="#N/A"/>
        <s v="" u="1"/>
      </sharedItems>
    </cacheField>
    <cacheField name="Punto Medio" numFmtId="174">
      <sharedItems containsMixedTypes="1" containsNumber="1" containsInteger="1" minValue="143" maxValue="1331"/>
    </cacheField>
    <cacheField name="Garantizado" numFmtId="174">
      <sharedItems containsMixedTypes="1" containsNumber="1" minValue="2295683.1700000004" maxValue="28165949.790000003"/>
    </cacheField>
    <cacheField name="Variable" numFmtId="174">
      <sharedItems containsMixedTypes="1" containsNumber="1" minValue="0" maxValue="20944137.665000003"/>
    </cacheField>
    <cacheField name="Beneficios" numFmtId="174">
      <sharedItems containsSemiMixedTypes="0" containsString="0" containsNumber="1" containsInteger="1" minValue="0" maxValue="650000"/>
    </cacheField>
    <cacheField name="Base Prestaciones" numFmtId="0">
      <sharedItems containsMixedTypes="1" containsNumber="1" containsInteger="1" minValue="1951000" maxValue="38526000"/>
    </cacheField>
    <cacheField name="Base Seguridad Social" numFmtId="0">
      <sharedItems containsMixedTypes="1" containsNumber="1" containsInteger="1" minValue="1951000" maxValue="38526000"/>
    </cacheField>
    <cacheField name="G" numFmtId="38">
      <sharedItems containsMixedTypes="1" containsNumber="1" minValue="2295683.1700000004" maxValue="28165949.790000003"/>
    </cacheField>
    <cacheField name="G+V" numFmtId="38">
      <sharedItems containsMixedTypes="1" containsNumber="1" minValue="2295683.1700000004" maxValue="49110087.455000006"/>
    </cacheField>
    <cacheField name="CT" numFmtId="38">
      <sharedItems containsMixedTypes="1" containsNumber="1" minValue="2295683.1700000004" maxValue="49110087.455000006"/>
    </cacheField>
    <cacheField name="Salarios Año" numFmtId="2">
      <sharedItems containsString="0" containsBlank="1" containsNumber="1" minValue="12" maxValue="14.12"/>
    </cacheField>
    <cacheField name="# horas mes" numFmtId="164">
      <sharedItems containsString="0" containsBlank="1" containsNumber="1" containsInteger="1" minValue="230" maxValue="230"/>
    </cacheField>
    <cacheField name="%ARL" numFmtId="0">
      <sharedItems containsString="0" containsBlank="1" containsNumber="1" minValue="5.2199999999999998E-3" maxValue="4.3499999999999997E-2"/>
    </cacheField>
    <cacheField name="Básico" numFmtId="0">
      <sharedItems containsMixedTypes="1" containsNumber="1" containsInteger="1" minValue="1951000" maxValue="26376000"/>
    </cacheField>
    <cacheField name="Básico Actual" numFmtId="0">
      <sharedItems containsString="0" containsBlank="1" containsNumber="1" containsInteger="1" minValue="1951000" maxValue="26376000"/>
    </cacheField>
    <cacheField name="Prima 1_x000a_NCS / CS" numFmtId="3">
      <sharedItems containsNonDate="0" containsString="0" containsBlank="1"/>
    </cacheField>
    <cacheField name="Prima Extralegal 1" numFmtId="3">
      <sharedItems containsMixedTypes="1" containsNumber="1" containsInteger="1" minValue="0" maxValue="0"/>
    </cacheField>
    <cacheField name="Prima 2_x000a_NCS / CS" numFmtId="3">
      <sharedItems containsNonDate="0" containsString="0" containsBlank="1"/>
    </cacheField>
    <cacheField name="Prima Extralegal 2" numFmtId="3">
      <sharedItems containsMixedTypes="1" containsNumber="1" containsInteger="1" minValue="0" maxValue="0"/>
    </cacheField>
    <cacheField name="Prima 3_x000a_NCS / CS" numFmtId="3">
      <sharedItems containsNonDate="0" containsString="0" containsBlank="1"/>
    </cacheField>
    <cacheField name="Prima Extralegal 3" numFmtId="3">
      <sharedItems containsNonDate="0" containsString="0" containsBlank="1"/>
    </cacheField>
    <cacheField name="Prima 4_x000a_NCS / CS" numFmtId="3">
      <sharedItems containsNonDate="0" containsString="0" containsBlank="1"/>
    </cacheField>
    <cacheField name="Prima Extralegal 4" numFmtId="3">
      <sharedItems containsNonDate="0" containsString="0" containsBlank="1"/>
    </cacheField>
    <cacheField name="Beneficios Flexibles" numFmtId="3">
      <sharedItems containsNonDate="0" containsString="0" containsBlank="1"/>
    </cacheField>
    <cacheField name="Promedio de Comisiones  " numFmtId="3">
      <sharedItems containsString="0" containsBlank="1" containsNumber="1" containsInteger="1" minValue="0" maxValue="14589000"/>
    </cacheField>
    <cacheField name="Comisiones Target" numFmtId="3">
      <sharedItems containsNonDate="0" containsString="0" containsBlank="1"/>
    </cacheField>
    <cacheField name="% de ganancia de las comisiones" numFmtId="10">
      <sharedItems containsMixedTypes="1" containsNumber="1" containsInteger="1" minValue="0" maxValue="0"/>
    </cacheField>
    <cacheField name="N Salarios de la Bonificación" numFmtId="177">
      <sharedItems containsNonDate="0" containsString="0" containsBlank="1"/>
    </cacheField>
    <cacheField name="Bonificación Anual" numFmtId="3">
      <sharedItems containsMixedTypes="1" containsNumber="1" minValue="0" maxValue="6594000"/>
    </cacheField>
    <cacheField name="N Salarios de la Bonificación2" numFmtId="177">
      <sharedItems containsNonDate="0" containsString="0" containsBlank="1"/>
    </cacheField>
    <cacheField name="Bonificación Anual 2" numFmtId="3">
      <sharedItems containsBlank="1" containsMixedTypes="1" containsNumber="1" containsInteger="1" minValue="0" maxValue="0"/>
    </cacheField>
    <cacheField name="N Salarios de la Bonificación3" numFmtId="177">
      <sharedItems containsNonDate="0" containsString="0" containsBlank="1"/>
    </cacheField>
    <cacheField name="Bonificación Anual 3" numFmtId="3">
      <sharedItems containsNonDate="0" containsString="0" containsBlank="1"/>
    </cacheField>
    <cacheField name="auxilio Gasolina" numFmtId="3">
      <sharedItems containsString="0" containsBlank="1" containsNumber="1" containsInteger="1" minValue="0" maxValue="650000"/>
    </cacheField>
    <cacheField name="Auxilio educacion" numFmtId="3">
      <sharedItems containsNonDate="0" containsString="0" containsBlank="1"/>
    </cacheField>
    <cacheField name="Otro Beneficio3" numFmtId="3">
      <sharedItems containsNonDate="0" containsString="0" containsBlank="1"/>
    </cacheField>
    <cacheField name="Otro Beneficio4" numFmtId="3">
      <sharedItems containsNonDate="0" containsString="0" containsBlank="1"/>
    </cacheField>
    <cacheField name="Otro Beneficio5" numFmtId="3">
      <sharedItems containsNonDate="0" containsString="0" containsBlank="1"/>
    </cacheField>
    <cacheField name="Otro Beneficio6" numFmtId="3">
      <sharedItems containsNonDate="0" containsString="0" containsBlank="1"/>
    </cacheField>
    <cacheField name="Otro Beneficio7" numFmtId="3">
      <sharedItems containsNonDate="0" containsString="0" containsBlank="1"/>
    </cacheField>
    <cacheField name="Otro Beneficio8" numFmtId="3">
      <sharedItems containsNonDate="0" containsString="0" containsBlank="1"/>
    </cacheField>
    <cacheField name="Otro Beneficio9" numFmtId="3">
      <sharedItems containsNonDate="0" containsString="0" containsBlank="1"/>
    </cacheField>
    <cacheField name="Otro Beneficio10" numFmtId="3">
      <sharedItems containsNonDate="0" containsString="0" containsBlank="1"/>
    </cacheField>
    <cacheField name="% Variable" numFmtId="10">
      <sharedItems containsMixedTypes="1" containsNumber="1" minValue="0" maxValue="0.43283582089552247"/>
    </cacheField>
    <cacheField name="% Beneficios" numFmtId="10">
      <sharedItems containsMixedTypes="1" containsNumber="1" minValue="0" maxValue="1.9365231194453329E-2"/>
    </cacheField>
    <cacheField name="Geq" numFmtId="0">
      <sharedItems containsMixedTypes="1" containsNumber="1" minValue="2156310.991119599" maxValue="45494354.997246265"/>
    </cacheField>
    <cacheField name="Geqp" numFmtId="10">
      <sharedItems containsMixedTypes="1" containsNumber="1" minValue="0.4862657942010859" maxValue="2.0371939157077636"/>
    </cacheField>
    <cacheField name="G+Veq" numFmtId="38">
      <sharedItems containsMixedTypes="1" containsNumber="1" minValue="2347844.1606855756" maxValue="51691425.311316341"/>
    </cacheField>
    <cacheField name="G+Veqp" numFmtId="10">
      <sharedItems containsMixedTypes="1" containsNumber="1" minValue="0.64669859311424971" maxValue="1.9450821954181128"/>
    </cacheField>
    <cacheField name="CTeq" numFmtId="0">
      <sharedItems containsMixedTypes="1" containsNumber="1" minValue="2351305.3471424235" maxValue="52069765.358640566"/>
    </cacheField>
    <cacheField name="Cteqp" numFmtId="10">
      <sharedItems containsMixedTypes="1" containsNumber="1" minValue="0.6466555119545716" maxValue="1.9436674218279215"/>
    </cacheField>
    <cacheField name="GQ1" numFmtId="38">
      <sharedItems containsMixedTypes="1" containsNumber="1" containsInteger="1" minValue="1611000" maxValue="78945000"/>
    </cacheField>
    <cacheField name="GQ1 p" numFmtId="10">
      <sharedItems containsMixedTypes="1" containsNumber="1" minValue="0.37606495663486561" maxValue="1.9569879999999999"/>
    </cacheField>
    <cacheField name="G+VQ1" numFmtId="38">
      <sharedItems containsMixedTypes="1" containsNumber="1" containsInteger="1" minValue="1701000" maxValue="83631000"/>
    </cacheField>
    <cacheField name="G+VQ1 p" numFmtId="10">
      <sharedItems containsMixedTypes="1" containsNumber="1" minValue="0.52010825749071754" maxValue="1.9017375204582652"/>
    </cacheField>
    <cacheField name="CTQ1" numFmtId="38">
      <sharedItems containsMixedTypes="1" containsNumber="1" containsInteger="1" minValue="1762000" maxValue="86423000"/>
    </cacheField>
    <cacheField name="CTQ1 p" numFmtId="10">
      <sharedItems containsMixedTypes="1" containsNumber="1" minValue="0.4995748303889857" maxValue="1.8194740653748287"/>
    </cacheField>
    <cacheField name="GMd" numFmtId="38">
      <sharedItems containsMixedTypes="1" containsNumber="1" containsInteger="1" minValue="1787000" maxValue="116871000"/>
    </cacheField>
    <cacheField name="GMd p" numFmtId="10">
      <sharedItems containsMixedTypes="1" containsNumber="1" minValue="0.3273504083044983" maxValue="1.4032155933609958"/>
    </cacheField>
    <cacheField name="G+VMd" numFmtId="38">
      <sharedItems containsMixedTypes="1" containsNumber="1" containsInteger="1" minValue="1851000" maxValue="122308000"/>
    </cacheField>
    <cacheField name="G+VMd p" numFmtId="10">
      <sharedItems containsMixedTypes="1" containsNumber="1" minValue="0.44728178596247398" maxValue="1.3930997239958807"/>
    </cacheField>
    <cacheField name="CTMd" numFmtId="0">
      <sharedItems containsMixedTypes="1" containsNumber="1" containsInteger="1" minValue="1901000" maxValue="125572000"/>
    </cacheField>
    <cacheField name="CTMd p" numFmtId="10">
      <sharedItems containsMixedTypes="1" containsNumber="1" minValue="0.43121967707356296" maxValue="1.3295653941419305"/>
    </cacheField>
    <cacheField name="Salario Basico Md" numFmtId="0">
      <sharedItems containsMixedTypes="1" containsNumber="1" minValue="1518696.8838483889" maxValue="99323796.033712953"/>
    </cacheField>
    <cacheField name="Pos% Md" numFmtId="10">
      <sharedItems containsMixedTypes="1" containsNumber="1" minValue="0" maxValue="1.4032116182612366"/>
    </cacheField>
    <cacheField name="GQ3" numFmtId="0">
      <sharedItems containsMixedTypes="1" containsNumber="1" containsInteger="1" minValue="2324000" maxValue="168924000"/>
    </cacheField>
    <cacheField name="GQ3 p" numFmtId="10">
      <sharedItems containsMixedTypes="1" containsNumber="1" minValue="0.3082485035545024" maxValue="1.2550271656441718"/>
    </cacheField>
    <cacheField name="G+VQ3" numFmtId="38">
      <sharedItems containsMixedTypes="1" containsNumber="1" containsInteger="1" minValue="2402000" maxValue="183974000"/>
    </cacheField>
    <cacheField name="G+VQ3 p" numFmtId="10">
      <sharedItems containsMixedTypes="1" containsNumber="1" minValue="0.39893299243832903" maxValue="1.2229694065217391"/>
    </cacheField>
    <cacheField name="CTQ3" numFmtId="38">
      <sharedItems containsMixedTypes="1" containsNumber="1" containsInteger="1" minValue="2486000" maxValue="211271000"/>
    </cacheField>
    <cacheField name="CTQ3 p" numFmtId="10">
      <sharedItems containsMixedTypes="1" containsNumber="1" minValue="0.38970603657059821" maxValue="1.1954227093072674"/>
    </cacheField>
    <cacheField name="Salario Ordinario Pol Minimo" numFmtId="0">
      <sharedItems containsMixedTypes="1" containsNumber="1" containsInteger="1" minValue="1499000" maxValue="43082000"/>
    </cacheField>
    <cacheField name="Salario Ordinario Pol" numFmtId="38">
      <sharedItems containsMixedTypes="1" containsNumber="1" minValue="1873937.6770538243" maxValue="36053424.080736533"/>
    </cacheField>
    <cacheField name="Salario Ordinario Polp" numFmtId="10">
      <sharedItems containsMixedTypes="1" containsNumber="1" minValue="0.34627210680558107" maxValue="1.4773875054609"/>
    </cacheField>
    <cacheField name="Salario Ordinario Pol Máximo" numFmtId="0">
      <sharedItems containsMixedTypes="1" containsNumber="1" containsInteger="1" minValue="2249000" maxValue="64624000"/>
    </cacheField>
    <cacheField name="Salario Integral Pol Minimo" numFmtId="38">
      <sharedItems containsMixedTypes="1" containsNumber="1" containsInteger="1" minValue="19339000" maxValue="50694000"/>
    </cacheField>
    <cacheField name="Salario Integral Pol" numFmtId="38">
      <sharedItems containsMixedTypes="1" containsNumber="1" minValue="19935000" maxValue="42422862.334999993"/>
    </cacheField>
    <cacheField name="Salario Integral Pol p" numFmtId="10">
      <sharedItems containsMixedTypes="1" containsNumber="1" minValue="0.59996114614087637" maxValue="0.75237470405339879"/>
    </cacheField>
    <cacheField name="Salario Integral Pol Máximo" numFmtId="38">
      <sharedItems containsMixedTypes="1" containsNumber="1" containsInteger="1" minValue="21929000" maxValue="76040000"/>
    </cacheField>
    <cacheField name="Gpol" numFmtId="38">
      <sharedItems containsMixedTypes="1" containsNumber="1" minValue="2205000" maxValue="42422862.334999993"/>
    </cacheField>
    <cacheField name="Gpolp" numFmtId="10">
      <sharedItems containsMixedTypes="1" containsNumber="1" minValue="0.34627308774639348" maxValue="1.4773916906946265"/>
    </cacheField>
    <cacheField name="G+Vpol" numFmtId="174">
      <sharedItems containsMixedTypes="1" containsNumber="1" containsInteger="1" minValue="2205000" maxValue="63367000"/>
    </cacheField>
    <cacheField name="G+Vpolp" numFmtId="10">
      <sharedItems containsMixedTypes="1" containsNumber="1" minValue="0.4354036236807865" maxValue="1.4773916906946265"/>
    </cacheField>
    <cacheField name="Ctpol" numFmtId="174">
      <sharedItems containsMixedTypes="1" containsNumber="1" containsInteger="1" minValue="2205000" maxValue="63367000"/>
    </cacheField>
    <cacheField name="Ctpolp" numFmtId="10">
      <sharedItems containsMixedTypes="1" containsNumber="1" minValue="0.4354036236807865" maxValue="1.4773916906946265"/>
    </cacheField>
    <cacheField name="Base Seguridad Social Actual" numFmtId="3">
      <sharedItems containsMixedTypes="1" containsNumber="1" containsInteger="1" minValue="1951000" maxValue="35587500"/>
    </cacheField>
    <cacheField name="Salud" numFmtId="3">
      <sharedItems containsMixedTypes="1" containsNumber="1" minValue="0" maxValue="3024937.5"/>
    </cacheField>
    <cacheField name="Pensión" numFmtId="3">
      <sharedItems containsMixedTypes="1" containsNumber="1" containsInteger="1" minValue="234120" maxValue="4270500"/>
    </cacheField>
    <cacheField name="ARL" numFmtId="3">
      <sharedItems containsMixedTypes="1" containsNumber="1" minValue="10184.219999999999" maxValue="1548056.25"/>
    </cacheField>
    <cacheField name="Parafiscales" numFmtId="3">
      <sharedItems containsMixedTypes="1" containsNumber="1" containsInteger="1" minValue="78040" maxValue="3202875"/>
    </cacheField>
    <cacheField name="Costo Laboral Actual" numFmtId="3">
      <sharedItems containsMixedTypes="1" containsNumber="1" minValue="322344.21999999997" maxValue="12046368.75"/>
    </cacheField>
    <cacheField name="Costo Total Actual" numFmtId="3">
      <sharedItems containsMixedTypes="1" containsNumber="1" minValue="2618027.3900000006" maxValue="61156456.205000006"/>
    </cacheField>
    <cacheField name="Base Seguridad Social Nueva" numFmtId="3">
      <sharedItems containsMixedTypes="1" containsNumber="1" minValue="1873937.6770538243" maxValue="35587500"/>
    </cacheField>
    <cacheField name="Salud Nueva" numFmtId="3">
      <sharedItems containsMixedTypes="1" containsNumber="1" minValue="0" maxValue="3024937.5"/>
    </cacheField>
    <cacheField name="Pensión Nueva" numFmtId="3">
      <sharedItems containsMixedTypes="1" containsNumber="1" minValue="224872.5212464589" maxValue="4270500"/>
    </cacheField>
    <cacheField name="ARL nueva" numFmtId="3">
      <sharedItems containsMixedTypes="1" containsNumber="1" minValue="9781.9546742209623" maxValue="1548056.25"/>
    </cacheField>
    <cacheField name="Parafiscales Nuevos" numFmtId="3">
      <sharedItems containsMixedTypes="1" containsNumber="1" minValue="74957.507082152981" maxValue="3202875"/>
    </cacheField>
    <cacheField name="Costo Laboral Nuevo" numFmtId="3">
      <sharedItems containsMixedTypes="1" containsNumber="1" minValue="309611.98300283286" maxValue="12046368.75"/>
    </cacheField>
    <cacheField name="Costo Total Nuevo" numFmtId="3">
      <sharedItems containsMixedTypes="1" containsNumber="1" minValue="2514611.9830028331" maxValue="75413368.75"/>
    </cacheField>
    <cacheField name="Costo Mensual de Nivelación" numFmtId="3">
      <sharedItems containsMixedTypes="1" containsNumber="1" minValue="-226212.32252124697" maxValue="16040801.75416667"/>
    </cacheField>
    <cacheField name="Nivelación CT" numFmtId="3">
      <sharedItems containsMixedTypes="1" containsNumber="1" minValue="0" maxValue="14256912.544999994"/>
    </cacheField>
    <cacheField name="Nivelación Costo Laboral" numFmtId="3">
      <sharedItems containsMixedTypes="1" containsNumber="1" minValue="0" maxValue="4127192.0679886686"/>
    </cacheField>
    <cacheField name="CT Mediana" numFmtId="3">
      <sharedItems containsMixedTypes="1" containsNumber="1" containsInteger="1" minValue="1900000" maxValue="125571000"/>
    </cacheField>
    <cacheField name="80% Equidad" numFmtId="3">
      <sharedItems containsMixedTypes="1" containsNumber="1" minValue="1881044.2777139388" maxValue="41655812.286912456"/>
    </cacheField>
    <cacheField name="120% Equidad" numFmtId="3">
      <sharedItems containsMixedTypes="1" containsNumber="1" minValue="2821566.4165709079" maxValue="62483718.430368677"/>
    </cacheField>
    <cacheField name="Salario Ordinario Pol2" numFmtId="38">
      <sharedItems containsMixedTypes="1" containsNumber="1" minValue="1499150.1416430594" maxValue="43082379.603399433"/>
    </cacheField>
    <cacheField name="Salario Integral Pol4" numFmtId="38">
      <sharedItems containsMixedTypes="1" containsNumber="1" containsInteger="1" minValue="19339200" maxValue="50693600"/>
    </cacheField>
    <cacheField name="Gpol6" numFmtId="174">
      <sharedItems containsMixedTypes="1" containsNumber="1" containsInteger="1" minValue="1764000" maxValue="50693600"/>
    </cacheField>
    <cacheField name="G+Vpol8" numFmtId="174">
      <sharedItems containsMixedTypes="1" containsNumber="1" containsInteger="1" minValue="1764000" maxValue="50693600"/>
    </cacheField>
    <cacheField name="Ctpol10" numFmtId="174">
      <sharedItems containsMixedTypes="1" containsNumber="1" containsInteger="1" minValue="1764000" maxValue="50693600"/>
    </cacheField>
    <cacheField name="Salario Ordinario Pol22" numFmtId="38">
      <sharedItems containsMixedTypes="1" containsNumber="1" minValue="2248725.2124645892" maxValue="64623569.405099146"/>
    </cacheField>
    <cacheField name="Salario Integral Pol44" numFmtId="38">
      <sharedItems containsMixedTypes="1" containsNumber="1" containsInteger="1" minValue="21928800" maxValue="76040400"/>
    </cacheField>
    <cacheField name="Gpol66" numFmtId="174">
      <sharedItems containsMixedTypes="1" containsNumber="1" containsInteger="1" minValue="2646000" maxValue="76040400"/>
    </cacheField>
    <cacheField name="G+Vpol88" numFmtId="174">
      <sharedItems containsMixedTypes="1" containsNumber="1" containsInteger="1" minValue="2646000" maxValue="76040400"/>
    </cacheField>
    <cacheField name="Ctpol1010" numFmtId="174">
      <sharedItems containsMixedTypes="1" containsNumber="1" containsInteger="1" minValue="2646000" maxValue="76040400"/>
    </cacheField>
    <cacheField name="Costo Mensual Sobrepago" numFmtId="3">
      <sharedItems containsMixedTypes="1" containsNumber="1" minValue="0" maxValue="3426623.3364305962"/>
    </cacheField>
    <cacheField name="Pos." numFmtId="0" formula="CT/'CT Mediana'" databaseField="0"/>
    <cacheField name="Posc." numFmtId="0" formula="CT/Ctpol" databaseField="0"/>
    <cacheField name="Campo1" numFmtId="0" formula="Básico/'Salario Ordinario Pol'" databaseField="0"/>
    <cacheField name="Pos. B" numFmtId="0" formula="Básico/'Salario Ordinario Po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">
  <r>
    <s v="GEERENTE GENERAL"/>
    <x v="0"/>
    <s v="Operaciones "/>
    <s v="GERENCIA GENERAL"/>
    <m/>
    <n v="1344"/>
    <s v="G"/>
    <s v="+"/>
    <s v="VI"/>
    <n v="4"/>
    <n v="562"/>
    <s v="C"/>
    <n v="4"/>
    <s v="V"/>
    <n v="176"/>
    <n v="738"/>
    <n v="4"/>
    <s v="-"/>
    <s v="G"/>
    <s v="-"/>
    <n v="0.41"/>
    <n v="302.58"/>
    <s v="IV"/>
    <s v="G"/>
    <n v="6"/>
    <n v="303"/>
    <n v="1"/>
    <n v="1"/>
    <n v="1"/>
    <x v="0"/>
    <x v="0"/>
    <s v="Gerente General"/>
    <n v="1"/>
    <n v="28165949.790000003"/>
    <n v="49110087.455000006"/>
    <n v="49110087.455000006"/>
    <s v=""/>
    <m/>
    <m/>
    <m/>
    <m/>
    <s v="Ejecutivo"/>
    <n v="14589000"/>
    <m/>
    <m/>
  </r>
  <r>
    <s v="GERENTE COMERCIAL Y MERCADEO"/>
    <x v="1"/>
    <s v="Operaciones "/>
    <s v="GERENCIA GENERAL"/>
    <m/>
    <n v="1048"/>
    <s v="G"/>
    <s v="+"/>
    <s v="V"/>
    <n v="4"/>
    <n v="480"/>
    <s v="C"/>
    <n v="4"/>
    <s v="IV"/>
    <n v="116"/>
    <n v="596"/>
    <n v="4"/>
    <s v="-"/>
    <s v="F"/>
    <s v="+"/>
    <n v="0.41"/>
    <n v="244.35999999999999"/>
    <s v="III"/>
    <s v="F"/>
    <n v="6"/>
    <n v="208"/>
    <n v="1"/>
    <n v="1"/>
    <n v="1"/>
    <x v="1"/>
    <x v="0"/>
    <s v="Gerente"/>
    <n v="1"/>
    <n v="26376000"/>
    <n v="32970000"/>
    <n v="33620000"/>
    <s v=""/>
    <m/>
    <m/>
    <m/>
    <m/>
    <s v="Gerencia Alta"/>
    <n v="0"/>
    <m/>
    <m/>
  </r>
  <r>
    <s v="GERENCIA DE OPERACIONES"/>
    <x v="2"/>
    <s v="Operaciones "/>
    <s v="GERENCIA GENERAL"/>
    <m/>
    <n v="1025"/>
    <s v="G"/>
    <s v="+"/>
    <s v="V"/>
    <n v="4"/>
    <n v="480"/>
    <s v="C"/>
    <n v="4"/>
    <s v="IV"/>
    <n v="116"/>
    <n v="596"/>
    <n v="3"/>
    <s v="+"/>
    <s v="F"/>
    <s v="+"/>
    <n v="0.41"/>
    <n v="244.35999999999999"/>
    <s v="III"/>
    <s v="F"/>
    <n v="5"/>
    <n v="185"/>
    <n v="1"/>
    <n v="1"/>
    <n v="1"/>
    <x v="1"/>
    <x v="0"/>
    <s v="Gerente"/>
    <n v="1"/>
    <n v="20846000"/>
    <n v="27851416.666666664"/>
    <n v="28401416.666666664"/>
    <s v=""/>
    <m/>
    <m/>
    <m/>
    <m/>
    <s v="Gerencia Alta"/>
    <n v="4863000"/>
    <m/>
    <m/>
  </r>
  <r>
    <s v="GERENTE ADMINISTRATIVA Y FINANCIERA"/>
    <x v="1"/>
    <s v="Operaciones "/>
    <s v="GERENCIA GENERAL"/>
    <m/>
    <n v="805"/>
    <s v="F"/>
    <s v="+"/>
    <s v="V"/>
    <n v="4"/>
    <n v="387"/>
    <s v="C"/>
    <n v="4"/>
    <s v="IV"/>
    <n v="116"/>
    <n v="503"/>
    <n v="3"/>
    <s v="+"/>
    <s v="F"/>
    <s v="-"/>
    <n v="0.34"/>
    <n v="171.02"/>
    <s v="III"/>
    <s v="E"/>
    <n v="4"/>
    <n v="131"/>
    <n v="1"/>
    <n v="1"/>
    <n v="0"/>
    <x v="2"/>
    <x v="1"/>
    <s v="Director/Jefe/Especialista Sr"/>
    <n v="1"/>
    <n v="16233339.320000002"/>
    <n v="17586117.596666668"/>
    <n v="17586117.596666668"/>
    <s v=""/>
    <m/>
    <m/>
    <m/>
    <m/>
    <s v="Gerencia Alta"/>
    <n v="0"/>
    <m/>
    <m/>
  </r>
  <r>
    <s v="DIRECTOR DE VENTAS EEUU"/>
    <x v="3"/>
    <s v="Comercial "/>
    <s v="COMERCIAL Y MERCADEO"/>
    <m/>
    <n v="655"/>
    <s v="F"/>
    <s v="+"/>
    <s v="IV"/>
    <n v="3"/>
    <n v="323"/>
    <s v="C"/>
    <n v="4"/>
    <s v="IV"/>
    <n v="116"/>
    <n v="439"/>
    <n v="4"/>
    <s v="-"/>
    <s v="E"/>
    <s v="-"/>
    <n v="0.28999999999999998"/>
    <n v="127.30999999999999"/>
    <s v="III"/>
    <s v="D"/>
    <n v="2"/>
    <n v="89"/>
    <n v="1"/>
    <n v="1"/>
    <n v="1"/>
    <x v="3"/>
    <x v="0"/>
    <s v="Director/Jefe/Especialista Sr"/>
    <n v="1"/>
    <n v="11766700.000000002"/>
    <n v="11766700.000000002"/>
    <n v="11766700.000000002"/>
    <s v=""/>
    <m/>
    <m/>
    <m/>
    <m/>
    <s v="Gerencia media"/>
    <n v="0"/>
    <m/>
    <m/>
  </r>
  <r>
    <s v="DIRECTOR DE VENTAS LATAM"/>
    <x v="1"/>
    <s v="Operaciones "/>
    <s v="COMERCIAL Y MERCADEO"/>
    <m/>
    <n v="666"/>
    <s v="F"/>
    <s v="+"/>
    <s v="IV"/>
    <n v="3"/>
    <n v="323"/>
    <s v="C"/>
    <n v="4"/>
    <s v="IV"/>
    <n v="116"/>
    <n v="439"/>
    <n v="3"/>
    <s v="o"/>
    <s v="E"/>
    <s v="-"/>
    <n v="0.27"/>
    <n v="118.53"/>
    <s v="III"/>
    <s v="D"/>
    <n v="4"/>
    <n v="108"/>
    <n v="1"/>
    <n v="1"/>
    <n v="0"/>
    <x v="3"/>
    <x v="1"/>
    <s v="Director/Jefe/Especialista Sr"/>
    <n v="2"/>
    <n v="6315187.8900000006"/>
    <n v="10292332.490000002"/>
    <n v="10292332.490000002"/>
    <s v=""/>
    <m/>
    <m/>
    <m/>
    <m/>
    <s v="Gerencia media"/>
    <n v="3380000"/>
    <m/>
    <m/>
  </r>
  <r>
    <s v="DIRECTOR NACIONAL DE VENTAS"/>
    <x v="1"/>
    <s v="Comercial "/>
    <s v="COMERCIAL Y MERCADEO"/>
    <m/>
    <n v="652"/>
    <s v="F"/>
    <s v="+"/>
    <s v="IV"/>
    <n v="3"/>
    <n v="323"/>
    <s v="C"/>
    <n v="4"/>
    <s v="IV"/>
    <n v="116"/>
    <n v="439"/>
    <n v="3"/>
    <s v="-"/>
    <s v="E"/>
    <s v="-"/>
    <n v="0.24"/>
    <n v="105.36"/>
    <s v="III"/>
    <s v="D"/>
    <n v="4"/>
    <n v="108"/>
    <n v="1"/>
    <n v="1"/>
    <n v="0"/>
    <x v="3"/>
    <x v="1"/>
    <s v="Director/Jefe/Especialista Sr"/>
    <n v="1"/>
    <n v="6304597.8600000003"/>
    <n v="9363939.8600000013"/>
    <n v="9363939.8600000013"/>
    <s v=""/>
    <m/>
    <m/>
    <m/>
    <m/>
    <s v="Gerencia media"/>
    <n v="2600000"/>
    <m/>
    <m/>
  </r>
  <r>
    <s v="DIRECTOR DE LOGISTICA"/>
    <x v="4"/>
    <s v="Operaciones "/>
    <s v="OPERACIONES"/>
    <m/>
    <n v="633"/>
    <s v="F"/>
    <s v="o"/>
    <s v="IV"/>
    <n v="4"/>
    <n v="299"/>
    <s v="C"/>
    <n v="4"/>
    <s v="IV"/>
    <n v="116"/>
    <n v="415"/>
    <n v="3"/>
    <s v="o"/>
    <s v="E"/>
    <s v="o"/>
    <n v="0.28999999999999998"/>
    <n v="120.35"/>
    <s v="III"/>
    <s v="D"/>
    <n v="3"/>
    <n v="98"/>
    <n v="1"/>
    <n v="1"/>
    <n v="0"/>
    <x v="3"/>
    <x v="1"/>
    <s v="Director/Jefe/Especialista Sr"/>
    <n v="1"/>
    <n v="13526998.32"/>
    <n v="13526998.32"/>
    <n v="13526998.32"/>
    <s v=""/>
    <m/>
    <m/>
    <m/>
    <m/>
    <s v="Gerencia media"/>
    <n v="0"/>
    <m/>
    <m/>
  </r>
  <r>
    <s v="DIRECTOR DE GESTION HUMANA"/>
    <x v="5"/>
    <s v="Operaciones "/>
    <s v="GERENCIA GENERAL"/>
    <m/>
    <n v="632"/>
    <s v="F"/>
    <s v="o"/>
    <s v="V"/>
    <n v="3"/>
    <n v="331"/>
    <s v="C"/>
    <n v="4"/>
    <s v="III"/>
    <n v="77"/>
    <n v="408"/>
    <n v="2"/>
    <s v="+"/>
    <s v="F"/>
    <s v="-"/>
    <n v="0.28999999999999998"/>
    <n v="118.32"/>
    <s v="III"/>
    <s v="E"/>
    <n v="2"/>
    <n v="106"/>
    <n v="1"/>
    <n v="1"/>
    <n v="0"/>
    <x v="3"/>
    <x v="1"/>
    <s v="Director/Jefe/Especialista Sr"/>
    <n v="1"/>
    <n v="10253502.380000001"/>
    <n v="10253502.380000001"/>
    <n v="10253502.380000001"/>
    <s v=""/>
    <m/>
    <m/>
    <m/>
    <m/>
    <s v="Gerencia media"/>
    <n v="0"/>
    <m/>
    <m/>
  </r>
  <r>
    <s v="DIRECTOR DE INNOVACION"/>
    <x v="5"/>
    <s v="Operaciones "/>
    <s v="GERENCIA GENERAL"/>
    <m/>
    <n v="625"/>
    <s v="F"/>
    <s v="o"/>
    <s v="V"/>
    <n v="1"/>
    <n v="299"/>
    <s v="C"/>
    <n v="4"/>
    <s v="III"/>
    <n v="77"/>
    <n v="376"/>
    <n v="3"/>
    <s v="+"/>
    <s v="F"/>
    <s v="o"/>
    <n v="0.38"/>
    <n v="142.88"/>
    <s v="III"/>
    <s v="E"/>
    <n v="2"/>
    <n v="106"/>
    <n v="1"/>
    <n v="1"/>
    <n v="1"/>
    <x v="3"/>
    <x v="0"/>
    <s v="Director/Jefe/Especialista Sr"/>
    <n v="1"/>
    <n v="13526998.32"/>
    <n v="13526998.32"/>
    <n v="13526998.32"/>
    <s v=""/>
    <m/>
    <m/>
    <m/>
    <m/>
    <s v="Gerencia media"/>
    <n v="0"/>
    <m/>
    <m/>
  </r>
  <r>
    <s v="DIRECTOR DESARROLLO"/>
    <x v="1"/>
    <s v="Comercial "/>
    <s v="COMERCIAL Y MERCADEO"/>
    <m/>
    <n v="619"/>
    <s v="F"/>
    <s v="+"/>
    <s v="IV"/>
    <n v="4"/>
    <n v="336"/>
    <s v="C"/>
    <n v="4"/>
    <s v="III"/>
    <n v="77"/>
    <n v="413"/>
    <n v="4"/>
    <s v="-"/>
    <s v="E"/>
    <s v="o"/>
    <n v="0.32"/>
    <n v="132.16"/>
    <s v="III"/>
    <s v="D"/>
    <n v="1"/>
    <n v="74"/>
    <n v="1"/>
    <n v="1"/>
    <n v="1"/>
    <x v="3"/>
    <x v="0"/>
    <s v="Director/Jefe/Especialista Sr"/>
    <n v="1"/>
    <n v="9295693"/>
    <n v="9295693"/>
    <n v="9295693"/>
    <s v=""/>
    <m/>
    <m/>
    <m/>
    <m/>
    <s v="Gerencia media"/>
    <n v="0"/>
    <m/>
    <m/>
  </r>
  <r>
    <s v="DIRECTOR INGENIERIA"/>
    <x v="1"/>
    <s v="Comercial "/>
    <s v="OPERACIONES"/>
    <m/>
    <n v="610"/>
    <s v="F"/>
    <s v="+"/>
    <s v="IV"/>
    <n v="3"/>
    <n v="323"/>
    <s v="C"/>
    <n v="4"/>
    <s v="III"/>
    <n v="77"/>
    <n v="400"/>
    <n v="4"/>
    <s v="o"/>
    <s v="E"/>
    <s v="o"/>
    <n v="0.34"/>
    <n v="136"/>
    <s v="III"/>
    <s v="D"/>
    <n v="1"/>
    <n v="74"/>
    <n v="1"/>
    <n v="1"/>
    <n v="1"/>
    <x v="4"/>
    <x v="0"/>
    <s v="Director/Jefe/Especialista Sr"/>
    <n v="1"/>
    <n v="9295693"/>
    <n v="9295693"/>
    <n v="9295693"/>
    <s v=""/>
    <m/>
    <m/>
    <m/>
    <m/>
    <s v="Gerencia media"/>
    <n v="0"/>
    <m/>
    <m/>
  </r>
  <r>
    <s v="DIRECTOR TIC"/>
    <x v="1"/>
    <s v="Comercial "/>
    <s v="ADMINISTRATIVA Y FINANCIERA"/>
    <m/>
    <n v="599"/>
    <s v="F"/>
    <s v="+"/>
    <s v="IV"/>
    <n v="4"/>
    <n v="336"/>
    <s v="C"/>
    <n v="4"/>
    <s v="III"/>
    <n v="77"/>
    <n v="413"/>
    <n v="2"/>
    <s v="+"/>
    <s v="E"/>
    <s v="o"/>
    <n v="0.27"/>
    <n v="111.51"/>
    <s v="III"/>
    <s v="D"/>
    <n v="1"/>
    <n v="74"/>
    <n v="0"/>
    <n v="0"/>
    <n v="0"/>
    <x v="4"/>
    <x v="2"/>
    <s v="Director/Jefe/Especialista Sr"/>
    <n v="1"/>
    <n v="11477239.180000002"/>
    <n v="11477239.180000002"/>
    <n v="11477239.180000002"/>
    <s v=""/>
    <m/>
    <m/>
    <m/>
    <m/>
    <s v="Gerencia media"/>
    <n v="0"/>
    <m/>
    <m/>
  </r>
  <r>
    <s v="DIRECTOR DE MANTENIMIENTO Y PROYECTOS"/>
    <x v="1"/>
    <s v="Operaciones "/>
    <s v="OPERACIONES"/>
    <m/>
    <n v="559"/>
    <s v="F"/>
    <s v="o"/>
    <s v="IV"/>
    <n v="4"/>
    <n v="299"/>
    <s v="C"/>
    <n v="4"/>
    <s v="III"/>
    <n v="77"/>
    <n v="376"/>
    <n v="4"/>
    <s v="-"/>
    <s v="D"/>
    <s v="+"/>
    <n v="0.28999999999999998"/>
    <n v="109.03999999999999"/>
    <s v="III"/>
    <s v="D"/>
    <n v="1"/>
    <n v="74"/>
    <n v="1"/>
    <n v="1"/>
    <n v="0"/>
    <x v="4"/>
    <x v="1"/>
    <s v="Director/Jefe/Especialista Sr"/>
    <n v="1"/>
    <n v="9295693"/>
    <n v="9295693"/>
    <n v="9295693"/>
    <s v=""/>
    <m/>
    <m/>
    <m/>
    <m/>
    <s v="Gerencia media"/>
    <n v="0"/>
    <m/>
    <m/>
  </r>
  <r>
    <s v="COOORDINADOR DE MERCADEO"/>
    <x v="1"/>
    <s v="Logistica "/>
    <s v="COMERCIAL Y MERCADEO"/>
    <m/>
    <n v="559"/>
    <s v="F"/>
    <s v="o"/>
    <s v="IV"/>
    <n v="4"/>
    <n v="299"/>
    <s v="C"/>
    <n v="4"/>
    <s v="III"/>
    <n v="77"/>
    <n v="376"/>
    <n v="3"/>
    <s v="+"/>
    <s v="E"/>
    <s v="-"/>
    <n v="0.28999999999999998"/>
    <n v="109.03999999999999"/>
    <s v="III"/>
    <s v="D"/>
    <n v="1"/>
    <n v="74"/>
    <n v="1"/>
    <n v="1"/>
    <n v="0"/>
    <x v="4"/>
    <x v="1"/>
    <s v="Director/Jefe/Especialista Sr"/>
    <n v="1"/>
    <n v="6023373.7300000004"/>
    <n v="6023373.7300000004"/>
    <n v="6023373.7300000004"/>
    <s v=""/>
    <m/>
    <m/>
    <m/>
    <m/>
    <s v="Gerencia media"/>
    <n v="0"/>
    <m/>
    <m/>
  </r>
  <r>
    <s v="DIRECTOR ADMINISTRATIVO Y CONTABLE"/>
    <x v="1"/>
    <s v="Comercial "/>
    <s v="ADMINISTRATIVA Y FINANCIERA"/>
    <m/>
    <n v="559"/>
    <s v="F"/>
    <s v="o"/>
    <s v="IV"/>
    <n v="4"/>
    <n v="299"/>
    <s v="C"/>
    <n v="4"/>
    <s v="III"/>
    <n v="77"/>
    <n v="376"/>
    <n v="3"/>
    <s v="o"/>
    <s v="E"/>
    <s v="o"/>
    <n v="0.28999999999999998"/>
    <n v="109.03999999999999"/>
    <s v="III"/>
    <s v="D"/>
    <n v="1"/>
    <n v="74"/>
    <n v="0"/>
    <n v="0"/>
    <n v="0"/>
    <x v="4"/>
    <x v="2"/>
    <s v="Director/Jefe/Especialista Sr"/>
    <n v="1"/>
    <n v="12175004.49"/>
    <n v="12175004.49"/>
    <n v="12175004.49"/>
    <s v=""/>
    <m/>
    <m/>
    <m/>
    <m/>
    <s v="Gerencia media"/>
    <n v="0"/>
    <m/>
    <m/>
  </r>
  <r>
    <s v="DIRECTOR DE MATERIALES"/>
    <x v="4"/>
    <s v="Operaciones "/>
    <s v="OPERACIONES"/>
    <m/>
    <n v="556"/>
    <s v="F"/>
    <s v="+"/>
    <s v="III"/>
    <n v="3"/>
    <n v="296"/>
    <s v="C"/>
    <n v="4"/>
    <s v="III"/>
    <n v="77"/>
    <n v="373"/>
    <n v="4"/>
    <s v="o"/>
    <s v="E"/>
    <s v="-"/>
    <n v="0.32"/>
    <n v="119.36"/>
    <s v="III"/>
    <s v="C"/>
    <n v="1"/>
    <n v="64"/>
    <n v="1"/>
    <n v="1"/>
    <n v="1"/>
    <x v="4"/>
    <x v="0"/>
    <s v="Director/Jefe/Especialista Sr"/>
    <n v="1"/>
    <n v="9295693"/>
    <n v="9295693"/>
    <n v="9295693"/>
    <s v=""/>
    <m/>
    <m/>
    <m/>
    <m/>
    <s v="Gerencia media"/>
    <n v="0"/>
    <m/>
    <m/>
  </r>
  <r>
    <s v="DIRECTOR DE CALIDAD Y CONTROL DE PROCESOS"/>
    <x v="4"/>
    <s v="Operaciones "/>
    <s v="OPERACIONES"/>
    <m/>
    <n v="540"/>
    <s v="F"/>
    <s v="o"/>
    <s v="IV"/>
    <n v="4"/>
    <n v="299"/>
    <s v="C"/>
    <n v="4"/>
    <s v="III"/>
    <n v="77"/>
    <n v="376"/>
    <n v="2"/>
    <s v="+"/>
    <s v="D"/>
    <s v="+"/>
    <n v="0.24"/>
    <n v="90.24"/>
    <s v="III"/>
    <s v="D"/>
    <n v="1"/>
    <n v="74"/>
    <n v="1"/>
    <n v="1"/>
    <n v="0"/>
    <x v="4"/>
    <x v="1"/>
    <s v="Director/Jefe/Especialista Sr"/>
    <n v="1"/>
    <n v="9295693"/>
    <n v="9295693"/>
    <n v="9295693"/>
    <s v=""/>
    <m/>
    <m/>
    <m/>
    <m/>
    <s v="Gerencia media"/>
    <n v="0"/>
    <m/>
    <m/>
  </r>
  <r>
    <s v="DIRECTOR DE PRODUCCION"/>
    <x v="1"/>
    <s v="Operaciones "/>
    <s v="OPERACIONES"/>
    <m/>
    <n v="536"/>
    <s v="F"/>
    <s v="o"/>
    <s v="IV"/>
    <n v="3"/>
    <n v="287"/>
    <s v="C"/>
    <n v="4"/>
    <s v="III"/>
    <n v="77"/>
    <n v="364"/>
    <n v="3"/>
    <s v="o"/>
    <s v="E"/>
    <s v="-"/>
    <n v="0.27"/>
    <n v="98.28"/>
    <s v="III"/>
    <s v="D"/>
    <n v="1"/>
    <n v="74"/>
    <n v="1"/>
    <n v="1"/>
    <n v="0"/>
    <x v="4"/>
    <x v="1"/>
    <s v="Director/Jefe/Especialista Sr"/>
    <n v="1"/>
    <n v="9295693"/>
    <n v="9295693"/>
    <n v="9295693"/>
    <s v=""/>
    <m/>
    <m/>
    <m/>
    <m/>
    <s v="Gerencia media"/>
    <n v="0"/>
    <m/>
    <m/>
  </r>
  <r>
    <s v="DIRECTOR DE CENTRO DE TRANSFORMACIÓN"/>
    <x v="1"/>
    <s v="Operaciones "/>
    <s v="OPERACIONES"/>
    <m/>
    <n v="527"/>
    <s v="F"/>
    <s v="+"/>
    <s v="III"/>
    <n v="3"/>
    <n v="296"/>
    <s v="C"/>
    <n v="4"/>
    <s v="III"/>
    <n v="77"/>
    <n v="373"/>
    <n v="2"/>
    <s v="+"/>
    <s v="D"/>
    <s v="+"/>
    <n v="0.24"/>
    <n v="89.52"/>
    <s v="III"/>
    <s v="C"/>
    <n v="1"/>
    <n v="64"/>
    <n v="1"/>
    <n v="1"/>
    <n v="1"/>
    <x v="5"/>
    <x v="0"/>
    <s v="Coordinador / Especialista"/>
    <n v="1"/>
    <n v="9295693"/>
    <n v="9295693"/>
    <n v="9295693"/>
    <s v=""/>
    <m/>
    <m/>
    <m/>
    <m/>
    <s v="Gerencia media"/>
    <n v="0"/>
    <m/>
    <m/>
  </r>
  <r>
    <s v="JEFE DE MEJORAMIENTO CONTINUO"/>
    <x v="6"/>
    <s v="Operaciones "/>
    <s v="OPERACIONES"/>
    <m/>
    <n v="478"/>
    <s v="E"/>
    <s v="o"/>
    <s v="IV"/>
    <n v="3"/>
    <n v="229"/>
    <s v="C"/>
    <n v="4"/>
    <s v="III"/>
    <n v="77"/>
    <n v="306"/>
    <n v="4"/>
    <s v="-"/>
    <s v="E"/>
    <s v="o"/>
    <n v="0.32"/>
    <n v="97.92"/>
    <s v="III"/>
    <s v="D"/>
    <n v="1"/>
    <n v="74"/>
    <n v="1"/>
    <n v="1"/>
    <n v="0"/>
    <x v="5"/>
    <x v="1"/>
    <s v="Coordinador / Especialista"/>
    <n v="1"/>
    <n v="7441261.080000001"/>
    <n v="7441261.080000001"/>
    <n v="7441261.080000001"/>
    <s v=""/>
    <m/>
    <m/>
    <m/>
    <m/>
    <s v="Gerencia media"/>
    <n v="0"/>
    <m/>
    <m/>
  </r>
  <r>
    <s v="COORDINADOR  SST"/>
    <x v="4"/>
    <s v="Logistica "/>
    <s v="OPERACIONES"/>
    <m/>
    <n v="474"/>
    <s v="E"/>
    <s v="+"/>
    <s v="IV"/>
    <n v="3"/>
    <n v="256"/>
    <s v="C"/>
    <n v="4"/>
    <s v="III"/>
    <n v="77"/>
    <n v="333"/>
    <n v="2"/>
    <s v="+"/>
    <s v="D"/>
    <s v="-"/>
    <n v="0.2"/>
    <n v="66.600000000000009"/>
    <s v="III"/>
    <s v="D"/>
    <n v="1"/>
    <n v="74"/>
    <n v="0"/>
    <n v="1"/>
    <n v="0"/>
    <x v="5"/>
    <x v="3"/>
    <s v="Coordinador / Especialista"/>
    <n v="1"/>
    <n v="6023373.7300000004"/>
    <n v="6023373.7300000004"/>
    <n v="6023373.7300000004"/>
    <s v=""/>
    <m/>
    <m/>
    <m/>
    <m/>
    <s v="Gerencia media"/>
    <n v="0"/>
    <m/>
    <m/>
  </r>
  <r>
    <s v="JEFE DE COMPRAS"/>
    <x v="7"/>
    <s v="Operaciones "/>
    <s v="OPERACIONES"/>
    <m/>
    <n v="468"/>
    <s v="E"/>
    <s v="o"/>
    <s v="IV"/>
    <n v="3"/>
    <n v="229"/>
    <s v="C"/>
    <n v="4"/>
    <s v="III"/>
    <n v="77"/>
    <n v="306"/>
    <n v="2"/>
    <s v="+"/>
    <s v="D"/>
    <s v="+"/>
    <n v="0.24"/>
    <n v="73.44"/>
    <s v="III"/>
    <s v="D"/>
    <n v="2"/>
    <n v="89"/>
    <n v="0"/>
    <n v="1"/>
    <n v="0"/>
    <x v="5"/>
    <x v="3"/>
    <s v="Coordinador / Especialista"/>
    <n v="1"/>
    <n v="6808212.620000001"/>
    <n v="6808212.620000001"/>
    <n v="6808212.620000001"/>
    <s v=""/>
    <m/>
    <m/>
    <m/>
    <m/>
    <s v="Gerencia media"/>
    <n v="0"/>
    <m/>
    <m/>
  </r>
  <r>
    <s v="COORDINADORA DE CONTABILIDAD"/>
    <x v="8"/>
    <s v="Comercial "/>
    <s v="ADMINISTRATIVA Y FINANCIERA"/>
    <m/>
    <n v="457"/>
    <s v="F"/>
    <s v="o"/>
    <s v="III"/>
    <n v="3"/>
    <n v="259"/>
    <s v="A"/>
    <n v="4"/>
    <s v="III"/>
    <n v="58"/>
    <n v="317"/>
    <n v="2"/>
    <s v="+"/>
    <s v="D"/>
    <s v="+"/>
    <n v="0.24"/>
    <n v="76.08"/>
    <s v="III"/>
    <s v="C"/>
    <n v="1"/>
    <n v="64"/>
    <n v="0"/>
    <n v="0"/>
    <n v="0"/>
    <x v="6"/>
    <x v="2"/>
    <s v="Coordinador / Especialista"/>
    <n v="1"/>
    <n v="5656252.6900000004"/>
    <n v="5656252.6900000004"/>
    <n v="5656252.6900000004"/>
    <s v=""/>
    <m/>
    <m/>
    <m/>
    <m/>
    <s v="Táctico"/>
    <n v="0"/>
    <m/>
    <m/>
  </r>
  <r>
    <s v="COORDINADORA DE COMERCIO EXTERIOR"/>
    <x v="7"/>
    <s v="Comercial "/>
    <s v="OPERACIONES"/>
    <m/>
    <n v="452"/>
    <s v="E"/>
    <s v="+"/>
    <s v="III"/>
    <n v="3"/>
    <n v="228"/>
    <s v="C"/>
    <n v="4"/>
    <s v="III"/>
    <n v="77"/>
    <n v="305"/>
    <n v="2"/>
    <s v="+"/>
    <s v="D"/>
    <s v="+"/>
    <n v="0.24"/>
    <n v="73.2"/>
    <s v="III"/>
    <s v="D"/>
    <n v="1"/>
    <n v="74"/>
    <n v="0"/>
    <n v="1"/>
    <n v="0"/>
    <x v="6"/>
    <x v="3"/>
    <s v="Coordinador / Especialista"/>
    <n v="1"/>
    <n v="6023373.7300000004"/>
    <n v="6023373.7300000004"/>
    <n v="6023373.7300000004"/>
    <s v=""/>
    <m/>
    <m/>
    <m/>
    <m/>
    <s v="Táctico"/>
    <n v="0"/>
    <m/>
    <m/>
  </r>
  <r>
    <s v="JEFE DE TERCERIZADOS"/>
    <x v="2"/>
    <n v="0"/>
    <s v="COMERCIAL Y MERCADEO"/>
    <m/>
    <n v="452"/>
    <s v="F"/>
    <s v="-"/>
    <s v="III"/>
    <n v="3"/>
    <n v="228"/>
    <s v="C"/>
    <n v="4"/>
    <s v="III"/>
    <n v="77"/>
    <n v="305"/>
    <n v="2"/>
    <s v="+"/>
    <s v="D"/>
    <s v="+"/>
    <n v="0.24"/>
    <n v="73.2"/>
    <s v="III"/>
    <s v="D"/>
    <n v="1"/>
    <n v="74"/>
    <n v="1"/>
    <n v="1"/>
    <n v="1"/>
    <x v="6"/>
    <x v="0"/>
    <s v="Coordinador / Especialista"/>
    <n v="1"/>
    <n v="6354018.0000000009"/>
    <n v="6354018.0000000009"/>
    <n v="6354018.0000000009"/>
    <s v=""/>
    <m/>
    <m/>
    <m/>
    <m/>
    <s v="Táctico"/>
    <n v="0"/>
    <m/>
    <m/>
  </r>
  <r>
    <s v="LIDER DE VENTAS EEUU"/>
    <x v="9"/>
    <s v="Gerencia general "/>
    <s v="COMERCIAL Y MERCADEO"/>
    <m/>
    <n v="452"/>
    <s v="E"/>
    <s v="+"/>
    <s v="III"/>
    <n v="1"/>
    <n v="216"/>
    <s v="C"/>
    <n v="4"/>
    <s v="III"/>
    <n v="77"/>
    <n v="293"/>
    <n v="2"/>
    <s v="+"/>
    <s v="D"/>
    <s v="+"/>
    <n v="0.24"/>
    <n v="70.319999999999993"/>
    <s v="III"/>
    <s v="D"/>
    <n v="2"/>
    <n v="89"/>
    <n v="1"/>
    <n v="1"/>
    <n v="1"/>
    <x v="6"/>
    <x v="0"/>
    <s v="Coordinador / Especialista"/>
    <n v="1"/>
    <n v="6189284.2000000002"/>
    <n v="10307629.200000001"/>
    <n v="10307629.200000001"/>
    <s v=""/>
    <m/>
    <m/>
    <m/>
    <m/>
    <s v="Táctico"/>
    <n v="3500000"/>
    <m/>
    <m/>
  </r>
  <r>
    <s v="COORDINADOR DE DISEÑO Y DESARROLLO"/>
    <x v="10"/>
    <s v="Logistica "/>
    <s v="COMERCIAL Y MERCADEO"/>
    <m/>
    <n v="442"/>
    <s v="E"/>
    <s v="+"/>
    <s v="III"/>
    <n v="1"/>
    <n v="216"/>
    <s v="C"/>
    <n v="4"/>
    <s v="III"/>
    <n v="77"/>
    <n v="293"/>
    <n v="4"/>
    <s v="-"/>
    <s v="D"/>
    <s v="+"/>
    <n v="0.28999999999999998"/>
    <n v="84.97"/>
    <s v="III"/>
    <s v="C"/>
    <n v="1"/>
    <n v="64"/>
    <n v="1"/>
    <n v="1"/>
    <n v="1"/>
    <x v="6"/>
    <x v="0"/>
    <s v="Coordinador / Especialista"/>
    <n v="5"/>
    <n v="4745510.1100000003"/>
    <n v="4745510.1100000003"/>
    <n v="4745510.1100000003"/>
    <s v=""/>
    <m/>
    <m/>
    <m/>
    <m/>
    <s v="Táctico"/>
    <n v="0"/>
    <m/>
    <m/>
  </r>
  <r>
    <s v="DIRECTOR COSTOS"/>
    <x v="1"/>
    <s v="Comercial "/>
    <s v="ADMINISTRATIVA Y FINANCIERA"/>
    <m/>
    <n v="420"/>
    <s v="E"/>
    <s v="o"/>
    <s v="III"/>
    <n v="3"/>
    <n v="202"/>
    <s v="C"/>
    <n v="4"/>
    <s v="III"/>
    <n v="77"/>
    <n v="279"/>
    <n v="2"/>
    <s v="+"/>
    <s v="E"/>
    <s v="-"/>
    <n v="0.24"/>
    <n v="66.959999999999994"/>
    <s v="III"/>
    <s v="D"/>
    <n v="1"/>
    <n v="74"/>
    <n v="0"/>
    <n v="0"/>
    <n v="0"/>
    <x v="6"/>
    <x v="2"/>
    <s v="Coordinador / Especialista"/>
    <n v="1"/>
    <n v="11251318.540000001"/>
    <n v="11251318.540000001"/>
    <n v="11251318.540000001"/>
    <s v=""/>
    <m/>
    <m/>
    <m/>
    <m/>
    <s v="Táctico"/>
    <n v="0"/>
    <m/>
    <m/>
  </r>
  <r>
    <s v="COORDINADORA DE GESTION HUMANA"/>
    <x v="11"/>
    <s v="Comercial "/>
    <s v="GESTION HUMANA"/>
    <m/>
    <n v="420"/>
    <s v="E"/>
    <s v="o"/>
    <s v="III"/>
    <n v="3"/>
    <n v="202"/>
    <s v="C"/>
    <n v="4"/>
    <s v="III"/>
    <n v="77"/>
    <n v="279"/>
    <n v="2"/>
    <s v="+"/>
    <s v="D"/>
    <s v="+"/>
    <n v="0.24"/>
    <n v="66.959999999999994"/>
    <s v="III"/>
    <s v="D"/>
    <n v="1"/>
    <n v="74"/>
    <n v="0"/>
    <n v="0"/>
    <n v="0"/>
    <x v="6"/>
    <x v="2"/>
    <s v="Coordinador / Especialista"/>
    <n v="1"/>
    <n v="5424448.7000000002"/>
    <n v="5424448.7000000002"/>
    <n v="5424448.7000000002"/>
    <s v=""/>
    <m/>
    <m/>
    <m/>
    <m/>
    <s v="Táctico"/>
    <n v="0"/>
    <m/>
    <m/>
  </r>
  <r>
    <s v="JEFE DE CALIDAD"/>
    <x v="1"/>
    <s v="Operaciones "/>
    <s v="OPERACIONES"/>
    <m/>
    <n v="410"/>
    <s v="E"/>
    <s v="o"/>
    <s v="III"/>
    <n v="3"/>
    <n v="202"/>
    <s v="C"/>
    <n v="4"/>
    <s v="III"/>
    <n v="77"/>
    <n v="279"/>
    <n v="2"/>
    <s v="+"/>
    <s v="D"/>
    <s v="+"/>
    <n v="0.24"/>
    <n v="66.959999999999994"/>
    <s v="III"/>
    <s v="C"/>
    <n v="1"/>
    <n v="64"/>
    <n v="0"/>
    <n v="1"/>
    <n v="0"/>
    <x v="6"/>
    <x v="3"/>
    <s v="Coordinador / Especialista"/>
    <n v="1"/>
    <n v="5818633.1500000004"/>
    <n v="5818633.1500000004"/>
    <n v="5818633.1500000004"/>
    <s v=""/>
    <m/>
    <m/>
    <m/>
    <m/>
    <s v="Táctico"/>
    <n v="0"/>
    <m/>
    <m/>
  </r>
  <r>
    <s v="ADMINISTRADOR FEDEXTRU"/>
    <x v="8"/>
    <e v="#N/A"/>
    <s v="ADMINISTRATIVA Y FINANCIERA"/>
    <m/>
    <n v="410"/>
    <s v="E"/>
    <s v="o"/>
    <s v="III"/>
    <n v="3"/>
    <n v="202"/>
    <s v="C"/>
    <n v="4"/>
    <s v="III"/>
    <n v="77"/>
    <n v="279"/>
    <n v="3"/>
    <s v="-"/>
    <s v="D"/>
    <s v="+"/>
    <n v="0.24"/>
    <n v="66.959999999999994"/>
    <s v="III"/>
    <s v="C"/>
    <n v="1"/>
    <n v="64"/>
    <n v="0"/>
    <n v="0"/>
    <n v="0"/>
    <x v="6"/>
    <x v="2"/>
    <s v="Coordinador / Especialista"/>
    <n v="1"/>
    <n v="5570355.7800000003"/>
    <n v="5570355.7800000003"/>
    <n v="5570355.7800000003"/>
    <s v=""/>
    <m/>
    <m/>
    <m/>
    <m/>
    <s v="Táctico"/>
    <n v="0"/>
    <m/>
    <m/>
  </r>
  <r>
    <s v="LIDER DE ZONA"/>
    <x v="12"/>
    <s v="Gerencia general "/>
    <s v="COMERCIAL Y MERCADEO"/>
    <m/>
    <n v="409"/>
    <s v="E"/>
    <s v="o"/>
    <s v="III"/>
    <n v="1"/>
    <n v="190"/>
    <s v="C"/>
    <n v="4"/>
    <s v="III"/>
    <n v="77"/>
    <n v="267"/>
    <n v="2"/>
    <s v="+"/>
    <s v="D"/>
    <s v="+"/>
    <n v="0.24"/>
    <n v="64.08"/>
    <s v="III"/>
    <s v="C"/>
    <n v="2"/>
    <n v="78"/>
    <n v="1"/>
    <n v="1"/>
    <n v="0"/>
    <x v="6"/>
    <x v="1"/>
    <s v="Coordinador / Especialista"/>
    <n v="1"/>
    <n v="4471346"/>
    <n v="7883689"/>
    <n v="7883689"/>
    <s v=""/>
    <m/>
    <m/>
    <m/>
    <m/>
    <s v="Táctico"/>
    <n v="2900000"/>
    <m/>
    <m/>
  </r>
  <r>
    <s v="COORDINADOR DE INGENIERIA"/>
    <x v="1"/>
    <s v="Logistica "/>
    <s v="OPERACIONES"/>
    <m/>
    <n v="408"/>
    <s v="E"/>
    <s v="o"/>
    <s v="III"/>
    <n v="1"/>
    <n v="190"/>
    <s v="C"/>
    <n v="4"/>
    <s v="III"/>
    <n v="77"/>
    <n v="267"/>
    <n v="4"/>
    <s v="-"/>
    <s v="D"/>
    <s v="+"/>
    <n v="0.28999999999999998"/>
    <n v="77.429999999999993"/>
    <s v="III"/>
    <s v="C"/>
    <n v="1"/>
    <n v="64"/>
    <n v="1"/>
    <n v="1"/>
    <n v="1"/>
    <x v="6"/>
    <x v="0"/>
    <s v="Coordinador / Especialista"/>
    <n v="8"/>
    <n v="4745510.1100000003"/>
    <n v="4745510.1100000003"/>
    <n v="4745510.1100000003"/>
    <s v=""/>
    <m/>
    <m/>
    <m/>
    <m/>
    <s v="Táctico"/>
    <n v="0"/>
    <m/>
    <m/>
  </r>
  <r>
    <s v="COORDINADOR TIC"/>
    <x v="13"/>
    <s v="Comercial "/>
    <s v="ADMINISTRATIVA Y FINANCIERA"/>
    <m/>
    <n v="404"/>
    <s v="E"/>
    <s v="o"/>
    <s v="III"/>
    <n v="3"/>
    <n v="202"/>
    <s v="C"/>
    <n v="4"/>
    <s v="III"/>
    <n v="77"/>
    <n v="279"/>
    <n v="2"/>
    <s v="+"/>
    <s v="D"/>
    <s v="o"/>
    <n v="0.22"/>
    <n v="61.38"/>
    <s v="III"/>
    <s v="C"/>
    <n v="1"/>
    <n v="64"/>
    <n v="0"/>
    <n v="0"/>
    <n v="0"/>
    <x v="7"/>
    <x v="2"/>
    <s v="Coordinador /Especialista"/>
    <n v="1"/>
    <n v="6471685.0000000009"/>
    <n v="6471685.0000000009"/>
    <n v="6471685.0000000009"/>
    <s v=""/>
    <m/>
    <m/>
    <m/>
    <m/>
    <s v="Táctico"/>
    <n v="0"/>
    <m/>
    <m/>
  </r>
  <r>
    <s v="COORDINADOR DE MANTENIMIENTO"/>
    <x v="14"/>
    <s v="Logistica "/>
    <s v="OPERACIONES"/>
    <m/>
    <n v="399"/>
    <s v="E"/>
    <s v="o"/>
    <s v="III"/>
    <n v="3"/>
    <n v="202"/>
    <s v="C"/>
    <n v="4"/>
    <s v="III"/>
    <n v="77"/>
    <n v="279"/>
    <n v="2"/>
    <s v="+"/>
    <s v="D"/>
    <s v="-"/>
    <n v="0.2"/>
    <n v="55.800000000000004"/>
    <s v="III"/>
    <s v="C"/>
    <n v="1"/>
    <n v="64"/>
    <n v="0"/>
    <n v="1"/>
    <n v="0"/>
    <x v="7"/>
    <x v="3"/>
    <s v="Coordinador /Especialista"/>
    <n v="1"/>
    <n v="6561111.9200000009"/>
    <n v="6561111.9200000009"/>
    <n v="6561111.9200000009"/>
    <s v=""/>
    <m/>
    <m/>
    <m/>
    <m/>
    <s v="Táctico"/>
    <n v="0"/>
    <m/>
    <m/>
  </r>
  <r>
    <s v="COORDINADOR DE PRODUCCION"/>
    <x v="15"/>
    <s v="Logistica "/>
    <s v="OPERACIONES"/>
    <m/>
    <n v="396"/>
    <s v="E"/>
    <s v="o"/>
    <s v="III"/>
    <n v="3"/>
    <n v="202"/>
    <s v="C"/>
    <n v="4"/>
    <s v="III"/>
    <n v="77"/>
    <n v="279"/>
    <n v="2"/>
    <s v="o"/>
    <s v="C"/>
    <s v="+"/>
    <n v="0.19"/>
    <n v="53.01"/>
    <s v="III"/>
    <s v="C"/>
    <n v="1"/>
    <n v="64"/>
    <n v="0"/>
    <n v="1"/>
    <n v="0"/>
    <x v="7"/>
    <x v="3"/>
    <s v="Coordinador /Especialista"/>
    <n v="7"/>
    <n v="4745510.1100000003"/>
    <n v="4745510.1100000003"/>
    <n v="4745510.1100000003"/>
    <s v=""/>
    <m/>
    <m/>
    <m/>
    <m/>
    <s v="Táctico"/>
    <n v="0"/>
    <m/>
    <m/>
  </r>
  <r>
    <s v="LIDER DE COMERCIO EXTERIOR"/>
    <x v="16"/>
    <s v="Gerencia general "/>
    <s v="OPERACIONES"/>
    <m/>
    <n v="384"/>
    <s v="E"/>
    <s v="o"/>
    <s v="III"/>
    <n v="1"/>
    <n v="190"/>
    <s v="C"/>
    <n v="4"/>
    <s v="III"/>
    <n v="77"/>
    <n v="267"/>
    <n v="2"/>
    <s v="+"/>
    <s v="D"/>
    <s v="-"/>
    <n v="0.2"/>
    <n v="53.400000000000006"/>
    <s v="III"/>
    <s v="C"/>
    <n v="1"/>
    <n v="64"/>
    <n v="0"/>
    <n v="1"/>
    <n v="0"/>
    <x v="7"/>
    <x v="3"/>
    <s v="Coordinador /Especialista"/>
    <n v="1"/>
    <n v="5356201.8400000008"/>
    <n v="5356201.8400000008"/>
    <n v="5356201.8400000008"/>
    <s v=""/>
    <m/>
    <m/>
    <m/>
    <m/>
    <s v="Táctico"/>
    <n v="0"/>
    <m/>
    <m/>
  </r>
  <r>
    <s v="LIDER DE GESTIÓN HUMANA Y DESARROLLO DEL TALENTO"/>
    <x v="17"/>
    <s v="Gerencia general "/>
    <s v="GESTION HUMANA"/>
    <m/>
    <n v="384"/>
    <s v="E"/>
    <s v="o"/>
    <s v="III"/>
    <n v="1"/>
    <n v="190"/>
    <s v="C"/>
    <n v="4"/>
    <s v="III"/>
    <n v="77"/>
    <n v="267"/>
    <n v="2"/>
    <s v="o"/>
    <s v="D"/>
    <s v="o"/>
    <n v="0.2"/>
    <n v="53.400000000000006"/>
    <s v="III"/>
    <s v="C"/>
    <n v="1"/>
    <n v="64"/>
    <n v="0"/>
    <n v="0"/>
    <n v="0"/>
    <x v="7"/>
    <x v="2"/>
    <s v="Coordinador /Especialista"/>
    <n v="1"/>
    <n v="4457225.96"/>
    <n v="4457225.96"/>
    <n v="4457225.96"/>
    <s v=""/>
    <m/>
    <m/>
    <m/>
    <m/>
    <s v="Táctico"/>
    <n v="0"/>
    <m/>
    <m/>
  </r>
  <r>
    <s v="COORDINADOR CEDI"/>
    <x v="18"/>
    <s v="Operaciones "/>
    <s v="OPERACIONES"/>
    <m/>
    <n v="376"/>
    <s v="E"/>
    <s v="o"/>
    <s v="III"/>
    <n v="3"/>
    <n v="202"/>
    <s v="A"/>
    <n v="4"/>
    <s v="III"/>
    <n v="58"/>
    <n v="260"/>
    <n v="2"/>
    <s v="+"/>
    <s v="D"/>
    <s v="-"/>
    <n v="0.2"/>
    <n v="52"/>
    <s v="III"/>
    <s v="C"/>
    <n v="1"/>
    <n v="64"/>
    <n v="0"/>
    <n v="1"/>
    <n v="0"/>
    <x v="7"/>
    <x v="3"/>
    <s v="Coordinador /Especialista"/>
    <n v="1"/>
    <n v="5424448.7000000002"/>
    <n v="5424448.7000000002"/>
    <n v="5424448.7000000002"/>
    <s v=""/>
    <m/>
    <m/>
    <m/>
    <m/>
    <s v="Táctico"/>
    <n v="0"/>
    <m/>
    <m/>
  </r>
  <r>
    <s v="COORDINADOR DE LABORATORIO"/>
    <x v="7"/>
    <s v="Logistica "/>
    <s v="OPERACIONES"/>
    <m/>
    <n v="376"/>
    <s v="E"/>
    <s v="o"/>
    <s v="III"/>
    <n v="3"/>
    <n v="202"/>
    <s v="A"/>
    <n v="4"/>
    <s v="III"/>
    <n v="58"/>
    <n v="260"/>
    <n v="2"/>
    <s v="+"/>
    <s v="D"/>
    <s v="-"/>
    <n v="0.2"/>
    <n v="52"/>
    <s v="III"/>
    <s v="C"/>
    <n v="1"/>
    <n v="64"/>
    <n v="1"/>
    <n v="1"/>
    <n v="1"/>
    <x v="7"/>
    <x v="0"/>
    <s v="Coordinador /Especialista"/>
    <n v="1"/>
    <n v="4745510.1100000003"/>
    <n v="4745510.1100000003"/>
    <n v="4745510.1100000003"/>
    <s v=""/>
    <m/>
    <m/>
    <m/>
    <m/>
    <s v="Táctico"/>
    <n v="0"/>
    <m/>
    <m/>
  </r>
  <r>
    <s v="PROGRAMADOR DE PRODUCCION"/>
    <x v="19"/>
    <s v="Logistica "/>
    <s v="OPERACIONES"/>
    <m/>
    <n v="370"/>
    <s v="E"/>
    <s v="o"/>
    <s v="III"/>
    <n v="1"/>
    <n v="190"/>
    <s v="C"/>
    <n v="4"/>
    <s v="III"/>
    <n v="77"/>
    <n v="267"/>
    <n v="2"/>
    <s v="o"/>
    <s v="D"/>
    <s v="o"/>
    <n v="0.2"/>
    <n v="53.400000000000006"/>
    <s v="II"/>
    <s v="C"/>
    <n v="1"/>
    <n v="50"/>
    <n v="0"/>
    <n v="1"/>
    <n v="0"/>
    <x v="7"/>
    <x v="3"/>
    <s v="Coordinador /Especialista"/>
    <n v="1"/>
    <n v="5072624.37"/>
    <n v="5072624.37"/>
    <n v="5072624.37"/>
    <s v=""/>
    <m/>
    <m/>
    <m/>
    <m/>
    <s v="Táctico"/>
    <n v="0"/>
    <m/>
    <m/>
  </r>
  <r>
    <s v="INGENIERO DE MEJORA CONTINUA"/>
    <x v="15"/>
    <s v="Gerencia general "/>
    <s v="OPERACIONES"/>
    <m/>
    <n v="370"/>
    <s v="E"/>
    <s v="o"/>
    <s v="III"/>
    <n v="1"/>
    <n v="190"/>
    <s v="C"/>
    <n v="4"/>
    <s v="III"/>
    <n v="77"/>
    <n v="267"/>
    <n v="2"/>
    <s v="o"/>
    <s v="D"/>
    <s v="o"/>
    <n v="0.2"/>
    <n v="53.400000000000006"/>
    <s v="II"/>
    <s v="C"/>
    <n v="1"/>
    <n v="50"/>
    <n v="0"/>
    <n v="0"/>
    <n v="0"/>
    <x v="7"/>
    <x v="2"/>
    <s v="Coordinador /Especialista"/>
    <n v="1"/>
    <n v="7441261.080000001"/>
    <n v="7441261.080000001"/>
    <n v="7441261.080000001"/>
    <s v=""/>
    <m/>
    <m/>
    <m/>
    <m/>
    <s v="Táctico"/>
    <n v="0"/>
    <m/>
    <m/>
  </r>
  <r>
    <s v="INGENIERO DE FORMULACIONES"/>
    <x v="20"/>
    <s v="Operaciones "/>
    <s v="OPERACIONES"/>
    <m/>
    <n v="381"/>
    <s v="E"/>
    <s v="o"/>
    <s v="III"/>
    <n v="1"/>
    <n v="190"/>
    <s v="C"/>
    <n v="4"/>
    <s v="III"/>
    <n v="77"/>
    <n v="267"/>
    <n v="4"/>
    <s v="-"/>
    <s v="D"/>
    <s v="-"/>
    <n v="0.24"/>
    <n v="64.08"/>
    <s v="II"/>
    <s v="C"/>
    <n v="1"/>
    <n v="50"/>
    <n v="1"/>
    <n v="1"/>
    <n v="1"/>
    <x v="7"/>
    <x v="0"/>
    <s v="Coordinador /Especialista"/>
    <n v="1"/>
    <n v="9295693"/>
    <n v="9295693"/>
    <n v="9295693"/>
    <s v=""/>
    <m/>
    <m/>
    <m/>
    <m/>
    <s v="Táctico"/>
    <n v="0"/>
    <m/>
    <m/>
  </r>
  <r>
    <s v="COORDINADOR DE TERCERIZADOS"/>
    <x v="2"/>
    <s v="Logistica "/>
    <s v="OPERACIONES"/>
    <m/>
    <n v="362"/>
    <s v="D"/>
    <s v="+"/>
    <s v="III"/>
    <n v="1"/>
    <n v="167"/>
    <s v="C"/>
    <n v="4"/>
    <s v="III"/>
    <n v="77"/>
    <n v="244"/>
    <n v="2"/>
    <s v="+"/>
    <s v="D"/>
    <s v="o"/>
    <n v="0.22"/>
    <n v="53.68"/>
    <s v="III"/>
    <s v="C"/>
    <n v="1"/>
    <n v="64"/>
    <n v="0"/>
    <n v="1"/>
    <n v="0"/>
    <x v="7"/>
    <x v="3"/>
    <s v="Coordinador /Especialista"/>
    <n v="1"/>
    <n v="4236012"/>
    <n v="4236012"/>
    <n v="4236012"/>
    <s v=""/>
    <m/>
    <m/>
    <m/>
    <m/>
    <s v="Táctico"/>
    <n v="0"/>
    <m/>
    <m/>
  </r>
  <r>
    <s v="LIDER DE COSTOS"/>
    <x v="1"/>
    <s v="Gerencia general "/>
    <s v="ADMINISTRATIVA Y FINANCIERA"/>
    <m/>
    <n v="357"/>
    <s v="E"/>
    <s v="-"/>
    <s v="III"/>
    <n v="1"/>
    <n v="167"/>
    <s v="C"/>
    <n v="4"/>
    <s v="III"/>
    <n v="77"/>
    <n v="244"/>
    <n v="2"/>
    <s v="o"/>
    <s v="D"/>
    <s v="o"/>
    <n v="0.2"/>
    <n v="48.800000000000004"/>
    <s v="III"/>
    <s v="C"/>
    <n v="1"/>
    <n v="64"/>
    <n v="0"/>
    <n v="0"/>
    <n v="0"/>
    <x v="7"/>
    <x v="2"/>
    <s v="Coordinador /Especialista"/>
    <n v="1"/>
    <n v="3218192.45"/>
    <n v="3218192.45"/>
    <n v="3218192.45"/>
    <s v=""/>
    <m/>
    <m/>
    <m/>
    <m/>
    <s v="Táctico"/>
    <n v="0"/>
    <m/>
    <m/>
  </r>
  <r>
    <s v="LIDER DE CANAL"/>
    <x v="12"/>
    <s v="Gerencia general "/>
    <s v="COMERCIAL Y MERCADEO"/>
    <m/>
    <n v="351"/>
    <s v="D"/>
    <s v="o"/>
    <s v="III"/>
    <n v="1"/>
    <n v="147"/>
    <s v="C"/>
    <n v="4"/>
    <s v="III"/>
    <n v="77"/>
    <n v="224"/>
    <n v="2"/>
    <s v="o"/>
    <s v="D"/>
    <s v="+"/>
    <n v="0.22"/>
    <n v="49.28"/>
    <s v="III"/>
    <s v="C"/>
    <n v="2"/>
    <n v="78"/>
    <n v="0"/>
    <n v="1"/>
    <n v="0"/>
    <x v="8"/>
    <x v="3"/>
    <s v="Coordinador / Especialista"/>
    <n v="1"/>
    <n v="3177009.0000000005"/>
    <n v="4353679"/>
    <n v="4353679"/>
    <s v=""/>
    <m/>
    <m/>
    <m/>
    <m/>
    <s v="Táctico"/>
    <n v="1000000"/>
    <m/>
    <m/>
  </r>
  <r>
    <s v="LIDER DE DISEÑO Y COMUNICACIONES EN MERCADEO"/>
    <x v="21"/>
    <s v="Gerencia general "/>
    <s v="COMERCIAL Y MERCADEO"/>
    <m/>
    <n v="339"/>
    <s v="E"/>
    <s v="o"/>
    <s v="III"/>
    <n v="1"/>
    <n v="190"/>
    <s v="A"/>
    <n v="3"/>
    <s v="II"/>
    <n v="32"/>
    <n v="222"/>
    <n v="3"/>
    <s v="-"/>
    <s v="D"/>
    <s v="+"/>
    <n v="0.24"/>
    <n v="53.28"/>
    <s v="III"/>
    <s v="C"/>
    <n v="1"/>
    <n v="64"/>
    <n v="0"/>
    <n v="1"/>
    <n v="1"/>
    <x v="8"/>
    <x v="1"/>
    <s v="Coordinador / Especialista"/>
    <n v="1"/>
    <n v="4457225.96"/>
    <n v="4457225.96"/>
    <n v="4457225.96"/>
    <s v=""/>
    <m/>
    <m/>
    <m/>
    <m/>
    <s v="Táctico"/>
    <n v="0"/>
    <m/>
    <m/>
  </r>
  <r>
    <s v="LIDER DE TECNOLOGÍAS DE LA INFORMACIÓN"/>
    <x v="1"/>
    <s v="Gerencia general "/>
    <s v="ADMINISTRATIVA Y FINANCIERA"/>
    <m/>
    <n v="304"/>
    <s v="E"/>
    <s v="o"/>
    <s v="I"/>
    <n v="1"/>
    <n v="157"/>
    <s v="C"/>
    <n v="4"/>
    <s v="II"/>
    <n v="51"/>
    <n v="208"/>
    <n v="2"/>
    <s v="+"/>
    <s v="D"/>
    <s v="o"/>
    <n v="0.22"/>
    <n v="45.76"/>
    <s v="II"/>
    <s v="C"/>
    <n v="1"/>
    <n v="50"/>
    <n v="0"/>
    <n v="0"/>
    <n v="0"/>
    <x v="9"/>
    <x v="2"/>
    <s v="Coordinador / Analista"/>
    <n v="2"/>
    <n v="2828714.68"/>
    <n v="2828714.68"/>
    <n v="2828714.68"/>
    <s v=""/>
    <m/>
    <m/>
    <m/>
    <m/>
    <s v="Táctico"/>
    <n v="0"/>
    <m/>
    <m/>
  </r>
  <r>
    <s v="LIDER MECANICO EXPERTO EN MOLDES"/>
    <x v="22"/>
    <s v="Gerencia general "/>
    <s v="OPERACIONES"/>
    <m/>
    <n v="301"/>
    <s v="E"/>
    <s v="-"/>
    <s v="III"/>
    <n v="1"/>
    <n v="167"/>
    <s v="A"/>
    <n v="3"/>
    <s v="II"/>
    <n v="32"/>
    <n v="199"/>
    <n v="2"/>
    <s v="o"/>
    <s v="C"/>
    <s v="+"/>
    <n v="0.19"/>
    <n v="37.81"/>
    <s v="III"/>
    <s v="C"/>
    <n v="1"/>
    <n v="64"/>
    <n v="1"/>
    <n v="1"/>
    <n v="1"/>
    <x v="9"/>
    <x v="0"/>
    <s v="Coordinador / Analista"/>
    <n v="1"/>
    <n v="4471346"/>
    <n v="4471346"/>
    <n v="4471346"/>
    <s v=""/>
    <m/>
    <m/>
    <m/>
    <m/>
    <s v="Táctico"/>
    <n v="0"/>
    <m/>
    <m/>
  </r>
  <r>
    <s v="INGENIERO DE DATOS"/>
    <x v="23"/>
    <s v="Operaciones "/>
    <s v="ADMINISTRATIVA Y FINANCIERA"/>
    <m/>
    <n v="300"/>
    <s v="E"/>
    <s v="o"/>
    <s v="I"/>
    <n v="1"/>
    <n v="157"/>
    <s v="C"/>
    <n v="4"/>
    <s v="II"/>
    <n v="51"/>
    <n v="208"/>
    <n v="2"/>
    <s v="+"/>
    <s v="D"/>
    <s v="-"/>
    <n v="0.2"/>
    <n v="41.6"/>
    <s v="II"/>
    <s v="C"/>
    <n v="1"/>
    <n v="50"/>
    <n v="0"/>
    <n v="0"/>
    <n v="0"/>
    <x v="9"/>
    <x v="2"/>
    <s v="Coordinador / Analista"/>
    <n v="1"/>
    <n v="6763499.1600000001"/>
    <n v="6763499.1600000001"/>
    <n v="6763499.1600000001"/>
    <s v=""/>
    <m/>
    <m/>
    <m/>
    <m/>
    <s v="Táctico"/>
    <n v="0"/>
    <m/>
    <m/>
  </r>
  <r>
    <s v="ANALISTA DE SEGURIDAD Y SALUD EN EL TRABAJO"/>
    <x v="24"/>
    <s v="Laboratorio"/>
    <s v="ADMINISTRATIVA Y FINANCIERA"/>
    <m/>
    <n v="268"/>
    <s v="D"/>
    <s v="o"/>
    <s v="II"/>
    <n v="1"/>
    <n v="135"/>
    <s v="C"/>
    <n v="4"/>
    <s v="II"/>
    <n v="51"/>
    <n v="186"/>
    <n v="2"/>
    <s v="o"/>
    <s v="C"/>
    <s v="o"/>
    <n v="0.17"/>
    <n v="31.62"/>
    <s v="II"/>
    <s v="C"/>
    <n v="1"/>
    <n v="50"/>
    <n v="0"/>
    <n v="0"/>
    <n v="0"/>
    <x v="9"/>
    <x v="2"/>
    <s v="Coordinador / Analista"/>
    <n v="2"/>
    <n v="2828714.68"/>
    <n v="2828714.68"/>
    <n v="2828714.68"/>
    <s v=""/>
    <m/>
    <m/>
    <m/>
    <m/>
    <s v="Táctico"/>
    <n v="0"/>
    <m/>
    <m/>
  </r>
  <r>
    <s v="ANALISTA CALIDAD"/>
    <x v="25"/>
    <s v="Gerencia general "/>
    <s v="OPERACIONES"/>
    <m/>
    <n v="262"/>
    <s v="C"/>
    <s v="o"/>
    <s v="II"/>
    <n v="1"/>
    <n v="104"/>
    <s v="C"/>
    <n v="4"/>
    <s v="III"/>
    <n v="77"/>
    <n v="181"/>
    <n v="2"/>
    <s v="o"/>
    <s v="C"/>
    <s v="o"/>
    <n v="0.17"/>
    <n v="30.770000000000003"/>
    <s v="II"/>
    <s v="C"/>
    <n v="1"/>
    <n v="50"/>
    <n v="0"/>
    <n v="0"/>
    <n v="0"/>
    <x v="10"/>
    <x v="2"/>
    <s v="Líder / Técnico / Analista"/>
    <n v="4"/>
    <n v="2828714.68"/>
    <n v="2828714.68"/>
    <n v="2828714.68"/>
    <s v=""/>
    <m/>
    <m/>
    <m/>
    <m/>
    <s v="Soporte"/>
    <n v="0"/>
    <m/>
    <m/>
  </r>
  <r>
    <s v="ANALISTA DE NOMINA"/>
    <x v="26"/>
    <s v="Laboratorio"/>
    <s v="OPERACIONES"/>
    <m/>
    <n v="248"/>
    <s v="D"/>
    <s v="o"/>
    <s v="I"/>
    <n v="1"/>
    <n v="114"/>
    <s v="C"/>
    <n v="4"/>
    <s v="II"/>
    <n v="51"/>
    <n v="165"/>
    <n v="2"/>
    <s v="o"/>
    <s v="D"/>
    <s v="o"/>
    <n v="0.2"/>
    <n v="33"/>
    <s v="II"/>
    <s v="C"/>
    <n v="1"/>
    <n v="50"/>
    <n v="0"/>
    <n v="0"/>
    <n v="0"/>
    <x v="10"/>
    <x v="2"/>
    <s v="Líder / Técnico / Analista"/>
    <n v="1"/>
    <n v="2941675.0000000005"/>
    <n v="2941675.0000000005"/>
    <n v="2941675.0000000005"/>
    <s v=""/>
    <m/>
    <m/>
    <m/>
    <m/>
    <s v="Soporte"/>
    <n v="0"/>
    <m/>
    <m/>
  </r>
  <r>
    <s v="ANALISTA DE MEJORA CONTINUA"/>
    <x v="27"/>
    <s v="Diseño y desarrollo"/>
    <s v="OPERACIONES"/>
    <m/>
    <n v="248"/>
    <s v="D"/>
    <s v="-"/>
    <s v="I"/>
    <n v="1"/>
    <n v="98"/>
    <s v="C"/>
    <n v="4"/>
    <s v="III"/>
    <n v="77"/>
    <n v="175"/>
    <n v="2"/>
    <s v="o"/>
    <s v="C"/>
    <s v="o"/>
    <n v="0.17"/>
    <n v="29.750000000000004"/>
    <s v="II"/>
    <s v="B"/>
    <n v="1"/>
    <n v="43"/>
    <n v="0"/>
    <n v="0"/>
    <n v="0"/>
    <x v="10"/>
    <x v="2"/>
    <s v="Líder / Técnico / Analista"/>
    <n v="1"/>
    <n v="2828714.68"/>
    <n v="2828714.68"/>
    <n v="2828714.68"/>
    <s v=""/>
    <m/>
    <m/>
    <m/>
    <m/>
    <s v="Soporte"/>
    <n v="0"/>
    <m/>
    <m/>
  </r>
  <r>
    <s v="ANALISTA GESTIÓN HUMANA"/>
    <x v="20"/>
    <s v="Laboratorio"/>
    <s v="OPERACIONES"/>
    <m/>
    <n v="246"/>
    <s v="D"/>
    <s v="o"/>
    <s v="I"/>
    <n v="1"/>
    <n v="114"/>
    <s v="C"/>
    <n v="4"/>
    <s v="II"/>
    <n v="51"/>
    <n v="165"/>
    <n v="2"/>
    <s v="-"/>
    <s v="D"/>
    <s v="o"/>
    <n v="0.19"/>
    <n v="31.35"/>
    <s v="II"/>
    <s v="C"/>
    <n v="1"/>
    <n v="50"/>
    <n v="0"/>
    <n v="0"/>
    <n v="0"/>
    <x v="10"/>
    <x v="2"/>
    <s v="Líder / Técnico / Analista"/>
    <n v="1"/>
    <n v="2828714.68"/>
    <n v="2828714.68"/>
    <n v="2828714.68"/>
    <s v=""/>
    <m/>
    <m/>
    <m/>
    <m/>
    <s v="Soporte"/>
    <n v="0"/>
    <m/>
    <m/>
  </r>
  <r>
    <s v="ANALISTA COTIZACIONES DISEÑO Y DESARROLLO"/>
    <x v="1"/>
    <s v="Compras"/>
    <s v="GESTION HUMANA"/>
    <m/>
    <n v="246"/>
    <s v="D"/>
    <s v="o"/>
    <s v="I"/>
    <n v="1"/>
    <n v="114"/>
    <s v="C"/>
    <n v="4"/>
    <s v="II"/>
    <n v="51"/>
    <n v="165"/>
    <n v="2"/>
    <s v="o"/>
    <s v="C"/>
    <s v="+"/>
    <n v="0.19"/>
    <n v="31.35"/>
    <s v="II"/>
    <s v="C"/>
    <n v="1"/>
    <n v="50"/>
    <n v="0"/>
    <n v="0"/>
    <n v="0"/>
    <x v="10"/>
    <x v="2"/>
    <s v="Líder / Técnico / Analista"/>
    <n v="1"/>
    <n v="3061695.3400000003"/>
    <n v="3061695.3400000003"/>
    <n v="3061695.3400000003"/>
    <s v=""/>
    <m/>
    <m/>
    <m/>
    <m/>
    <s v="Soporte"/>
    <n v="0"/>
    <m/>
    <m/>
  </r>
  <r>
    <s v="ANALISTA DE DE COMPRAS"/>
    <x v="10"/>
    <s v="Diseño y desarrollo"/>
    <s v="COMERCIAL Y MERCADEO"/>
    <m/>
    <n v="236"/>
    <s v="D"/>
    <s v="o"/>
    <s v="I"/>
    <n v="1"/>
    <n v="114"/>
    <s v="C"/>
    <n v="4"/>
    <s v="II"/>
    <n v="51"/>
    <n v="165"/>
    <n v="2"/>
    <s v="o"/>
    <s v="C"/>
    <s v="o"/>
    <n v="0.17"/>
    <n v="28.05"/>
    <s v="II"/>
    <s v="B"/>
    <n v="1"/>
    <n v="43"/>
    <n v="0"/>
    <n v="0"/>
    <n v="0"/>
    <x v="10"/>
    <x v="2"/>
    <s v="Líder / Técnico / Analista"/>
    <n v="2"/>
    <n v="2828714.68"/>
    <n v="2828714.68"/>
    <n v="2828714.68"/>
    <s v=""/>
    <m/>
    <m/>
    <m/>
    <m/>
    <s v="Soporte"/>
    <n v="0"/>
    <m/>
    <m/>
  </r>
  <r>
    <s v="ANALISTA DE COMERCIO EXTERIOR"/>
    <x v="28"/>
    <s v="Logistica "/>
    <s v="OPERACIONES"/>
    <m/>
    <n v="236"/>
    <s v="D"/>
    <s v="o"/>
    <s v="I"/>
    <n v="1"/>
    <n v="114"/>
    <s v="C"/>
    <n v="4"/>
    <s v="II"/>
    <n v="51"/>
    <n v="165"/>
    <n v="2"/>
    <s v="o"/>
    <s v="C"/>
    <s v="o"/>
    <n v="0.17"/>
    <n v="28.05"/>
    <s v="II"/>
    <s v="B"/>
    <n v="1"/>
    <n v="43"/>
    <n v="0"/>
    <n v="0"/>
    <n v="0"/>
    <x v="10"/>
    <x v="2"/>
    <s v="Líder / Técnico / Analista"/>
    <n v="2"/>
    <n v="2828714.68"/>
    <n v="2828714.68"/>
    <n v="2828714.68"/>
    <s v=""/>
    <m/>
    <m/>
    <m/>
    <m/>
    <s v="Soporte"/>
    <n v="0"/>
    <m/>
    <m/>
  </r>
  <r>
    <s v="ANALISTA DE MATRICERIA CNC"/>
    <x v="29"/>
    <s v="Diseño y desarrollo"/>
    <s v="OPERACIONES"/>
    <m/>
    <n v="231"/>
    <s v="E"/>
    <s v="-"/>
    <s v="I"/>
    <n v="1"/>
    <n v="134"/>
    <s v="A"/>
    <n v="4"/>
    <s v="I"/>
    <n v="25"/>
    <n v="159"/>
    <n v="2"/>
    <s v="o"/>
    <s v="D"/>
    <s v="o"/>
    <n v="0.2"/>
    <n v="31.8"/>
    <s v="I"/>
    <s v="C"/>
    <n v="1"/>
    <n v="40"/>
    <n v="0"/>
    <n v="1"/>
    <n v="0"/>
    <x v="10"/>
    <x v="3"/>
    <s v="Líder / Técnico / Analista"/>
    <n v="7"/>
    <n v="3765344.0000000005"/>
    <n v="3765344.0000000005"/>
    <n v="3765344.0000000005"/>
    <s v=""/>
    <m/>
    <m/>
    <m/>
    <m/>
    <s v="Soporte"/>
    <n v="0"/>
    <m/>
    <m/>
  </r>
  <r>
    <s v="ANALISTA DE COSTOS"/>
    <x v="22"/>
    <s v="Laboratorio"/>
    <s v="OPERACIONES"/>
    <m/>
    <n v="227"/>
    <s v="D"/>
    <s v="-"/>
    <s v="I"/>
    <n v="1"/>
    <n v="98"/>
    <s v="C"/>
    <n v="4"/>
    <s v="II"/>
    <n v="51"/>
    <n v="149"/>
    <n v="2"/>
    <s v="o"/>
    <s v="D"/>
    <s v="-"/>
    <n v="0.19"/>
    <n v="28.31"/>
    <s v="II"/>
    <s v="C"/>
    <n v="1"/>
    <n v="50"/>
    <n v="0"/>
    <n v="0"/>
    <n v="0"/>
    <x v="11"/>
    <x v="2"/>
    <s v="Líder / Técnico / Analista"/>
    <n v="1"/>
    <n v="2828714.68"/>
    <n v="2828714.68"/>
    <n v="2828714.68"/>
    <s v=""/>
    <m/>
    <m/>
    <m/>
    <m/>
    <s v="Soporte"/>
    <n v="0"/>
    <m/>
    <m/>
  </r>
  <r>
    <s v="ANALISTA DE SERVICIOS"/>
    <x v="30"/>
    <s v="Costos "/>
    <s v="ADMINISTRATIVA Y FINANCIERA"/>
    <m/>
    <n v="224"/>
    <s v="C"/>
    <s v="+"/>
    <s v="I"/>
    <n v="1"/>
    <n v="98"/>
    <s v="C"/>
    <n v="4"/>
    <s v="II"/>
    <n v="51"/>
    <n v="149"/>
    <n v="2"/>
    <s v="o"/>
    <s v="C"/>
    <s v="o"/>
    <n v="0.17"/>
    <n v="25.330000000000002"/>
    <s v="II"/>
    <s v="C"/>
    <n v="1"/>
    <n v="50"/>
    <n v="0"/>
    <n v="0"/>
    <n v="0"/>
    <x v="11"/>
    <x v="2"/>
    <s v="Líder / Técnico / Analista"/>
    <n v="3"/>
    <n v="2536900.52"/>
    <n v="2536900.52"/>
    <n v="2536900.52"/>
    <s v=""/>
    <m/>
    <m/>
    <m/>
    <m/>
    <s v="Soporte"/>
    <n v="0"/>
    <m/>
    <m/>
  </r>
  <r>
    <s v="ANALISTA TECNICO PROYECTOS ALIADOS"/>
    <x v="31"/>
    <s v="Laboratorio"/>
    <s v="COMERCIAL Y MERCADEO"/>
    <m/>
    <n v="224"/>
    <s v="D"/>
    <s v="-"/>
    <s v="I"/>
    <n v="1"/>
    <n v="98"/>
    <s v="C"/>
    <n v="4"/>
    <s v="II"/>
    <n v="51"/>
    <n v="149"/>
    <n v="2"/>
    <s v="o"/>
    <s v="C"/>
    <s v="o"/>
    <n v="0.17"/>
    <n v="25.330000000000002"/>
    <s v="II"/>
    <s v="C"/>
    <n v="1"/>
    <n v="50"/>
    <n v="0"/>
    <n v="0"/>
    <n v="0"/>
    <x v="11"/>
    <x v="2"/>
    <s v="Líder / Técnico / Analista"/>
    <n v="1"/>
    <n v="2828714.68"/>
    <n v="2828714.68"/>
    <n v="2828714.68"/>
    <s v=""/>
    <m/>
    <m/>
    <m/>
    <m/>
    <s v="Soporte"/>
    <n v="0"/>
    <m/>
    <m/>
  </r>
  <r>
    <s v="TECNICO DE MANTENIMIENTO"/>
    <x v="32"/>
    <s v="TIC"/>
    <s v="COMERCIAL Y MERCADEO"/>
    <m/>
    <n v="208"/>
    <s v="C"/>
    <s v="+"/>
    <s v="I"/>
    <n v="1"/>
    <n v="98"/>
    <s v="C"/>
    <n v="4"/>
    <s v="I"/>
    <n v="34"/>
    <n v="132"/>
    <n v="2"/>
    <s v="+"/>
    <s v="C"/>
    <s v="+"/>
    <n v="0.2"/>
    <n v="26.400000000000002"/>
    <s v="II"/>
    <s v="C"/>
    <n v="1"/>
    <n v="50"/>
    <n v="0"/>
    <n v="1"/>
    <n v="0"/>
    <x v="11"/>
    <x v="3"/>
    <s v="Líder / Técnico / Analista"/>
    <n v="10"/>
    <n v="3353509.5000000005"/>
    <n v="3353509.5000000005"/>
    <n v="3353509.5000000005"/>
    <s v=""/>
    <m/>
    <m/>
    <m/>
    <m/>
    <s v="Soporte"/>
    <n v="0"/>
    <m/>
    <m/>
  </r>
  <r>
    <s v="ANALISTA DE CARTERA"/>
    <x v="1"/>
    <s v="Diseño y desarrollo"/>
    <s v="ADMINISTRATIVA Y FINANCIERA"/>
    <m/>
    <n v="217"/>
    <s v="D"/>
    <s v="-"/>
    <s v="I"/>
    <n v="1"/>
    <n v="98"/>
    <s v="C"/>
    <n v="4"/>
    <s v="II"/>
    <n v="51"/>
    <n v="149"/>
    <n v="2"/>
    <s v="o"/>
    <s v="C"/>
    <s v="o"/>
    <n v="0.17"/>
    <n v="25.330000000000002"/>
    <s v="II"/>
    <s v="B"/>
    <n v="1"/>
    <n v="43"/>
    <n v="0"/>
    <n v="0"/>
    <n v="0"/>
    <x v="11"/>
    <x v="2"/>
    <s v="Líder / Técnico / Analista"/>
    <n v="1"/>
    <n v="3218192.45"/>
    <n v="3218192.45"/>
    <n v="3218192.45"/>
    <s v=""/>
    <m/>
    <m/>
    <m/>
    <m/>
    <s v="Soporte"/>
    <n v="0"/>
    <m/>
    <m/>
  </r>
  <r>
    <s v="ANALISTA DE IMPUESTOS Y REGISTROS CONTABLES"/>
    <x v="1"/>
    <s v="TIC"/>
    <s v="ADMINISTRATIVA Y FINANCIERA"/>
    <m/>
    <n v="217"/>
    <s v="C"/>
    <s v="+"/>
    <s v="I"/>
    <n v="1"/>
    <n v="98"/>
    <s v="C"/>
    <n v="4"/>
    <s v="II"/>
    <n v="51"/>
    <n v="149"/>
    <n v="2"/>
    <s v="o"/>
    <s v="C"/>
    <s v="o"/>
    <n v="0.17"/>
    <n v="25.330000000000002"/>
    <s v="II"/>
    <s v="B"/>
    <n v="1"/>
    <n v="43"/>
    <n v="0"/>
    <n v="0"/>
    <n v="0"/>
    <x v="11"/>
    <x v="2"/>
    <s v="Líder / Técnico / Analista"/>
    <n v="1"/>
    <n v="2828714.68"/>
    <n v="2828714.68"/>
    <n v="2828714.68"/>
    <s v=""/>
    <m/>
    <m/>
    <m/>
    <m/>
    <s v="Soporte"/>
    <n v="0"/>
    <m/>
    <m/>
  </r>
  <r>
    <s v="ANALISTA TESORERIA"/>
    <x v="1"/>
    <s v="Logistica "/>
    <s v="ADMINISTRATIVA Y FINANCIERA"/>
    <m/>
    <n v="217"/>
    <s v="D"/>
    <s v="-"/>
    <s v="I"/>
    <n v="1"/>
    <n v="98"/>
    <s v="C"/>
    <n v="4"/>
    <s v="II"/>
    <n v="51"/>
    <n v="149"/>
    <n v="2"/>
    <s v="o"/>
    <s v="C"/>
    <s v="o"/>
    <n v="0.17"/>
    <n v="25.330000000000002"/>
    <s v="II"/>
    <s v="B"/>
    <n v="1"/>
    <n v="43"/>
    <n v="0"/>
    <n v="0"/>
    <n v="0"/>
    <x v="11"/>
    <x v="2"/>
    <s v="Líder / Técnico / Analista"/>
    <n v="1"/>
    <n v="2828714.68"/>
    <n v="2828714.68"/>
    <n v="2828714.68"/>
    <s v=""/>
    <m/>
    <m/>
    <m/>
    <m/>
    <s v="Soporte"/>
    <n v="0"/>
    <m/>
    <m/>
  </r>
  <r>
    <s v="ANALISTA DOCUMENTAL DE INGENIERIA"/>
    <x v="33"/>
    <s v="Compras"/>
    <s v="OPERACIONES"/>
    <m/>
    <n v="213"/>
    <s v="D"/>
    <s v="-"/>
    <s v="I"/>
    <n v="1"/>
    <n v="98"/>
    <s v="C"/>
    <n v="4"/>
    <s v="II"/>
    <n v="51"/>
    <n v="149"/>
    <n v="2"/>
    <s v="-"/>
    <s v="C"/>
    <s v="o"/>
    <n v="0.16"/>
    <n v="23.84"/>
    <s v="I"/>
    <s v="C"/>
    <n v="1"/>
    <n v="40"/>
    <n v="0"/>
    <n v="0"/>
    <n v="0"/>
    <x v="11"/>
    <x v="2"/>
    <s v="Líder / Técnico / Analista"/>
    <n v="1"/>
    <n v="2828714.68"/>
    <n v="2828714.68"/>
    <n v="2828714.68"/>
    <s v=""/>
    <m/>
    <m/>
    <m/>
    <m/>
    <s v="Soporte"/>
    <n v="0"/>
    <m/>
    <m/>
  </r>
  <r>
    <s v="ANALISTA DE MERCADEO"/>
    <x v="21"/>
    <s v="Laboratorio"/>
    <s v="COMERCIAL Y MERCADEO"/>
    <m/>
    <n v="212"/>
    <s v="D"/>
    <s v="-"/>
    <s v="I"/>
    <n v="1"/>
    <n v="98"/>
    <s v="A"/>
    <n v="4"/>
    <s v="II"/>
    <n v="38"/>
    <n v="136"/>
    <n v="2"/>
    <s v="o"/>
    <s v="D"/>
    <s v="-"/>
    <n v="0.19"/>
    <n v="25.84"/>
    <s v="II"/>
    <s v="C"/>
    <n v="1"/>
    <n v="50"/>
    <n v="0"/>
    <n v="0"/>
    <n v="0"/>
    <x v="11"/>
    <x v="2"/>
    <s v="Líder / Técnico / Analista"/>
    <n v="2"/>
    <n v="2828714.68"/>
    <n v="2828714.68"/>
    <n v="2828714.68"/>
    <s v=""/>
    <m/>
    <m/>
    <m/>
    <m/>
    <s v="Soporte"/>
    <n v="0"/>
    <m/>
    <m/>
  </r>
  <r>
    <s v="LIDER SOPORTE TIC"/>
    <x v="1"/>
    <s v="Gerencia general "/>
    <s v="ADMINISTRATIVA Y FINANCIERA"/>
    <m/>
    <n v="211"/>
    <s v="D"/>
    <s v="-"/>
    <s v="I"/>
    <n v="1"/>
    <n v="98"/>
    <s v="C"/>
    <n v="4"/>
    <s v="II"/>
    <n v="51"/>
    <n v="149"/>
    <n v="2"/>
    <s v="o"/>
    <s v="D"/>
    <s v="-"/>
    <n v="0.19"/>
    <n v="28.31"/>
    <s v="I"/>
    <s v="B"/>
    <n v="1"/>
    <n v="34"/>
    <n v="0"/>
    <n v="0"/>
    <n v="0"/>
    <x v="11"/>
    <x v="2"/>
    <s v="Líder / Técnico / Analista"/>
    <n v="1"/>
    <n v="3112292.1500000004"/>
    <n v="3112292.1500000004"/>
    <n v="3112292.1500000004"/>
    <s v=""/>
    <m/>
    <m/>
    <m/>
    <m/>
    <s v="Soporte"/>
    <n v="0"/>
    <m/>
    <m/>
  </r>
  <r>
    <s v="ANALISTA ADMINISTRATIVA DE DISEÑO Y DESARROLLO"/>
    <x v="10"/>
    <s v="Diseño y desarrollo"/>
    <s v="COMERCIAL Y MERCADEO"/>
    <m/>
    <n v="209"/>
    <s v="C"/>
    <s v="+"/>
    <s v="I"/>
    <n v="1"/>
    <n v="98"/>
    <s v="A"/>
    <n v="4"/>
    <s v="II"/>
    <n v="38"/>
    <n v="136"/>
    <n v="2"/>
    <s v="o"/>
    <s v="C"/>
    <s v="o"/>
    <n v="0.17"/>
    <n v="23.12"/>
    <s v="II"/>
    <s v="C"/>
    <n v="1"/>
    <n v="50"/>
    <n v="0"/>
    <n v="0"/>
    <n v="0"/>
    <x v="11"/>
    <x v="2"/>
    <s v="Líder / Técnico / Analista"/>
    <n v="1"/>
    <n v="2828714.68"/>
    <n v="2828714.68"/>
    <n v="2828714.68"/>
    <s v=""/>
    <m/>
    <m/>
    <m/>
    <m/>
    <s v="Soporte"/>
    <n v="0"/>
    <m/>
    <m/>
  </r>
  <r>
    <s v="AUXILIAR SERVICIO AL CLIENTE"/>
    <x v="21"/>
    <s v="Logistica "/>
    <s v="COMERCIAL Y MERCADEO"/>
    <m/>
    <n v="208"/>
    <s v="C"/>
    <s v="o"/>
    <s v="I"/>
    <n v="1"/>
    <n v="84"/>
    <s v="C"/>
    <n v="4"/>
    <s v="II"/>
    <n v="51"/>
    <n v="135"/>
    <n v="2"/>
    <s v="-"/>
    <s v="C"/>
    <s v="+"/>
    <n v="0.17"/>
    <n v="22.950000000000003"/>
    <s v="II"/>
    <s v="C"/>
    <n v="1"/>
    <n v="50"/>
    <n v="0"/>
    <n v="0"/>
    <n v="0"/>
    <x v="11"/>
    <x v="2"/>
    <s v="Líder / Técnico / Analista"/>
    <n v="1"/>
    <n v="2536900.52"/>
    <n v="2536900.52"/>
    <n v="2536900.52"/>
    <s v=""/>
    <m/>
    <m/>
    <m/>
    <m/>
    <s v="Soporte"/>
    <n v="0"/>
    <m/>
    <m/>
  </r>
  <r>
    <s v="ANALISTA DE LABORATORIO"/>
    <x v="34"/>
    <s v="Laboratorio"/>
    <s v="OPERACIONES"/>
    <m/>
    <n v="204"/>
    <s v="D"/>
    <s v="-"/>
    <s v="I"/>
    <n v="1"/>
    <n v="98"/>
    <s v="C"/>
    <n v="4"/>
    <s v="I"/>
    <n v="34"/>
    <n v="132"/>
    <n v="2"/>
    <s v="o"/>
    <s v="C"/>
    <s v="o"/>
    <n v="0.17"/>
    <n v="22.44"/>
    <s v="II"/>
    <s v="C"/>
    <n v="1"/>
    <n v="50"/>
    <n v="0"/>
    <n v="0"/>
    <n v="0"/>
    <x v="11"/>
    <x v="2"/>
    <s v="Líder / Técnico / Analista"/>
    <n v="3"/>
    <n v="2828714.68"/>
    <n v="2828714.68"/>
    <n v="2828714.68"/>
    <s v=""/>
    <m/>
    <m/>
    <m/>
    <m/>
    <s v="Soporte"/>
    <n v="0"/>
    <m/>
    <m/>
  </r>
  <r>
    <s v="ANALISTA OPERATIVO DESARROLLO"/>
    <x v="10"/>
    <s v="Diseño y desarrollo"/>
    <s v="COMERCIAL Y MERCADEO"/>
    <m/>
    <n v="204"/>
    <s v="C"/>
    <s v="o"/>
    <s v="I"/>
    <n v="1"/>
    <n v="84"/>
    <s v="C"/>
    <n v="4"/>
    <s v="II"/>
    <n v="51"/>
    <n v="135"/>
    <n v="2"/>
    <s v="-"/>
    <s v="B"/>
    <s v="+"/>
    <n v="0.14000000000000001"/>
    <n v="18.900000000000002"/>
    <s v="II"/>
    <s v="C"/>
    <n v="1"/>
    <n v="50"/>
    <n v="0"/>
    <n v="0"/>
    <n v="0"/>
    <x v="11"/>
    <x v="2"/>
    <s v="Líder / Técnico / Analista"/>
    <n v="1"/>
    <n v="2295683.1700000004"/>
    <n v="2295683.1700000004"/>
    <n v="2295683.1700000004"/>
    <s v=""/>
    <m/>
    <m/>
    <m/>
    <m/>
    <s v="Soporte"/>
    <n v="0"/>
    <m/>
    <m/>
  </r>
  <r>
    <s v="ANALISTA ADMINISTRATIVA Y CONTABLE"/>
    <x v="8"/>
    <s v="Diseño y desarrollo"/>
    <s v="ADMINISTRATIVA Y FINANCIERA"/>
    <m/>
    <n v="200"/>
    <s v="D"/>
    <s v="-"/>
    <s v="I"/>
    <n v="1"/>
    <n v="98"/>
    <s v="C"/>
    <n v="4"/>
    <s v="I"/>
    <n v="34"/>
    <n v="132"/>
    <n v="2"/>
    <s v="o"/>
    <s v="C"/>
    <s v="+"/>
    <n v="0.19"/>
    <n v="25.080000000000002"/>
    <s v="II"/>
    <s v="B"/>
    <n v="1"/>
    <n v="43"/>
    <n v="0"/>
    <n v="0"/>
    <n v="0"/>
    <x v="12"/>
    <x v="2"/>
    <s v="Líder / Técnico / Analista /Operario Experto"/>
    <n v="1"/>
    <n v="2828714.68"/>
    <n v="2828714.68"/>
    <n v="2828714.68"/>
    <s v=""/>
    <m/>
    <m/>
    <m/>
    <m/>
    <s v="Soporte"/>
    <n v="0"/>
    <m/>
    <m/>
  </r>
  <r>
    <s v="AUXILIAR DE MATRICERIA"/>
    <x v="22"/>
    <s v="Taller"/>
    <s v="OPERACIONES"/>
    <m/>
    <n v="199"/>
    <s v="D"/>
    <s v="-"/>
    <s v="I"/>
    <n v="1"/>
    <n v="98"/>
    <s v="A"/>
    <n v="4"/>
    <s v="II"/>
    <n v="38"/>
    <n v="136"/>
    <n v="2"/>
    <s v="o"/>
    <s v="C"/>
    <s v="o"/>
    <n v="0.17"/>
    <n v="23.12"/>
    <s v="I"/>
    <s v="C"/>
    <n v="1"/>
    <n v="40"/>
    <n v="0"/>
    <n v="1"/>
    <n v="0"/>
    <x v="12"/>
    <x v="3"/>
    <s v="Líder / Técnico / Analista /Operario Experto"/>
    <n v="6"/>
    <n v="3177009.0000000005"/>
    <n v="3177009.0000000005"/>
    <n v="3177009.0000000005"/>
    <s v=""/>
    <m/>
    <m/>
    <m/>
    <m/>
    <s v="Soporte"/>
    <n v="0"/>
    <m/>
    <m/>
  </r>
  <r>
    <s v="AUXILIAR DE DISEÑO Y COMUNICACIONES EN MERCADEO"/>
    <x v="21"/>
    <s v="Logistica "/>
    <s v="COMERCIAL Y MERCADEO"/>
    <m/>
    <n v="193"/>
    <s v="C"/>
    <s v="o"/>
    <s v="I"/>
    <n v="1"/>
    <n v="84"/>
    <s v="A"/>
    <n v="4"/>
    <s v="II"/>
    <n v="38"/>
    <n v="122"/>
    <n v="2"/>
    <s v="-"/>
    <s v="C"/>
    <s v="+"/>
    <n v="0.17"/>
    <n v="20.740000000000002"/>
    <s v="II"/>
    <s v="C"/>
    <n v="1"/>
    <n v="50"/>
    <n v="0"/>
    <n v="0"/>
    <n v="0"/>
    <x v="12"/>
    <x v="2"/>
    <s v="Líder / Técnico / Analista /Operario Experto"/>
    <n v="1"/>
    <n v="2295683.1700000004"/>
    <n v="2295683.1700000004"/>
    <n v="2295683.1700000004"/>
    <s v=""/>
    <m/>
    <m/>
    <m/>
    <m/>
    <s v="Soporte"/>
    <n v="0"/>
    <m/>
    <m/>
  </r>
  <r>
    <s v="AUXILIAR DE PRODUCCION"/>
    <x v="15"/>
    <s v="Taller"/>
    <s v="OPERACIONES"/>
    <m/>
    <n v="192"/>
    <s v="C"/>
    <s v="+"/>
    <s v="I"/>
    <n v="1"/>
    <n v="98"/>
    <s v="A"/>
    <n v="4"/>
    <s v="II"/>
    <n v="38"/>
    <n v="136"/>
    <n v="2"/>
    <s v="-"/>
    <s v="C"/>
    <s v="o"/>
    <n v="0.16"/>
    <n v="21.76"/>
    <s v="I"/>
    <s v="B"/>
    <n v="1"/>
    <n v="34"/>
    <n v="0"/>
    <n v="1"/>
    <n v="0"/>
    <x v="12"/>
    <x v="3"/>
    <s v="Líder / Técnico / Analista /Operario Experto"/>
    <n v="3"/>
    <n v="2706341.0000000005"/>
    <n v="2706341.0000000005"/>
    <n v="2706341.0000000005"/>
    <s v=""/>
    <m/>
    <m/>
    <m/>
    <m/>
    <s v="Soporte"/>
    <n v="0"/>
    <m/>
    <m/>
  </r>
  <r>
    <s v="AUXILIAR DE CEDI"/>
    <x v="35"/>
    <s v="Logistica "/>
    <s v="OPERACIONES"/>
    <m/>
    <n v="168"/>
    <s v="C"/>
    <s v="+"/>
    <s v="I"/>
    <n v="1"/>
    <n v="98"/>
    <s v="A"/>
    <n v="4"/>
    <s v="I"/>
    <n v="25"/>
    <n v="123"/>
    <n v="1"/>
    <s v="+"/>
    <s v="B"/>
    <s v="-"/>
    <n v="0.12"/>
    <n v="14.76"/>
    <s v="I"/>
    <s v="A"/>
    <n v="1"/>
    <n v="30"/>
    <n v="0"/>
    <n v="0"/>
    <n v="0"/>
    <x v="13"/>
    <x v="2"/>
    <s v="Operario Experto / Auxiliar"/>
    <n v="7"/>
    <n v="2412173.5"/>
    <n v="2412173.5"/>
    <n v="2412173.5"/>
    <s v=""/>
    <m/>
    <m/>
    <m/>
    <m/>
    <s v="Operativo"/>
    <n v="0"/>
    <m/>
    <m/>
  </r>
  <r>
    <s v="AUXILIAR FACTURACION"/>
    <x v="36"/>
    <s v="Logistica "/>
    <s v="OPERACIONES"/>
    <m/>
    <n v="142"/>
    <s v="B"/>
    <s v="+"/>
    <s v="I"/>
    <n v="1"/>
    <n v="72"/>
    <s v="A"/>
    <n v="4"/>
    <s v="I"/>
    <n v="25"/>
    <n v="97"/>
    <n v="1"/>
    <s v="o"/>
    <s v="B"/>
    <s v="-"/>
    <n v="0.11"/>
    <n v="10.67"/>
    <s v="I"/>
    <s v="B"/>
    <n v="1"/>
    <n v="34"/>
    <n v="0"/>
    <n v="0"/>
    <n v="0"/>
    <x v="14"/>
    <x v="2"/>
    <s v="Operario Experto / Auxiliar"/>
    <n v="1"/>
    <n v="2295683.1700000004"/>
    <n v="2295683.1700000004"/>
    <n v="2295683.1700000004"/>
    <s v=""/>
    <m/>
    <m/>
    <m/>
    <m/>
    <s v="Operativo"/>
    <n v="0"/>
    <m/>
    <m/>
  </r>
  <r>
    <s v="AUXILIAR ADMINISTRATIVA CEDI"/>
    <x v="36"/>
    <s v="Logistica "/>
    <s v="OPERACIONES"/>
    <m/>
    <n v="138"/>
    <s v="B"/>
    <s v="+"/>
    <s v="I"/>
    <n v="1"/>
    <n v="72"/>
    <s v="A"/>
    <n v="4"/>
    <s v="I"/>
    <n v="25"/>
    <n v="97"/>
    <n v="1"/>
    <s v="o"/>
    <s v="B"/>
    <s v="-"/>
    <n v="0.11"/>
    <n v="10.67"/>
    <s v="I"/>
    <s v="A"/>
    <n v="1"/>
    <n v="30"/>
    <n v="0"/>
    <n v="0"/>
    <n v="0"/>
    <x v="14"/>
    <x v="2"/>
    <s v="Operario Experto / Auxiliar"/>
    <n v="1"/>
    <n v="2295683.1700000004"/>
    <n v="2295683.1700000004"/>
    <n v="2295683.1700000004"/>
    <s v=""/>
    <m/>
    <m/>
    <m/>
    <m/>
    <s v="Operativo"/>
    <n v="0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m/>
    <m/>
    <m/>
    <m/>
    <m/>
    <s v="AUXILIAR ADMINISTRATIVA CEDI"/>
    <m/>
    <x v="0"/>
    <s v="Coordinador CEDI"/>
    <m/>
    <m/>
    <m/>
    <m/>
    <n v="0"/>
    <m/>
    <n v="138"/>
    <x v="0"/>
    <x v="0"/>
    <x v="0"/>
    <n v="143"/>
    <n v="2295683.1700000004"/>
    <n v="0"/>
    <n v="0"/>
    <n v="1951000"/>
    <n v="1951000"/>
    <n v="2295683.1700000004"/>
    <n v="2295683.1700000004"/>
    <n v="2295683.1700000004"/>
    <n v="14.12"/>
    <n v="230"/>
    <n v="5.2199999999999998E-3"/>
    <n v="1951000"/>
    <n v="1951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156310.991119599"/>
    <n v="1.0646345445783945"/>
    <n v="2347844.1606855756"/>
    <n v="0.97778345276956369"/>
    <n v="2351305.3471424235"/>
    <n v="0.97634412850290941"/>
    <n v="2127000"/>
    <n v="1.0793056746591445"/>
    <n v="2222000"/>
    <n v="1.0331607425742575"/>
    <n v="2307000"/>
    <n v="0.99509456870394464"/>
    <n v="2293000"/>
    <n v="1.0011701569995641"/>
    <n v="2339000"/>
    <n v="0.98148061992304425"/>
    <n v="2450000"/>
    <n v="0.93701353877551041"/>
    <n v="1948725.2124590687"/>
    <n v="1.0011673208343523"/>
    <n v="3275000"/>
    <n v="0.70097196030534359"/>
    <n v="3376000"/>
    <n v="0.68000093898104275"/>
    <n v="3479000"/>
    <n v="0.65986868927852838"/>
    <n v="1499000"/>
    <n v="1873937.6770538243"/>
    <n v="1.0411232048374905"/>
    <n v="2249000"/>
    <s v=""/>
    <s v=""/>
    <s v=""/>
    <s v=""/>
    <n v="2205000"/>
    <n v="1.0411261541950114"/>
    <n v="2205000"/>
    <n v="1.0411261541950114"/>
    <n v="2205000"/>
    <n v="1.0411261541950114"/>
    <n v="1951000"/>
    <n v="0"/>
    <n v="234120"/>
    <n v="10184.219999999999"/>
    <n v="78040"/>
    <n v="322344.21999999997"/>
    <n v="2618027.3900000006"/>
    <n v="1873937.6770538243"/>
    <n v="0"/>
    <n v="224872.5212464589"/>
    <n v="9781.9546742209623"/>
    <n v="74957.507082152981"/>
    <n v="309611.98300283286"/>
    <n v="2514611.9830028331"/>
    <n v="0"/>
    <n v="0"/>
    <n v="0"/>
    <n v="2449000"/>
    <n v="1881044.2777139388"/>
    <n v="2821566.4165709079"/>
    <n v="1499150.1416430594"/>
    <s v=""/>
    <n v="1764000"/>
    <n v="1764000"/>
    <n v="1764000"/>
    <n v="2248725.2124645892"/>
    <s v=""/>
    <n v="2646000"/>
    <n v="2646000"/>
    <n v="2646000"/>
    <n v="0"/>
  </r>
  <r>
    <m/>
    <m/>
    <m/>
    <m/>
    <m/>
    <s v="AUXILIAR FACTURACION"/>
    <m/>
    <x v="1"/>
    <s v="Coordinador CEDI"/>
    <m/>
    <m/>
    <m/>
    <m/>
    <n v="0"/>
    <m/>
    <n v="142"/>
    <x v="0"/>
    <x v="0"/>
    <x v="0"/>
    <n v="143"/>
    <n v="2295683.1700000004"/>
    <n v="0"/>
    <n v="0"/>
    <n v="1951000"/>
    <n v="1951000"/>
    <n v="2295683.1700000004"/>
    <n v="2295683.1700000004"/>
    <n v="2295683.1700000004"/>
    <n v="14.12"/>
    <n v="230"/>
    <n v="5.2199999999999998E-3"/>
    <n v="1951000"/>
    <n v="1951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156310.991119599"/>
    <n v="1.0646345445783945"/>
    <n v="2347844.1606855756"/>
    <n v="0.97778345276956369"/>
    <n v="2351305.3471424235"/>
    <n v="0.97634412850290941"/>
    <n v="2127000"/>
    <n v="1.0793056746591445"/>
    <n v="2222000"/>
    <n v="1.0331607425742575"/>
    <n v="2307000"/>
    <n v="0.99509456870394464"/>
    <n v="2293000"/>
    <n v="1.0011701569995641"/>
    <n v="2339000"/>
    <n v="0.98148061992304425"/>
    <n v="2450000"/>
    <n v="0.93701353877551041"/>
    <n v="1948725.2124590687"/>
    <n v="1.0011673208343523"/>
    <n v="3275000"/>
    <n v="0.70097196030534359"/>
    <n v="3376000"/>
    <n v="0.68000093898104275"/>
    <n v="3479000"/>
    <n v="0.65986868927852838"/>
    <n v="1499000"/>
    <n v="1873937.6770538243"/>
    <n v="1.0411232048374905"/>
    <n v="2249000"/>
    <s v=""/>
    <s v=""/>
    <s v=""/>
    <s v=""/>
    <n v="2205000"/>
    <n v="1.0411261541950114"/>
    <n v="2205000"/>
    <n v="1.0411261541950114"/>
    <n v="2205000"/>
    <n v="1.0411261541950114"/>
    <n v="1951000"/>
    <n v="0"/>
    <n v="234120"/>
    <n v="10184.219999999999"/>
    <n v="78040"/>
    <n v="322344.21999999997"/>
    <n v="2618027.3900000006"/>
    <n v="1873937.6770538243"/>
    <n v="0"/>
    <n v="224872.5212464589"/>
    <n v="9781.9546742209623"/>
    <n v="74957.507082152981"/>
    <n v="309611.98300283286"/>
    <n v="2514611.9830028331"/>
    <n v="0"/>
    <n v="0"/>
    <n v="0"/>
    <n v="2449000"/>
    <n v="1881044.2777139388"/>
    <n v="2821566.4165709079"/>
    <n v="1499150.1416430594"/>
    <s v=""/>
    <n v="1764000"/>
    <n v="1764000"/>
    <n v="1764000"/>
    <n v="2248725.2124645892"/>
    <s v=""/>
    <n v="2646000"/>
    <n v="2646000"/>
    <n v="2646000"/>
    <n v="0"/>
  </r>
  <r>
    <m/>
    <m/>
    <m/>
    <m/>
    <m/>
    <s v="AUXILIAR DE CEDI"/>
    <m/>
    <x v="2"/>
    <s v="Director logistico "/>
    <m/>
    <m/>
    <m/>
    <m/>
    <n v="0"/>
    <m/>
    <n v="168"/>
    <x v="1"/>
    <x v="0"/>
    <x v="0"/>
    <n v="164"/>
    <n v="2412173.5"/>
    <n v="0"/>
    <n v="0"/>
    <n v="2050000"/>
    <n v="2050000"/>
    <n v="2412173.5"/>
    <n v="2412173.5"/>
    <n v="2412173.5"/>
    <n v="14.12"/>
    <n v="230"/>
    <n v="5.2199999999999998E-3"/>
    <n v="2050000"/>
    <n v="205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380388.5736947823"/>
    <n v="1.0133528309858595"/>
    <n v="2581735.7909503947"/>
    <n v="0.93432236887107067"/>
    <n v="2584918.4911405994"/>
    <n v="0.93317197747911373"/>
    <n v="2348000"/>
    <n v="1.027331132879046"/>
    <n v="2445000"/>
    <n v="0.98657402862985688"/>
    <n v="2540000"/>
    <n v="0.94967460629921263"/>
    <n v="2509000"/>
    <n v="0.96140833001195691"/>
    <n v="2548000"/>
    <n v="0.94669289638932497"/>
    <n v="2685000"/>
    <n v="0.89838864059590318"/>
    <n v="2132294.6175576989"/>
    <n v="0.96140560648605022"/>
    <n v="3683000"/>
    <n v="0.65494800434428457"/>
    <n v="3794000"/>
    <n v="0.63578637322087506"/>
    <n v="3904000"/>
    <n v="0.6178723104508197"/>
    <n v="1643000"/>
    <n v="2054107.6487252123"/>
    <n v="0.9980002758240244"/>
    <n v="2465000"/>
    <s v=""/>
    <s v=""/>
    <s v=""/>
    <s v=""/>
    <n v="2417000"/>
    <n v="0.99800310302027306"/>
    <n v="2417000"/>
    <n v="0.99800310302027306"/>
    <n v="2417000"/>
    <n v="0.99800310302027306"/>
    <n v="2050000"/>
    <n v="0"/>
    <n v="246000"/>
    <n v="10701"/>
    <n v="82000"/>
    <n v="338701"/>
    <n v="2750874.5"/>
    <n v="2054107.6487252123"/>
    <n v="0"/>
    <n v="246492.91784702547"/>
    <n v="10722.441926345607"/>
    <n v="82164.3059490085"/>
    <n v="339379.66572237958"/>
    <n v="2756379.6657223795"/>
    <n v="5505.1657223794609"/>
    <n v="4826.5"/>
    <n v="678.66572237957735"/>
    <n v="2684000"/>
    <n v="2067934.7929124795"/>
    <n v="3101902.1893687192"/>
    <n v="1643286.1189801698"/>
    <s v=""/>
    <n v="1933600"/>
    <n v="1933600"/>
    <n v="1933600"/>
    <n v="2464929.1784702549"/>
    <s v=""/>
    <n v="2900400"/>
    <n v="2900400"/>
    <n v="2900400"/>
    <n v="0"/>
  </r>
  <r>
    <m/>
    <m/>
    <m/>
    <m/>
    <m/>
    <s v="AUXILIAR DE CEDI"/>
    <m/>
    <x v="2"/>
    <s v="Director logistico "/>
    <m/>
    <m/>
    <m/>
    <m/>
    <n v="0"/>
    <m/>
    <n v="168"/>
    <x v="1"/>
    <x v="0"/>
    <x v="0"/>
    <n v="164"/>
    <n v="2412173.5"/>
    <n v="0"/>
    <n v="0"/>
    <n v="2050000"/>
    <n v="2050000"/>
    <n v="2412173.5"/>
    <n v="2412173.5"/>
    <n v="2412173.5"/>
    <n v="14.12"/>
    <n v="230"/>
    <n v="5.2199999999999998E-3"/>
    <n v="2050000"/>
    <n v="205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380388.5736947823"/>
    <n v="1.0133528309858595"/>
    <n v="2581735.7909503947"/>
    <n v="0.93432236887107067"/>
    <n v="2584918.4911405994"/>
    <n v="0.93317197747911373"/>
    <n v="2348000"/>
    <n v="1.027331132879046"/>
    <n v="2445000"/>
    <n v="0.98657402862985688"/>
    <n v="2540000"/>
    <n v="0.94967460629921263"/>
    <n v="2509000"/>
    <n v="0.96140833001195691"/>
    <n v="2548000"/>
    <n v="0.94669289638932497"/>
    <n v="2685000"/>
    <n v="0.89838864059590318"/>
    <n v="2132294.6175576989"/>
    <n v="0.96140560648605022"/>
    <n v="3683000"/>
    <n v="0.65494800434428457"/>
    <n v="3794000"/>
    <n v="0.63578637322087506"/>
    <n v="3904000"/>
    <n v="0.6178723104508197"/>
    <n v="1643000"/>
    <n v="2054107.6487252123"/>
    <n v="0.9980002758240244"/>
    <n v="2465000"/>
    <s v=""/>
    <s v=""/>
    <s v=""/>
    <s v=""/>
    <n v="2417000"/>
    <n v="0.99800310302027306"/>
    <n v="2417000"/>
    <n v="0.99800310302027306"/>
    <n v="2417000"/>
    <n v="0.99800310302027306"/>
    <n v="2050000"/>
    <n v="0"/>
    <n v="246000"/>
    <n v="10701"/>
    <n v="82000"/>
    <n v="338701"/>
    <n v="2750874.5"/>
    <n v="2054107.6487252123"/>
    <n v="0"/>
    <n v="246492.91784702547"/>
    <n v="10722.441926345607"/>
    <n v="82164.3059490085"/>
    <n v="339379.66572237958"/>
    <n v="2756379.6657223795"/>
    <n v="5505.1657223794609"/>
    <n v="4826.5"/>
    <n v="678.66572237957735"/>
    <n v="2684000"/>
    <n v="2067934.7929124795"/>
    <n v="3101902.1893687192"/>
    <n v="1643286.1189801698"/>
    <s v=""/>
    <n v="1933600"/>
    <n v="1933600"/>
    <n v="1933600"/>
    <n v="2464929.1784702549"/>
    <s v=""/>
    <n v="2900400"/>
    <n v="2900400"/>
    <n v="2900400"/>
    <n v="0"/>
  </r>
  <r>
    <m/>
    <m/>
    <m/>
    <m/>
    <m/>
    <s v="AUXILIAR DE CEDI"/>
    <m/>
    <x v="2"/>
    <s v="Director logistico "/>
    <m/>
    <m/>
    <m/>
    <m/>
    <n v="0"/>
    <m/>
    <n v="168"/>
    <x v="1"/>
    <x v="0"/>
    <x v="0"/>
    <n v="164"/>
    <n v="2412173.5"/>
    <n v="0"/>
    <n v="0"/>
    <n v="2050000"/>
    <n v="2050000"/>
    <n v="2412173.5"/>
    <n v="2412173.5"/>
    <n v="2412173.5"/>
    <n v="14.12"/>
    <n v="230"/>
    <n v="5.2199999999999998E-3"/>
    <n v="2050000"/>
    <n v="205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380388.5736947823"/>
    <n v="1.0133528309858595"/>
    <n v="2581735.7909503947"/>
    <n v="0.93432236887107067"/>
    <n v="2584918.4911405994"/>
    <n v="0.93317197747911373"/>
    <n v="2348000"/>
    <n v="1.027331132879046"/>
    <n v="2445000"/>
    <n v="0.98657402862985688"/>
    <n v="2540000"/>
    <n v="0.94967460629921263"/>
    <n v="2509000"/>
    <n v="0.96140833001195691"/>
    <n v="2548000"/>
    <n v="0.94669289638932497"/>
    <n v="2685000"/>
    <n v="0.89838864059590318"/>
    <n v="2132294.6175576989"/>
    <n v="0.96140560648605022"/>
    <n v="3683000"/>
    <n v="0.65494800434428457"/>
    <n v="3794000"/>
    <n v="0.63578637322087506"/>
    <n v="3904000"/>
    <n v="0.6178723104508197"/>
    <n v="1643000"/>
    <n v="2054107.6487252123"/>
    <n v="0.9980002758240244"/>
    <n v="2465000"/>
    <s v=""/>
    <s v=""/>
    <s v=""/>
    <s v=""/>
    <n v="2417000"/>
    <n v="0.99800310302027306"/>
    <n v="2417000"/>
    <n v="0.99800310302027306"/>
    <n v="2417000"/>
    <n v="0.99800310302027306"/>
    <n v="2050000"/>
    <n v="0"/>
    <n v="246000"/>
    <n v="10701"/>
    <n v="82000"/>
    <n v="338701"/>
    <n v="2750874.5"/>
    <n v="2054107.6487252123"/>
    <n v="0"/>
    <n v="246492.91784702547"/>
    <n v="10722.441926345607"/>
    <n v="82164.3059490085"/>
    <n v="339379.66572237958"/>
    <n v="2756379.6657223795"/>
    <n v="5505.1657223794609"/>
    <n v="4826.5"/>
    <n v="678.66572237957735"/>
    <n v="2684000"/>
    <n v="2067934.7929124795"/>
    <n v="3101902.1893687192"/>
    <n v="1643286.1189801698"/>
    <s v=""/>
    <n v="1933600"/>
    <n v="1933600"/>
    <n v="1933600"/>
    <n v="2464929.1784702549"/>
    <s v=""/>
    <n v="2900400"/>
    <n v="2900400"/>
    <n v="2900400"/>
    <n v="0"/>
  </r>
  <r>
    <m/>
    <m/>
    <m/>
    <m/>
    <m/>
    <s v="AUXILIAR DE CEDI"/>
    <m/>
    <x v="2"/>
    <s v="Director logistico "/>
    <m/>
    <m/>
    <m/>
    <m/>
    <n v="0"/>
    <m/>
    <n v="168"/>
    <x v="1"/>
    <x v="0"/>
    <x v="0"/>
    <n v="164"/>
    <n v="2412173.5"/>
    <n v="0"/>
    <n v="0"/>
    <n v="2050000"/>
    <n v="2050000"/>
    <n v="2412173.5"/>
    <n v="2412173.5"/>
    <n v="2412173.5"/>
    <n v="14.12"/>
    <n v="230"/>
    <n v="5.2199999999999998E-3"/>
    <n v="2050000"/>
    <n v="205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380388.5736947823"/>
    <n v="1.0133528309858595"/>
    <n v="2581735.7909503947"/>
    <n v="0.93432236887107067"/>
    <n v="2584918.4911405994"/>
    <n v="0.93317197747911373"/>
    <n v="2348000"/>
    <n v="1.027331132879046"/>
    <n v="2445000"/>
    <n v="0.98657402862985688"/>
    <n v="2540000"/>
    <n v="0.94967460629921263"/>
    <n v="2509000"/>
    <n v="0.96140833001195691"/>
    <n v="2548000"/>
    <n v="0.94669289638932497"/>
    <n v="2685000"/>
    <n v="0.89838864059590318"/>
    <n v="2132294.6175576989"/>
    <n v="0.96140560648605022"/>
    <n v="3683000"/>
    <n v="0.65494800434428457"/>
    <n v="3794000"/>
    <n v="0.63578637322087506"/>
    <n v="3904000"/>
    <n v="0.6178723104508197"/>
    <n v="1643000"/>
    <n v="2054107.6487252123"/>
    <n v="0.9980002758240244"/>
    <n v="2465000"/>
    <s v=""/>
    <s v=""/>
    <s v=""/>
    <s v=""/>
    <n v="2417000"/>
    <n v="0.99800310302027306"/>
    <n v="2417000"/>
    <n v="0.99800310302027306"/>
    <n v="2417000"/>
    <n v="0.99800310302027306"/>
    <n v="2050000"/>
    <n v="0"/>
    <n v="246000"/>
    <n v="10701"/>
    <n v="82000"/>
    <n v="338701"/>
    <n v="2750874.5"/>
    <n v="2054107.6487252123"/>
    <n v="0"/>
    <n v="246492.91784702547"/>
    <n v="10722.441926345607"/>
    <n v="82164.3059490085"/>
    <n v="339379.66572237958"/>
    <n v="2756379.6657223795"/>
    <n v="5505.1657223794609"/>
    <n v="4826.5"/>
    <n v="678.66572237957735"/>
    <n v="2684000"/>
    <n v="2067934.7929124795"/>
    <n v="3101902.1893687192"/>
    <n v="1643286.1189801698"/>
    <s v=""/>
    <n v="1933600"/>
    <n v="1933600"/>
    <n v="1933600"/>
    <n v="2464929.1784702549"/>
    <s v=""/>
    <n v="2900400"/>
    <n v="2900400"/>
    <n v="2900400"/>
    <n v="0"/>
  </r>
  <r>
    <m/>
    <m/>
    <m/>
    <m/>
    <m/>
    <s v="AUXILIAR DE CEDI"/>
    <m/>
    <x v="2"/>
    <s v="Director logistico "/>
    <m/>
    <m/>
    <m/>
    <m/>
    <n v="0"/>
    <m/>
    <n v="168"/>
    <x v="1"/>
    <x v="0"/>
    <x v="0"/>
    <n v="164"/>
    <n v="2412173.5"/>
    <n v="0"/>
    <n v="0"/>
    <n v="2050000"/>
    <n v="2050000"/>
    <n v="2412173.5"/>
    <n v="2412173.5"/>
    <n v="2412173.5"/>
    <n v="14.12"/>
    <n v="230"/>
    <n v="5.2199999999999998E-3"/>
    <n v="2050000"/>
    <n v="205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380388.5736947823"/>
    <n v="1.0133528309858595"/>
    <n v="2581735.7909503947"/>
    <n v="0.93432236887107067"/>
    <n v="2584918.4911405994"/>
    <n v="0.93317197747911373"/>
    <n v="2348000"/>
    <n v="1.027331132879046"/>
    <n v="2445000"/>
    <n v="0.98657402862985688"/>
    <n v="2540000"/>
    <n v="0.94967460629921263"/>
    <n v="2509000"/>
    <n v="0.96140833001195691"/>
    <n v="2548000"/>
    <n v="0.94669289638932497"/>
    <n v="2685000"/>
    <n v="0.89838864059590318"/>
    <n v="2132294.6175576989"/>
    <n v="0.96140560648605022"/>
    <n v="3683000"/>
    <n v="0.65494800434428457"/>
    <n v="3794000"/>
    <n v="0.63578637322087506"/>
    <n v="3904000"/>
    <n v="0.6178723104508197"/>
    <n v="1643000"/>
    <n v="2054107.6487252123"/>
    <n v="0.9980002758240244"/>
    <n v="2465000"/>
    <s v=""/>
    <s v=""/>
    <s v=""/>
    <s v=""/>
    <n v="2417000"/>
    <n v="0.99800310302027306"/>
    <n v="2417000"/>
    <n v="0.99800310302027306"/>
    <n v="2417000"/>
    <n v="0.99800310302027306"/>
    <n v="2050000"/>
    <n v="0"/>
    <n v="246000"/>
    <n v="10701"/>
    <n v="82000"/>
    <n v="338701"/>
    <n v="2750874.5"/>
    <n v="2054107.6487252123"/>
    <n v="0"/>
    <n v="246492.91784702547"/>
    <n v="10722.441926345607"/>
    <n v="82164.3059490085"/>
    <n v="339379.66572237958"/>
    <n v="2756379.6657223795"/>
    <n v="5505.1657223794609"/>
    <n v="4826.5"/>
    <n v="678.66572237957735"/>
    <n v="2684000"/>
    <n v="2067934.7929124795"/>
    <n v="3101902.1893687192"/>
    <n v="1643286.1189801698"/>
    <s v=""/>
    <n v="1933600"/>
    <n v="1933600"/>
    <n v="1933600"/>
    <n v="2464929.1784702549"/>
    <s v=""/>
    <n v="2900400"/>
    <n v="2900400"/>
    <n v="2900400"/>
    <n v="0"/>
  </r>
  <r>
    <m/>
    <m/>
    <m/>
    <m/>
    <m/>
    <s v="AUXILIAR DE CEDI"/>
    <m/>
    <x v="2"/>
    <s v="Director logistico "/>
    <m/>
    <m/>
    <m/>
    <m/>
    <n v="0"/>
    <m/>
    <n v="168"/>
    <x v="1"/>
    <x v="0"/>
    <x v="0"/>
    <n v="164"/>
    <n v="2412173.5"/>
    <n v="0"/>
    <n v="0"/>
    <n v="2050000"/>
    <n v="2050000"/>
    <n v="2412173.5"/>
    <n v="2412173.5"/>
    <n v="2412173.5"/>
    <n v="14.12"/>
    <n v="230"/>
    <n v="5.2199999999999998E-3"/>
    <n v="2050000"/>
    <n v="205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380388.5736947823"/>
    <n v="1.0133528309858595"/>
    <n v="2581735.7909503947"/>
    <n v="0.93432236887107067"/>
    <n v="2584918.4911405994"/>
    <n v="0.93317197747911373"/>
    <n v="2348000"/>
    <n v="1.027331132879046"/>
    <n v="2445000"/>
    <n v="0.98657402862985688"/>
    <n v="2540000"/>
    <n v="0.94967460629921263"/>
    <n v="2509000"/>
    <n v="0.96140833001195691"/>
    <n v="2548000"/>
    <n v="0.94669289638932497"/>
    <n v="2685000"/>
    <n v="0.89838864059590318"/>
    <n v="2132294.6175576989"/>
    <n v="0.96140560648605022"/>
    <n v="3683000"/>
    <n v="0.65494800434428457"/>
    <n v="3794000"/>
    <n v="0.63578637322087506"/>
    <n v="3904000"/>
    <n v="0.6178723104508197"/>
    <n v="1643000"/>
    <n v="2054107.6487252123"/>
    <n v="0.9980002758240244"/>
    <n v="2465000"/>
    <s v=""/>
    <s v=""/>
    <s v=""/>
    <s v=""/>
    <n v="2417000"/>
    <n v="0.99800310302027306"/>
    <n v="2417000"/>
    <n v="0.99800310302027306"/>
    <n v="2417000"/>
    <n v="0.99800310302027306"/>
    <n v="2050000"/>
    <n v="0"/>
    <n v="246000"/>
    <n v="10701"/>
    <n v="82000"/>
    <n v="338701"/>
    <n v="2750874.5"/>
    <n v="2054107.6487252123"/>
    <n v="0"/>
    <n v="246492.91784702547"/>
    <n v="10722.441926345607"/>
    <n v="82164.3059490085"/>
    <n v="339379.66572237958"/>
    <n v="2756379.6657223795"/>
    <n v="5505.1657223794609"/>
    <n v="4826.5"/>
    <n v="678.66572237957735"/>
    <n v="2684000"/>
    <n v="2067934.7929124795"/>
    <n v="3101902.1893687192"/>
    <n v="1643286.1189801698"/>
    <s v=""/>
    <n v="1933600"/>
    <n v="1933600"/>
    <n v="1933600"/>
    <n v="2464929.1784702549"/>
    <s v=""/>
    <n v="2900400"/>
    <n v="2900400"/>
    <n v="2900400"/>
    <n v="0"/>
  </r>
  <r>
    <m/>
    <m/>
    <m/>
    <m/>
    <m/>
    <s v="AUXILIAR DE CEDI"/>
    <m/>
    <x v="2"/>
    <s v="Director logistico "/>
    <m/>
    <m/>
    <m/>
    <m/>
    <n v="0"/>
    <m/>
    <n v="168"/>
    <x v="1"/>
    <x v="0"/>
    <x v="0"/>
    <n v="164"/>
    <n v="2412173.5"/>
    <n v="0"/>
    <n v="0"/>
    <n v="2050000"/>
    <n v="2050000"/>
    <n v="2412173.5"/>
    <n v="2412173.5"/>
    <n v="2412173.5"/>
    <n v="14.12"/>
    <n v="230"/>
    <n v="5.2199999999999998E-3"/>
    <n v="2050000"/>
    <n v="205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380388.5736947823"/>
    <n v="1.0133528309858595"/>
    <n v="2581735.7909503947"/>
    <n v="0.93432236887107067"/>
    <n v="2584918.4911405994"/>
    <n v="0.93317197747911373"/>
    <n v="2348000"/>
    <n v="1.027331132879046"/>
    <n v="2445000"/>
    <n v="0.98657402862985688"/>
    <n v="2540000"/>
    <n v="0.94967460629921263"/>
    <n v="2509000"/>
    <n v="0.96140833001195691"/>
    <n v="2548000"/>
    <n v="0.94669289638932497"/>
    <n v="2685000"/>
    <n v="0.89838864059590318"/>
    <n v="2132294.6175576989"/>
    <n v="0.96140560648605022"/>
    <n v="3683000"/>
    <n v="0.65494800434428457"/>
    <n v="3794000"/>
    <n v="0.63578637322087506"/>
    <n v="3904000"/>
    <n v="0.6178723104508197"/>
    <n v="1643000"/>
    <n v="2054107.6487252123"/>
    <n v="0.9980002758240244"/>
    <n v="2465000"/>
    <s v=""/>
    <s v=""/>
    <s v=""/>
    <s v=""/>
    <n v="2417000"/>
    <n v="0.99800310302027306"/>
    <n v="2417000"/>
    <n v="0.99800310302027306"/>
    <n v="2417000"/>
    <n v="0.99800310302027306"/>
    <n v="2050000"/>
    <n v="0"/>
    <n v="246000"/>
    <n v="10701"/>
    <n v="82000"/>
    <n v="338701"/>
    <n v="2750874.5"/>
    <n v="2054107.6487252123"/>
    <n v="0"/>
    <n v="246492.91784702547"/>
    <n v="10722.441926345607"/>
    <n v="82164.3059490085"/>
    <n v="339379.66572237958"/>
    <n v="2756379.6657223795"/>
    <n v="5505.1657223794609"/>
    <n v="4826.5"/>
    <n v="678.66572237957735"/>
    <n v="2684000"/>
    <n v="2067934.7929124795"/>
    <n v="3101902.1893687192"/>
    <n v="1643286.1189801698"/>
    <s v=""/>
    <n v="1933600"/>
    <n v="1933600"/>
    <n v="1933600"/>
    <n v="2464929.1784702549"/>
    <s v=""/>
    <n v="2900400"/>
    <n v="2900400"/>
    <n v="2900400"/>
    <n v="0"/>
  </r>
  <r>
    <m/>
    <m/>
    <m/>
    <m/>
    <m/>
    <s v="AUXILIAR DE PRODUCCION"/>
    <m/>
    <x v="3"/>
    <s v="Director de producción "/>
    <m/>
    <m/>
    <m/>
    <m/>
    <n v="0"/>
    <m/>
    <n v="192"/>
    <x v="2"/>
    <x v="1"/>
    <x v="1"/>
    <n v="189"/>
    <n v="2706341.0000000005"/>
    <n v="0"/>
    <n v="0"/>
    <n v="2300000"/>
    <n v="2300000"/>
    <n v="2706341.0000000005"/>
    <n v="2706341.0000000005"/>
    <n v="2706341.0000000005"/>
    <n v="14.12"/>
    <n v="230"/>
    <n v="4.3499999999999997E-2"/>
    <n v="2300000"/>
    <n v="23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647147.6005700002"/>
    <n v="1.0223612009459746"/>
    <n v="2860178.2079323218"/>
    <n v="0.94621411788060117"/>
    <n v="2863029.376852714"/>
    <n v="0.94527182357277839"/>
    <n v="2611000"/>
    <n v="1.0365151283033323"/>
    <n v="2711000"/>
    <n v="0.99828144596090018"/>
    <n v="2818000"/>
    <n v="0.96037650816181708"/>
    <n v="2767000"/>
    <n v="0.97807770148174933"/>
    <n v="2797000"/>
    <n v="0.9675870575616734"/>
    <n v="2965000"/>
    <n v="0.91276256323777416"/>
    <n v="2351558.0736477291"/>
    <n v="0.97807493073400797"/>
    <n v="4169000"/>
    <n v="0.6491583113456465"/>
    <n v="4291000"/>
    <n v="0.63070170123514346"/>
    <n v="4410000"/>
    <n v="0.61368276643990938"/>
    <n v="2016000"/>
    <n v="2519830.0283286115"/>
    <n v="0.91275997751545823"/>
    <n v="3024000"/>
    <s v=""/>
    <s v=""/>
    <s v=""/>
    <s v=""/>
    <n v="2965000"/>
    <n v="0.91276256323777416"/>
    <n v="2965000"/>
    <n v="0.91276256323777416"/>
    <n v="2965000"/>
    <n v="0.91276256323777416"/>
    <n v="2300000"/>
    <n v="0"/>
    <n v="276000"/>
    <n v="100050"/>
    <n v="92000"/>
    <n v="468050"/>
    <n v="3174391.0000000005"/>
    <n v="2519830.0283286115"/>
    <n v="0"/>
    <n v="302379.60339943337"/>
    <n v="109612.60623229459"/>
    <n v="100793.20113314447"/>
    <n v="512785.41076487245"/>
    <n v="3477785.4107648726"/>
    <n v="303394.4107648721"/>
    <n v="258658.99999999953"/>
    <n v="44735.410764872446"/>
    <n v="2964000"/>
    <n v="2290423.5014821715"/>
    <n v="3435635.2522232565"/>
    <n v="2015864.0226628894"/>
    <s v=""/>
    <n v="2372000"/>
    <n v="2372000"/>
    <n v="2372000"/>
    <n v="3023796.0339943343"/>
    <s v=""/>
    <n v="3558000"/>
    <n v="3558000"/>
    <n v="3558000"/>
    <n v="0"/>
  </r>
  <r>
    <m/>
    <m/>
    <m/>
    <m/>
    <m/>
    <s v="AUXILIAR DE PRODUCCION"/>
    <m/>
    <x v="3"/>
    <s v="Director de producción "/>
    <m/>
    <m/>
    <m/>
    <m/>
    <n v="0"/>
    <m/>
    <n v="192"/>
    <x v="2"/>
    <x v="1"/>
    <x v="1"/>
    <n v="189"/>
    <n v="2706341.0000000005"/>
    <n v="0"/>
    <n v="0"/>
    <n v="2300000"/>
    <n v="2300000"/>
    <n v="2706341.0000000005"/>
    <n v="2706341.0000000005"/>
    <n v="2706341.0000000005"/>
    <n v="14.12"/>
    <n v="230"/>
    <n v="4.3499999999999997E-2"/>
    <n v="2300000"/>
    <n v="23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647147.6005700002"/>
    <n v="1.0223612009459746"/>
    <n v="2860178.2079323218"/>
    <n v="0.94621411788060117"/>
    <n v="2863029.376852714"/>
    <n v="0.94527182357277839"/>
    <n v="2611000"/>
    <n v="1.0365151283033323"/>
    <n v="2711000"/>
    <n v="0.99828144596090018"/>
    <n v="2818000"/>
    <n v="0.96037650816181708"/>
    <n v="2767000"/>
    <n v="0.97807770148174933"/>
    <n v="2797000"/>
    <n v="0.9675870575616734"/>
    <n v="2965000"/>
    <n v="0.91276256323777416"/>
    <n v="2351558.0736477291"/>
    <n v="0.97807493073400797"/>
    <n v="4169000"/>
    <n v="0.6491583113456465"/>
    <n v="4291000"/>
    <n v="0.63070170123514346"/>
    <n v="4410000"/>
    <n v="0.61368276643990938"/>
    <n v="2016000"/>
    <n v="2519830.0283286115"/>
    <n v="0.91275997751545823"/>
    <n v="3024000"/>
    <s v=""/>
    <s v=""/>
    <s v=""/>
    <s v=""/>
    <n v="2965000"/>
    <n v="0.91276256323777416"/>
    <n v="2965000"/>
    <n v="0.91276256323777416"/>
    <n v="2965000"/>
    <n v="0.91276256323777416"/>
    <n v="2300000"/>
    <n v="0"/>
    <n v="276000"/>
    <n v="100050"/>
    <n v="92000"/>
    <n v="468050"/>
    <n v="3174391.0000000005"/>
    <n v="2519830.0283286115"/>
    <n v="0"/>
    <n v="302379.60339943337"/>
    <n v="109612.60623229459"/>
    <n v="100793.20113314447"/>
    <n v="512785.41076487245"/>
    <n v="3477785.4107648726"/>
    <n v="303394.4107648721"/>
    <n v="258658.99999999953"/>
    <n v="44735.410764872446"/>
    <n v="2964000"/>
    <n v="2290423.5014821715"/>
    <n v="3435635.2522232565"/>
    <n v="2015864.0226628894"/>
    <s v=""/>
    <n v="2372000"/>
    <n v="2372000"/>
    <n v="2372000"/>
    <n v="3023796.0339943343"/>
    <s v=""/>
    <n v="3558000"/>
    <n v="3558000"/>
    <n v="3558000"/>
    <n v="0"/>
  </r>
  <r>
    <m/>
    <m/>
    <m/>
    <m/>
    <m/>
    <s v="AUXILIAR DE PRODUCCION"/>
    <m/>
    <x v="3"/>
    <s v="Director de producción "/>
    <m/>
    <m/>
    <m/>
    <m/>
    <n v="0"/>
    <m/>
    <n v="192"/>
    <x v="2"/>
    <x v="1"/>
    <x v="1"/>
    <n v="189"/>
    <n v="2706341.0000000005"/>
    <n v="0"/>
    <n v="0"/>
    <n v="2300000"/>
    <n v="2300000"/>
    <n v="2706341.0000000005"/>
    <n v="2706341.0000000005"/>
    <n v="2706341.0000000005"/>
    <n v="14.12"/>
    <n v="230"/>
    <n v="4.3499999999999997E-2"/>
    <n v="2300000"/>
    <n v="23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647147.6005700002"/>
    <n v="1.0223612009459746"/>
    <n v="2860178.2079323218"/>
    <n v="0.94621411788060117"/>
    <n v="2863029.376852714"/>
    <n v="0.94527182357277839"/>
    <n v="2611000"/>
    <n v="1.0365151283033323"/>
    <n v="2711000"/>
    <n v="0.99828144596090018"/>
    <n v="2818000"/>
    <n v="0.96037650816181708"/>
    <n v="2767000"/>
    <n v="0.97807770148174933"/>
    <n v="2797000"/>
    <n v="0.9675870575616734"/>
    <n v="2965000"/>
    <n v="0.91276256323777416"/>
    <n v="2351558.0736477291"/>
    <n v="0.97807493073400797"/>
    <n v="4169000"/>
    <n v="0.6491583113456465"/>
    <n v="4291000"/>
    <n v="0.63070170123514346"/>
    <n v="4410000"/>
    <n v="0.61368276643990938"/>
    <n v="2016000"/>
    <n v="2519830.0283286115"/>
    <n v="0.91275997751545823"/>
    <n v="3024000"/>
    <s v=""/>
    <s v=""/>
    <s v=""/>
    <s v=""/>
    <n v="2965000"/>
    <n v="0.91276256323777416"/>
    <n v="2965000"/>
    <n v="0.91276256323777416"/>
    <n v="2965000"/>
    <n v="0.91276256323777416"/>
    <n v="2300000"/>
    <n v="0"/>
    <n v="276000"/>
    <n v="100050"/>
    <n v="92000"/>
    <n v="468050"/>
    <n v="3174391.0000000005"/>
    <n v="2519830.0283286115"/>
    <n v="0"/>
    <n v="302379.60339943337"/>
    <n v="109612.60623229459"/>
    <n v="100793.20113314447"/>
    <n v="512785.41076487245"/>
    <n v="3477785.4107648726"/>
    <n v="303394.4107648721"/>
    <n v="258658.99999999953"/>
    <n v="44735.410764872446"/>
    <n v="2964000"/>
    <n v="2290423.5014821715"/>
    <n v="3435635.2522232565"/>
    <n v="2015864.0226628894"/>
    <s v=""/>
    <n v="2372000"/>
    <n v="2372000"/>
    <n v="2372000"/>
    <n v="3023796.0339943343"/>
    <s v=""/>
    <n v="3558000"/>
    <n v="3558000"/>
    <n v="3558000"/>
    <n v="0"/>
  </r>
  <r>
    <m/>
    <m/>
    <m/>
    <m/>
    <m/>
    <s v="AUXILIAR DE DISEÑO Y COMUNICACIONES EN MERCADEO"/>
    <m/>
    <x v="4"/>
    <s v="Coordinadora de Mercadeo "/>
    <m/>
    <m/>
    <m/>
    <m/>
    <n v="0"/>
    <m/>
    <n v="193"/>
    <x v="2"/>
    <x v="1"/>
    <x v="0"/>
    <n v="189"/>
    <n v="2295683.1700000004"/>
    <n v="0"/>
    <n v="0"/>
    <n v="1951000"/>
    <n v="1951000"/>
    <n v="2295683.1700000004"/>
    <n v="2295683.1700000004"/>
    <n v="2295683.1700000004"/>
    <n v="14.12"/>
    <n v="230"/>
    <n v="5.2199999999999998E-3"/>
    <n v="1951000"/>
    <n v="1951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647147.6005700002"/>
    <n v="0.86722900132417235"/>
    <n v="2860178.2079323218"/>
    <n v="0.80263641042828382"/>
    <n v="2863029.376852714"/>
    <n v="0.80183709903934375"/>
    <n v="2611000"/>
    <n v="0.87923522405208743"/>
    <n v="2711000"/>
    <n v="0.84680308742161581"/>
    <n v="2818000"/>
    <n v="0.81464981192335006"/>
    <n v="2767000"/>
    <n v="0.82966504156125787"/>
    <n v="2797000"/>
    <n v="0.82076623882731514"/>
    <n v="2965000"/>
    <n v="0.77426076559865109"/>
    <n v="2351558.0736477291"/>
    <n v="0.82966269124436942"/>
    <n v="4169000"/>
    <n v="0.55065559366754624"/>
    <n v="4291000"/>
    <n v="0.53499957352598471"/>
    <n v="4410000"/>
    <n v="0.52056307709750571"/>
    <n v="1815000"/>
    <n v="2268271.9546742206"/>
    <n v="0.8601261396278258"/>
    <n v="2722000"/>
    <s v=""/>
    <s v=""/>
    <s v=""/>
    <s v=""/>
    <n v="2669000"/>
    <n v="0.86012857624578509"/>
    <n v="2669000"/>
    <n v="0.86012857624578509"/>
    <n v="2669000"/>
    <n v="0.86012857624578509"/>
    <n v="1951000"/>
    <n v="0"/>
    <n v="234120"/>
    <n v="10184.219999999999"/>
    <n v="78040"/>
    <n v="322344.21999999997"/>
    <n v="2618027.3900000006"/>
    <n v="2268271.9546742206"/>
    <n v="0"/>
    <n v="272192.63456090644"/>
    <n v="11840.379603399431"/>
    <n v="90730.878186968825"/>
    <n v="374763.89235127473"/>
    <n v="3043763.8923512748"/>
    <n v="425736.50235127425"/>
    <n v="373316.82999999961"/>
    <n v="52419.672351274756"/>
    <n v="2964000"/>
    <n v="2290423.5014821715"/>
    <n v="3435635.2522232565"/>
    <n v="1814617.5637393766"/>
    <s v=""/>
    <n v="2135200"/>
    <n v="2135200"/>
    <n v="2135200"/>
    <n v="2721926.3456090651"/>
    <s v=""/>
    <n v="3202800"/>
    <n v="3202800"/>
    <n v="3202800"/>
    <n v="0"/>
  </r>
  <r>
    <m/>
    <m/>
    <m/>
    <m/>
    <m/>
    <s v="AUXILIAR DE MATRICERIA"/>
    <m/>
    <x v="5"/>
    <s v="Director de Taller"/>
    <m/>
    <m/>
    <m/>
    <m/>
    <n v="0"/>
    <m/>
    <n v="199"/>
    <x v="2"/>
    <x v="1"/>
    <x v="1"/>
    <n v="189"/>
    <n v="3177009.0000000005"/>
    <n v="0"/>
    <n v="0"/>
    <n v="2700000"/>
    <n v="2700000"/>
    <n v="3177009.0000000005"/>
    <n v="3177009.0000000005"/>
    <n v="3177009.0000000005"/>
    <n v="14.12"/>
    <n v="230"/>
    <n v="4.3499999999999997E-2"/>
    <n v="2700000"/>
    <n v="27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647147.6005700002"/>
    <n v="1.2001631489365787"/>
    <n v="2860178.2079323218"/>
    <n v="1.1107730949033143"/>
    <n v="2863029.376852714"/>
    <n v="1.109666923324566"/>
    <n v="2611000"/>
    <n v="1.2167786288778248"/>
    <n v="2711000"/>
    <n v="1.1718956104758393"/>
    <n v="2818000"/>
    <n v="1.1273985095812635"/>
    <n v="2767000"/>
    <n v="1.1481781713046622"/>
    <n v="2797000"/>
    <n v="1.1358630675723991"/>
    <n v="2965000"/>
    <n v="1.0715038785834741"/>
    <n v="2351558.0736477291"/>
    <n v="1.1481749186877486"/>
    <n v="4169000"/>
    <n v="0.76205540897097634"/>
    <n v="4291000"/>
    <n v="0.74038895362386403"/>
    <n v="4410000"/>
    <n v="0.72041020408163281"/>
    <n v="2016000"/>
    <n v="2519830.0283286115"/>
    <n v="1.0715008431703206"/>
    <n v="3024000"/>
    <s v=""/>
    <s v=""/>
    <s v=""/>
    <s v=""/>
    <n v="2965000"/>
    <n v="1.0715038785834741"/>
    <n v="2965000"/>
    <n v="1.0715038785834741"/>
    <n v="2965000"/>
    <n v="1.0715038785834741"/>
    <n v="2700000"/>
    <n v="0"/>
    <n v="324000"/>
    <n v="117449.99999999999"/>
    <n v="108000"/>
    <n v="549450"/>
    <n v="3726459.0000000005"/>
    <n v="2519830.0283286115"/>
    <n v="0"/>
    <n v="302379.60339943337"/>
    <n v="109612.60623229459"/>
    <n v="100793.20113314447"/>
    <n v="512785.41076487245"/>
    <n v="3477785.4107648726"/>
    <n v="0"/>
    <n v="0"/>
    <n v="0"/>
    <n v="2964000"/>
    <n v="2290423.5014821715"/>
    <n v="3435635.2522232565"/>
    <n v="2015864.0226628894"/>
    <s v=""/>
    <n v="2372000"/>
    <n v="2372000"/>
    <n v="2372000"/>
    <n v="3023796.0339943343"/>
    <s v=""/>
    <n v="3558000"/>
    <n v="3558000"/>
    <n v="3558000"/>
    <n v="0"/>
  </r>
  <r>
    <m/>
    <m/>
    <m/>
    <m/>
    <m/>
    <s v="AUXILIAR DE MATRICERIA"/>
    <m/>
    <x v="5"/>
    <s v="Director de Taller"/>
    <m/>
    <m/>
    <m/>
    <m/>
    <n v="0"/>
    <m/>
    <n v="199"/>
    <x v="2"/>
    <x v="1"/>
    <x v="1"/>
    <n v="189"/>
    <n v="3177009.0000000005"/>
    <n v="0"/>
    <n v="0"/>
    <n v="2700000"/>
    <n v="2700000"/>
    <n v="3177009.0000000005"/>
    <n v="3177009.0000000005"/>
    <n v="3177009.0000000005"/>
    <n v="14.12"/>
    <n v="230"/>
    <n v="4.3499999999999997E-2"/>
    <n v="2700000"/>
    <n v="27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647147.6005700002"/>
    <n v="1.2001631489365787"/>
    <n v="2860178.2079323218"/>
    <n v="1.1107730949033143"/>
    <n v="2863029.376852714"/>
    <n v="1.109666923324566"/>
    <n v="2611000"/>
    <n v="1.2167786288778248"/>
    <n v="2711000"/>
    <n v="1.1718956104758393"/>
    <n v="2818000"/>
    <n v="1.1273985095812635"/>
    <n v="2767000"/>
    <n v="1.1481781713046622"/>
    <n v="2797000"/>
    <n v="1.1358630675723991"/>
    <n v="2965000"/>
    <n v="1.0715038785834741"/>
    <n v="2351558.0736477291"/>
    <n v="1.1481749186877486"/>
    <n v="4169000"/>
    <n v="0.76205540897097634"/>
    <n v="4291000"/>
    <n v="0.74038895362386403"/>
    <n v="4410000"/>
    <n v="0.72041020408163281"/>
    <n v="2016000"/>
    <n v="2519830.0283286115"/>
    <n v="1.0715008431703206"/>
    <n v="3024000"/>
    <s v=""/>
    <s v=""/>
    <s v=""/>
    <s v=""/>
    <n v="2965000"/>
    <n v="1.0715038785834741"/>
    <n v="2965000"/>
    <n v="1.0715038785834741"/>
    <n v="2965000"/>
    <n v="1.0715038785834741"/>
    <n v="2700000"/>
    <n v="0"/>
    <n v="324000"/>
    <n v="117449.99999999999"/>
    <n v="108000"/>
    <n v="549450"/>
    <n v="3726459.0000000005"/>
    <n v="2519830.0283286115"/>
    <n v="0"/>
    <n v="302379.60339943337"/>
    <n v="109612.60623229459"/>
    <n v="100793.20113314447"/>
    <n v="512785.41076487245"/>
    <n v="3477785.4107648726"/>
    <n v="0"/>
    <n v="0"/>
    <n v="0"/>
    <n v="2964000"/>
    <n v="2290423.5014821715"/>
    <n v="3435635.2522232565"/>
    <n v="2015864.0226628894"/>
    <s v=""/>
    <n v="2372000"/>
    <n v="2372000"/>
    <n v="2372000"/>
    <n v="3023796.0339943343"/>
    <s v=""/>
    <n v="3558000"/>
    <n v="3558000"/>
    <n v="3558000"/>
    <n v="0"/>
  </r>
  <r>
    <m/>
    <m/>
    <m/>
    <m/>
    <m/>
    <s v="AUXILIAR DE MATRICERIA"/>
    <m/>
    <x v="5"/>
    <s v="Director de Taller"/>
    <m/>
    <m/>
    <m/>
    <m/>
    <n v="0"/>
    <m/>
    <n v="199"/>
    <x v="2"/>
    <x v="1"/>
    <x v="1"/>
    <n v="189"/>
    <n v="3177009.0000000005"/>
    <n v="0"/>
    <n v="0"/>
    <n v="2700000"/>
    <n v="2700000"/>
    <n v="3177009.0000000005"/>
    <n v="3177009.0000000005"/>
    <n v="3177009.0000000005"/>
    <n v="14.12"/>
    <n v="230"/>
    <n v="4.3499999999999997E-2"/>
    <n v="2700000"/>
    <n v="27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647147.6005700002"/>
    <n v="1.2001631489365787"/>
    <n v="2860178.2079323218"/>
    <n v="1.1107730949033143"/>
    <n v="2863029.376852714"/>
    <n v="1.109666923324566"/>
    <n v="2611000"/>
    <n v="1.2167786288778248"/>
    <n v="2711000"/>
    <n v="1.1718956104758393"/>
    <n v="2818000"/>
    <n v="1.1273985095812635"/>
    <n v="2767000"/>
    <n v="1.1481781713046622"/>
    <n v="2797000"/>
    <n v="1.1358630675723991"/>
    <n v="2965000"/>
    <n v="1.0715038785834741"/>
    <n v="2351558.0736477291"/>
    <n v="1.1481749186877486"/>
    <n v="4169000"/>
    <n v="0.76205540897097634"/>
    <n v="4291000"/>
    <n v="0.74038895362386403"/>
    <n v="4410000"/>
    <n v="0.72041020408163281"/>
    <n v="2016000"/>
    <n v="2519830.0283286115"/>
    <n v="1.0715008431703206"/>
    <n v="3024000"/>
    <s v=""/>
    <s v=""/>
    <s v=""/>
    <s v=""/>
    <n v="2965000"/>
    <n v="1.0715038785834741"/>
    <n v="2965000"/>
    <n v="1.0715038785834741"/>
    <n v="2965000"/>
    <n v="1.0715038785834741"/>
    <n v="2700000"/>
    <n v="0"/>
    <n v="324000"/>
    <n v="117449.99999999999"/>
    <n v="108000"/>
    <n v="549450"/>
    <n v="3726459.0000000005"/>
    <n v="2519830.0283286115"/>
    <n v="0"/>
    <n v="302379.60339943337"/>
    <n v="109612.60623229459"/>
    <n v="100793.20113314447"/>
    <n v="512785.41076487245"/>
    <n v="3477785.4107648726"/>
    <n v="0"/>
    <n v="0"/>
    <n v="0"/>
    <n v="2964000"/>
    <n v="2290423.5014821715"/>
    <n v="3435635.2522232565"/>
    <n v="2015864.0226628894"/>
    <s v=""/>
    <n v="2372000"/>
    <n v="2372000"/>
    <n v="2372000"/>
    <n v="3023796.0339943343"/>
    <s v=""/>
    <n v="3558000"/>
    <n v="3558000"/>
    <n v="3558000"/>
    <n v="0"/>
  </r>
  <r>
    <m/>
    <m/>
    <m/>
    <m/>
    <m/>
    <s v="AUXILIAR DE MATRICERIA"/>
    <m/>
    <x v="5"/>
    <s v="Director de Taller"/>
    <m/>
    <m/>
    <m/>
    <m/>
    <n v="0"/>
    <m/>
    <n v="199"/>
    <x v="2"/>
    <x v="1"/>
    <x v="1"/>
    <n v="189"/>
    <n v="3177009.0000000005"/>
    <n v="0"/>
    <n v="0"/>
    <n v="2700000"/>
    <n v="2700000"/>
    <n v="3177009.0000000005"/>
    <n v="3177009.0000000005"/>
    <n v="3177009.0000000005"/>
    <n v="14.12"/>
    <n v="230"/>
    <n v="4.3499999999999997E-2"/>
    <n v="2700000"/>
    <n v="27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647147.6005700002"/>
    <n v="1.2001631489365787"/>
    <n v="2860178.2079323218"/>
    <n v="1.1107730949033143"/>
    <n v="2863029.376852714"/>
    <n v="1.109666923324566"/>
    <n v="2611000"/>
    <n v="1.2167786288778248"/>
    <n v="2711000"/>
    <n v="1.1718956104758393"/>
    <n v="2818000"/>
    <n v="1.1273985095812635"/>
    <n v="2767000"/>
    <n v="1.1481781713046622"/>
    <n v="2797000"/>
    <n v="1.1358630675723991"/>
    <n v="2965000"/>
    <n v="1.0715038785834741"/>
    <n v="2351558.0736477291"/>
    <n v="1.1481749186877486"/>
    <n v="4169000"/>
    <n v="0.76205540897097634"/>
    <n v="4291000"/>
    <n v="0.74038895362386403"/>
    <n v="4410000"/>
    <n v="0.72041020408163281"/>
    <n v="2016000"/>
    <n v="2519830.0283286115"/>
    <n v="1.0715008431703206"/>
    <n v="3024000"/>
    <s v=""/>
    <s v=""/>
    <s v=""/>
    <s v=""/>
    <n v="2965000"/>
    <n v="1.0715038785834741"/>
    <n v="2965000"/>
    <n v="1.0715038785834741"/>
    <n v="2965000"/>
    <n v="1.0715038785834741"/>
    <n v="2700000"/>
    <n v="0"/>
    <n v="324000"/>
    <n v="117449.99999999999"/>
    <n v="108000"/>
    <n v="549450"/>
    <n v="3726459.0000000005"/>
    <n v="2519830.0283286115"/>
    <n v="0"/>
    <n v="302379.60339943337"/>
    <n v="109612.60623229459"/>
    <n v="100793.20113314447"/>
    <n v="512785.41076487245"/>
    <n v="3477785.4107648726"/>
    <n v="0"/>
    <n v="0"/>
    <n v="0"/>
    <n v="2964000"/>
    <n v="2290423.5014821715"/>
    <n v="3435635.2522232565"/>
    <n v="2015864.0226628894"/>
    <s v=""/>
    <n v="2372000"/>
    <n v="2372000"/>
    <n v="2372000"/>
    <n v="3023796.0339943343"/>
    <s v=""/>
    <n v="3558000"/>
    <n v="3558000"/>
    <n v="3558000"/>
    <n v="0"/>
  </r>
  <r>
    <m/>
    <m/>
    <m/>
    <m/>
    <m/>
    <s v="AUXILIAR DE MATRICERIA"/>
    <m/>
    <x v="5"/>
    <s v="Director de Taller"/>
    <m/>
    <m/>
    <m/>
    <m/>
    <n v="0"/>
    <m/>
    <n v="199"/>
    <x v="2"/>
    <x v="1"/>
    <x v="1"/>
    <n v="189"/>
    <n v="3177009.0000000005"/>
    <n v="0"/>
    <n v="0"/>
    <n v="2700000"/>
    <n v="2700000"/>
    <n v="3177009.0000000005"/>
    <n v="3177009.0000000005"/>
    <n v="3177009.0000000005"/>
    <n v="14.12"/>
    <n v="230"/>
    <n v="4.3499999999999997E-2"/>
    <n v="2700000"/>
    <n v="27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647147.6005700002"/>
    <n v="1.2001631489365787"/>
    <n v="2860178.2079323218"/>
    <n v="1.1107730949033143"/>
    <n v="2863029.376852714"/>
    <n v="1.109666923324566"/>
    <n v="2611000"/>
    <n v="1.2167786288778248"/>
    <n v="2711000"/>
    <n v="1.1718956104758393"/>
    <n v="2818000"/>
    <n v="1.1273985095812635"/>
    <n v="2767000"/>
    <n v="1.1481781713046622"/>
    <n v="2797000"/>
    <n v="1.1358630675723991"/>
    <n v="2965000"/>
    <n v="1.0715038785834741"/>
    <n v="2351558.0736477291"/>
    <n v="1.1481749186877486"/>
    <n v="4169000"/>
    <n v="0.76205540897097634"/>
    <n v="4291000"/>
    <n v="0.74038895362386403"/>
    <n v="4410000"/>
    <n v="0.72041020408163281"/>
    <n v="2016000"/>
    <n v="2519830.0283286115"/>
    <n v="1.0715008431703206"/>
    <n v="3024000"/>
    <s v=""/>
    <s v=""/>
    <s v=""/>
    <s v=""/>
    <n v="2965000"/>
    <n v="1.0715038785834741"/>
    <n v="2965000"/>
    <n v="1.0715038785834741"/>
    <n v="2965000"/>
    <n v="1.0715038785834741"/>
    <n v="2700000"/>
    <n v="0"/>
    <n v="324000"/>
    <n v="117449.99999999999"/>
    <n v="108000"/>
    <n v="549450"/>
    <n v="3726459.0000000005"/>
    <n v="2519830.0283286115"/>
    <n v="0"/>
    <n v="302379.60339943337"/>
    <n v="109612.60623229459"/>
    <n v="100793.20113314447"/>
    <n v="512785.41076487245"/>
    <n v="3477785.4107648726"/>
    <n v="0"/>
    <n v="0"/>
    <n v="0"/>
    <n v="2964000"/>
    <n v="2290423.5014821715"/>
    <n v="3435635.2522232565"/>
    <n v="2015864.0226628894"/>
    <s v=""/>
    <n v="2372000"/>
    <n v="2372000"/>
    <n v="2372000"/>
    <n v="3023796.0339943343"/>
    <s v=""/>
    <n v="3558000"/>
    <n v="3558000"/>
    <n v="3558000"/>
    <n v="0"/>
  </r>
  <r>
    <m/>
    <m/>
    <m/>
    <m/>
    <m/>
    <s v="AUXILIAR DE MATRICERIA"/>
    <m/>
    <x v="5"/>
    <s v="Director de Taller"/>
    <m/>
    <m/>
    <m/>
    <m/>
    <n v="0"/>
    <m/>
    <n v="199"/>
    <x v="2"/>
    <x v="1"/>
    <x v="1"/>
    <n v="189"/>
    <n v="3177009.0000000005"/>
    <n v="0"/>
    <n v="0"/>
    <n v="2700000"/>
    <n v="2700000"/>
    <n v="3177009.0000000005"/>
    <n v="3177009.0000000005"/>
    <n v="3177009.0000000005"/>
    <n v="14.12"/>
    <n v="230"/>
    <n v="4.3499999999999997E-2"/>
    <n v="2700000"/>
    <n v="27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647147.6005700002"/>
    <n v="1.2001631489365787"/>
    <n v="2860178.2079323218"/>
    <n v="1.1107730949033143"/>
    <n v="2863029.376852714"/>
    <n v="1.109666923324566"/>
    <n v="2611000"/>
    <n v="1.2167786288778248"/>
    <n v="2711000"/>
    <n v="1.1718956104758393"/>
    <n v="2818000"/>
    <n v="1.1273985095812635"/>
    <n v="2767000"/>
    <n v="1.1481781713046622"/>
    <n v="2797000"/>
    <n v="1.1358630675723991"/>
    <n v="2965000"/>
    <n v="1.0715038785834741"/>
    <n v="2351558.0736477291"/>
    <n v="1.1481749186877486"/>
    <n v="4169000"/>
    <n v="0.76205540897097634"/>
    <n v="4291000"/>
    <n v="0.74038895362386403"/>
    <n v="4410000"/>
    <n v="0.72041020408163281"/>
    <n v="2016000"/>
    <n v="2519830.0283286115"/>
    <n v="1.0715008431703206"/>
    <n v="3024000"/>
    <s v=""/>
    <s v=""/>
    <s v=""/>
    <s v=""/>
    <n v="2965000"/>
    <n v="1.0715038785834741"/>
    <n v="2965000"/>
    <n v="1.0715038785834741"/>
    <n v="2965000"/>
    <n v="1.0715038785834741"/>
    <n v="2700000"/>
    <n v="0"/>
    <n v="324000"/>
    <n v="117449.99999999999"/>
    <n v="108000"/>
    <n v="549450"/>
    <n v="3726459.0000000005"/>
    <n v="2519830.0283286115"/>
    <n v="0"/>
    <n v="302379.60339943337"/>
    <n v="109612.60623229459"/>
    <n v="100793.20113314447"/>
    <n v="512785.41076487245"/>
    <n v="3477785.4107648726"/>
    <n v="0"/>
    <n v="0"/>
    <n v="0"/>
    <n v="2964000"/>
    <n v="2290423.5014821715"/>
    <n v="3435635.2522232565"/>
    <n v="2015864.0226628894"/>
    <s v=""/>
    <n v="2372000"/>
    <n v="2372000"/>
    <n v="2372000"/>
    <n v="3023796.0339943343"/>
    <s v=""/>
    <n v="3558000"/>
    <n v="3558000"/>
    <n v="3558000"/>
    <n v="0"/>
  </r>
  <r>
    <m/>
    <m/>
    <m/>
    <m/>
    <m/>
    <s v="ANALISTA ADMINISTRATIVA Y CONTABLE"/>
    <m/>
    <x v="6"/>
    <s v="Directora administrativa y contable "/>
    <m/>
    <m/>
    <m/>
    <m/>
    <n v="0"/>
    <m/>
    <n v="200"/>
    <x v="2"/>
    <x v="1"/>
    <x v="0"/>
    <n v="189"/>
    <n v="2828714.68"/>
    <n v="0"/>
    <n v="0"/>
    <n v="2404000"/>
    <n v="2404000"/>
    <n v="2828714.68"/>
    <n v="2828714.68"/>
    <n v="2828714.68"/>
    <n v="14.12"/>
    <n v="230"/>
    <n v="5.2199999999999998E-3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647147.6005700002"/>
    <n v="1.0685897074235315"/>
    <n v="2860178.2079323218"/>
    <n v="0.98899945190650651"/>
    <n v="2863029.376852714"/>
    <n v="0.98801454950824308"/>
    <n v="2611000"/>
    <n v="1.0833836384527002"/>
    <n v="2711000"/>
    <n v="1.0434211287347843"/>
    <n v="2818000"/>
    <n v="1.003802228530873"/>
    <n v="2767000"/>
    <n v="1.0223038236357067"/>
    <n v="2797000"/>
    <n v="1.011338820164462"/>
    <n v="2965000"/>
    <n v="0.95403530522765601"/>
    <n v="2351558.0736477291"/>
    <n v="1.0223009276019805"/>
    <n v="4169000"/>
    <n v="0.67851155672823227"/>
    <n v="4291000"/>
    <n v="0.65922038685621076"/>
    <n v="4410000"/>
    <n v="0.64143190022675745"/>
    <n v="1815000"/>
    <n v="2268271.9546742206"/>
    <n v="1.0598376420631948"/>
    <n v="2722000"/>
    <s v=""/>
    <s v=""/>
    <s v=""/>
    <s v=""/>
    <n v="2669000"/>
    <n v="1.0598406444361184"/>
    <n v="2669000"/>
    <n v="1.0598406444361184"/>
    <n v="2669000"/>
    <n v="1.0598406444361184"/>
    <n v="2404000"/>
    <n v="0"/>
    <n v="288480"/>
    <n v="12548.88"/>
    <n v="96160"/>
    <n v="397188.88"/>
    <n v="3225903.56"/>
    <n v="2268271.9546742206"/>
    <n v="0"/>
    <n v="272192.63456090644"/>
    <n v="11840.379603399431"/>
    <n v="90730.878186968825"/>
    <n v="374763.89235127473"/>
    <n v="3043763.8923512748"/>
    <n v="0"/>
    <n v="0"/>
    <n v="0"/>
    <n v="2964000"/>
    <n v="2290423.5014821715"/>
    <n v="3435635.2522232565"/>
    <n v="1814617.5637393766"/>
    <s v=""/>
    <n v="2135200"/>
    <n v="2135200"/>
    <n v="2135200"/>
    <n v="2721926.3456090651"/>
    <s v=""/>
    <n v="3202800"/>
    <n v="3202800"/>
    <n v="3202800"/>
    <n v="0"/>
  </r>
  <r>
    <m/>
    <m/>
    <m/>
    <m/>
    <m/>
    <s v="ANALISTA DE LABORATORIO"/>
    <m/>
    <x v="7"/>
    <s v="Coordinador de laboratorio"/>
    <m/>
    <m/>
    <m/>
    <m/>
    <n v="0"/>
    <m/>
    <n v="204"/>
    <x v="3"/>
    <x v="1"/>
    <x v="0"/>
    <n v="217"/>
    <n v="2828714.68"/>
    <n v="0"/>
    <n v="0"/>
    <n v="2404000"/>
    <n v="2404000"/>
    <n v="2828714.68"/>
    <n v="2828714.68"/>
    <n v="2828714.68"/>
    <n v="14.12"/>
    <n v="230"/>
    <n v="4.3499999999999997E-2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0.96021510368543916"/>
    <n v="3172033.7149520805"/>
    <n v="0.89176690230820366"/>
    <n v="3174513.5688502821"/>
    <n v="0.89107027538221539"/>
    <n v="2906000"/>
    <n v="0.9734049139710943"/>
    <n v="3009000"/>
    <n v="0.94008463941508813"/>
    <n v="3129000"/>
    <n v="0.90403153723234264"/>
    <n v="3056000"/>
    <n v="0.92562653141361262"/>
    <n v="3075000"/>
    <n v="0.91990721300813016"/>
    <n v="3279000"/>
    <n v="0.86267602317779812"/>
    <n v="2597167.1388028408"/>
    <n v="0.92562390925218585"/>
    <n v="4712000"/>
    <n v="0.60032145161290329"/>
    <n v="4847000"/>
    <n v="0.58360113059624519"/>
    <n v="4977000"/>
    <n v="0.5683573799477597"/>
    <n v="2006000"/>
    <n v="2507932.0113314446"/>
    <n v="0.95855868067321814"/>
    <n v="3010000"/>
    <s v=""/>
    <s v=""/>
    <s v=""/>
    <s v=""/>
    <n v="2951000"/>
    <n v="0.95856139613690283"/>
    <n v="2951000"/>
    <n v="0.95856139613690283"/>
    <n v="2951000"/>
    <n v="0.95856139613690283"/>
    <n v="2404000"/>
    <n v="0"/>
    <n v="288480"/>
    <n v="104574"/>
    <n v="96160"/>
    <n v="489214"/>
    <n v="3317928.68"/>
    <n v="2507932.0113314446"/>
    <n v="0"/>
    <n v="300951.84135977336"/>
    <n v="109095.04249291783"/>
    <n v="100317.28045325779"/>
    <n v="510364.16430594894"/>
    <n v="3461364.1643059491"/>
    <n v="143435.48430594895"/>
    <n v="122285.31999999983"/>
    <n v="21150.164305948943"/>
    <n v="3278000"/>
    <n v="2539610.855080226"/>
    <n v="3809416.2826203383"/>
    <n v="2006345.6090651557"/>
    <s v=""/>
    <n v="2360800"/>
    <n v="2360800"/>
    <n v="2360800"/>
    <n v="3009518.4135977337"/>
    <s v=""/>
    <n v="3541200"/>
    <n v="3541200"/>
    <n v="3541200"/>
    <n v="0"/>
  </r>
  <r>
    <m/>
    <m/>
    <m/>
    <m/>
    <m/>
    <s v="ANALISTA DE LABORATORIO"/>
    <m/>
    <x v="7"/>
    <s v="Coordinador de laboratorio"/>
    <m/>
    <m/>
    <m/>
    <m/>
    <n v="0"/>
    <m/>
    <n v="204"/>
    <x v="3"/>
    <x v="1"/>
    <x v="0"/>
    <n v="217"/>
    <n v="2828714.68"/>
    <n v="0"/>
    <n v="0"/>
    <n v="2404000"/>
    <n v="2404000"/>
    <n v="2828714.68"/>
    <n v="2828714.68"/>
    <n v="2828714.68"/>
    <n v="14.12"/>
    <n v="230"/>
    <n v="4.3499999999999997E-2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0.96021510368543916"/>
    <n v="3172033.7149520805"/>
    <n v="0.89176690230820366"/>
    <n v="3174513.5688502821"/>
    <n v="0.89107027538221539"/>
    <n v="2906000"/>
    <n v="0.9734049139710943"/>
    <n v="3009000"/>
    <n v="0.94008463941508813"/>
    <n v="3129000"/>
    <n v="0.90403153723234264"/>
    <n v="3056000"/>
    <n v="0.92562653141361262"/>
    <n v="3075000"/>
    <n v="0.91990721300813016"/>
    <n v="3279000"/>
    <n v="0.86267602317779812"/>
    <n v="2597167.1388028408"/>
    <n v="0.92562390925218585"/>
    <n v="4712000"/>
    <n v="0.60032145161290329"/>
    <n v="4847000"/>
    <n v="0.58360113059624519"/>
    <n v="4977000"/>
    <n v="0.5683573799477597"/>
    <n v="2006000"/>
    <n v="2507932.0113314446"/>
    <n v="0.95855868067321814"/>
    <n v="3010000"/>
    <s v=""/>
    <s v=""/>
    <s v=""/>
    <s v=""/>
    <n v="2951000"/>
    <n v="0.95856139613690283"/>
    <n v="2951000"/>
    <n v="0.95856139613690283"/>
    <n v="2951000"/>
    <n v="0.95856139613690283"/>
    <n v="2404000"/>
    <n v="0"/>
    <n v="288480"/>
    <n v="104574"/>
    <n v="96160"/>
    <n v="489214"/>
    <n v="3317928.68"/>
    <n v="2507932.0113314446"/>
    <n v="0"/>
    <n v="300951.84135977336"/>
    <n v="109095.04249291783"/>
    <n v="100317.28045325779"/>
    <n v="510364.16430594894"/>
    <n v="3461364.1643059491"/>
    <n v="143435.48430594895"/>
    <n v="122285.31999999983"/>
    <n v="21150.164305948943"/>
    <n v="3278000"/>
    <n v="2539610.855080226"/>
    <n v="3809416.2826203383"/>
    <n v="2006345.6090651557"/>
    <s v=""/>
    <n v="2360800"/>
    <n v="2360800"/>
    <n v="2360800"/>
    <n v="3009518.4135977337"/>
    <s v=""/>
    <n v="3541200"/>
    <n v="3541200"/>
    <n v="3541200"/>
    <n v="0"/>
  </r>
  <r>
    <m/>
    <m/>
    <m/>
    <m/>
    <m/>
    <s v="ANALISTA DE LABORATORIO"/>
    <m/>
    <x v="7"/>
    <s v="Coordinador de laboratorio"/>
    <m/>
    <m/>
    <m/>
    <m/>
    <n v="0"/>
    <m/>
    <n v="204"/>
    <x v="3"/>
    <x v="1"/>
    <x v="0"/>
    <n v="217"/>
    <n v="2828714.68"/>
    <n v="0"/>
    <n v="0"/>
    <n v="2404000"/>
    <n v="2404000"/>
    <n v="2828714.68"/>
    <n v="2828714.68"/>
    <n v="2828714.68"/>
    <n v="14.12"/>
    <n v="230"/>
    <n v="4.3499999999999997E-2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0.96021510368543916"/>
    <n v="3172033.7149520805"/>
    <n v="0.89176690230820366"/>
    <n v="3174513.5688502821"/>
    <n v="0.89107027538221539"/>
    <n v="2906000"/>
    <n v="0.9734049139710943"/>
    <n v="3009000"/>
    <n v="0.94008463941508813"/>
    <n v="3129000"/>
    <n v="0.90403153723234264"/>
    <n v="3056000"/>
    <n v="0.92562653141361262"/>
    <n v="3075000"/>
    <n v="0.91990721300813016"/>
    <n v="3279000"/>
    <n v="0.86267602317779812"/>
    <n v="2597167.1388028408"/>
    <n v="0.92562390925218585"/>
    <n v="4712000"/>
    <n v="0.60032145161290329"/>
    <n v="4847000"/>
    <n v="0.58360113059624519"/>
    <n v="4977000"/>
    <n v="0.5683573799477597"/>
    <n v="2006000"/>
    <n v="2507932.0113314446"/>
    <n v="0.95855868067321814"/>
    <n v="3010000"/>
    <s v=""/>
    <s v=""/>
    <s v=""/>
    <s v=""/>
    <n v="2951000"/>
    <n v="0.95856139613690283"/>
    <n v="2951000"/>
    <n v="0.95856139613690283"/>
    <n v="2951000"/>
    <n v="0.95856139613690283"/>
    <n v="2404000"/>
    <n v="0"/>
    <n v="288480"/>
    <n v="104574"/>
    <n v="96160"/>
    <n v="489214"/>
    <n v="3317928.68"/>
    <n v="2507932.0113314446"/>
    <n v="0"/>
    <n v="300951.84135977336"/>
    <n v="109095.04249291783"/>
    <n v="100317.28045325779"/>
    <n v="510364.16430594894"/>
    <n v="3461364.1643059491"/>
    <n v="143435.48430594895"/>
    <n v="122285.31999999983"/>
    <n v="21150.164305948943"/>
    <n v="3278000"/>
    <n v="2539610.855080226"/>
    <n v="3809416.2826203383"/>
    <n v="2006345.6090651557"/>
    <s v=""/>
    <n v="2360800"/>
    <n v="2360800"/>
    <n v="2360800"/>
    <n v="3009518.4135977337"/>
    <s v=""/>
    <n v="3541200"/>
    <n v="3541200"/>
    <n v="3541200"/>
    <n v="0"/>
  </r>
  <r>
    <m/>
    <m/>
    <m/>
    <m/>
    <m/>
    <s v="ANALISTA OPERATIVO DESARROLLO"/>
    <m/>
    <x v="8"/>
    <s v="Directora de diseño y desarrollo"/>
    <m/>
    <m/>
    <m/>
    <m/>
    <n v="0"/>
    <m/>
    <n v="204"/>
    <x v="3"/>
    <x v="1"/>
    <x v="0"/>
    <n v="217"/>
    <n v="2295683.1700000004"/>
    <n v="0"/>
    <n v="0"/>
    <n v="1951000"/>
    <n v="1951000"/>
    <n v="2295683.1700000004"/>
    <n v="2295683.1700000004"/>
    <n v="2295683.1700000004"/>
    <n v="14.12"/>
    <n v="230"/>
    <n v="4.3499999999999997E-2"/>
    <n v="1951000"/>
    <n v="1951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0.77927606792441428"/>
    <n v="3172033.7149520805"/>
    <n v="0.72372596772184083"/>
    <n v="3174513.5688502821"/>
    <n v="0.72316061034555001"/>
    <n v="2906000"/>
    <n v="0.78998044390915356"/>
    <n v="3009000"/>
    <n v="0.76293890661349295"/>
    <n v="3129000"/>
    <n v="0.7336795046340685"/>
    <n v="3056000"/>
    <n v="0.75120522578534044"/>
    <n v="3075000"/>
    <n v="0.74656363252032532"/>
    <n v="3279000"/>
    <n v="0.70011685574870397"/>
    <n v="2597167.1388028408"/>
    <n v="0.75120309773336713"/>
    <n v="4712000"/>
    <n v="0.48719931451612913"/>
    <n v="4847000"/>
    <n v="0.47362970290901596"/>
    <n v="4977000"/>
    <n v="0.46125842274462536"/>
    <n v="2006000"/>
    <n v="2507932.0113314446"/>
    <n v="0.77793177453970408"/>
    <n v="3010000"/>
    <s v=""/>
    <s v=""/>
    <s v=""/>
    <s v=""/>
    <n v="2951000"/>
    <n v="0.7779339783124366"/>
    <n v="2951000"/>
    <n v="0.7779339783124366"/>
    <n v="2951000"/>
    <n v="0.7779339783124366"/>
    <n v="1951000"/>
    <n v="0"/>
    <n v="234120"/>
    <n v="84868.5"/>
    <n v="78040"/>
    <n v="397028.5"/>
    <n v="2692711.6700000004"/>
    <n v="2507932.0113314446"/>
    <n v="0"/>
    <n v="300951.84135977336"/>
    <n v="109095.04249291783"/>
    <n v="100317.28045325779"/>
    <n v="510364.16430594894"/>
    <n v="3461364.1643059491"/>
    <n v="768652.49430594873"/>
    <n v="655316.82999999961"/>
    <n v="113335.66430594894"/>
    <n v="3278000"/>
    <n v="2539610.855080226"/>
    <n v="3809416.2826203383"/>
    <n v="2006345.6090651557"/>
    <s v=""/>
    <n v="2360800"/>
    <n v="2360800"/>
    <n v="2360800"/>
    <n v="3009518.4135977337"/>
    <s v=""/>
    <n v="3541200"/>
    <n v="3541200"/>
    <n v="3541200"/>
    <n v="0"/>
  </r>
  <r>
    <m/>
    <m/>
    <m/>
    <m/>
    <m/>
    <s v="AUXILIAR SERVICIO AL CLIENTE"/>
    <m/>
    <x v="9"/>
    <s v="Coordinadora de Mercadeo "/>
    <m/>
    <m/>
    <m/>
    <m/>
    <n v="0"/>
    <m/>
    <n v="208"/>
    <x v="3"/>
    <x v="1"/>
    <x v="0"/>
    <n v="217"/>
    <n v="2536900.52"/>
    <n v="0"/>
    <n v="0"/>
    <n v="2156000"/>
    <n v="2156000"/>
    <n v="2536900.52"/>
    <n v="2536900.52"/>
    <n v="2536900.52"/>
    <n v="14.12"/>
    <n v="230"/>
    <n v="5.2199999999999998E-3"/>
    <n v="2156000"/>
    <n v="2156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0.86115797152487794"/>
    <n v="3172033.7149520805"/>
    <n v="0.79977098226975329"/>
    <n v="3174513.5688502821"/>
    <n v="0.79914622035110494"/>
    <n v="2906000"/>
    <n v="0.87298710254645562"/>
    <n v="3009000"/>
    <n v="0.84310419408441339"/>
    <n v="3129000"/>
    <n v="0.81077038031319915"/>
    <n v="3056000"/>
    <n v="0.8301376047120419"/>
    <n v="3075000"/>
    <n v="0.82500829918699192"/>
    <n v="3279000"/>
    <n v="0.77368115888990552"/>
    <n v="2597167.1388028408"/>
    <n v="0.83013525305645286"/>
    <n v="4712000"/>
    <n v="0.53839145161290325"/>
    <n v="4847000"/>
    <n v="0.5233960222818238"/>
    <n v="4977000"/>
    <n v="0.50972483825597747"/>
    <n v="2006000"/>
    <n v="2507932.0113314446"/>
    <n v="0.85967242742573147"/>
    <n v="3010000"/>
    <s v=""/>
    <s v=""/>
    <s v=""/>
    <s v=""/>
    <n v="2951000"/>
    <n v="0.859674862758387"/>
    <n v="2951000"/>
    <n v="0.859674862758387"/>
    <n v="2951000"/>
    <n v="0.859674862758387"/>
    <n v="2156000"/>
    <n v="0"/>
    <n v="258720"/>
    <n v="11254.32"/>
    <n v="86240"/>
    <n v="356214.32"/>
    <n v="2893114.84"/>
    <n v="2507932.0113314446"/>
    <n v="0"/>
    <n v="300951.84135977336"/>
    <n v="13091.405099150141"/>
    <n v="100317.28045325779"/>
    <n v="414360.52691218129"/>
    <n v="3365360.5269121812"/>
    <n v="472245.68691218132"/>
    <n v="414099.48"/>
    <n v="58146.206912181282"/>
    <n v="3278000"/>
    <n v="2539610.855080226"/>
    <n v="3809416.2826203383"/>
    <n v="2006345.6090651557"/>
    <s v=""/>
    <n v="2360800"/>
    <n v="2360800"/>
    <n v="2360800"/>
    <n v="3009518.4135977337"/>
    <s v=""/>
    <n v="3541200"/>
    <n v="3541200"/>
    <n v="3541200"/>
    <n v="0"/>
  </r>
  <r>
    <m/>
    <m/>
    <m/>
    <m/>
    <m/>
    <s v="ANALISTA ADMINISTRATIVA DE DISEÑO Y DESARROLLO"/>
    <m/>
    <x v="10"/>
    <s v="Directora de diseño y desarrollo"/>
    <m/>
    <m/>
    <m/>
    <m/>
    <n v="0"/>
    <m/>
    <n v="209"/>
    <x v="3"/>
    <x v="1"/>
    <x v="0"/>
    <n v="217"/>
    <n v="2828714.68"/>
    <n v="0"/>
    <n v="0"/>
    <n v="2404000"/>
    <n v="2404000"/>
    <n v="2828714.68"/>
    <n v="2828714.68"/>
    <n v="2828714.68"/>
    <n v="14.12"/>
    <n v="230"/>
    <n v="5.2199999999999998E-3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0.96021510368543916"/>
    <n v="3172033.7149520805"/>
    <n v="0.89176690230820366"/>
    <n v="3174513.5688502821"/>
    <n v="0.89107027538221539"/>
    <n v="2906000"/>
    <n v="0.9734049139710943"/>
    <n v="3009000"/>
    <n v="0.94008463941508813"/>
    <n v="3129000"/>
    <n v="0.90403153723234264"/>
    <n v="3056000"/>
    <n v="0.92562653141361262"/>
    <n v="3075000"/>
    <n v="0.91990721300813016"/>
    <n v="3279000"/>
    <n v="0.86267602317779812"/>
    <n v="2597167.1388028408"/>
    <n v="0.92562390925218585"/>
    <n v="4712000"/>
    <n v="0.60032145161290329"/>
    <n v="4847000"/>
    <n v="0.58360113059624519"/>
    <n v="4977000"/>
    <n v="0.5683573799477597"/>
    <n v="2006000"/>
    <n v="2507932.0113314446"/>
    <n v="0.95855868067321814"/>
    <n v="3010000"/>
    <s v=""/>
    <s v=""/>
    <s v=""/>
    <s v=""/>
    <n v="2951000"/>
    <n v="0.95856139613690283"/>
    <n v="2951000"/>
    <n v="0.95856139613690283"/>
    <n v="2951000"/>
    <n v="0.95856139613690283"/>
    <n v="2404000"/>
    <n v="0"/>
    <n v="288480"/>
    <n v="12548.88"/>
    <n v="96160"/>
    <n v="397188.88"/>
    <n v="3225903.56"/>
    <n v="2507932.0113314446"/>
    <n v="0"/>
    <n v="300951.84135977336"/>
    <n v="13091.405099150141"/>
    <n v="100317.28045325779"/>
    <n v="414360.52691218129"/>
    <n v="3365360.5269121812"/>
    <n v="139456.96691218112"/>
    <n v="122285.31999999983"/>
    <n v="17171.646912181284"/>
    <n v="3278000"/>
    <n v="2539610.855080226"/>
    <n v="3809416.2826203383"/>
    <n v="2006345.6090651557"/>
    <s v=""/>
    <n v="2360800"/>
    <n v="2360800"/>
    <n v="2360800"/>
    <n v="3009518.4135977337"/>
    <s v=""/>
    <n v="3541200"/>
    <n v="3541200"/>
    <n v="3541200"/>
    <n v="0"/>
  </r>
  <r>
    <m/>
    <m/>
    <m/>
    <m/>
    <m/>
    <s v="ANALISTA SOPORTE TIC"/>
    <m/>
    <x v="11"/>
    <s v=""/>
    <m/>
    <m/>
    <m/>
    <m/>
    <n v="0"/>
    <m/>
    <n v="211"/>
    <x v="3"/>
    <x v="1"/>
    <x v="0"/>
    <n v="217"/>
    <n v="3112292.1500000004"/>
    <n v="0"/>
    <n v="0"/>
    <n v="2645000"/>
    <n v="2645000"/>
    <n v="3112292.1500000004"/>
    <n v="3112292.1500000004"/>
    <n v="3112292.1500000004"/>
    <n v="14.12"/>
    <n v="230"/>
    <n v="5.2199999999999998E-3"/>
    <n v="2645000"/>
    <n v="2645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1.0564762684059845"/>
    <n v="3172033.7149520805"/>
    <n v="0.98116616331331064"/>
    <n v="3174513.5688502821"/>
    <n v="0.98039969982777031"/>
    <n v="2906000"/>
    <n v="1.0709883516861667"/>
    <n v="3009000"/>
    <n v="1.0343277334662679"/>
    <n v="3129000"/>
    <n v="0.99466032278683292"/>
    <n v="3056000"/>
    <n v="1.0184202061518326"/>
    <n v="3075000"/>
    <n v="1.0121275284552846"/>
    <n v="3279000"/>
    <n v="0.94915893565111331"/>
    <n v="2597167.1388028408"/>
    <n v="1.0184173211198135"/>
    <n v="4712000"/>
    <n v="0.66050342741935497"/>
    <n v="4847000"/>
    <n v="0.64210690117598523"/>
    <n v="4977000"/>
    <n v="0.62533497086598355"/>
    <n v="2006000"/>
    <n v="2507932.0113314446"/>
    <n v="1.0546537896758161"/>
    <n v="3010000"/>
    <s v=""/>
    <s v=""/>
    <s v=""/>
    <s v=""/>
    <n v="2951000"/>
    <n v="1.0546567773636057"/>
    <n v="2951000"/>
    <n v="1.0546567773636057"/>
    <n v="2951000"/>
    <n v="1.0546567773636057"/>
    <n v="2645000"/>
    <n v="0"/>
    <n v="317400"/>
    <n v="13806.9"/>
    <n v="105800"/>
    <n v="437006.9"/>
    <n v="3549299.0500000003"/>
    <n v="2507932.0113314446"/>
    <n v="0"/>
    <n v="300951.84135977336"/>
    <n v="13091.405099150141"/>
    <n v="100317.28045325779"/>
    <n v="414360.52691218129"/>
    <n v="3365360.5269121812"/>
    <n v="0"/>
    <n v="0"/>
    <n v="0"/>
    <n v="3278000"/>
    <n v="2539610.855080226"/>
    <n v="3809416.2826203383"/>
    <n v="2006345.6090651557"/>
    <s v=""/>
    <n v="2360800"/>
    <n v="2360800"/>
    <n v="2360800"/>
    <n v="3009518.4135977337"/>
    <s v=""/>
    <n v="3541200"/>
    <n v="3541200"/>
    <n v="3541200"/>
    <n v="0"/>
  </r>
  <r>
    <m/>
    <m/>
    <m/>
    <m/>
    <m/>
    <s v="ANALISTA DE MERCADEO"/>
    <m/>
    <x v="12"/>
    <s v="Coordinadora de Mercadeo "/>
    <m/>
    <m/>
    <m/>
    <m/>
    <n v="0"/>
    <m/>
    <n v="212"/>
    <x v="3"/>
    <x v="1"/>
    <x v="0"/>
    <n v="217"/>
    <n v="2828714.68"/>
    <n v="0"/>
    <n v="0"/>
    <n v="2404000"/>
    <n v="2404000"/>
    <n v="2828714.68"/>
    <n v="2828714.68"/>
    <n v="2828714.68"/>
    <n v="14.12"/>
    <n v="230"/>
    <n v="5.2199999999999998E-3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0.96021510368543916"/>
    <n v="3172033.7149520805"/>
    <n v="0.89176690230820366"/>
    <n v="3174513.5688502821"/>
    <n v="0.89107027538221539"/>
    <n v="2906000"/>
    <n v="0.9734049139710943"/>
    <n v="3009000"/>
    <n v="0.94008463941508813"/>
    <n v="3129000"/>
    <n v="0.90403153723234264"/>
    <n v="3056000"/>
    <n v="0.92562653141361262"/>
    <n v="3075000"/>
    <n v="0.91990721300813016"/>
    <n v="3279000"/>
    <n v="0.86267602317779812"/>
    <n v="2597167.1388028408"/>
    <n v="0.92562390925218585"/>
    <n v="4712000"/>
    <n v="0.60032145161290329"/>
    <n v="4847000"/>
    <n v="0.58360113059624519"/>
    <n v="4977000"/>
    <n v="0.5683573799477597"/>
    <n v="2006000"/>
    <n v="2507932.0113314446"/>
    <n v="0.95855868067321814"/>
    <n v="3010000"/>
    <s v=""/>
    <s v=""/>
    <s v=""/>
    <s v=""/>
    <n v="2951000"/>
    <n v="0.95856139613690283"/>
    <n v="2951000"/>
    <n v="0.95856139613690283"/>
    <n v="2951000"/>
    <n v="0.95856139613690283"/>
    <n v="2404000"/>
    <n v="0"/>
    <n v="288480"/>
    <n v="12548.88"/>
    <n v="96160"/>
    <n v="397188.88"/>
    <n v="3225903.56"/>
    <n v="2507932.0113314446"/>
    <n v="0"/>
    <n v="300951.84135977336"/>
    <n v="13091.405099150141"/>
    <n v="100317.28045325779"/>
    <n v="414360.52691218129"/>
    <n v="3365360.5269121812"/>
    <n v="139456.96691218112"/>
    <n v="122285.31999999983"/>
    <n v="17171.646912181284"/>
    <n v="3278000"/>
    <n v="2539610.855080226"/>
    <n v="3809416.2826203383"/>
    <n v="2006345.6090651557"/>
    <s v=""/>
    <n v="2360800"/>
    <n v="2360800"/>
    <n v="2360800"/>
    <n v="3009518.4135977337"/>
    <s v=""/>
    <n v="3541200"/>
    <n v="3541200"/>
    <n v="3541200"/>
    <n v="0"/>
  </r>
  <r>
    <m/>
    <m/>
    <m/>
    <m/>
    <m/>
    <s v="ANALISTA DE MERCADEO"/>
    <m/>
    <x v="12"/>
    <s v="Coordinadora de Mercadeo "/>
    <m/>
    <m/>
    <m/>
    <m/>
    <n v="0"/>
    <m/>
    <n v="212"/>
    <x v="3"/>
    <x v="1"/>
    <x v="0"/>
    <n v="217"/>
    <n v="2828714.68"/>
    <n v="0"/>
    <n v="0"/>
    <n v="2404000"/>
    <n v="2404000"/>
    <n v="2828714.68"/>
    <n v="2828714.68"/>
    <n v="2828714.68"/>
    <n v="14.12"/>
    <n v="230"/>
    <n v="5.2199999999999998E-3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0.96021510368543916"/>
    <n v="3172033.7149520805"/>
    <n v="0.89176690230820366"/>
    <n v="3174513.5688502821"/>
    <n v="0.89107027538221539"/>
    <n v="2906000"/>
    <n v="0.9734049139710943"/>
    <n v="3009000"/>
    <n v="0.94008463941508813"/>
    <n v="3129000"/>
    <n v="0.90403153723234264"/>
    <n v="3056000"/>
    <n v="0.92562653141361262"/>
    <n v="3075000"/>
    <n v="0.91990721300813016"/>
    <n v="3279000"/>
    <n v="0.86267602317779812"/>
    <n v="2597167.1388028408"/>
    <n v="0.92562390925218585"/>
    <n v="4712000"/>
    <n v="0.60032145161290329"/>
    <n v="4847000"/>
    <n v="0.58360113059624519"/>
    <n v="4977000"/>
    <n v="0.5683573799477597"/>
    <n v="2006000"/>
    <n v="2507932.0113314446"/>
    <n v="0.95855868067321814"/>
    <n v="3010000"/>
    <s v=""/>
    <s v=""/>
    <s v=""/>
    <s v=""/>
    <n v="2951000"/>
    <n v="0.95856139613690283"/>
    <n v="2951000"/>
    <n v="0.95856139613690283"/>
    <n v="2951000"/>
    <n v="0.95856139613690283"/>
    <n v="2404000"/>
    <n v="0"/>
    <n v="288480"/>
    <n v="12548.88"/>
    <n v="96160"/>
    <n v="397188.88"/>
    <n v="3225903.56"/>
    <n v="2507932.0113314446"/>
    <n v="0"/>
    <n v="300951.84135977336"/>
    <n v="13091.405099150141"/>
    <n v="100317.28045325779"/>
    <n v="414360.52691218129"/>
    <n v="3365360.5269121812"/>
    <n v="139456.96691218112"/>
    <n v="122285.31999999983"/>
    <n v="17171.646912181284"/>
    <n v="3278000"/>
    <n v="2539610.855080226"/>
    <n v="3809416.2826203383"/>
    <n v="2006345.6090651557"/>
    <s v=""/>
    <n v="2360800"/>
    <n v="2360800"/>
    <n v="2360800"/>
    <n v="3009518.4135977337"/>
    <s v=""/>
    <n v="3541200"/>
    <n v="3541200"/>
    <n v="3541200"/>
    <n v="0"/>
  </r>
  <r>
    <m/>
    <m/>
    <m/>
    <m/>
    <m/>
    <s v="ANALISTA DOCUMENTAL DE INGENIERIA"/>
    <m/>
    <x v="13"/>
    <s v="Director Senior de ingenieria "/>
    <m/>
    <m/>
    <m/>
    <m/>
    <n v="0"/>
    <m/>
    <n v="213"/>
    <x v="3"/>
    <x v="1"/>
    <x v="0"/>
    <n v="217"/>
    <n v="2828714.68"/>
    <n v="0"/>
    <n v="0"/>
    <n v="2404000"/>
    <n v="2404000"/>
    <n v="2828714.68"/>
    <n v="2828714.68"/>
    <n v="2828714.68"/>
    <n v="14.12"/>
    <n v="230"/>
    <n v="4.3499999999999997E-2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0.96021510368543916"/>
    <n v="3172033.7149520805"/>
    <n v="0.89176690230820366"/>
    <n v="3174513.5688502821"/>
    <n v="0.89107027538221539"/>
    <n v="2906000"/>
    <n v="0.9734049139710943"/>
    <n v="3009000"/>
    <n v="0.94008463941508813"/>
    <n v="3129000"/>
    <n v="0.90403153723234264"/>
    <n v="3056000"/>
    <n v="0.92562653141361262"/>
    <n v="3075000"/>
    <n v="0.91990721300813016"/>
    <n v="3279000"/>
    <n v="0.86267602317779812"/>
    <n v="2597167.1388028408"/>
    <n v="0.92562390925218585"/>
    <n v="4712000"/>
    <n v="0.60032145161290329"/>
    <n v="4847000"/>
    <n v="0.58360113059624519"/>
    <n v="4977000"/>
    <n v="0.5683573799477597"/>
    <n v="2006000"/>
    <n v="2507932.0113314446"/>
    <n v="0.95855868067321814"/>
    <n v="3010000"/>
    <s v=""/>
    <s v=""/>
    <s v=""/>
    <s v=""/>
    <n v="2951000"/>
    <n v="0.95856139613690283"/>
    <n v="2951000"/>
    <n v="0.95856139613690283"/>
    <n v="2951000"/>
    <n v="0.95856139613690283"/>
    <n v="2404000"/>
    <n v="0"/>
    <n v="288480"/>
    <n v="104574"/>
    <n v="96160"/>
    <n v="489214"/>
    <n v="3317928.68"/>
    <n v="2507932.0113314446"/>
    <n v="0"/>
    <n v="300951.84135977336"/>
    <n v="109095.04249291783"/>
    <n v="100317.28045325779"/>
    <n v="510364.16430594894"/>
    <n v="3461364.1643059491"/>
    <n v="143435.48430594895"/>
    <n v="122285.31999999983"/>
    <n v="21150.164305948943"/>
    <n v="3278000"/>
    <n v="2539610.855080226"/>
    <n v="3809416.2826203383"/>
    <n v="2006345.6090651557"/>
    <s v=""/>
    <n v="2360800"/>
    <n v="2360800"/>
    <n v="2360800"/>
    <n v="3009518.4135977337"/>
    <s v=""/>
    <n v="3541200"/>
    <n v="3541200"/>
    <n v="3541200"/>
    <n v="0"/>
  </r>
  <r>
    <m/>
    <m/>
    <m/>
    <m/>
    <m/>
    <s v="ANALISTA DE CARTERA"/>
    <m/>
    <x v="14"/>
    <s v=""/>
    <m/>
    <m/>
    <m/>
    <m/>
    <n v="0"/>
    <m/>
    <n v="217"/>
    <x v="3"/>
    <x v="1"/>
    <x v="0"/>
    <n v="217"/>
    <n v="3218192.45"/>
    <n v="0"/>
    <n v="0"/>
    <n v="2735000"/>
    <n v="2735000"/>
    <n v="3218192.45"/>
    <n v="3218192.45"/>
    <n v="3218192.45"/>
    <n v="14.12"/>
    <n v="230"/>
    <n v="5.2199999999999998E-3"/>
    <n v="2735000"/>
    <n v="2735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1.092424421206188"/>
    <n v="3172033.7149520805"/>
    <n v="1.0145517794562966"/>
    <n v="3174513.5688502821"/>
    <n v="1.0137592359277701"/>
    <n v="2906000"/>
    <n v="1.107430299380592"/>
    <n v="3009000"/>
    <n v="1.0695222499169159"/>
    <n v="3129000"/>
    <n v="1.0285050974752317"/>
    <n v="3056000"/>
    <n v="1.0530734456806283"/>
    <n v="3075000"/>
    <n v="1.0465666504065041"/>
    <n v="3279000"/>
    <n v="0.98145545898139686"/>
    <n v="2597167.1388028408"/>
    <n v="1.0530704624811682"/>
    <n v="4712000"/>
    <n v="0.68297802419354847"/>
    <n v="4847000"/>
    <n v="0.66395552919331546"/>
    <n v="4977000"/>
    <n v="0.64661290938316263"/>
    <n v="2006000"/>
    <n v="2507932.0113314446"/>
    <n v="1.0905399299672429"/>
    <n v="3010000"/>
    <s v=""/>
    <s v=""/>
    <s v=""/>
    <s v=""/>
    <n v="2951000"/>
    <n v="1.0905430193154864"/>
    <n v="2951000"/>
    <n v="1.0905430193154864"/>
    <n v="2951000"/>
    <n v="1.0905430193154864"/>
    <n v="2735000"/>
    <n v="0"/>
    <n v="328200"/>
    <n v="14276.699999999999"/>
    <n v="109400"/>
    <n v="451876.7"/>
    <n v="3670069.1500000004"/>
    <n v="2507932.0113314446"/>
    <n v="0"/>
    <n v="300951.84135977336"/>
    <n v="13091.405099150141"/>
    <n v="100317.28045325779"/>
    <n v="414360.52691218129"/>
    <n v="3365360.5269121812"/>
    <n v="0"/>
    <n v="0"/>
    <n v="0"/>
    <n v="3278000"/>
    <n v="2539610.855080226"/>
    <n v="3809416.2826203383"/>
    <n v="2006345.6090651557"/>
    <s v=""/>
    <n v="2360800"/>
    <n v="2360800"/>
    <n v="2360800"/>
    <n v="3009518.4135977337"/>
    <s v=""/>
    <n v="3541200"/>
    <n v="3541200"/>
    <n v="3541200"/>
    <n v="0"/>
  </r>
  <r>
    <m/>
    <m/>
    <m/>
    <m/>
    <m/>
    <s v="ANALISTA DE IMPUESTOS Y REGISTROS CONTABLES"/>
    <m/>
    <x v="15"/>
    <s v=""/>
    <m/>
    <m/>
    <m/>
    <m/>
    <n v="0"/>
    <m/>
    <n v="217"/>
    <x v="3"/>
    <x v="1"/>
    <x v="0"/>
    <n v="217"/>
    <n v="2828714.68"/>
    <n v="0"/>
    <n v="0"/>
    <n v="2404000"/>
    <n v="2404000"/>
    <n v="2828714.68"/>
    <n v="2828714.68"/>
    <n v="2828714.68"/>
    <n v="14.12"/>
    <n v="230"/>
    <n v="5.2199999999999998E-3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0.96021510368543916"/>
    <n v="3172033.7149520805"/>
    <n v="0.89176690230820366"/>
    <n v="3174513.5688502821"/>
    <n v="0.89107027538221539"/>
    <n v="2906000"/>
    <n v="0.9734049139710943"/>
    <n v="3009000"/>
    <n v="0.94008463941508813"/>
    <n v="3129000"/>
    <n v="0.90403153723234264"/>
    <n v="3056000"/>
    <n v="0.92562653141361262"/>
    <n v="3075000"/>
    <n v="0.91990721300813016"/>
    <n v="3279000"/>
    <n v="0.86267602317779812"/>
    <n v="2597167.1388028408"/>
    <n v="0.92562390925218585"/>
    <n v="4712000"/>
    <n v="0.60032145161290329"/>
    <n v="4847000"/>
    <n v="0.58360113059624519"/>
    <n v="4977000"/>
    <n v="0.5683573799477597"/>
    <n v="2006000"/>
    <n v="2507932.0113314446"/>
    <n v="0.95855868067321814"/>
    <n v="3010000"/>
    <s v=""/>
    <s v=""/>
    <s v=""/>
    <s v=""/>
    <n v="2951000"/>
    <n v="0.95856139613690283"/>
    <n v="2951000"/>
    <n v="0.95856139613690283"/>
    <n v="2951000"/>
    <n v="0.95856139613690283"/>
    <n v="2404000"/>
    <n v="0"/>
    <n v="288480"/>
    <n v="12548.88"/>
    <n v="96160"/>
    <n v="397188.88"/>
    <n v="3225903.56"/>
    <n v="2507932.0113314446"/>
    <n v="0"/>
    <n v="300951.84135977336"/>
    <n v="13091.405099150141"/>
    <n v="100317.28045325779"/>
    <n v="414360.52691218129"/>
    <n v="3365360.5269121812"/>
    <n v="139456.96691218112"/>
    <n v="122285.31999999983"/>
    <n v="17171.646912181284"/>
    <n v="3278000"/>
    <n v="2539610.855080226"/>
    <n v="3809416.2826203383"/>
    <n v="2006345.6090651557"/>
    <s v=""/>
    <n v="2360800"/>
    <n v="2360800"/>
    <n v="2360800"/>
    <n v="3009518.4135977337"/>
    <s v=""/>
    <n v="3541200"/>
    <n v="3541200"/>
    <n v="3541200"/>
    <n v="0"/>
  </r>
  <r>
    <m/>
    <m/>
    <m/>
    <m/>
    <m/>
    <s v="ANALISTA TESORERIA"/>
    <m/>
    <x v="16"/>
    <s v=""/>
    <m/>
    <m/>
    <m/>
    <m/>
    <n v="0"/>
    <m/>
    <n v="217"/>
    <x v="3"/>
    <x v="1"/>
    <x v="0"/>
    <n v="217"/>
    <n v="2828714.68"/>
    <n v="0"/>
    <n v="0"/>
    <n v="2404000"/>
    <n v="2404000"/>
    <n v="2828714.68"/>
    <n v="2828714.68"/>
    <n v="2828714.68"/>
    <n v="14.12"/>
    <n v="230"/>
    <n v="5.2199999999999998E-3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0.96021510368543916"/>
    <n v="3172033.7149520805"/>
    <n v="0.89176690230820366"/>
    <n v="3174513.5688502821"/>
    <n v="0.89107027538221539"/>
    <n v="2906000"/>
    <n v="0.9734049139710943"/>
    <n v="3009000"/>
    <n v="0.94008463941508813"/>
    <n v="3129000"/>
    <n v="0.90403153723234264"/>
    <n v="3056000"/>
    <n v="0.92562653141361262"/>
    <n v="3075000"/>
    <n v="0.91990721300813016"/>
    <n v="3279000"/>
    <n v="0.86267602317779812"/>
    <n v="2597167.1388028408"/>
    <n v="0.92562390925218585"/>
    <n v="4712000"/>
    <n v="0.60032145161290329"/>
    <n v="4847000"/>
    <n v="0.58360113059624519"/>
    <n v="4977000"/>
    <n v="0.5683573799477597"/>
    <n v="2006000"/>
    <n v="2507932.0113314446"/>
    <n v="0.95855868067321814"/>
    <n v="3010000"/>
    <s v=""/>
    <s v=""/>
    <s v=""/>
    <s v=""/>
    <n v="2951000"/>
    <n v="0.95856139613690283"/>
    <n v="2951000"/>
    <n v="0.95856139613690283"/>
    <n v="2951000"/>
    <n v="0.95856139613690283"/>
    <n v="2404000"/>
    <n v="0"/>
    <n v="288480"/>
    <n v="12548.88"/>
    <n v="96160"/>
    <n v="397188.88"/>
    <n v="3225903.56"/>
    <n v="2507932.0113314446"/>
    <n v="0"/>
    <n v="300951.84135977336"/>
    <n v="13091.405099150141"/>
    <n v="100317.28045325779"/>
    <n v="414360.52691218129"/>
    <n v="3365360.5269121812"/>
    <n v="139456.96691218112"/>
    <n v="122285.31999999983"/>
    <n v="17171.646912181284"/>
    <n v="3278000"/>
    <n v="2539610.855080226"/>
    <n v="3809416.2826203383"/>
    <n v="2006345.6090651557"/>
    <s v=""/>
    <n v="2360800"/>
    <n v="2360800"/>
    <n v="2360800"/>
    <n v="3009518.4135977337"/>
    <s v=""/>
    <n v="3541200"/>
    <n v="3541200"/>
    <n v="3541200"/>
    <n v="0"/>
  </r>
  <r>
    <m/>
    <m/>
    <m/>
    <m/>
    <m/>
    <s v="ANALISTA DE SERVICIOS"/>
    <m/>
    <x v="17"/>
    <s v="Director de costos "/>
    <m/>
    <m/>
    <m/>
    <m/>
    <n v="0"/>
    <m/>
    <n v="224"/>
    <x v="3"/>
    <x v="1"/>
    <x v="0"/>
    <n v="217"/>
    <n v="2536900.52"/>
    <n v="0"/>
    <n v="0"/>
    <n v="2156000"/>
    <n v="2156000"/>
    <n v="2536900.52"/>
    <n v="2536900.52"/>
    <n v="2536900.52"/>
    <n v="14.12"/>
    <n v="230"/>
    <n v="5.2199999999999998E-3"/>
    <n v="2156000"/>
    <n v="2156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0.86115797152487794"/>
    <n v="3172033.7149520805"/>
    <n v="0.79977098226975329"/>
    <n v="3174513.5688502821"/>
    <n v="0.79914622035110494"/>
    <n v="2906000"/>
    <n v="0.87298710254645562"/>
    <n v="3009000"/>
    <n v="0.84310419408441339"/>
    <n v="3129000"/>
    <n v="0.81077038031319915"/>
    <n v="3056000"/>
    <n v="0.8301376047120419"/>
    <n v="3075000"/>
    <n v="0.82500829918699192"/>
    <n v="3279000"/>
    <n v="0.77368115888990552"/>
    <n v="2597167.1388028408"/>
    <n v="0.83013525305645286"/>
    <n v="4712000"/>
    <n v="0.53839145161290325"/>
    <n v="4847000"/>
    <n v="0.5233960222818238"/>
    <n v="4977000"/>
    <n v="0.50972483825597747"/>
    <n v="2006000"/>
    <n v="2507932.0113314446"/>
    <n v="0.85967242742573147"/>
    <n v="3010000"/>
    <s v=""/>
    <s v=""/>
    <s v=""/>
    <s v=""/>
    <n v="2951000"/>
    <n v="0.859674862758387"/>
    <n v="2951000"/>
    <n v="0.859674862758387"/>
    <n v="2951000"/>
    <n v="0.859674862758387"/>
    <n v="2156000"/>
    <n v="0"/>
    <n v="258720"/>
    <n v="11254.32"/>
    <n v="86240"/>
    <n v="356214.32"/>
    <n v="2893114.84"/>
    <n v="2507932.0113314446"/>
    <n v="0"/>
    <n v="300951.84135977336"/>
    <n v="13091.405099150141"/>
    <n v="100317.28045325779"/>
    <n v="414360.52691218129"/>
    <n v="3365360.5269121812"/>
    <n v="472245.68691218132"/>
    <n v="414099.48"/>
    <n v="58146.206912181282"/>
    <n v="3278000"/>
    <n v="2539610.855080226"/>
    <n v="3809416.2826203383"/>
    <n v="2006345.6090651557"/>
    <s v=""/>
    <n v="2360800"/>
    <n v="2360800"/>
    <n v="2360800"/>
    <n v="3009518.4135977337"/>
    <s v=""/>
    <n v="3541200"/>
    <n v="3541200"/>
    <n v="3541200"/>
    <n v="0"/>
  </r>
  <r>
    <m/>
    <m/>
    <m/>
    <m/>
    <m/>
    <s v="ANALISTA DE SERVICIOS"/>
    <m/>
    <x v="17"/>
    <s v="Director de costos "/>
    <m/>
    <m/>
    <m/>
    <m/>
    <n v="0"/>
    <m/>
    <n v="224"/>
    <x v="3"/>
    <x v="1"/>
    <x v="0"/>
    <n v="217"/>
    <n v="2536900.52"/>
    <n v="0"/>
    <n v="0"/>
    <n v="2156000"/>
    <n v="2156000"/>
    <n v="2536900.52"/>
    <n v="2536900.52"/>
    <n v="2536900.52"/>
    <n v="14.12"/>
    <n v="230"/>
    <n v="5.2199999999999998E-3"/>
    <n v="2156000"/>
    <n v="2156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0.86115797152487794"/>
    <n v="3172033.7149520805"/>
    <n v="0.79977098226975329"/>
    <n v="3174513.5688502821"/>
    <n v="0.79914622035110494"/>
    <n v="2906000"/>
    <n v="0.87298710254645562"/>
    <n v="3009000"/>
    <n v="0.84310419408441339"/>
    <n v="3129000"/>
    <n v="0.81077038031319915"/>
    <n v="3056000"/>
    <n v="0.8301376047120419"/>
    <n v="3075000"/>
    <n v="0.82500829918699192"/>
    <n v="3279000"/>
    <n v="0.77368115888990552"/>
    <n v="2597167.1388028408"/>
    <n v="0.83013525305645286"/>
    <n v="4712000"/>
    <n v="0.53839145161290325"/>
    <n v="4847000"/>
    <n v="0.5233960222818238"/>
    <n v="4977000"/>
    <n v="0.50972483825597747"/>
    <n v="2006000"/>
    <n v="2507932.0113314446"/>
    <n v="0.85967242742573147"/>
    <n v="3010000"/>
    <s v=""/>
    <s v=""/>
    <s v=""/>
    <s v=""/>
    <n v="2951000"/>
    <n v="0.859674862758387"/>
    <n v="2951000"/>
    <n v="0.859674862758387"/>
    <n v="2951000"/>
    <n v="0.859674862758387"/>
    <n v="2156000"/>
    <n v="0"/>
    <n v="258720"/>
    <n v="11254.32"/>
    <n v="86240"/>
    <n v="356214.32"/>
    <n v="2893114.84"/>
    <n v="2507932.0113314446"/>
    <n v="0"/>
    <n v="300951.84135977336"/>
    <n v="13091.405099150141"/>
    <n v="100317.28045325779"/>
    <n v="414360.52691218129"/>
    <n v="3365360.5269121812"/>
    <n v="472245.68691218132"/>
    <n v="414099.48"/>
    <n v="58146.206912181282"/>
    <n v="3278000"/>
    <n v="2539610.855080226"/>
    <n v="3809416.2826203383"/>
    <n v="2006345.6090651557"/>
    <s v=""/>
    <n v="2360800"/>
    <n v="2360800"/>
    <n v="2360800"/>
    <n v="3009518.4135977337"/>
    <s v=""/>
    <n v="3541200"/>
    <n v="3541200"/>
    <n v="3541200"/>
    <n v="0"/>
  </r>
  <r>
    <m/>
    <m/>
    <m/>
    <m/>
    <m/>
    <s v="ANALISTA DE SERVICIOS"/>
    <m/>
    <x v="17"/>
    <s v="Director de costos "/>
    <m/>
    <m/>
    <m/>
    <m/>
    <n v="0"/>
    <m/>
    <n v="224"/>
    <x v="3"/>
    <x v="1"/>
    <x v="0"/>
    <n v="217"/>
    <n v="2536900.52"/>
    <n v="0"/>
    <n v="0"/>
    <n v="2156000"/>
    <n v="2156000"/>
    <n v="2536900.52"/>
    <n v="2536900.52"/>
    <n v="2536900.52"/>
    <n v="14.12"/>
    <n v="230"/>
    <n v="5.2199999999999998E-3"/>
    <n v="2156000"/>
    <n v="2156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0.86115797152487794"/>
    <n v="3172033.7149520805"/>
    <n v="0.79977098226975329"/>
    <n v="3174513.5688502821"/>
    <n v="0.79914622035110494"/>
    <n v="2906000"/>
    <n v="0.87298710254645562"/>
    <n v="3009000"/>
    <n v="0.84310419408441339"/>
    <n v="3129000"/>
    <n v="0.81077038031319915"/>
    <n v="3056000"/>
    <n v="0.8301376047120419"/>
    <n v="3075000"/>
    <n v="0.82500829918699192"/>
    <n v="3279000"/>
    <n v="0.77368115888990552"/>
    <n v="2597167.1388028408"/>
    <n v="0.83013525305645286"/>
    <n v="4712000"/>
    <n v="0.53839145161290325"/>
    <n v="4847000"/>
    <n v="0.5233960222818238"/>
    <n v="4977000"/>
    <n v="0.50972483825597747"/>
    <n v="2006000"/>
    <n v="2507932.0113314446"/>
    <n v="0.85967242742573147"/>
    <n v="3010000"/>
    <s v=""/>
    <s v=""/>
    <s v=""/>
    <s v=""/>
    <n v="2951000"/>
    <n v="0.859674862758387"/>
    <n v="2951000"/>
    <n v="0.859674862758387"/>
    <n v="2951000"/>
    <n v="0.859674862758387"/>
    <n v="2156000"/>
    <n v="0"/>
    <n v="258720"/>
    <n v="11254.32"/>
    <n v="86240"/>
    <n v="356214.32"/>
    <n v="2893114.84"/>
    <n v="2507932.0113314446"/>
    <n v="0"/>
    <n v="300951.84135977336"/>
    <n v="13091.405099150141"/>
    <n v="100317.28045325779"/>
    <n v="414360.52691218129"/>
    <n v="3365360.5269121812"/>
    <n v="472245.68691218132"/>
    <n v="414099.48"/>
    <n v="58146.206912181282"/>
    <n v="3278000"/>
    <n v="2539610.855080226"/>
    <n v="3809416.2826203383"/>
    <n v="2006345.6090651557"/>
    <s v=""/>
    <n v="2360800"/>
    <n v="2360800"/>
    <n v="2360800"/>
    <n v="3009518.4135977337"/>
    <s v=""/>
    <n v="3541200"/>
    <n v="3541200"/>
    <n v="3541200"/>
    <n v="0"/>
  </r>
  <r>
    <m/>
    <m/>
    <m/>
    <m/>
    <m/>
    <s v="ANALISTA TECNICO PROYECTOS ALIADOS"/>
    <m/>
    <x v="18"/>
    <s v="Coordinadora de servicio al cliente "/>
    <m/>
    <m/>
    <m/>
    <m/>
    <n v="0"/>
    <m/>
    <n v="224"/>
    <x v="3"/>
    <x v="1"/>
    <x v="0"/>
    <n v="217"/>
    <n v="2828714.68"/>
    <n v="0"/>
    <n v="0"/>
    <n v="2404000"/>
    <n v="2404000"/>
    <n v="2828714.68"/>
    <n v="2828714.68"/>
    <n v="2828714.68"/>
    <n v="14.12"/>
    <n v="230"/>
    <n v="4.3499999999999997E-2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0.96021510368543916"/>
    <n v="3172033.7149520805"/>
    <n v="0.89176690230820366"/>
    <n v="3174513.5688502821"/>
    <n v="0.89107027538221539"/>
    <n v="2906000"/>
    <n v="0.9734049139710943"/>
    <n v="3009000"/>
    <n v="0.94008463941508813"/>
    <n v="3129000"/>
    <n v="0.90403153723234264"/>
    <n v="3056000"/>
    <n v="0.92562653141361262"/>
    <n v="3075000"/>
    <n v="0.91990721300813016"/>
    <n v="3279000"/>
    <n v="0.86267602317779812"/>
    <n v="2597167.1388028408"/>
    <n v="0.92562390925218585"/>
    <n v="4712000"/>
    <n v="0.60032145161290329"/>
    <n v="4847000"/>
    <n v="0.58360113059624519"/>
    <n v="4977000"/>
    <n v="0.5683573799477597"/>
    <n v="2006000"/>
    <n v="2507932.0113314446"/>
    <n v="0.95855868067321814"/>
    <n v="3010000"/>
    <s v=""/>
    <s v=""/>
    <s v=""/>
    <s v=""/>
    <n v="2951000"/>
    <n v="0.95856139613690283"/>
    <n v="2951000"/>
    <n v="0.95856139613690283"/>
    <n v="2951000"/>
    <n v="0.95856139613690283"/>
    <n v="2404000"/>
    <n v="0"/>
    <n v="288480"/>
    <n v="104574"/>
    <n v="96160"/>
    <n v="489214"/>
    <n v="3317928.68"/>
    <n v="2507932.0113314446"/>
    <n v="0"/>
    <n v="300951.84135977336"/>
    <n v="109095.04249291783"/>
    <n v="100317.28045325779"/>
    <n v="510364.16430594894"/>
    <n v="3461364.1643059491"/>
    <n v="143435.48430594895"/>
    <n v="122285.31999999983"/>
    <n v="21150.164305948943"/>
    <n v="3278000"/>
    <n v="2539610.855080226"/>
    <n v="3809416.2826203383"/>
    <n v="2006345.6090651557"/>
    <s v=""/>
    <n v="2360800"/>
    <n v="2360800"/>
    <n v="2360800"/>
    <n v="3009518.4135977337"/>
    <s v=""/>
    <n v="3541200"/>
    <n v="3541200"/>
    <n v="3541200"/>
    <n v="0"/>
  </r>
  <r>
    <m/>
    <m/>
    <m/>
    <m/>
    <m/>
    <s v="ANALISTA DE COSTOS"/>
    <m/>
    <x v="19"/>
    <s v="Director de Taller"/>
    <m/>
    <m/>
    <m/>
    <m/>
    <n v="0"/>
    <m/>
    <n v="227"/>
    <x v="3"/>
    <x v="1"/>
    <x v="0"/>
    <n v="217"/>
    <n v="2828714.68"/>
    <n v="0"/>
    <n v="0"/>
    <n v="2404000"/>
    <n v="2404000"/>
    <n v="2828714.68"/>
    <n v="2828714.68"/>
    <n v="2828714.68"/>
    <n v="14.12"/>
    <n v="230"/>
    <n v="5.2199999999999998E-3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0.96021510368543916"/>
    <n v="3172033.7149520805"/>
    <n v="0.89176690230820366"/>
    <n v="3174513.5688502821"/>
    <n v="0.89107027538221539"/>
    <n v="2906000"/>
    <n v="0.9734049139710943"/>
    <n v="3009000"/>
    <n v="0.94008463941508813"/>
    <n v="3129000"/>
    <n v="0.90403153723234264"/>
    <n v="3056000"/>
    <n v="0.92562653141361262"/>
    <n v="3075000"/>
    <n v="0.91990721300813016"/>
    <n v="3279000"/>
    <n v="0.86267602317779812"/>
    <n v="2597167.1388028408"/>
    <n v="0.92562390925218585"/>
    <n v="4712000"/>
    <n v="0.60032145161290329"/>
    <n v="4847000"/>
    <n v="0.58360113059624519"/>
    <n v="4977000"/>
    <n v="0.5683573799477597"/>
    <n v="2006000"/>
    <n v="2507932.0113314446"/>
    <n v="0.95855868067321814"/>
    <n v="3010000"/>
    <s v=""/>
    <s v=""/>
    <s v=""/>
    <s v=""/>
    <n v="2951000"/>
    <n v="0.95856139613690283"/>
    <n v="2951000"/>
    <n v="0.95856139613690283"/>
    <n v="2951000"/>
    <n v="0.95856139613690283"/>
    <n v="2404000"/>
    <n v="0"/>
    <n v="288480"/>
    <n v="12548.88"/>
    <n v="96160"/>
    <n v="397188.88"/>
    <n v="3225903.56"/>
    <n v="2507932.0113314446"/>
    <n v="0"/>
    <n v="300951.84135977336"/>
    <n v="13091.405099150141"/>
    <n v="100317.28045325779"/>
    <n v="414360.52691218129"/>
    <n v="3365360.5269121812"/>
    <n v="139456.96691218112"/>
    <n v="122285.31999999983"/>
    <n v="17171.646912181284"/>
    <n v="3278000"/>
    <n v="2539610.855080226"/>
    <n v="3809416.2826203383"/>
    <n v="2006345.6090651557"/>
    <s v=""/>
    <n v="2360800"/>
    <n v="2360800"/>
    <n v="2360800"/>
    <n v="3009518.4135977337"/>
    <s v=""/>
    <n v="3541200"/>
    <n v="3541200"/>
    <n v="3541200"/>
    <n v="0"/>
  </r>
  <r>
    <m/>
    <m/>
    <m/>
    <m/>
    <m/>
    <s v="ANALISTA DE MATRICERIA CNC"/>
    <m/>
    <x v="20"/>
    <s v="Coordinadora de Comercio exterior "/>
    <m/>
    <m/>
    <m/>
    <m/>
    <n v="0"/>
    <m/>
    <n v="231"/>
    <x v="4"/>
    <x v="1"/>
    <x v="1"/>
    <n v="249"/>
    <n v="3765344.0000000005"/>
    <n v="0"/>
    <n v="0"/>
    <n v="3200000"/>
    <n v="3200000"/>
    <n v="3765344.0000000005"/>
    <n v="3765344.0000000005"/>
    <n v="3765344.0000000005"/>
    <n v="14.12"/>
    <n v="230"/>
    <n v="4.3499999999999997E-2"/>
    <n v="3200000"/>
    <n v="32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287369.2650705236"/>
    <n v="1.145397336407604"/>
    <n v="3528440.0086889477"/>
    <n v="1.0671412836062582"/>
    <n v="3530495.5025617885"/>
    <n v="1.0665199820443907"/>
    <n v="3243000"/>
    <n v="1.1610681467776751"/>
    <n v="3349000"/>
    <n v="1.1243189011645269"/>
    <n v="3485000"/>
    <n v="1.0804430416068869"/>
    <n v="3863000"/>
    <n v="0.97472016567434649"/>
    <n v="3889000"/>
    <n v="0.96820365132424802"/>
    <n v="4105000"/>
    <n v="0.91725797807551779"/>
    <n v="3283002.8328518891"/>
    <n v="0.9747174044380017"/>
    <n v="5334000"/>
    <n v="0.70591376077990264"/>
    <n v="5483000"/>
    <n v="0.68673062192230538"/>
    <n v="5625000"/>
    <n v="0.66939448888888897"/>
    <n v="2791000"/>
    <n v="3488668.5552407932"/>
    <n v="0.91725537961835157"/>
    <n v="4186000"/>
    <s v=""/>
    <s v=""/>
    <s v=""/>
    <s v=""/>
    <n v="4105000"/>
    <n v="0.91725797807551779"/>
    <n v="4105000"/>
    <n v="0.91725797807551779"/>
    <n v="4105000"/>
    <n v="0.91725797807551779"/>
    <n v="3200000"/>
    <n v="0"/>
    <n v="384000"/>
    <n v="139200"/>
    <n v="128000"/>
    <n v="651200"/>
    <n v="4416544"/>
    <n v="3488668.5552407932"/>
    <n v="0"/>
    <n v="418640.22662889515"/>
    <n v="151757.0821529745"/>
    <n v="139546.74220963172"/>
    <n v="709944.05099150143"/>
    <n v="4814944.0509915017"/>
    <n v="398400.05099150166"/>
    <n v="339655.99999999953"/>
    <n v="58744.050991501426"/>
    <n v="4104000"/>
    <n v="2824396.4020494311"/>
    <n v="4236594.6030741464"/>
    <n v="2790934.8441926343"/>
    <s v=""/>
    <n v="3284000"/>
    <n v="3284000"/>
    <n v="3284000"/>
    <n v="4186402.2662889515"/>
    <s v=""/>
    <n v="4926000"/>
    <n v="4926000"/>
    <n v="4926000"/>
    <n v="0"/>
  </r>
  <r>
    <m/>
    <m/>
    <m/>
    <m/>
    <m/>
    <s v="ANALISTA DE MATRICERIA CNC"/>
    <m/>
    <x v="20"/>
    <s v="Coordinadora de Comercio exterior "/>
    <m/>
    <m/>
    <m/>
    <m/>
    <n v="0"/>
    <m/>
    <n v="231"/>
    <x v="4"/>
    <x v="1"/>
    <x v="1"/>
    <n v="249"/>
    <n v="3765344.0000000005"/>
    <n v="0"/>
    <n v="0"/>
    <n v="3200000"/>
    <n v="3200000"/>
    <n v="3765344.0000000005"/>
    <n v="3765344.0000000005"/>
    <n v="3765344.0000000005"/>
    <n v="14.12"/>
    <n v="230"/>
    <n v="4.3499999999999997E-2"/>
    <n v="3200000"/>
    <n v="32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287369.2650705236"/>
    <n v="1.145397336407604"/>
    <n v="3528440.0086889477"/>
    <n v="1.0671412836062582"/>
    <n v="3530495.5025617885"/>
    <n v="1.0665199820443907"/>
    <n v="3243000"/>
    <n v="1.1610681467776751"/>
    <n v="3349000"/>
    <n v="1.1243189011645269"/>
    <n v="3485000"/>
    <n v="1.0804430416068869"/>
    <n v="3863000"/>
    <n v="0.97472016567434649"/>
    <n v="3889000"/>
    <n v="0.96820365132424802"/>
    <n v="4105000"/>
    <n v="0.91725797807551779"/>
    <n v="3283002.8328518891"/>
    <n v="0.9747174044380017"/>
    <n v="5334000"/>
    <n v="0.70591376077990264"/>
    <n v="5483000"/>
    <n v="0.68673062192230538"/>
    <n v="5625000"/>
    <n v="0.66939448888888897"/>
    <n v="2791000"/>
    <n v="3488668.5552407932"/>
    <n v="0.91725537961835157"/>
    <n v="4186000"/>
    <s v=""/>
    <s v=""/>
    <s v=""/>
    <s v=""/>
    <n v="4105000"/>
    <n v="0.91725797807551779"/>
    <n v="4105000"/>
    <n v="0.91725797807551779"/>
    <n v="4105000"/>
    <n v="0.91725797807551779"/>
    <n v="3200000"/>
    <n v="0"/>
    <n v="384000"/>
    <n v="139200"/>
    <n v="128000"/>
    <n v="651200"/>
    <n v="4416544"/>
    <n v="3488668.5552407932"/>
    <n v="0"/>
    <n v="418640.22662889515"/>
    <n v="151757.0821529745"/>
    <n v="139546.74220963172"/>
    <n v="709944.05099150143"/>
    <n v="4814944.0509915017"/>
    <n v="398400.05099150166"/>
    <n v="339655.99999999953"/>
    <n v="58744.050991501426"/>
    <n v="4104000"/>
    <n v="2824396.4020494311"/>
    <n v="4236594.6030741464"/>
    <n v="2790934.8441926343"/>
    <s v=""/>
    <n v="3284000"/>
    <n v="3284000"/>
    <n v="3284000"/>
    <n v="4186402.2662889515"/>
    <s v=""/>
    <n v="4926000"/>
    <n v="4926000"/>
    <n v="4926000"/>
    <n v="0"/>
  </r>
  <r>
    <m/>
    <m/>
    <m/>
    <m/>
    <m/>
    <s v="ANALISTA DE MATRICERIA CNC"/>
    <m/>
    <x v="20"/>
    <s v="Coordinadora de Comercio exterior "/>
    <m/>
    <m/>
    <m/>
    <m/>
    <n v="0"/>
    <m/>
    <n v="231"/>
    <x v="4"/>
    <x v="1"/>
    <x v="1"/>
    <n v="249"/>
    <n v="3765344.0000000005"/>
    <n v="0"/>
    <n v="0"/>
    <n v="3200000"/>
    <n v="3200000"/>
    <n v="3765344.0000000005"/>
    <n v="3765344.0000000005"/>
    <n v="3765344.0000000005"/>
    <n v="14.12"/>
    <n v="230"/>
    <n v="4.3499999999999997E-2"/>
    <n v="3200000"/>
    <n v="32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287369.2650705236"/>
    <n v="1.145397336407604"/>
    <n v="3528440.0086889477"/>
    <n v="1.0671412836062582"/>
    <n v="3530495.5025617885"/>
    <n v="1.0665199820443907"/>
    <n v="3243000"/>
    <n v="1.1610681467776751"/>
    <n v="3349000"/>
    <n v="1.1243189011645269"/>
    <n v="3485000"/>
    <n v="1.0804430416068869"/>
    <n v="3863000"/>
    <n v="0.97472016567434649"/>
    <n v="3889000"/>
    <n v="0.96820365132424802"/>
    <n v="4105000"/>
    <n v="0.91725797807551779"/>
    <n v="3283002.8328518891"/>
    <n v="0.9747174044380017"/>
    <n v="5334000"/>
    <n v="0.70591376077990264"/>
    <n v="5483000"/>
    <n v="0.68673062192230538"/>
    <n v="5625000"/>
    <n v="0.66939448888888897"/>
    <n v="2791000"/>
    <n v="3488668.5552407932"/>
    <n v="0.91725537961835157"/>
    <n v="4186000"/>
    <s v=""/>
    <s v=""/>
    <s v=""/>
    <s v=""/>
    <n v="4105000"/>
    <n v="0.91725797807551779"/>
    <n v="4105000"/>
    <n v="0.91725797807551779"/>
    <n v="4105000"/>
    <n v="0.91725797807551779"/>
    <n v="3200000"/>
    <n v="0"/>
    <n v="384000"/>
    <n v="139200"/>
    <n v="128000"/>
    <n v="651200"/>
    <n v="4416544"/>
    <n v="3488668.5552407932"/>
    <n v="0"/>
    <n v="418640.22662889515"/>
    <n v="151757.0821529745"/>
    <n v="139546.74220963172"/>
    <n v="709944.05099150143"/>
    <n v="4814944.0509915017"/>
    <n v="398400.05099150166"/>
    <n v="339655.99999999953"/>
    <n v="58744.050991501426"/>
    <n v="4104000"/>
    <n v="2824396.4020494311"/>
    <n v="4236594.6030741464"/>
    <n v="2790934.8441926343"/>
    <s v=""/>
    <n v="3284000"/>
    <n v="3284000"/>
    <n v="3284000"/>
    <n v="4186402.2662889515"/>
    <s v=""/>
    <n v="4926000"/>
    <n v="4926000"/>
    <n v="4926000"/>
    <n v="0"/>
  </r>
  <r>
    <m/>
    <m/>
    <m/>
    <m/>
    <m/>
    <s v="ANALISTA DE MATRICERIA CNC"/>
    <m/>
    <x v="20"/>
    <s v="Coordinadora de Comercio exterior "/>
    <m/>
    <m/>
    <m/>
    <m/>
    <n v="0"/>
    <m/>
    <n v="231"/>
    <x v="4"/>
    <x v="1"/>
    <x v="1"/>
    <n v="249"/>
    <n v="3765344.0000000005"/>
    <n v="0"/>
    <n v="0"/>
    <n v="3200000"/>
    <n v="3200000"/>
    <n v="3765344.0000000005"/>
    <n v="3765344.0000000005"/>
    <n v="3765344.0000000005"/>
    <n v="14.12"/>
    <n v="230"/>
    <n v="4.3499999999999997E-2"/>
    <n v="3200000"/>
    <n v="32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287369.2650705236"/>
    <n v="1.145397336407604"/>
    <n v="3528440.0086889477"/>
    <n v="1.0671412836062582"/>
    <n v="3530495.5025617885"/>
    <n v="1.0665199820443907"/>
    <n v="3243000"/>
    <n v="1.1610681467776751"/>
    <n v="3349000"/>
    <n v="1.1243189011645269"/>
    <n v="3485000"/>
    <n v="1.0804430416068869"/>
    <n v="3863000"/>
    <n v="0.97472016567434649"/>
    <n v="3889000"/>
    <n v="0.96820365132424802"/>
    <n v="4105000"/>
    <n v="0.91725797807551779"/>
    <n v="3283002.8328518891"/>
    <n v="0.9747174044380017"/>
    <n v="5334000"/>
    <n v="0.70591376077990264"/>
    <n v="5483000"/>
    <n v="0.68673062192230538"/>
    <n v="5625000"/>
    <n v="0.66939448888888897"/>
    <n v="2791000"/>
    <n v="3488668.5552407932"/>
    <n v="0.91725537961835157"/>
    <n v="4186000"/>
    <s v=""/>
    <s v=""/>
    <s v=""/>
    <s v=""/>
    <n v="4105000"/>
    <n v="0.91725797807551779"/>
    <n v="4105000"/>
    <n v="0.91725797807551779"/>
    <n v="4105000"/>
    <n v="0.91725797807551779"/>
    <n v="3200000"/>
    <n v="0"/>
    <n v="384000"/>
    <n v="139200"/>
    <n v="128000"/>
    <n v="651200"/>
    <n v="4416544"/>
    <n v="3488668.5552407932"/>
    <n v="0"/>
    <n v="418640.22662889515"/>
    <n v="151757.0821529745"/>
    <n v="139546.74220963172"/>
    <n v="709944.05099150143"/>
    <n v="4814944.0509915017"/>
    <n v="398400.05099150166"/>
    <n v="339655.99999999953"/>
    <n v="58744.050991501426"/>
    <n v="4104000"/>
    <n v="2824396.4020494311"/>
    <n v="4236594.6030741464"/>
    <n v="2790934.8441926343"/>
    <s v=""/>
    <n v="3284000"/>
    <n v="3284000"/>
    <n v="3284000"/>
    <n v="4186402.2662889515"/>
    <s v=""/>
    <n v="4926000"/>
    <n v="4926000"/>
    <n v="4926000"/>
    <n v="0"/>
  </r>
  <r>
    <m/>
    <m/>
    <m/>
    <m/>
    <m/>
    <s v="ANALISTA DE MATRICERIA CNC"/>
    <m/>
    <x v="20"/>
    <s v="Coordinadora de Comercio exterior "/>
    <m/>
    <m/>
    <m/>
    <m/>
    <n v="0"/>
    <m/>
    <n v="231"/>
    <x v="4"/>
    <x v="1"/>
    <x v="1"/>
    <n v="249"/>
    <n v="3765344.0000000005"/>
    <n v="0"/>
    <n v="0"/>
    <n v="3200000"/>
    <n v="3200000"/>
    <n v="3765344.0000000005"/>
    <n v="3765344.0000000005"/>
    <n v="3765344.0000000005"/>
    <n v="14.12"/>
    <n v="230"/>
    <n v="4.3499999999999997E-2"/>
    <n v="3200000"/>
    <n v="32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287369.2650705236"/>
    <n v="1.145397336407604"/>
    <n v="3528440.0086889477"/>
    <n v="1.0671412836062582"/>
    <n v="3530495.5025617885"/>
    <n v="1.0665199820443907"/>
    <n v="3243000"/>
    <n v="1.1610681467776751"/>
    <n v="3349000"/>
    <n v="1.1243189011645269"/>
    <n v="3485000"/>
    <n v="1.0804430416068869"/>
    <n v="3863000"/>
    <n v="0.97472016567434649"/>
    <n v="3889000"/>
    <n v="0.96820365132424802"/>
    <n v="4105000"/>
    <n v="0.91725797807551779"/>
    <n v="3283002.8328518891"/>
    <n v="0.9747174044380017"/>
    <n v="5334000"/>
    <n v="0.70591376077990264"/>
    <n v="5483000"/>
    <n v="0.68673062192230538"/>
    <n v="5625000"/>
    <n v="0.66939448888888897"/>
    <n v="2791000"/>
    <n v="3488668.5552407932"/>
    <n v="0.91725537961835157"/>
    <n v="4186000"/>
    <s v=""/>
    <s v=""/>
    <s v=""/>
    <s v=""/>
    <n v="4105000"/>
    <n v="0.91725797807551779"/>
    <n v="4105000"/>
    <n v="0.91725797807551779"/>
    <n v="4105000"/>
    <n v="0.91725797807551779"/>
    <n v="3200000"/>
    <n v="0"/>
    <n v="384000"/>
    <n v="139200"/>
    <n v="128000"/>
    <n v="651200"/>
    <n v="4416544"/>
    <n v="3488668.5552407932"/>
    <n v="0"/>
    <n v="418640.22662889515"/>
    <n v="151757.0821529745"/>
    <n v="139546.74220963172"/>
    <n v="709944.05099150143"/>
    <n v="4814944.0509915017"/>
    <n v="398400.05099150166"/>
    <n v="339655.99999999953"/>
    <n v="58744.050991501426"/>
    <n v="4104000"/>
    <n v="2824396.4020494311"/>
    <n v="4236594.6030741464"/>
    <n v="2790934.8441926343"/>
    <s v=""/>
    <n v="3284000"/>
    <n v="3284000"/>
    <n v="3284000"/>
    <n v="4186402.2662889515"/>
    <s v=""/>
    <n v="4926000"/>
    <n v="4926000"/>
    <n v="4926000"/>
    <n v="0"/>
  </r>
  <r>
    <m/>
    <m/>
    <m/>
    <m/>
    <m/>
    <s v="ANALISTA DE MATRICERIA CNC"/>
    <m/>
    <x v="20"/>
    <s v="Coordinadora de Comercio exterior "/>
    <m/>
    <m/>
    <m/>
    <m/>
    <n v="0"/>
    <m/>
    <n v="231"/>
    <x v="4"/>
    <x v="1"/>
    <x v="1"/>
    <n v="249"/>
    <n v="3765344.0000000005"/>
    <n v="0"/>
    <n v="0"/>
    <n v="3200000"/>
    <n v="3200000"/>
    <n v="3765344.0000000005"/>
    <n v="3765344.0000000005"/>
    <n v="3765344.0000000005"/>
    <n v="14.12"/>
    <n v="230"/>
    <n v="4.3499999999999997E-2"/>
    <n v="3200000"/>
    <n v="32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287369.2650705236"/>
    <n v="1.145397336407604"/>
    <n v="3528440.0086889477"/>
    <n v="1.0671412836062582"/>
    <n v="3530495.5025617885"/>
    <n v="1.0665199820443907"/>
    <n v="3243000"/>
    <n v="1.1610681467776751"/>
    <n v="3349000"/>
    <n v="1.1243189011645269"/>
    <n v="3485000"/>
    <n v="1.0804430416068869"/>
    <n v="3863000"/>
    <n v="0.97472016567434649"/>
    <n v="3889000"/>
    <n v="0.96820365132424802"/>
    <n v="4105000"/>
    <n v="0.91725797807551779"/>
    <n v="3283002.8328518891"/>
    <n v="0.9747174044380017"/>
    <n v="5334000"/>
    <n v="0.70591376077990264"/>
    <n v="5483000"/>
    <n v="0.68673062192230538"/>
    <n v="5625000"/>
    <n v="0.66939448888888897"/>
    <n v="2791000"/>
    <n v="3488668.5552407932"/>
    <n v="0.91725537961835157"/>
    <n v="4186000"/>
    <s v=""/>
    <s v=""/>
    <s v=""/>
    <s v=""/>
    <n v="4105000"/>
    <n v="0.91725797807551779"/>
    <n v="4105000"/>
    <n v="0.91725797807551779"/>
    <n v="4105000"/>
    <n v="0.91725797807551779"/>
    <n v="3200000"/>
    <n v="0"/>
    <n v="384000"/>
    <n v="139200"/>
    <n v="128000"/>
    <n v="651200"/>
    <n v="4416544"/>
    <n v="3488668.5552407932"/>
    <n v="0"/>
    <n v="418640.22662889515"/>
    <n v="151757.0821529745"/>
    <n v="139546.74220963172"/>
    <n v="709944.05099150143"/>
    <n v="4814944.0509915017"/>
    <n v="398400.05099150166"/>
    <n v="339655.99999999953"/>
    <n v="58744.050991501426"/>
    <n v="4104000"/>
    <n v="2824396.4020494311"/>
    <n v="4236594.6030741464"/>
    <n v="2790934.8441926343"/>
    <s v=""/>
    <n v="3284000"/>
    <n v="3284000"/>
    <n v="3284000"/>
    <n v="4186402.2662889515"/>
    <s v=""/>
    <n v="4926000"/>
    <n v="4926000"/>
    <n v="4926000"/>
    <n v="0"/>
  </r>
  <r>
    <m/>
    <m/>
    <m/>
    <m/>
    <m/>
    <s v="ANALISTA DE MATRICERIA CNC"/>
    <m/>
    <x v="20"/>
    <s v="Coordinadora de Comercio exterior "/>
    <m/>
    <m/>
    <m/>
    <m/>
    <n v="0"/>
    <m/>
    <n v="231"/>
    <x v="4"/>
    <x v="1"/>
    <x v="1"/>
    <n v="249"/>
    <n v="3765344.0000000005"/>
    <n v="0"/>
    <n v="0"/>
    <n v="3200000"/>
    <n v="3200000"/>
    <n v="3765344.0000000005"/>
    <n v="3765344.0000000005"/>
    <n v="3765344.0000000005"/>
    <n v="14.12"/>
    <n v="230"/>
    <n v="4.3499999999999997E-2"/>
    <n v="3200000"/>
    <n v="32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287369.2650705236"/>
    <n v="1.145397336407604"/>
    <n v="3528440.0086889477"/>
    <n v="1.0671412836062582"/>
    <n v="3530495.5025617885"/>
    <n v="1.0665199820443907"/>
    <n v="3243000"/>
    <n v="1.1610681467776751"/>
    <n v="3349000"/>
    <n v="1.1243189011645269"/>
    <n v="3485000"/>
    <n v="1.0804430416068869"/>
    <n v="3863000"/>
    <n v="0.97472016567434649"/>
    <n v="3889000"/>
    <n v="0.96820365132424802"/>
    <n v="4105000"/>
    <n v="0.91725797807551779"/>
    <n v="3283002.8328518891"/>
    <n v="0.9747174044380017"/>
    <n v="5334000"/>
    <n v="0.70591376077990264"/>
    <n v="5483000"/>
    <n v="0.68673062192230538"/>
    <n v="5625000"/>
    <n v="0.66939448888888897"/>
    <n v="2791000"/>
    <n v="3488668.5552407932"/>
    <n v="0.91725537961835157"/>
    <n v="4186000"/>
    <s v=""/>
    <s v=""/>
    <s v=""/>
    <s v=""/>
    <n v="4105000"/>
    <n v="0.91725797807551779"/>
    <n v="4105000"/>
    <n v="0.91725797807551779"/>
    <n v="4105000"/>
    <n v="0.91725797807551779"/>
    <n v="3200000"/>
    <n v="0"/>
    <n v="384000"/>
    <n v="139200"/>
    <n v="128000"/>
    <n v="651200"/>
    <n v="4416544"/>
    <n v="3488668.5552407932"/>
    <n v="0"/>
    <n v="418640.22662889515"/>
    <n v="151757.0821529745"/>
    <n v="139546.74220963172"/>
    <n v="709944.05099150143"/>
    <n v="4814944.0509915017"/>
    <n v="398400.05099150166"/>
    <n v="339655.99999999953"/>
    <n v="58744.050991501426"/>
    <n v="4104000"/>
    <n v="2824396.4020494311"/>
    <n v="4236594.6030741464"/>
    <n v="2790934.8441926343"/>
    <s v=""/>
    <n v="3284000"/>
    <n v="3284000"/>
    <n v="3284000"/>
    <n v="4186402.2662889515"/>
    <s v=""/>
    <n v="4926000"/>
    <n v="4926000"/>
    <n v="4926000"/>
    <n v="0"/>
  </r>
  <r>
    <m/>
    <m/>
    <m/>
    <m/>
    <m/>
    <s v="ANALISTA DE COMERCIO EXTERIOR"/>
    <m/>
    <x v="21"/>
    <s v="Jefe de compras "/>
    <m/>
    <m/>
    <m/>
    <m/>
    <n v="0"/>
    <m/>
    <n v="236"/>
    <x v="4"/>
    <x v="1"/>
    <x v="0"/>
    <n v="249"/>
    <n v="2828714.68"/>
    <n v="0"/>
    <n v="0"/>
    <n v="2404000"/>
    <n v="2404000"/>
    <n v="2828714.68"/>
    <n v="2828714.68"/>
    <n v="2828714.68"/>
    <n v="14.12"/>
    <n v="230"/>
    <n v="5.2199999999999998E-3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287369.2650705236"/>
    <n v="0.86047974897621249"/>
    <n v="3528440.0086889477"/>
    <n v="0.80168988930920138"/>
    <n v="3530495.5025617885"/>
    <n v="0.80122313651084842"/>
    <n v="3243000"/>
    <n v="0.8722524452667284"/>
    <n v="3349000"/>
    <n v="0.84464457449985075"/>
    <n v="3485000"/>
    <n v="0.81168283500717364"/>
    <n v="3863000"/>
    <n v="0.73225852446285278"/>
    <n v="3889000"/>
    <n v="0.72736299305734131"/>
    <n v="4105000"/>
    <n v="0.68909005602923268"/>
    <n v="3283002.8328518891"/>
    <n v="0.73225645008404872"/>
    <n v="5334000"/>
    <n v="0.53031771278590178"/>
    <n v="5483000"/>
    <n v="0.51590637971913189"/>
    <n v="5625000"/>
    <n v="0.50288260977777777"/>
    <n v="2512000"/>
    <n v="3140226.628895184"/>
    <n v="0.76554984212900323"/>
    <n v="3768000"/>
    <s v=""/>
    <s v=""/>
    <s v=""/>
    <s v=""/>
    <n v="3695000"/>
    <n v="0.76555201082543978"/>
    <n v="3695000"/>
    <n v="0.76555201082543978"/>
    <n v="3695000"/>
    <n v="0.76555201082543978"/>
    <n v="2404000"/>
    <n v="0"/>
    <n v="288480"/>
    <n v="12548.88"/>
    <n v="96160"/>
    <n v="397188.88"/>
    <n v="3225903.56"/>
    <n v="3140226.628895184"/>
    <n v="0"/>
    <n v="376827.19546742208"/>
    <n v="16391.983002832862"/>
    <n v="125609.06515580736"/>
    <n v="518828.24362606229"/>
    <n v="4213828.2436260618"/>
    <n v="987924.68362606177"/>
    <n v="866285.31999999983"/>
    <n v="121639.36362606229"/>
    <n v="4104000"/>
    <n v="2824396.4020494311"/>
    <n v="4236594.6030741464"/>
    <n v="2512181.3031161469"/>
    <s v=""/>
    <n v="2956000"/>
    <n v="2956000"/>
    <n v="2956000"/>
    <n v="3768271.9546742206"/>
    <s v=""/>
    <n v="4434000"/>
    <n v="4434000"/>
    <n v="4434000"/>
    <n v="0"/>
  </r>
  <r>
    <m/>
    <m/>
    <m/>
    <m/>
    <m/>
    <s v="ANALISTA DE COMERCIO EXTERIOR"/>
    <m/>
    <x v="21"/>
    <s v="Jefe de compras "/>
    <m/>
    <m/>
    <m/>
    <m/>
    <n v="0"/>
    <m/>
    <n v="236"/>
    <x v="4"/>
    <x v="1"/>
    <x v="0"/>
    <n v="249"/>
    <n v="2828714.68"/>
    <n v="0"/>
    <n v="0"/>
    <n v="2404000"/>
    <n v="2404000"/>
    <n v="2828714.68"/>
    <n v="2828714.68"/>
    <n v="2828714.68"/>
    <n v="14.12"/>
    <n v="230"/>
    <n v="5.2199999999999998E-3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287369.2650705236"/>
    <n v="0.86047974897621249"/>
    <n v="3528440.0086889477"/>
    <n v="0.80168988930920138"/>
    <n v="3530495.5025617885"/>
    <n v="0.80122313651084842"/>
    <n v="3243000"/>
    <n v="0.8722524452667284"/>
    <n v="3349000"/>
    <n v="0.84464457449985075"/>
    <n v="3485000"/>
    <n v="0.81168283500717364"/>
    <n v="3863000"/>
    <n v="0.73225852446285278"/>
    <n v="3889000"/>
    <n v="0.72736299305734131"/>
    <n v="4105000"/>
    <n v="0.68909005602923268"/>
    <n v="3283002.8328518891"/>
    <n v="0.73225645008404872"/>
    <n v="5334000"/>
    <n v="0.53031771278590178"/>
    <n v="5483000"/>
    <n v="0.51590637971913189"/>
    <n v="5625000"/>
    <n v="0.50288260977777777"/>
    <n v="2512000"/>
    <n v="3140226.628895184"/>
    <n v="0.76554984212900323"/>
    <n v="3768000"/>
    <s v=""/>
    <s v=""/>
    <s v=""/>
    <s v=""/>
    <n v="3695000"/>
    <n v="0.76555201082543978"/>
    <n v="3695000"/>
    <n v="0.76555201082543978"/>
    <n v="3695000"/>
    <n v="0.76555201082543978"/>
    <n v="2404000"/>
    <n v="0"/>
    <n v="288480"/>
    <n v="12548.88"/>
    <n v="96160"/>
    <n v="397188.88"/>
    <n v="3225903.56"/>
    <n v="3140226.628895184"/>
    <n v="0"/>
    <n v="376827.19546742208"/>
    <n v="16391.983002832862"/>
    <n v="125609.06515580736"/>
    <n v="518828.24362606229"/>
    <n v="4213828.2436260618"/>
    <n v="987924.68362606177"/>
    <n v="866285.31999999983"/>
    <n v="121639.36362606229"/>
    <n v="4104000"/>
    <n v="2824396.4020494311"/>
    <n v="4236594.6030741464"/>
    <n v="2512181.3031161469"/>
    <s v=""/>
    <n v="2956000"/>
    <n v="2956000"/>
    <n v="2956000"/>
    <n v="3768271.9546742206"/>
    <s v=""/>
    <n v="4434000"/>
    <n v="4434000"/>
    <n v="4434000"/>
    <n v="0"/>
  </r>
  <r>
    <m/>
    <m/>
    <m/>
    <m/>
    <m/>
    <s v="ANALISTA DE DE COMPRAS"/>
    <m/>
    <x v="22"/>
    <s v="Directora de diseño y desarrollo"/>
    <m/>
    <m/>
    <m/>
    <m/>
    <n v="0"/>
    <m/>
    <n v="236"/>
    <x v="4"/>
    <x v="1"/>
    <x v="0"/>
    <n v="249"/>
    <n v="2828714.68"/>
    <n v="0"/>
    <n v="0"/>
    <n v="2404000"/>
    <n v="2404000"/>
    <n v="2828714.68"/>
    <n v="2828714.68"/>
    <n v="2828714.68"/>
    <n v="14.12"/>
    <n v="230"/>
    <n v="5.2199999999999998E-3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287369.2650705236"/>
    <n v="0.86047974897621249"/>
    <n v="3528440.0086889477"/>
    <n v="0.80168988930920138"/>
    <n v="3530495.5025617885"/>
    <n v="0.80122313651084842"/>
    <n v="3243000"/>
    <n v="0.8722524452667284"/>
    <n v="3349000"/>
    <n v="0.84464457449985075"/>
    <n v="3485000"/>
    <n v="0.81168283500717364"/>
    <n v="3863000"/>
    <n v="0.73225852446285278"/>
    <n v="3889000"/>
    <n v="0.72736299305734131"/>
    <n v="4105000"/>
    <n v="0.68909005602923268"/>
    <n v="3283002.8328518891"/>
    <n v="0.73225645008404872"/>
    <n v="5334000"/>
    <n v="0.53031771278590178"/>
    <n v="5483000"/>
    <n v="0.51590637971913189"/>
    <n v="5625000"/>
    <n v="0.50288260977777777"/>
    <n v="2512000"/>
    <n v="3140226.628895184"/>
    <n v="0.76554984212900323"/>
    <n v="3768000"/>
    <s v=""/>
    <s v=""/>
    <s v=""/>
    <s v=""/>
    <n v="3695000"/>
    <n v="0.76555201082543978"/>
    <n v="3695000"/>
    <n v="0.76555201082543978"/>
    <n v="3695000"/>
    <n v="0.76555201082543978"/>
    <n v="2404000"/>
    <n v="0"/>
    <n v="288480"/>
    <n v="12548.88"/>
    <n v="96160"/>
    <n v="397188.88"/>
    <n v="3225903.56"/>
    <n v="3140226.628895184"/>
    <n v="0"/>
    <n v="376827.19546742208"/>
    <n v="16391.983002832862"/>
    <n v="125609.06515580736"/>
    <n v="518828.24362606229"/>
    <n v="4213828.2436260618"/>
    <n v="987924.68362606177"/>
    <n v="866285.31999999983"/>
    <n v="121639.36362606229"/>
    <n v="4104000"/>
    <n v="2824396.4020494311"/>
    <n v="4236594.6030741464"/>
    <n v="2512181.3031161469"/>
    <s v=""/>
    <n v="2956000"/>
    <n v="2956000"/>
    <n v="2956000"/>
    <n v="3768271.9546742206"/>
    <s v=""/>
    <n v="4434000"/>
    <n v="4434000"/>
    <n v="4434000"/>
    <n v="0"/>
  </r>
  <r>
    <m/>
    <m/>
    <m/>
    <m/>
    <m/>
    <s v="ANALISTA DE DE COMPRAS"/>
    <m/>
    <x v="22"/>
    <s v="Directora de diseño y desarrollo"/>
    <m/>
    <m/>
    <m/>
    <m/>
    <n v="0"/>
    <m/>
    <n v="236"/>
    <x v="4"/>
    <x v="1"/>
    <x v="0"/>
    <n v="249"/>
    <n v="2828714.68"/>
    <n v="0"/>
    <n v="0"/>
    <n v="2404000"/>
    <n v="2404000"/>
    <n v="2828714.68"/>
    <n v="2828714.68"/>
    <n v="2828714.68"/>
    <n v="14.12"/>
    <n v="230"/>
    <n v="5.2199999999999998E-3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287369.2650705236"/>
    <n v="0.86047974897621249"/>
    <n v="3528440.0086889477"/>
    <n v="0.80168988930920138"/>
    <n v="3530495.5025617885"/>
    <n v="0.80122313651084842"/>
    <n v="3243000"/>
    <n v="0.8722524452667284"/>
    <n v="3349000"/>
    <n v="0.84464457449985075"/>
    <n v="3485000"/>
    <n v="0.81168283500717364"/>
    <n v="3863000"/>
    <n v="0.73225852446285278"/>
    <n v="3889000"/>
    <n v="0.72736299305734131"/>
    <n v="4105000"/>
    <n v="0.68909005602923268"/>
    <n v="3283002.8328518891"/>
    <n v="0.73225645008404872"/>
    <n v="5334000"/>
    <n v="0.53031771278590178"/>
    <n v="5483000"/>
    <n v="0.51590637971913189"/>
    <n v="5625000"/>
    <n v="0.50288260977777777"/>
    <n v="2512000"/>
    <n v="3140226.628895184"/>
    <n v="0.76554984212900323"/>
    <n v="3768000"/>
    <s v=""/>
    <s v=""/>
    <s v=""/>
    <s v=""/>
    <n v="3695000"/>
    <n v="0.76555201082543978"/>
    <n v="3695000"/>
    <n v="0.76555201082543978"/>
    <n v="3695000"/>
    <n v="0.76555201082543978"/>
    <n v="2404000"/>
    <n v="0"/>
    <n v="288480"/>
    <n v="12548.88"/>
    <n v="96160"/>
    <n v="397188.88"/>
    <n v="3225903.56"/>
    <n v="3140226.628895184"/>
    <n v="0"/>
    <n v="376827.19546742208"/>
    <n v="16391.983002832862"/>
    <n v="125609.06515580736"/>
    <n v="518828.24362606229"/>
    <n v="4213828.2436260618"/>
    <n v="987924.68362606177"/>
    <n v="866285.31999999983"/>
    <n v="121639.36362606229"/>
    <n v="4104000"/>
    <n v="2824396.4020494311"/>
    <n v="4236594.6030741464"/>
    <n v="2512181.3031161469"/>
    <s v=""/>
    <n v="2956000"/>
    <n v="2956000"/>
    <n v="2956000"/>
    <n v="3768271.9546742206"/>
    <s v=""/>
    <n v="4434000"/>
    <n v="4434000"/>
    <n v="4434000"/>
    <n v="0"/>
  </r>
  <r>
    <m/>
    <m/>
    <m/>
    <m/>
    <m/>
    <s v="ANALISTA COTIZACIONES DISEÑO Y DESARROLLO"/>
    <m/>
    <x v="23"/>
    <s v=""/>
    <m/>
    <m/>
    <m/>
    <m/>
    <n v="0"/>
    <m/>
    <n v="246"/>
    <x v="4"/>
    <x v="1"/>
    <x v="0"/>
    <n v="249"/>
    <n v="3061695.3400000003"/>
    <n v="0"/>
    <n v="0"/>
    <n v="2602000"/>
    <n v="2602000"/>
    <n v="3061695.3400000003"/>
    <n v="3061695.3400000003"/>
    <n v="3061695.3400000003"/>
    <n v="14.12"/>
    <n v="230"/>
    <n v="4.3499999999999997E-2"/>
    <n v="2602000"/>
    <n v="2602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287369.2650705236"/>
    <n v="0.93135120916643299"/>
    <n v="3528440.0086889477"/>
    <n v="0.8677192562323387"/>
    <n v="3530495.5025617885"/>
    <n v="0.86721406039984505"/>
    <n v="3243000"/>
    <n v="0.94409353684859709"/>
    <n v="3349000"/>
    <n v="0.91421180650940592"/>
    <n v="3485000"/>
    <n v="0.87853524820659978"/>
    <n v="3863000"/>
    <n v="0.79256933471395297"/>
    <n v="3889000"/>
    <n v="0.78727059398302912"/>
    <n v="4105000"/>
    <n v="0.74584539342265532"/>
    <n v="3283002.8328518891"/>
    <n v="0.79256708948365007"/>
    <n v="5334000"/>
    <n v="0.57399612673415834"/>
    <n v="5483000"/>
    <n v="0.55839783695057454"/>
    <n v="5625000"/>
    <n v="0.54430139377777786"/>
    <n v="2512000"/>
    <n v="3140226.628895184"/>
    <n v="0.82860261614794772"/>
    <n v="3768000"/>
    <s v=""/>
    <s v=""/>
    <s v=""/>
    <s v=""/>
    <n v="3695000"/>
    <n v="0.82860496346414081"/>
    <n v="3695000"/>
    <n v="0.82860496346414081"/>
    <n v="3695000"/>
    <n v="0.82860496346414081"/>
    <n v="2602000"/>
    <n v="0"/>
    <n v="312240"/>
    <n v="113186.99999999999"/>
    <n v="104080"/>
    <n v="529507"/>
    <n v="3591202.3400000003"/>
    <n v="3140226.628895184"/>
    <n v="0"/>
    <n v="376827.19546742208"/>
    <n v="136599.8583569405"/>
    <n v="125609.06515580736"/>
    <n v="639036.11898016999"/>
    <n v="4334036.1189801702"/>
    <n v="742833.77898016991"/>
    <n v="633304.65999999968"/>
    <n v="109529.11898016999"/>
    <n v="4104000"/>
    <n v="2824396.4020494311"/>
    <n v="4236594.6030741464"/>
    <n v="2512181.3031161469"/>
    <s v=""/>
    <n v="2956000"/>
    <n v="2956000"/>
    <n v="2956000"/>
    <n v="3768271.9546742206"/>
    <s v=""/>
    <n v="4434000"/>
    <n v="4434000"/>
    <n v="4434000"/>
    <n v="0"/>
  </r>
  <r>
    <m/>
    <m/>
    <m/>
    <m/>
    <m/>
    <s v="ANALISTA DE GESTION HUMANA"/>
    <m/>
    <x v="24"/>
    <s v="Jefe de mejora continua"/>
    <m/>
    <m/>
    <m/>
    <m/>
    <n v="0"/>
    <m/>
    <n v="246"/>
    <x v="4"/>
    <x v="1"/>
    <x v="0"/>
    <n v="249"/>
    <n v="2828714.68"/>
    <n v="0"/>
    <n v="0"/>
    <n v="2404000"/>
    <n v="2404000"/>
    <n v="2828714.68"/>
    <n v="2828714.68"/>
    <n v="2828714.68"/>
    <n v="14.12"/>
    <n v="230"/>
    <n v="5.2199999999999998E-3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287369.2650705236"/>
    <n v="0.86047974897621249"/>
    <n v="3528440.0086889477"/>
    <n v="0.80168988930920138"/>
    <n v="3530495.5025617885"/>
    <n v="0.80122313651084842"/>
    <n v="3243000"/>
    <n v="0.8722524452667284"/>
    <n v="3349000"/>
    <n v="0.84464457449985075"/>
    <n v="3485000"/>
    <n v="0.81168283500717364"/>
    <n v="3863000"/>
    <n v="0.73225852446285278"/>
    <n v="3889000"/>
    <n v="0.72736299305734131"/>
    <n v="4105000"/>
    <n v="0.68909005602923268"/>
    <n v="3283002.8328518891"/>
    <n v="0.73225645008404872"/>
    <n v="5334000"/>
    <n v="0.53031771278590178"/>
    <n v="5483000"/>
    <n v="0.51590637971913189"/>
    <n v="5625000"/>
    <n v="0.50288260977777777"/>
    <n v="2512000"/>
    <n v="3140226.628895184"/>
    <n v="0.76554984212900323"/>
    <n v="3768000"/>
    <s v=""/>
    <s v=""/>
    <s v=""/>
    <s v=""/>
    <n v="3695000"/>
    <n v="0.76555201082543978"/>
    <n v="3695000"/>
    <n v="0.76555201082543978"/>
    <n v="3695000"/>
    <n v="0.76555201082543978"/>
    <n v="2404000"/>
    <n v="0"/>
    <n v="288480"/>
    <n v="12548.88"/>
    <n v="96160"/>
    <n v="397188.88"/>
    <n v="3225903.56"/>
    <n v="3140226.628895184"/>
    <n v="0"/>
    <n v="376827.19546742208"/>
    <n v="16391.983002832862"/>
    <n v="125609.06515580736"/>
    <n v="518828.24362606229"/>
    <n v="4213828.2436260618"/>
    <n v="987924.68362606177"/>
    <n v="866285.31999999983"/>
    <n v="121639.36362606229"/>
    <n v="4104000"/>
    <n v="2824396.4020494311"/>
    <n v="4236594.6030741464"/>
    <n v="2512181.3031161469"/>
    <s v=""/>
    <n v="2956000"/>
    <n v="2956000"/>
    <n v="2956000"/>
    <n v="3768271.9546742206"/>
    <s v=""/>
    <n v="4434000"/>
    <n v="4434000"/>
    <n v="4434000"/>
    <n v="0"/>
  </r>
  <r>
    <m/>
    <m/>
    <m/>
    <m/>
    <m/>
    <s v="ANALISTA DE MEJORA CONTINUA"/>
    <m/>
    <x v="25"/>
    <s v="Jefe de calidad "/>
    <m/>
    <m/>
    <m/>
    <m/>
    <n v="0"/>
    <m/>
    <n v="248"/>
    <x v="4"/>
    <x v="1"/>
    <x v="0"/>
    <n v="249"/>
    <n v="2828714.68"/>
    <n v="0"/>
    <n v="0"/>
    <n v="2404000"/>
    <n v="2404000"/>
    <n v="2828714.68"/>
    <n v="2828714.68"/>
    <n v="2828714.68"/>
    <n v="14.12"/>
    <n v="230"/>
    <n v="4.3499999999999997E-2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287369.2650705236"/>
    <n v="0.86047974897621249"/>
    <n v="3528440.0086889477"/>
    <n v="0.80168988930920138"/>
    <n v="3530495.5025617885"/>
    <n v="0.80122313651084842"/>
    <n v="3243000"/>
    <n v="0.8722524452667284"/>
    <n v="3349000"/>
    <n v="0.84464457449985075"/>
    <n v="3485000"/>
    <n v="0.81168283500717364"/>
    <n v="3863000"/>
    <n v="0.73225852446285278"/>
    <n v="3889000"/>
    <n v="0.72736299305734131"/>
    <n v="4105000"/>
    <n v="0.68909005602923268"/>
    <n v="3283002.8328518891"/>
    <n v="0.73225645008404872"/>
    <n v="5334000"/>
    <n v="0.53031771278590178"/>
    <n v="5483000"/>
    <n v="0.51590637971913189"/>
    <n v="5625000"/>
    <n v="0.50288260977777777"/>
    <n v="2512000"/>
    <n v="3140226.628895184"/>
    <n v="0.76554984212900323"/>
    <n v="3768000"/>
    <s v=""/>
    <s v=""/>
    <s v=""/>
    <s v=""/>
    <n v="3695000"/>
    <n v="0.76555201082543978"/>
    <n v="3695000"/>
    <n v="0.76555201082543978"/>
    <n v="3695000"/>
    <n v="0.76555201082543978"/>
    <n v="2404000"/>
    <n v="0"/>
    <n v="288480"/>
    <n v="104574"/>
    <n v="96160"/>
    <n v="489214"/>
    <n v="3317928.68"/>
    <n v="3140226.628895184"/>
    <n v="0"/>
    <n v="376827.19546742208"/>
    <n v="136599.8583569405"/>
    <n v="125609.06515580736"/>
    <n v="639036.11898016999"/>
    <n v="4334036.1189801702"/>
    <n v="1016107.4389801701"/>
    <n v="866285.31999999983"/>
    <n v="149822.11898016999"/>
    <n v="4104000"/>
    <n v="2824396.4020494311"/>
    <n v="4236594.6030741464"/>
    <n v="2512181.3031161469"/>
    <s v=""/>
    <n v="2956000"/>
    <n v="2956000"/>
    <n v="2956000"/>
    <n v="3768271.9546742206"/>
    <s v=""/>
    <n v="4434000"/>
    <n v="4434000"/>
    <n v="4434000"/>
    <n v="0"/>
  </r>
  <r>
    <m/>
    <m/>
    <m/>
    <m/>
    <m/>
    <s v="ANALISTA CALIDAD"/>
    <m/>
    <x v="26"/>
    <s v="Coordinador de mantenimiento "/>
    <m/>
    <m/>
    <m/>
    <m/>
    <n v="0"/>
    <m/>
    <n v="262"/>
    <x v="4"/>
    <x v="1"/>
    <x v="0"/>
    <n v="249"/>
    <n v="2828714.68"/>
    <n v="0"/>
    <n v="0"/>
    <n v="2404000"/>
    <n v="2404000"/>
    <n v="2828714.68"/>
    <n v="2828714.68"/>
    <n v="2828714.68"/>
    <n v="14.12"/>
    <n v="230"/>
    <n v="4.3499999999999997E-2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287369.2650705236"/>
    <n v="0.86047974897621249"/>
    <n v="3528440.0086889477"/>
    <n v="0.80168988930920138"/>
    <n v="3530495.5025617885"/>
    <n v="0.80122313651084842"/>
    <n v="3243000"/>
    <n v="0.8722524452667284"/>
    <n v="3349000"/>
    <n v="0.84464457449985075"/>
    <n v="3485000"/>
    <n v="0.81168283500717364"/>
    <n v="3863000"/>
    <n v="0.73225852446285278"/>
    <n v="3889000"/>
    <n v="0.72736299305734131"/>
    <n v="4105000"/>
    <n v="0.68909005602923268"/>
    <n v="3283002.8328518891"/>
    <n v="0.73225645008404872"/>
    <n v="5334000"/>
    <n v="0.53031771278590178"/>
    <n v="5483000"/>
    <n v="0.51590637971913189"/>
    <n v="5625000"/>
    <n v="0.50288260977777777"/>
    <n v="2512000"/>
    <n v="3140226.628895184"/>
    <n v="0.76554984212900323"/>
    <n v="3768000"/>
    <s v=""/>
    <s v=""/>
    <s v=""/>
    <s v=""/>
    <n v="3695000"/>
    <n v="0.76555201082543978"/>
    <n v="3695000"/>
    <n v="0.76555201082543978"/>
    <n v="3695000"/>
    <n v="0.76555201082543978"/>
    <n v="2404000"/>
    <n v="0"/>
    <n v="288480"/>
    <n v="104574"/>
    <n v="96160"/>
    <n v="489214"/>
    <n v="3317928.68"/>
    <n v="3140226.628895184"/>
    <n v="0"/>
    <n v="376827.19546742208"/>
    <n v="136599.8583569405"/>
    <n v="125609.06515580736"/>
    <n v="639036.11898016999"/>
    <n v="4334036.1189801702"/>
    <n v="1016107.4389801701"/>
    <n v="866285.31999999983"/>
    <n v="149822.11898016999"/>
    <n v="4104000"/>
    <n v="2824396.4020494311"/>
    <n v="4236594.6030741464"/>
    <n v="2512181.3031161469"/>
    <s v=""/>
    <n v="2956000"/>
    <n v="2956000"/>
    <n v="2956000"/>
    <n v="3768271.9546742206"/>
    <s v=""/>
    <n v="4434000"/>
    <n v="4434000"/>
    <n v="4434000"/>
    <n v="0"/>
  </r>
  <r>
    <m/>
    <m/>
    <m/>
    <m/>
    <m/>
    <s v="ANALISTA CALIDAD"/>
    <m/>
    <x v="26"/>
    <s v="Coordinador de mantenimiento "/>
    <m/>
    <m/>
    <m/>
    <m/>
    <n v="0"/>
    <m/>
    <n v="262"/>
    <x v="4"/>
    <x v="1"/>
    <x v="0"/>
    <n v="249"/>
    <n v="2828714.68"/>
    <n v="0"/>
    <n v="0"/>
    <n v="2404000"/>
    <n v="2404000"/>
    <n v="2828714.68"/>
    <n v="2828714.68"/>
    <n v="2828714.68"/>
    <n v="14.12"/>
    <n v="230"/>
    <n v="4.3499999999999997E-2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287369.2650705236"/>
    <n v="0.86047974897621249"/>
    <n v="3528440.0086889477"/>
    <n v="0.80168988930920138"/>
    <n v="3530495.5025617885"/>
    <n v="0.80122313651084842"/>
    <n v="3243000"/>
    <n v="0.8722524452667284"/>
    <n v="3349000"/>
    <n v="0.84464457449985075"/>
    <n v="3485000"/>
    <n v="0.81168283500717364"/>
    <n v="3863000"/>
    <n v="0.73225852446285278"/>
    <n v="3889000"/>
    <n v="0.72736299305734131"/>
    <n v="4105000"/>
    <n v="0.68909005602923268"/>
    <n v="3283002.8328518891"/>
    <n v="0.73225645008404872"/>
    <n v="5334000"/>
    <n v="0.53031771278590178"/>
    <n v="5483000"/>
    <n v="0.51590637971913189"/>
    <n v="5625000"/>
    <n v="0.50288260977777777"/>
    <n v="2512000"/>
    <n v="3140226.628895184"/>
    <n v="0.76554984212900323"/>
    <n v="3768000"/>
    <s v=""/>
    <s v=""/>
    <s v=""/>
    <s v=""/>
    <n v="3695000"/>
    <n v="0.76555201082543978"/>
    <n v="3695000"/>
    <n v="0.76555201082543978"/>
    <n v="3695000"/>
    <n v="0.76555201082543978"/>
    <n v="2404000"/>
    <n v="0"/>
    <n v="288480"/>
    <n v="104574"/>
    <n v="96160"/>
    <n v="489214"/>
    <n v="3317928.68"/>
    <n v="3140226.628895184"/>
    <n v="0"/>
    <n v="376827.19546742208"/>
    <n v="136599.8583569405"/>
    <n v="125609.06515580736"/>
    <n v="639036.11898016999"/>
    <n v="4334036.1189801702"/>
    <n v="1016107.4389801701"/>
    <n v="866285.31999999983"/>
    <n v="149822.11898016999"/>
    <n v="4104000"/>
    <n v="2824396.4020494311"/>
    <n v="4236594.6030741464"/>
    <n v="2512181.3031161469"/>
    <s v=""/>
    <n v="2956000"/>
    <n v="2956000"/>
    <n v="2956000"/>
    <n v="3768271.9546742206"/>
    <s v=""/>
    <n v="4434000"/>
    <n v="4434000"/>
    <n v="4434000"/>
    <n v="0"/>
  </r>
  <r>
    <m/>
    <m/>
    <m/>
    <m/>
    <m/>
    <s v="ANALISTA CALIDAD"/>
    <m/>
    <x v="26"/>
    <s v="Coordinador de mantenimiento "/>
    <m/>
    <m/>
    <m/>
    <m/>
    <n v="0"/>
    <m/>
    <n v="262"/>
    <x v="4"/>
    <x v="1"/>
    <x v="0"/>
    <n v="249"/>
    <n v="2828714.68"/>
    <n v="0"/>
    <n v="0"/>
    <n v="2404000"/>
    <n v="2404000"/>
    <n v="2828714.68"/>
    <n v="2828714.68"/>
    <n v="2828714.68"/>
    <n v="14.12"/>
    <n v="230"/>
    <n v="4.3499999999999997E-2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287369.2650705236"/>
    <n v="0.86047974897621249"/>
    <n v="3528440.0086889477"/>
    <n v="0.80168988930920138"/>
    <n v="3530495.5025617885"/>
    <n v="0.80122313651084842"/>
    <n v="3243000"/>
    <n v="0.8722524452667284"/>
    <n v="3349000"/>
    <n v="0.84464457449985075"/>
    <n v="3485000"/>
    <n v="0.81168283500717364"/>
    <n v="3863000"/>
    <n v="0.73225852446285278"/>
    <n v="3889000"/>
    <n v="0.72736299305734131"/>
    <n v="4105000"/>
    <n v="0.68909005602923268"/>
    <n v="3283002.8328518891"/>
    <n v="0.73225645008404872"/>
    <n v="5334000"/>
    <n v="0.53031771278590178"/>
    <n v="5483000"/>
    <n v="0.51590637971913189"/>
    <n v="5625000"/>
    <n v="0.50288260977777777"/>
    <n v="2512000"/>
    <n v="3140226.628895184"/>
    <n v="0.76554984212900323"/>
    <n v="3768000"/>
    <s v=""/>
    <s v=""/>
    <s v=""/>
    <s v=""/>
    <n v="3695000"/>
    <n v="0.76555201082543978"/>
    <n v="3695000"/>
    <n v="0.76555201082543978"/>
    <n v="3695000"/>
    <n v="0.76555201082543978"/>
    <n v="2404000"/>
    <n v="0"/>
    <n v="288480"/>
    <n v="104574"/>
    <n v="96160"/>
    <n v="489214"/>
    <n v="3317928.68"/>
    <n v="3140226.628895184"/>
    <n v="0"/>
    <n v="376827.19546742208"/>
    <n v="136599.8583569405"/>
    <n v="125609.06515580736"/>
    <n v="639036.11898016999"/>
    <n v="4334036.1189801702"/>
    <n v="1016107.4389801701"/>
    <n v="866285.31999999983"/>
    <n v="149822.11898016999"/>
    <n v="4104000"/>
    <n v="2824396.4020494311"/>
    <n v="4236594.6030741464"/>
    <n v="2512181.3031161469"/>
    <s v=""/>
    <n v="2956000"/>
    <n v="2956000"/>
    <n v="2956000"/>
    <n v="3768271.9546742206"/>
    <s v=""/>
    <n v="4434000"/>
    <n v="4434000"/>
    <n v="4434000"/>
    <n v="0"/>
  </r>
  <r>
    <m/>
    <m/>
    <m/>
    <m/>
    <m/>
    <s v="ANALISTA CALIDAD"/>
    <m/>
    <x v="26"/>
    <s v="Coordinador de mantenimiento "/>
    <m/>
    <m/>
    <m/>
    <m/>
    <n v="0"/>
    <m/>
    <n v="262"/>
    <x v="4"/>
    <x v="1"/>
    <x v="0"/>
    <n v="249"/>
    <n v="2828714.68"/>
    <n v="0"/>
    <n v="0"/>
    <n v="2404000"/>
    <n v="2404000"/>
    <n v="2828714.68"/>
    <n v="2828714.68"/>
    <n v="2828714.68"/>
    <n v="14.12"/>
    <n v="230"/>
    <n v="4.3499999999999997E-2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287369.2650705236"/>
    <n v="0.86047974897621249"/>
    <n v="3528440.0086889477"/>
    <n v="0.80168988930920138"/>
    <n v="3530495.5025617885"/>
    <n v="0.80122313651084842"/>
    <n v="3243000"/>
    <n v="0.8722524452667284"/>
    <n v="3349000"/>
    <n v="0.84464457449985075"/>
    <n v="3485000"/>
    <n v="0.81168283500717364"/>
    <n v="3863000"/>
    <n v="0.73225852446285278"/>
    <n v="3889000"/>
    <n v="0.72736299305734131"/>
    <n v="4105000"/>
    <n v="0.68909005602923268"/>
    <n v="3283002.8328518891"/>
    <n v="0.73225645008404872"/>
    <n v="5334000"/>
    <n v="0.53031771278590178"/>
    <n v="5483000"/>
    <n v="0.51590637971913189"/>
    <n v="5625000"/>
    <n v="0.50288260977777777"/>
    <n v="2512000"/>
    <n v="3140226.628895184"/>
    <n v="0.76554984212900323"/>
    <n v="3768000"/>
    <s v=""/>
    <s v=""/>
    <s v=""/>
    <s v=""/>
    <n v="3695000"/>
    <n v="0.76555201082543978"/>
    <n v="3695000"/>
    <n v="0.76555201082543978"/>
    <n v="3695000"/>
    <n v="0.76555201082543978"/>
    <n v="2404000"/>
    <n v="0"/>
    <n v="288480"/>
    <n v="104574"/>
    <n v="96160"/>
    <n v="489214"/>
    <n v="3317928.68"/>
    <n v="3140226.628895184"/>
    <n v="0"/>
    <n v="376827.19546742208"/>
    <n v="136599.8583569405"/>
    <n v="125609.06515580736"/>
    <n v="639036.11898016999"/>
    <n v="4334036.1189801702"/>
    <n v="1016107.4389801701"/>
    <n v="866285.31999999983"/>
    <n v="149822.11898016999"/>
    <n v="4104000"/>
    <n v="2824396.4020494311"/>
    <n v="4236594.6030741464"/>
    <n v="2512181.3031161469"/>
    <s v=""/>
    <n v="2956000"/>
    <n v="2956000"/>
    <n v="2956000"/>
    <n v="3768271.9546742206"/>
    <s v=""/>
    <n v="4434000"/>
    <n v="4434000"/>
    <n v="4434000"/>
    <n v="0"/>
  </r>
  <r>
    <m/>
    <m/>
    <m/>
    <m/>
    <m/>
    <s v="ANALISTA DE SEGURIDAD Y SALUD EN EL TRABAJO"/>
    <m/>
    <x v="27"/>
    <s v="Directora contable "/>
    <m/>
    <m/>
    <m/>
    <m/>
    <n v="0"/>
    <m/>
    <n v="268"/>
    <x v="5"/>
    <x v="2"/>
    <x v="0"/>
    <n v="287"/>
    <n v="2828714.68"/>
    <n v="0"/>
    <n v="0"/>
    <n v="2404000"/>
    <n v="2404000"/>
    <n v="2828714.68"/>
    <n v="2828714.68"/>
    <n v="2828714.68"/>
    <n v="14.12"/>
    <n v="230"/>
    <n v="4.3499999999999997E-2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692842.9859208548"/>
    <n v="0.76599917483213176"/>
    <n v="3951672.482501477"/>
    <n v="0.71582720797989186"/>
    <n v="3953224.048844202"/>
    <n v="0.71554625921772053"/>
    <n v="3642000"/>
    <n v="0.77669266337177378"/>
    <n v="3754000"/>
    <n v="0.75352015982951526"/>
    <n v="3907000"/>
    <n v="0.72401194778602518"/>
    <n v="4820000"/>
    <n v="0.58687026556016597"/>
    <n v="4855000"/>
    <n v="0.58263948094747686"/>
    <n v="5087000"/>
    <n v="0.55606736386868494"/>
    <n v="4096317.280441653"/>
    <n v="0.58686860304453947"/>
    <n v="6072000"/>
    <n v="0.46586210144927537"/>
    <n v="6239000"/>
    <n v="0.45339231928193624"/>
    <n v="6395000"/>
    <n v="0.44233224081313527"/>
    <n v="3113000"/>
    <n v="3890651.5580736543"/>
    <n v="0.6178913644968691"/>
    <n v="4669000"/>
    <s v=""/>
    <s v=""/>
    <s v=""/>
    <s v=""/>
    <n v="4578000"/>
    <n v="0.61789311489733512"/>
    <n v="4578000"/>
    <n v="0.61789311489733512"/>
    <n v="4578000"/>
    <n v="0.61789311489733512"/>
    <n v="2404000"/>
    <n v="0"/>
    <n v="288480"/>
    <n v="104574"/>
    <n v="96160"/>
    <n v="489214"/>
    <n v="3317928.68"/>
    <n v="3890651.5580736543"/>
    <n v="0"/>
    <n v="466878.1869688385"/>
    <n v="169243.34277620396"/>
    <n v="155626.06232294618"/>
    <n v="791747.59206798859"/>
    <n v="5369747.5920679886"/>
    <n v="2051818.9120679884"/>
    <n v="1749285.3199999998"/>
    <n v="302533.59206798859"/>
    <n v="5086000"/>
    <n v="3162579.2390753618"/>
    <n v="4743868.8586130422"/>
    <n v="3112521.2464589234"/>
    <s v=""/>
    <n v="3662400"/>
    <n v="3662400"/>
    <n v="3662400"/>
    <n v="4668781.8696883852"/>
    <s v=""/>
    <n v="5493600"/>
    <n v="5493600"/>
    <n v="5493600"/>
    <n v="0"/>
  </r>
  <r>
    <m/>
    <m/>
    <m/>
    <m/>
    <m/>
    <s v="ANALISTA DE SEGURIDAD Y SALUD EN EL TRABAJO"/>
    <m/>
    <x v="27"/>
    <s v="Directora contable "/>
    <m/>
    <m/>
    <m/>
    <m/>
    <n v="0"/>
    <m/>
    <n v="268"/>
    <x v="5"/>
    <x v="2"/>
    <x v="0"/>
    <n v="287"/>
    <n v="2828714.68"/>
    <n v="0"/>
    <n v="0"/>
    <n v="2404000"/>
    <n v="2404000"/>
    <n v="2828714.68"/>
    <n v="2828714.68"/>
    <n v="2828714.68"/>
    <n v="14.12"/>
    <n v="230"/>
    <n v="4.3499999999999997E-2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692842.9859208548"/>
    <n v="0.76599917483213176"/>
    <n v="3951672.482501477"/>
    <n v="0.71582720797989186"/>
    <n v="3953224.048844202"/>
    <n v="0.71554625921772053"/>
    <n v="3642000"/>
    <n v="0.77669266337177378"/>
    <n v="3754000"/>
    <n v="0.75352015982951526"/>
    <n v="3907000"/>
    <n v="0.72401194778602518"/>
    <n v="4820000"/>
    <n v="0.58687026556016597"/>
    <n v="4855000"/>
    <n v="0.58263948094747686"/>
    <n v="5087000"/>
    <n v="0.55606736386868494"/>
    <n v="4096317.280441653"/>
    <n v="0.58686860304453947"/>
    <n v="6072000"/>
    <n v="0.46586210144927537"/>
    <n v="6239000"/>
    <n v="0.45339231928193624"/>
    <n v="6395000"/>
    <n v="0.44233224081313527"/>
    <n v="3113000"/>
    <n v="3890651.5580736543"/>
    <n v="0.6178913644968691"/>
    <n v="4669000"/>
    <s v=""/>
    <s v=""/>
    <s v=""/>
    <s v=""/>
    <n v="4578000"/>
    <n v="0.61789311489733512"/>
    <n v="4578000"/>
    <n v="0.61789311489733512"/>
    <n v="4578000"/>
    <n v="0.61789311489733512"/>
    <n v="2404000"/>
    <n v="0"/>
    <n v="288480"/>
    <n v="104574"/>
    <n v="96160"/>
    <n v="489214"/>
    <n v="3317928.68"/>
    <n v="3890651.5580736543"/>
    <n v="0"/>
    <n v="466878.1869688385"/>
    <n v="169243.34277620396"/>
    <n v="155626.06232294618"/>
    <n v="791747.59206798859"/>
    <n v="5369747.5920679886"/>
    <n v="2051818.9120679884"/>
    <n v="1749285.3199999998"/>
    <n v="302533.59206798859"/>
    <n v="5086000"/>
    <n v="3162579.2390753618"/>
    <n v="4743868.8586130422"/>
    <n v="3112521.2464589234"/>
    <s v=""/>
    <n v="3662400"/>
    <n v="3662400"/>
    <n v="3662400"/>
    <n v="4668781.8696883852"/>
    <s v=""/>
    <n v="5493600"/>
    <n v="5493600"/>
    <n v="5493600"/>
    <n v="0"/>
  </r>
  <r>
    <m/>
    <m/>
    <m/>
    <m/>
    <m/>
    <s v="TECNICO DE MANTENIMIENTO"/>
    <m/>
    <x v="28"/>
    <s v="Jefe de proyectos aliados "/>
    <m/>
    <m/>
    <m/>
    <m/>
    <n v="0"/>
    <m/>
    <n v="208"/>
    <x v="3"/>
    <x v="1"/>
    <x v="1"/>
    <n v="217"/>
    <n v="3353509.5000000005"/>
    <n v="0"/>
    <n v="0"/>
    <n v="2850000"/>
    <n v="2850000"/>
    <n v="3353509.5000000005"/>
    <n v="3353509.5000000005"/>
    <n v="3353509.5000000005"/>
    <n v="14.12"/>
    <n v="230"/>
    <n v="4.3499999999999997E-2"/>
    <n v="2850000"/>
    <n v="285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1.1383581720064484"/>
    <n v="3172033.7149520805"/>
    <n v="1.0572111778612232"/>
    <n v="3174513.5688502821"/>
    <n v="1.0563853098333253"/>
    <n v="2906000"/>
    <n v="1.1539950103234689"/>
    <n v="3009000"/>
    <n v="1.1144930209371886"/>
    <n v="3129000"/>
    <n v="1.0717511984659638"/>
    <n v="3056000"/>
    <n v="1.0973525850785342"/>
    <n v="3075000"/>
    <n v="1.0905721951219514"/>
    <n v="3279000"/>
    <n v="1.0227232387923149"/>
    <n v="2597167.1388028408"/>
    <n v="1.0973494764428993"/>
    <n v="4712000"/>
    <n v="0.71169556451612914"/>
    <n v="4847000"/>
    <n v="0.69187322054879319"/>
    <n v="4977000"/>
    <n v="0.67380138637733589"/>
    <n v="2229000"/>
    <n v="2786685.552407932"/>
    <n v="1.022720341567551"/>
    <n v="3344000"/>
    <s v=""/>
    <s v=""/>
    <s v=""/>
    <s v=""/>
    <n v="3279000"/>
    <n v="1.0227232387923149"/>
    <n v="3279000"/>
    <n v="1.0227232387923149"/>
    <n v="3279000"/>
    <n v="1.0227232387923149"/>
    <n v="2850000"/>
    <n v="0"/>
    <n v="342000"/>
    <n v="123974.99999999999"/>
    <n v="114000"/>
    <n v="579975"/>
    <n v="3933484.5000000005"/>
    <n v="2786685.552407932"/>
    <n v="0"/>
    <n v="334402.26628895185"/>
    <n v="121220.82152974504"/>
    <n v="111467.42209631728"/>
    <n v="567090.50991501415"/>
    <n v="3846090.5099150143"/>
    <n v="0"/>
    <n v="0"/>
    <n v="0"/>
    <n v="3278000"/>
    <n v="2539610.855080226"/>
    <n v="3809416.2826203383"/>
    <n v="2229348.4419263452"/>
    <s v=""/>
    <n v="2623200"/>
    <n v="2623200"/>
    <n v="2623200"/>
    <n v="3344022.6628895183"/>
    <s v=""/>
    <n v="3934800"/>
    <n v="3934800"/>
    <n v="3934800"/>
    <n v="0"/>
  </r>
  <r>
    <m/>
    <m/>
    <m/>
    <m/>
    <m/>
    <s v="TECNICO DE MANTENIMIENTO"/>
    <m/>
    <x v="28"/>
    <s v="Jefe de proyectos aliados "/>
    <m/>
    <m/>
    <m/>
    <m/>
    <n v="0"/>
    <m/>
    <n v="208"/>
    <x v="3"/>
    <x v="1"/>
    <x v="1"/>
    <n v="217"/>
    <n v="3353509.5000000005"/>
    <n v="0"/>
    <n v="0"/>
    <n v="2850000"/>
    <n v="2850000"/>
    <n v="3353509.5000000005"/>
    <n v="3353509.5000000005"/>
    <n v="3353509.5000000005"/>
    <n v="14.12"/>
    <n v="230"/>
    <n v="4.3499999999999997E-2"/>
    <n v="2850000"/>
    <n v="285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1.1383581720064484"/>
    <n v="3172033.7149520805"/>
    <n v="1.0572111778612232"/>
    <n v="3174513.5688502821"/>
    <n v="1.0563853098333253"/>
    <n v="2906000"/>
    <n v="1.1539950103234689"/>
    <n v="3009000"/>
    <n v="1.1144930209371886"/>
    <n v="3129000"/>
    <n v="1.0717511984659638"/>
    <n v="3056000"/>
    <n v="1.0973525850785342"/>
    <n v="3075000"/>
    <n v="1.0905721951219514"/>
    <n v="3279000"/>
    <n v="1.0227232387923149"/>
    <n v="2597167.1388028408"/>
    <n v="1.0973494764428993"/>
    <n v="4712000"/>
    <n v="0.71169556451612914"/>
    <n v="4847000"/>
    <n v="0.69187322054879319"/>
    <n v="4977000"/>
    <n v="0.67380138637733589"/>
    <n v="2229000"/>
    <n v="2786685.552407932"/>
    <n v="1.022720341567551"/>
    <n v="3344000"/>
    <s v=""/>
    <s v=""/>
    <s v=""/>
    <s v=""/>
    <n v="3279000"/>
    <n v="1.0227232387923149"/>
    <n v="3279000"/>
    <n v="1.0227232387923149"/>
    <n v="3279000"/>
    <n v="1.0227232387923149"/>
    <n v="2850000"/>
    <n v="0"/>
    <n v="342000"/>
    <n v="123974.99999999999"/>
    <n v="114000"/>
    <n v="579975"/>
    <n v="3933484.5000000005"/>
    <n v="2786685.552407932"/>
    <n v="0"/>
    <n v="334402.26628895185"/>
    <n v="121220.82152974504"/>
    <n v="111467.42209631728"/>
    <n v="567090.50991501415"/>
    <n v="3846090.5099150143"/>
    <n v="0"/>
    <n v="0"/>
    <n v="0"/>
    <n v="3278000"/>
    <n v="2539610.855080226"/>
    <n v="3809416.2826203383"/>
    <n v="2229348.4419263452"/>
    <s v=""/>
    <n v="2623200"/>
    <n v="2623200"/>
    <n v="2623200"/>
    <n v="3344022.6628895183"/>
    <s v=""/>
    <n v="3934800"/>
    <n v="3934800"/>
    <n v="3934800"/>
    <n v="0"/>
  </r>
  <r>
    <m/>
    <m/>
    <m/>
    <m/>
    <m/>
    <s v="TECNICO DE MANTENIMIENTO"/>
    <m/>
    <x v="28"/>
    <s v="Jefe de proyectos aliados "/>
    <m/>
    <m/>
    <m/>
    <m/>
    <n v="0"/>
    <m/>
    <n v="208"/>
    <x v="3"/>
    <x v="1"/>
    <x v="1"/>
    <n v="217"/>
    <n v="3353509.5000000005"/>
    <n v="0"/>
    <n v="0"/>
    <n v="2850000"/>
    <n v="2850000"/>
    <n v="3353509.5000000005"/>
    <n v="3353509.5000000005"/>
    <n v="3353509.5000000005"/>
    <n v="14.12"/>
    <n v="230"/>
    <n v="4.3499999999999997E-2"/>
    <n v="2850000"/>
    <n v="285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1.1383581720064484"/>
    <n v="3172033.7149520805"/>
    <n v="1.0572111778612232"/>
    <n v="3174513.5688502821"/>
    <n v="1.0563853098333253"/>
    <n v="2906000"/>
    <n v="1.1539950103234689"/>
    <n v="3009000"/>
    <n v="1.1144930209371886"/>
    <n v="3129000"/>
    <n v="1.0717511984659638"/>
    <n v="3056000"/>
    <n v="1.0973525850785342"/>
    <n v="3075000"/>
    <n v="1.0905721951219514"/>
    <n v="3279000"/>
    <n v="1.0227232387923149"/>
    <n v="2597167.1388028408"/>
    <n v="1.0973494764428993"/>
    <n v="4712000"/>
    <n v="0.71169556451612914"/>
    <n v="4847000"/>
    <n v="0.69187322054879319"/>
    <n v="4977000"/>
    <n v="0.67380138637733589"/>
    <n v="2229000"/>
    <n v="2786685.552407932"/>
    <n v="1.022720341567551"/>
    <n v="3344000"/>
    <s v=""/>
    <s v=""/>
    <s v=""/>
    <s v=""/>
    <n v="3279000"/>
    <n v="1.0227232387923149"/>
    <n v="3279000"/>
    <n v="1.0227232387923149"/>
    <n v="3279000"/>
    <n v="1.0227232387923149"/>
    <n v="2850000"/>
    <n v="0"/>
    <n v="342000"/>
    <n v="123974.99999999999"/>
    <n v="114000"/>
    <n v="579975"/>
    <n v="3933484.5000000005"/>
    <n v="2786685.552407932"/>
    <n v="0"/>
    <n v="334402.26628895185"/>
    <n v="121220.82152974504"/>
    <n v="111467.42209631728"/>
    <n v="567090.50991501415"/>
    <n v="3846090.5099150143"/>
    <n v="0"/>
    <n v="0"/>
    <n v="0"/>
    <n v="3278000"/>
    <n v="2539610.855080226"/>
    <n v="3809416.2826203383"/>
    <n v="2229348.4419263452"/>
    <s v=""/>
    <n v="2623200"/>
    <n v="2623200"/>
    <n v="2623200"/>
    <n v="3344022.6628895183"/>
    <s v=""/>
    <n v="3934800"/>
    <n v="3934800"/>
    <n v="3934800"/>
    <n v="0"/>
  </r>
  <r>
    <m/>
    <m/>
    <m/>
    <m/>
    <m/>
    <s v="TECNICO DE MANTENIMIENTO"/>
    <m/>
    <x v="28"/>
    <s v="Jefe de proyectos aliados "/>
    <m/>
    <m/>
    <m/>
    <m/>
    <n v="0"/>
    <m/>
    <n v="208"/>
    <x v="3"/>
    <x v="1"/>
    <x v="1"/>
    <n v="217"/>
    <n v="3353509.5000000005"/>
    <n v="0"/>
    <n v="0"/>
    <n v="2850000"/>
    <n v="2850000"/>
    <n v="3353509.5000000005"/>
    <n v="3353509.5000000005"/>
    <n v="3353509.5000000005"/>
    <n v="14.12"/>
    <n v="230"/>
    <n v="4.3499999999999997E-2"/>
    <n v="2850000"/>
    <n v="285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1.1383581720064484"/>
    <n v="3172033.7149520805"/>
    <n v="1.0572111778612232"/>
    <n v="3174513.5688502821"/>
    <n v="1.0563853098333253"/>
    <n v="2906000"/>
    <n v="1.1539950103234689"/>
    <n v="3009000"/>
    <n v="1.1144930209371886"/>
    <n v="3129000"/>
    <n v="1.0717511984659638"/>
    <n v="3056000"/>
    <n v="1.0973525850785342"/>
    <n v="3075000"/>
    <n v="1.0905721951219514"/>
    <n v="3279000"/>
    <n v="1.0227232387923149"/>
    <n v="2597167.1388028408"/>
    <n v="1.0973494764428993"/>
    <n v="4712000"/>
    <n v="0.71169556451612914"/>
    <n v="4847000"/>
    <n v="0.69187322054879319"/>
    <n v="4977000"/>
    <n v="0.67380138637733589"/>
    <n v="2229000"/>
    <n v="2786685.552407932"/>
    <n v="1.022720341567551"/>
    <n v="3344000"/>
    <s v=""/>
    <s v=""/>
    <s v=""/>
    <s v=""/>
    <n v="3279000"/>
    <n v="1.0227232387923149"/>
    <n v="3279000"/>
    <n v="1.0227232387923149"/>
    <n v="3279000"/>
    <n v="1.0227232387923149"/>
    <n v="2850000"/>
    <n v="0"/>
    <n v="342000"/>
    <n v="123974.99999999999"/>
    <n v="114000"/>
    <n v="579975"/>
    <n v="3933484.5000000005"/>
    <n v="2786685.552407932"/>
    <n v="0"/>
    <n v="334402.26628895185"/>
    <n v="121220.82152974504"/>
    <n v="111467.42209631728"/>
    <n v="567090.50991501415"/>
    <n v="3846090.5099150143"/>
    <n v="0"/>
    <n v="0"/>
    <n v="0"/>
    <n v="3278000"/>
    <n v="2539610.855080226"/>
    <n v="3809416.2826203383"/>
    <n v="2229348.4419263452"/>
    <s v=""/>
    <n v="2623200"/>
    <n v="2623200"/>
    <n v="2623200"/>
    <n v="3344022.6628895183"/>
    <s v=""/>
    <n v="3934800"/>
    <n v="3934800"/>
    <n v="3934800"/>
    <n v="0"/>
  </r>
  <r>
    <m/>
    <m/>
    <m/>
    <m/>
    <m/>
    <s v="TECNICO DE MANTENIMIENTO"/>
    <m/>
    <x v="28"/>
    <s v="Jefe de proyectos aliados "/>
    <m/>
    <m/>
    <m/>
    <m/>
    <n v="0"/>
    <m/>
    <n v="208"/>
    <x v="3"/>
    <x v="1"/>
    <x v="1"/>
    <n v="217"/>
    <n v="3353509.5000000005"/>
    <n v="0"/>
    <n v="0"/>
    <n v="2850000"/>
    <n v="2850000"/>
    <n v="3353509.5000000005"/>
    <n v="3353509.5000000005"/>
    <n v="3353509.5000000005"/>
    <n v="14.12"/>
    <n v="230"/>
    <n v="4.3499999999999997E-2"/>
    <n v="2850000"/>
    <n v="285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1.1383581720064484"/>
    <n v="3172033.7149520805"/>
    <n v="1.0572111778612232"/>
    <n v="3174513.5688502821"/>
    <n v="1.0563853098333253"/>
    <n v="2906000"/>
    <n v="1.1539950103234689"/>
    <n v="3009000"/>
    <n v="1.1144930209371886"/>
    <n v="3129000"/>
    <n v="1.0717511984659638"/>
    <n v="3056000"/>
    <n v="1.0973525850785342"/>
    <n v="3075000"/>
    <n v="1.0905721951219514"/>
    <n v="3279000"/>
    <n v="1.0227232387923149"/>
    <n v="2597167.1388028408"/>
    <n v="1.0973494764428993"/>
    <n v="4712000"/>
    <n v="0.71169556451612914"/>
    <n v="4847000"/>
    <n v="0.69187322054879319"/>
    <n v="4977000"/>
    <n v="0.67380138637733589"/>
    <n v="2229000"/>
    <n v="2786685.552407932"/>
    <n v="1.022720341567551"/>
    <n v="3344000"/>
    <s v=""/>
    <s v=""/>
    <s v=""/>
    <s v=""/>
    <n v="3279000"/>
    <n v="1.0227232387923149"/>
    <n v="3279000"/>
    <n v="1.0227232387923149"/>
    <n v="3279000"/>
    <n v="1.0227232387923149"/>
    <n v="2850000"/>
    <n v="0"/>
    <n v="342000"/>
    <n v="123974.99999999999"/>
    <n v="114000"/>
    <n v="579975"/>
    <n v="3933484.5000000005"/>
    <n v="2786685.552407932"/>
    <n v="0"/>
    <n v="334402.26628895185"/>
    <n v="121220.82152974504"/>
    <n v="111467.42209631728"/>
    <n v="567090.50991501415"/>
    <n v="3846090.5099150143"/>
    <n v="0"/>
    <n v="0"/>
    <n v="0"/>
    <n v="3278000"/>
    <n v="2539610.855080226"/>
    <n v="3809416.2826203383"/>
    <n v="2229348.4419263452"/>
    <s v=""/>
    <n v="2623200"/>
    <n v="2623200"/>
    <n v="2623200"/>
    <n v="3344022.6628895183"/>
    <s v=""/>
    <n v="3934800"/>
    <n v="3934800"/>
    <n v="3934800"/>
    <n v="0"/>
  </r>
  <r>
    <m/>
    <m/>
    <m/>
    <m/>
    <m/>
    <s v="TECNICO DE MANTENIMIENTO"/>
    <m/>
    <x v="28"/>
    <s v="Jefe de proyectos aliados "/>
    <m/>
    <m/>
    <m/>
    <m/>
    <n v="0"/>
    <m/>
    <n v="208"/>
    <x v="3"/>
    <x v="1"/>
    <x v="1"/>
    <n v="217"/>
    <n v="3353509.5000000005"/>
    <n v="0"/>
    <n v="0"/>
    <n v="2850000"/>
    <n v="2850000"/>
    <n v="3353509.5000000005"/>
    <n v="3353509.5000000005"/>
    <n v="3353509.5000000005"/>
    <n v="14.12"/>
    <n v="230"/>
    <n v="4.3499999999999997E-2"/>
    <n v="2850000"/>
    <n v="285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1.1383581720064484"/>
    <n v="3172033.7149520805"/>
    <n v="1.0572111778612232"/>
    <n v="3174513.5688502821"/>
    <n v="1.0563853098333253"/>
    <n v="2906000"/>
    <n v="1.1539950103234689"/>
    <n v="3009000"/>
    <n v="1.1144930209371886"/>
    <n v="3129000"/>
    <n v="1.0717511984659638"/>
    <n v="3056000"/>
    <n v="1.0973525850785342"/>
    <n v="3075000"/>
    <n v="1.0905721951219514"/>
    <n v="3279000"/>
    <n v="1.0227232387923149"/>
    <n v="2597167.1388028408"/>
    <n v="1.0973494764428993"/>
    <n v="4712000"/>
    <n v="0.71169556451612914"/>
    <n v="4847000"/>
    <n v="0.69187322054879319"/>
    <n v="4977000"/>
    <n v="0.67380138637733589"/>
    <n v="2229000"/>
    <n v="2786685.552407932"/>
    <n v="1.022720341567551"/>
    <n v="3344000"/>
    <s v=""/>
    <s v=""/>
    <s v=""/>
    <s v=""/>
    <n v="3279000"/>
    <n v="1.0227232387923149"/>
    <n v="3279000"/>
    <n v="1.0227232387923149"/>
    <n v="3279000"/>
    <n v="1.0227232387923149"/>
    <n v="2850000"/>
    <n v="0"/>
    <n v="342000"/>
    <n v="123974.99999999999"/>
    <n v="114000"/>
    <n v="579975"/>
    <n v="3933484.5000000005"/>
    <n v="2786685.552407932"/>
    <n v="0"/>
    <n v="334402.26628895185"/>
    <n v="121220.82152974504"/>
    <n v="111467.42209631728"/>
    <n v="567090.50991501415"/>
    <n v="3846090.5099150143"/>
    <n v="0"/>
    <n v="0"/>
    <n v="0"/>
    <n v="3278000"/>
    <n v="2539610.855080226"/>
    <n v="3809416.2826203383"/>
    <n v="2229348.4419263452"/>
    <s v=""/>
    <n v="2623200"/>
    <n v="2623200"/>
    <n v="2623200"/>
    <n v="3344022.6628895183"/>
    <s v=""/>
    <n v="3934800"/>
    <n v="3934800"/>
    <n v="3934800"/>
    <n v="0"/>
  </r>
  <r>
    <m/>
    <m/>
    <m/>
    <m/>
    <m/>
    <s v="TECNICO DE MANTENIMIENTO"/>
    <m/>
    <x v="28"/>
    <s v="Jefe de proyectos aliados "/>
    <m/>
    <m/>
    <m/>
    <m/>
    <n v="0"/>
    <m/>
    <n v="208"/>
    <x v="3"/>
    <x v="1"/>
    <x v="1"/>
    <n v="217"/>
    <n v="3353509.5000000005"/>
    <n v="0"/>
    <n v="0"/>
    <n v="2850000"/>
    <n v="2850000"/>
    <n v="3353509.5000000005"/>
    <n v="3353509.5000000005"/>
    <n v="3353509.5000000005"/>
    <n v="14.12"/>
    <n v="230"/>
    <n v="4.3499999999999997E-2"/>
    <n v="2850000"/>
    <n v="285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1.1383581720064484"/>
    <n v="3172033.7149520805"/>
    <n v="1.0572111778612232"/>
    <n v="3174513.5688502821"/>
    <n v="1.0563853098333253"/>
    <n v="2906000"/>
    <n v="1.1539950103234689"/>
    <n v="3009000"/>
    <n v="1.1144930209371886"/>
    <n v="3129000"/>
    <n v="1.0717511984659638"/>
    <n v="3056000"/>
    <n v="1.0973525850785342"/>
    <n v="3075000"/>
    <n v="1.0905721951219514"/>
    <n v="3279000"/>
    <n v="1.0227232387923149"/>
    <n v="2597167.1388028408"/>
    <n v="1.0973494764428993"/>
    <n v="4712000"/>
    <n v="0.71169556451612914"/>
    <n v="4847000"/>
    <n v="0.69187322054879319"/>
    <n v="4977000"/>
    <n v="0.67380138637733589"/>
    <n v="2229000"/>
    <n v="2786685.552407932"/>
    <n v="1.022720341567551"/>
    <n v="3344000"/>
    <s v=""/>
    <s v=""/>
    <s v=""/>
    <s v=""/>
    <n v="3279000"/>
    <n v="1.0227232387923149"/>
    <n v="3279000"/>
    <n v="1.0227232387923149"/>
    <n v="3279000"/>
    <n v="1.0227232387923149"/>
    <n v="2850000"/>
    <n v="0"/>
    <n v="342000"/>
    <n v="123974.99999999999"/>
    <n v="114000"/>
    <n v="579975"/>
    <n v="3933484.5000000005"/>
    <n v="2786685.552407932"/>
    <n v="0"/>
    <n v="334402.26628895185"/>
    <n v="121220.82152974504"/>
    <n v="111467.42209631728"/>
    <n v="567090.50991501415"/>
    <n v="3846090.5099150143"/>
    <n v="0"/>
    <n v="0"/>
    <n v="0"/>
    <n v="3278000"/>
    <n v="2539610.855080226"/>
    <n v="3809416.2826203383"/>
    <n v="2229348.4419263452"/>
    <s v=""/>
    <n v="2623200"/>
    <n v="2623200"/>
    <n v="2623200"/>
    <n v="3344022.6628895183"/>
    <s v=""/>
    <n v="3934800"/>
    <n v="3934800"/>
    <n v="3934800"/>
    <n v="0"/>
  </r>
  <r>
    <m/>
    <m/>
    <m/>
    <m/>
    <m/>
    <s v="TECNICO DE MANTENIMIENTO"/>
    <m/>
    <x v="28"/>
    <s v="Jefe de proyectos aliados "/>
    <m/>
    <m/>
    <m/>
    <m/>
    <n v="0"/>
    <m/>
    <n v="208"/>
    <x v="3"/>
    <x v="1"/>
    <x v="1"/>
    <n v="217"/>
    <n v="3353509.5000000005"/>
    <n v="0"/>
    <n v="0"/>
    <n v="2850000"/>
    <n v="2850000"/>
    <n v="3353509.5000000005"/>
    <n v="3353509.5000000005"/>
    <n v="3353509.5000000005"/>
    <n v="14.12"/>
    <n v="230"/>
    <n v="4.3499999999999997E-2"/>
    <n v="2850000"/>
    <n v="285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1.1383581720064484"/>
    <n v="3172033.7149520805"/>
    <n v="1.0572111778612232"/>
    <n v="3174513.5688502821"/>
    <n v="1.0563853098333253"/>
    <n v="2906000"/>
    <n v="1.1539950103234689"/>
    <n v="3009000"/>
    <n v="1.1144930209371886"/>
    <n v="3129000"/>
    <n v="1.0717511984659638"/>
    <n v="3056000"/>
    <n v="1.0973525850785342"/>
    <n v="3075000"/>
    <n v="1.0905721951219514"/>
    <n v="3279000"/>
    <n v="1.0227232387923149"/>
    <n v="2597167.1388028408"/>
    <n v="1.0973494764428993"/>
    <n v="4712000"/>
    <n v="0.71169556451612914"/>
    <n v="4847000"/>
    <n v="0.69187322054879319"/>
    <n v="4977000"/>
    <n v="0.67380138637733589"/>
    <n v="2229000"/>
    <n v="2786685.552407932"/>
    <n v="1.022720341567551"/>
    <n v="3344000"/>
    <s v=""/>
    <s v=""/>
    <s v=""/>
    <s v=""/>
    <n v="3279000"/>
    <n v="1.0227232387923149"/>
    <n v="3279000"/>
    <n v="1.0227232387923149"/>
    <n v="3279000"/>
    <n v="1.0227232387923149"/>
    <n v="2850000"/>
    <n v="0"/>
    <n v="342000"/>
    <n v="123974.99999999999"/>
    <n v="114000"/>
    <n v="579975"/>
    <n v="3933484.5000000005"/>
    <n v="2786685.552407932"/>
    <n v="0"/>
    <n v="334402.26628895185"/>
    <n v="121220.82152974504"/>
    <n v="111467.42209631728"/>
    <n v="567090.50991501415"/>
    <n v="3846090.5099150143"/>
    <n v="0"/>
    <n v="0"/>
    <n v="0"/>
    <n v="3278000"/>
    <n v="2539610.855080226"/>
    <n v="3809416.2826203383"/>
    <n v="2229348.4419263452"/>
    <s v=""/>
    <n v="2623200"/>
    <n v="2623200"/>
    <n v="2623200"/>
    <n v="3344022.6628895183"/>
    <s v=""/>
    <n v="3934800"/>
    <n v="3934800"/>
    <n v="3934800"/>
    <n v="0"/>
  </r>
  <r>
    <m/>
    <m/>
    <m/>
    <m/>
    <m/>
    <s v="TECNICO DE MANTENIMIENTO"/>
    <m/>
    <x v="28"/>
    <s v="Jefe de proyectos aliados "/>
    <m/>
    <m/>
    <m/>
    <m/>
    <n v="0"/>
    <m/>
    <n v="208"/>
    <x v="3"/>
    <x v="1"/>
    <x v="1"/>
    <n v="217"/>
    <n v="3353509.5000000005"/>
    <n v="0"/>
    <n v="0"/>
    <n v="2850000"/>
    <n v="2850000"/>
    <n v="3353509.5000000005"/>
    <n v="3353509.5000000005"/>
    <n v="3353509.5000000005"/>
    <n v="14.12"/>
    <n v="230"/>
    <n v="4.3499999999999997E-2"/>
    <n v="2850000"/>
    <n v="285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1.1383581720064484"/>
    <n v="3172033.7149520805"/>
    <n v="1.0572111778612232"/>
    <n v="3174513.5688502821"/>
    <n v="1.0563853098333253"/>
    <n v="2906000"/>
    <n v="1.1539950103234689"/>
    <n v="3009000"/>
    <n v="1.1144930209371886"/>
    <n v="3129000"/>
    <n v="1.0717511984659638"/>
    <n v="3056000"/>
    <n v="1.0973525850785342"/>
    <n v="3075000"/>
    <n v="1.0905721951219514"/>
    <n v="3279000"/>
    <n v="1.0227232387923149"/>
    <n v="2597167.1388028408"/>
    <n v="1.0973494764428993"/>
    <n v="4712000"/>
    <n v="0.71169556451612914"/>
    <n v="4847000"/>
    <n v="0.69187322054879319"/>
    <n v="4977000"/>
    <n v="0.67380138637733589"/>
    <n v="2229000"/>
    <n v="2786685.552407932"/>
    <n v="1.022720341567551"/>
    <n v="3344000"/>
    <s v=""/>
    <s v=""/>
    <s v=""/>
    <s v=""/>
    <n v="3279000"/>
    <n v="1.0227232387923149"/>
    <n v="3279000"/>
    <n v="1.0227232387923149"/>
    <n v="3279000"/>
    <n v="1.0227232387923149"/>
    <n v="2850000"/>
    <n v="0"/>
    <n v="342000"/>
    <n v="123974.99999999999"/>
    <n v="114000"/>
    <n v="579975"/>
    <n v="3933484.5000000005"/>
    <n v="2786685.552407932"/>
    <n v="0"/>
    <n v="334402.26628895185"/>
    <n v="121220.82152974504"/>
    <n v="111467.42209631728"/>
    <n v="567090.50991501415"/>
    <n v="3846090.5099150143"/>
    <n v="0"/>
    <n v="0"/>
    <n v="0"/>
    <n v="3278000"/>
    <n v="2539610.855080226"/>
    <n v="3809416.2826203383"/>
    <n v="2229348.4419263452"/>
    <s v=""/>
    <n v="2623200"/>
    <n v="2623200"/>
    <n v="2623200"/>
    <n v="3344022.6628895183"/>
    <s v=""/>
    <n v="3934800"/>
    <n v="3934800"/>
    <n v="3934800"/>
    <n v="0"/>
  </r>
  <r>
    <m/>
    <m/>
    <m/>
    <m/>
    <m/>
    <s v="TECNICO DE MANTENIMIENTO"/>
    <m/>
    <x v="28"/>
    <s v="Jefe de proyectos aliados "/>
    <m/>
    <m/>
    <m/>
    <m/>
    <n v="0"/>
    <m/>
    <n v="208"/>
    <x v="3"/>
    <x v="1"/>
    <x v="1"/>
    <n v="217"/>
    <n v="3353509.5000000005"/>
    <n v="0"/>
    <n v="0"/>
    <n v="2850000"/>
    <n v="2850000"/>
    <n v="3353509.5000000005"/>
    <n v="3353509.5000000005"/>
    <n v="3353509.5000000005"/>
    <n v="14.12"/>
    <n v="230"/>
    <n v="4.3499999999999997E-2"/>
    <n v="2850000"/>
    <n v="285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2945917.7106702444"/>
    <n v="1.1383581720064484"/>
    <n v="3172033.7149520805"/>
    <n v="1.0572111778612232"/>
    <n v="3174513.5688502821"/>
    <n v="1.0563853098333253"/>
    <n v="2906000"/>
    <n v="1.1539950103234689"/>
    <n v="3009000"/>
    <n v="1.1144930209371886"/>
    <n v="3129000"/>
    <n v="1.0717511984659638"/>
    <n v="3056000"/>
    <n v="1.0973525850785342"/>
    <n v="3075000"/>
    <n v="1.0905721951219514"/>
    <n v="3279000"/>
    <n v="1.0227232387923149"/>
    <n v="2597167.1388028408"/>
    <n v="1.0973494764428993"/>
    <n v="4712000"/>
    <n v="0.71169556451612914"/>
    <n v="4847000"/>
    <n v="0.69187322054879319"/>
    <n v="4977000"/>
    <n v="0.67380138637733589"/>
    <n v="2229000"/>
    <n v="2786685.552407932"/>
    <n v="1.022720341567551"/>
    <n v="3344000"/>
    <s v=""/>
    <s v=""/>
    <s v=""/>
    <s v=""/>
    <n v="3279000"/>
    <n v="1.0227232387923149"/>
    <n v="3279000"/>
    <n v="1.0227232387923149"/>
    <n v="3279000"/>
    <n v="1.0227232387923149"/>
    <n v="2850000"/>
    <n v="0"/>
    <n v="342000"/>
    <n v="123974.99999999999"/>
    <n v="114000"/>
    <n v="579975"/>
    <n v="3933484.5000000005"/>
    <n v="2786685.552407932"/>
    <n v="0"/>
    <n v="334402.26628895185"/>
    <n v="121220.82152974504"/>
    <n v="111467.42209631728"/>
    <n v="567090.50991501415"/>
    <n v="3846090.5099150143"/>
    <n v="0"/>
    <n v="0"/>
    <n v="0"/>
    <n v="3278000"/>
    <n v="2539610.855080226"/>
    <n v="3809416.2826203383"/>
    <n v="2229348.4419263452"/>
    <s v=""/>
    <n v="2623200"/>
    <n v="2623200"/>
    <n v="2623200"/>
    <n v="3344022.6628895183"/>
    <s v=""/>
    <n v="3934800"/>
    <n v="3934800"/>
    <n v="3934800"/>
    <n v="0"/>
  </r>
  <r>
    <m/>
    <m/>
    <m/>
    <m/>
    <m/>
    <s v="ANALISTA DE NOMINA"/>
    <m/>
    <x v="29"/>
    <s v="Coordinadora de seguridad y salud en el trabajo "/>
    <m/>
    <m/>
    <m/>
    <m/>
    <n v="0"/>
    <m/>
    <n v="248"/>
    <x v="4"/>
    <x v="1"/>
    <x v="0"/>
    <n v="249"/>
    <n v="2941675.0000000005"/>
    <n v="0"/>
    <n v="0"/>
    <n v="2500000"/>
    <n v="2500000"/>
    <n v="2941675.0000000005"/>
    <n v="2941675.0000000005"/>
    <n v="2941675.0000000005"/>
    <n v="14.12"/>
    <n v="230"/>
    <n v="5.2199999999999998E-3"/>
    <n v="2500000"/>
    <n v="25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287369.2650705236"/>
    <n v="0.89484166906844065"/>
    <n v="3528440.0086889477"/>
    <n v="0.83370412781738923"/>
    <n v="3530495.5025617885"/>
    <n v="0.83321873597218021"/>
    <n v="3243000"/>
    <n v="0.90708448967005872"/>
    <n v="3349000"/>
    <n v="0.87837414153478666"/>
    <n v="3485000"/>
    <n v="0.84409612625538033"/>
    <n v="3863000"/>
    <n v="0.76150012943308321"/>
    <n v="3889000"/>
    <n v="0.75640910259706873"/>
    <n v="4105000"/>
    <n v="0.71660779537149832"/>
    <n v="3283002.8328518891"/>
    <n v="0.76149797221718885"/>
    <n v="5334000"/>
    <n v="0.55149512560929892"/>
    <n v="5483000"/>
    <n v="0.53650829837680114"/>
    <n v="5625000"/>
    <n v="0.52296444444444457"/>
    <n v="2512000"/>
    <n v="3140226.628895184"/>
    <n v="0.7961208840775823"/>
    <n v="3768000"/>
    <s v=""/>
    <s v=""/>
    <s v=""/>
    <s v=""/>
    <n v="3695000"/>
    <n v="0.79612313937753731"/>
    <n v="3695000"/>
    <n v="0.79612313937753731"/>
    <n v="3695000"/>
    <n v="0.79612313937753731"/>
    <n v="2500000"/>
    <n v="0"/>
    <n v="300000"/>
    <n v="13050"/>
    <n v="100000"/>
    <n v="413050"/>
    <n v="3354725.0000000005"/>
    <n v="3140226.628895184"/>
    <n v="0"/>
    <n v="376827.19546742208"/>
    <n v="16391.983002832862"/>
    <n v="125609.06515580736"/>
    <n v="518828.24362606229"/>
    <n v="4213828.2436260618"/>
    <n v="859103.24362606136"/>
    <n v="753324.99999999953"/>
    <n v="105778.24362606229"/>
    <n v="4104000"/>
    <n v="2824396.4020494311"/>
    <n v="4236594.6030741464"/>
    <n v="2512181.3031161469"/>
    <s v=""/>
    <n v="2956000"/>
    <n v="2956000"/>
    <n v="2956000"/>
    <n v="3768271.9546742206"/>
    <s v=""/>
    <n v="4434000"/>
    <n v="4434000"/>
    <n v="4434000"/>
    <n v="0"/>
  </r>
  <r>
    <m/>
    <m/>
    <m/>
    <m/>
    <m/>
    <s v="INGENIERO DE DATOS"/>
    <m/>
    <x v="30"/>
    <s v="Director de TIC"/>
    <m/>
    <m/>
    <m/>
    <m/>
    <n v="0"/>
    <m/>
    <n v="300"/>
    <x v="5"/>
    <x v="2"/>
    <x v="0"/>
    <n v="287"/>
    <n v="6763499.1600000001"/>
    <n v="0"/>
    <n v="0"/>
    <n v="5748000"/>
    <n v="5748000"/>
    <n v="6763499.1600000001"/>
    <n v="6763499.1600000001"/>
    <n v="6763499.1600000001"/>
    <n v="14.12"/>
    <n v="230"/>
    <n v="5.2199999999999998E-3"/>
    <n v="5748000"/>
    <n v="5748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692842.9859208548"/>
    <n v="1.8315154978931334"/>
    <n v="3951672.482501477"/>
    <n v="1.7115535738221372"/>
    <n v="3953224.048844202"/>
    <n v="1.7108818211245664"/>
    <n v="3642000"/>
    <n v="1.8570837891268535"/>
    <n v="3754000"/>
    <n v="1.8016779861481087"/>
    <n v="3907000"/>
    <n v="1.7311234092654211"/>
    <n v="4820000"/>
    <n v="1.4032155933609958"/>
    <n v="4855000"/>
    <n v="1.3930997239958807"/>
    <n v="5087000"/>
    <n v="1.3295653941419305"/>
    <n v="4096317.280441653"/>
    <n v="1.4032116182612366"/>
    <n v="6072000"/>
    <n v="1.1138832608695652"/>
    <n v="6239000"/>
    <n v="1.0840678249719506"/>
    <n v="6395000"/>
    <n v="1.0576230117279124"/>
    <n v="3113000"/>
    <n v="3890651.5580736543"/>
    <n v="1.4773875054609"/>
    <n v="4669000"/>
    <s v=""/>
    <s v=""/>
    <s v=""/>
    <s v=""/>
    <n v="4578000"/>
    <n v="1.4773916906946265"/>
    <n v="4578000"/>
    <n v="1.4773916906946265"/>
    <n v="4578000"/>
    <n v="1.4773916906946265"/>
    <n v="5748000"/>
    <n v="0"/>
    <n v="689760"/>
    <n v="30004.559999999998"/>
    <n v="229920"/>
    <n v="949684.56"/>
    <n v="7713183.7200000007"/>
    <n v="3890651.5580736543"/>
    <n v="0"/>
    <n v="466878.1869688385"/>
    <n v="20309.201133144474"/>
    <n v="155626.06232294618"/>
    <n v="642813.45042492915"/>
    <n v="5220813.4504249291"/>
    <n v="0"/>
    <n v="0"/>
    <n v="0"/>
    <n v="5086000"/>
    <n v="3162579.2390753618"/>
    <n v="4743868.8586130422"/>
    <n v="3112521.2464589234"/>
    <s v=""/>
    <n v="3662400"/>
    <n v="3662400"/>
    <n v="3662400"/>
    <n v="4668781.8696883852"/>
    <s v=""/>
    <n v="5493600"/>
    <n v="5493600"/>
    <n v="5493600"/>
    <n v="2718106.7394900862"/>
  </r>
  <r>
    <m/>
    <m/>
    <m/>
    <m/>
    <m/>
    <s v="LIDER MECANICO EXPERTO EN MOLDES"/>
    <m/>
    <x v="31"/>
    <s v="Director de Taller"/>
    <m/>
    <m/>
    <m/>
    <m/>
    <n v="0"/>
    <m/>
    <n v="301"/>
    <x v="5"/>
    <x v="2"/>
    <x v="2"/>
    <n v="287"/>
    <n v="4471346"/>
    <n v="0"/>
    <n v="0"/>
    <n v="3800000"/>
    <n v="3800000"/>
    <n v="4471346"/>
    <n v="4471346"/>
    <n v="4471346"/>
    <n v="14.12"/>
    <n v="230"/>
    <n v="4.3499999999999997E-2"/>
    <n v="3800000"/>
    <n v="38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692842.9859208548"/>
    <n v="1.2108140034784112"/>
    <n v="3951672.482501477"/>
    <n v="1.1315072339116425"/>
    <n v="3953224.048844202"/>
    <n v="1.1310631385305066"/>
    <n v="3642000"/>
    <n v="1.2277171883580451"/>
    <n v="3754000"/>
    <n v="1.1910884389984018"/>
    <n v="3907000"/>
    <n v="1.1444448425902227"/>
    <n v="4820000"/>
    <n v="0.92766514522821575"/>
    <n v="4855000"/>
    <n v="0.92097754891864059"/>
    <n v="5087000"/>
    <n v="0.87897503440141533"/>
    <n v="4096317.280441653"/>
    <n v="0.92766251729170135"/>
    <n v="6072000"/>
    <n v="0.73638768115942033"/>
    <n v="6239000"/>
    <n v="0.71667671101137997"/>
    <n v="6395000"/>
    <n v="0.69919405785770128"/>
    <n v="4150000"/>
    <n v="5187535.4107648721"/>
    <n v="0.73252512013979909"/>
    <n v="6225000"/>
    <s v=""/>
    <s v=""/>
    <s v=""/>
    <s v=""/>
    <n v="6104000"/>
    <n v="0.73252719528178245"/>
    <n v="6104000"/>
    <n v="0.73252719528178245"/>
    <n v="6104000"/>
    <n v="0.73252719528178245"/>
    <n v="3800000"/>
    <n v="0"/>
    <n v="456000"/>
    <n v="165300"/>
    <n v="152000"/>
    <n v="773300"/>
    <n v="5244646"/>
    <n v="5187535.4107648721"/>
    <n v="0"/>
    <n v="622504.2492917846"/>
    <n v="225657.79036827193"/>
    <n v="207501.41643059489"/>
    <n v="1055663.4560906515"/>
    <n v="7159663.4560906515"/>
    <n v="1915017.4560906515"/>
    <n v="1632654"/>
    <n v="282363.45609065145"/>
    <n v="5086000"/>
    <n v="3162579.2390753618"/>
    <n v="4743868.8586130422"/>
    <n v="4150028.3286118978"/>
    <s v=""/>
    <n v="4883200"/>
    <n v="4883200"/>
    <n v="4883200"/>
    <n v="6225042.4929178469"/>
    <s v=""/>
    <n v="7324800"/>
    <n v="7324800"/>
    <n v="7324800"/>
    <n v="0"/>
  </r>
  <r>
    <m/>
    <m/>
    <m/>
    <m/>
    <m/>
    <s v="ANALISTA DE TECNOLOGÍAS DE LA INFORMACIÓN"/>
    <m/>
    <x v="32"/>
    <s v=""/>
    <m/>
    <m/>
    <m/>
    <m/>
    <n v="0"/>
    <m/>
    <n v="304"/>
    <x v="5"/>
    <x v="2"/>
    <x v="0"/>
    <n v="287"/>
    <n v="2828714.68"/>
    <n v="0"/>
    <n v="0"/>
    <n v="2404000"/>
    <n v="2404000"/>
    <n v="2828714.68"/>
    <n v="2828714.68"/>
    <n v="2828714.68"/>
    <n v="14.12"/>
    <n v="230"/>
    <n v="4.3499999999999997E-2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692842.9859208548"/>
    <n v="0.76599917483213176"/>
    <n v="3951672.482501477"/>
    <n v="0.71582720797989186"/>
    <n v="3953224.048844202"/>
    <n v="0.71554625921772053"/>
    <n v="3642000"/>
    <n v="0.77669266337177378"/>
    <n v="3754000"/>
    <n v="0.75352015982951526"/>
    <n v="3907000"/>
    <n v="0.72401194778602518"/>
    <n v="4820000"/>
    <n v="0.58687026556016597"/>
    <n v="4855000"/>
    <n v="0.58263948094747686"/>
    <n v="5087000"/>
    <n v="0.55606736386868494"/>
    <n v="4096317.280441653"/>
    <n v="0.58686860304453947"/>
    <n v="6072000"/>
    <n v="0.46586210144927537"/>
    <n v="6239000"/>
    <n v="0.45339231928193624"/>
    <n v="6395000"/>
    <n v="0.44233224081313527"/>
    <n v="3113000"/>
    <n v="3890651.5580736543"/>
    <n v="0.6178913644968691"/>
    <n v="4669000"/>
    <s v=""/>
    <s v=""/>
    <s v=""/>
    <s v=""/>
    <n v="4578000"/>
    <n v="0.61789311489733512"/>
    <n v="4578000"/>
    <n v="0.61789311489733512"/>
    <n v="4578000"/>
    <n v="0.61789311489733512"/>
    <n v="2404000"/>
    <n v="0"/>
    <n v="288480"/>
    <n v="104574"/>
    <n v="96160"/>
    <n v="489214"/>
    <n v="3317928.68"/>
    <n v="3890651.5580736543"/>
    <n v="0"/>
    <n v="466878.1869688385"/>
    <n v="169243.34277620396"/>
    <n v="155626.06232294618"/>
    <n v="791747.59206798859"/>
    <n v="5369747.5920679886"/>
    <n v="2051818.9120679884"/>
    <n v="1749285.3199999998"/>
    <n v="302533.59206798859"/>
    <n v="5086000"/>
    <n v="3162579.2390753618"/>
    <n v="4743868.8586130422"/>
    <n v="3112521.2464589234"/>
    <s v=""/>
    <n v="3662400"/>
    <n v="3662400"/>
    <n v="3662400"/>
    <n v="4668781.8696883852"/>
    <s v=""/>
    <n v="5493600"/>
    <n v="5493600"/>
    <n v="5493600"/>
    <n v="0"/>
  </r>
  <r>
    <m/>
    <m/>
    <m/>
    <m/>
    <m/>
    <s v="ANALISTA DE TECNOLOGÍAS DE LA INFORMACIÓN"/>
    <m/>
    <x v="32"/>
    <s v=""/>
    <m/>
    <m/>
    <m/>
    <m/>
    <n v="0"/>
    <m/>
    <n v="304"/>
    <x v="5"/>
    <x v="2"/>
    <x v="0"/>
    <n v="287"/>
    <n v="2828714.68"/>
    <n v="0"/>
    <n v="0"/>
    <n v="2404000"/>
    <n v="2404000"/>
    <n v="2828714.68"/>
    <n v="2828714.68"/>
    <n v="2828714.68"/>
    <n v="14.12"/>
    <n v="230"/>
    <n v="4.3499999999999997E-2"/>
    <n v="2404000"/>
    <n v="240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3692842.9859208548"/>
    <n v="0.76599917483213176"/>
    <n v="3951672.482501477"/>
    <n v="0.71582720797989186"/>
    <n v="3953224.048844202"/>
    <n v="0.71554625921772053"/>
    <n v="3642000"/>
    <n v="0.77669266337177378"/>
    <n v="3754000"/>
    <n v="0.75352015982951526"/>
    <n v="3907000"/>
    <n v="0.72401194778602518"/>
    <n v="4820000"/>
    <n v="0.58687026556016597"/>
    <n v="4855000"/>
    <n v="0.58263948094747686"/>
    <n v="5087000"/>
    <n v="0.55606736386868494"/>
    <n v="4096317.280441653"/>
    <n v="0.58686860304453947"/>
    <n v="6072000"/>
    <n v="0.46586210144927537"/>
    <n v="6239000"/>
    <n v="0.45339231928193624"/>
    <n v="6395000"/>
    <n v="0.44233224081313527"/>
    <n v="3113000"/>
    <n v="3890651.5580736543"/>
    <n v="0.6178913644968691"/>
    <n v="4669000"/>
    <s v=""/>
    <s v=""/>
    <s v=""/>
    <s v=""/>
    <n v="4578000"/>
    <n v="0.61789311489733512"/>
    <n v="4578000"/>
    <n v="0.61789311489733512"/>
    <n v="4578000"/>
    <n v="0.61789311489733512"/>
    <n v="2404000"/>
    <n v="0"/>
    <n v="288480"/>
    <n v="104574"/>
    <n v="96160"/>
    <n v="489214"/>
    <n v="3317928.68"/>
    <n v="3890651.5580736543"/>
    <n v="0"/>
    <n v="466878.1869688385"/>
    <n v="169243.34277620396"/>
    <n v="155626.06232294618"/>
    <n v="791747.59206798859"/>
    <n v="5369747.5920679886"/>
    <n v="2051818.9120679884"/>
    <n v="1749285.3199999998"/>
    <n v="302533.59206798859"/>
    <n v="5086000"/>
    <n v="3162579.2390753618"/>
    <n v="4743868.8586130422"/>
    <n v="3112521.2464589234"/>
    <s v=""/>
    <n v="3662400"/>
    <n v="3662400"/>
    <n v="3662400"/>
    <n v="4668781.8696883852"/>
    <s v=""/>
    <n v="5493600"/>
    <n v="5493600"/>
    <n v="5493600"/>
    <n v="0"/>
  </r>
  <r>
    <m/>
    <m/>
    <m/>
    <m/>
    <m/>
    <s v="LIDER DE DISEÑO Y COMUNICACIONES EN MERCADEO"/>
    <m/>
    <x v="33"/>
    <s v="Coordinadora de Mercadeo "/>
    <m/>
    <m/>
    <m/>
    <m/>
    <n v="0"/>
    <m/>
    <n v="339"/>
    <x v="6"/>
    <x v="2"/>
    <x v="3"/>
    <n v="330"/>
    <n v="4457225.96"/>
    <n v="0"/>
    <n v="0"/>
    <n v="3788000"/>
    <n v="3788000"/>
    <n v="4457225.96"/>
    <n v="4457225.96"/>
    <n v="4457225.96"/>
    <n v="14.12"/>
    <n v="230"/>
    <n v="4.3499999999999997E-2"/>
    <n v="3788000"/>
    <n v="3788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4151668.5121462299"/>
    <n v="1.0735987102438027"/>
    <n v="4430593.4397103917"/>
    <n v="1.0060110503597344"/>
    <n v="4431574.7722690385"/>
    <n v="1.0057882782191729"/>
    <n v="4095000"/>
    <n v="1.0884556678876678"/>
    <n v="4211000"/>
    <n v="1.0584720873901685"/>
    <n v="4385000"/>
    <n v="1.0164711425313568"/>
    <n v="5904000"/>
    <n v="0.75495019647696482"/>
    <n v="5949000"/>
    <n v="0.74923952933266091"/>
    <n v="6197000"/>
    <n v="0.71925543972890105"/>
    <n v="5017563.7393625565"/>
    <n v="0.75494805781605012"/>
    <n v="6907000"/>
    <n v="0.6453201042420732"/>
    <n v="7093000"/>
    <n v="0.62839785140279147"/>
    <n v="7266000"/>
    <n v="0.6134359977979631"/>
    <n v="4635000"/>
    <n v="5793484.419263456"/>
    <n v="0.65383795413427215"/>
    <n v="6952000"/>
    <s v=""/>
    <s v=""/>
    <s v=""/>
    <s v=""/>
    <n v="6817000"/>
    <n v="0.65383980636643679"/>
    <n v="6817000"/>
    <n v="0.65383980636643679"/>
    <n v="6817000"/>
    <n v="0.65383980636643679"/>
    <n v="3788000"/>
    <n v="0"/>
    <n v="454560"/>
    <n v="164778"/>
    <n v="151520"/>
    <n v="770858"/>
    <n v="5228083.96"/>
    <n v="5793484.419263456"/>
    <n v="0"/>
    <n v="695218.13031161472"/>
    <n v="252016.57223796032"/>
    <n v="231739.37677053825"/>
    <n v="1178974.0793201132"/>
    <n v="7995974.0793201132"/>
    <n v="2767890.1193201132"/>
    <n v="2359774.04"/>
    <n v="408116.07932011317"/>
    <n v="6196000"/>
    <n v="3545259.8178152312"/>
    <n v="5317889.7267228458"/>
    <n v="4634787.5354107646"/>
    <s v=""/>
    <n v="5453600"/>
    <n v="5453600"/>
    <n v="5453600"/>
    <n v="6952181.3031161465"/>
    <s v=""/>
    <n v="8180400"/>
    <n v="8180400"/>
    <n v="8180400"/>
    <n v="0"/>
  </r>
  <r>
    <m/>
    <m/>
    <m/>
    <m/>
    <m/>
    <s v="LIDER DE CANAL"/>
    <m/>
    <x v="34"/>
    <s v="Director de ventas Nacional"/>
    <m/>
    <m/>
    <m/>
    <m/>
    <n v="0"/>
    <m/>
    <n v="351"/>
    <x v="6"/>
    <x v="2"/>
    <x v="1"/>
    <n v="330"/>
    <n v="3177009.0000000005"/>
    <n v="1176670"/>
    <n v="0"/>
    <n v="3700000"/>
    <n v="3700000"/>
    <n v="3177009.0000000005"/>
    <n v="4353679"/>
    <n v="4353679"/>
    <n v="14.12"/>
    <n v="230"/>
    <n v="4.3499999999999997E-2"/>
    <n v="2700000"/>
    <n v="2700000"/>
    <m/>
    <n v="0"/>
    <m/>
    <n v="0"/>
    <m/>
    <m/>
    <m/>
    <m/>
    <m/>
    <n v="1000000"/>
    <m/>
    <n v="0"/>
    <m/>
    <n v="0"/>
    <m/>
    <n v="0"/>
    <m/>
    <m/>
    <n v="0"/>
    <m/>
    <m/>
    <m/>
    <m/>
    <m/>
    <m/>
    <m/>
    <m/>
    <m/>
    <n v="0.27027027027027029"/>
    <n v="0"/>
    <n v="4151668.5121462299"/>
    <n v="0.76523667308824395"/>
    <n v="4430593.4397103917"/>
    <n v="0.98264014950660439"/>
    <n v="4431574.7722690385"/>
    <n v="0.98242255264280365"/>
    <n v="4095000"/>
    <n v="0.77582637362637374"/>
    <n v="4211000"/>
    <n v="1.0338824507242934"/>
    <n v="4385000"/>
    <n v="0.99285724059293046"/>
    <n v="5904000"/>
    <n v="0.53811128048780499"/>
    <n v="5949000"/>
    <n v="0.73183375357202896"/>
    <n v="6197000"/>
    <n v="0.70254623204776501"/>
    <n v="5017563.7393625565"/>
    <n v="0.5381097560990854"/>
    <n v="6907000"/>
    <n v="0.45996945128130889"/>
    <n v="7093000"/>
    <n v="0.61379937967009723"/>
    <n v="7266000"/>
    <n v="0.59918510872557118"/>
    <n v="4213000"/>
    <n v="4266569.4050991498"/>
    <n v="0.63282692572002242"/>
    <n v="6320000"/>
    <s v=""/>
    <s v=""/>
    <s v=""/>
    <s v=""/>
    <n v="5020330"/>
    <n v="0.63282871843086019"/>
    <n v="6197000"/>
    <n v="0.70254623204776501"/>
    <n v="6197000"/>
    <n v="0.70254623204776501"/>
    <n v="3700000"/>
    <n v="0"/>
    <n v="444000"/>
    <n v="160950"/>
    <n v="148000"/>
    <n v="752950"/>
    <n v="5106629"/>
    <n v="4266569.4050991498"/>
    <n v="0"/>
    <n v="511988.32861189794"/>
    <n v="185595.76912181301"/>
    <n v="170662.776203966"/>
    <n v="868246.87393767689"/>
    <n v="7065246.8739376767"/>
    <n v="1958617.8739376767"/>
    <n v="1843321"/>
    <n v="115296.87393767689"/>
    <n v="6196000"/>
    <n v="3545259.8178152312"/>
    <n v="5317889.7267228458"/>
    <n v="4213257.790368272"/>
    <s v=""/>
    <n v="4957600"/>
    <n v="4957600"/>
    <n v="4957600"/>
    <n v="6319886.6855524071"/>
    <s v=""/>
    <n v="7436400"/>
    <n v="7436400"/>
    <n v="7436400"/>
    <n v="0"/>
  </r>
  <r>
    <m/>
    <m/>
    <m/>
    <m/>
    <m/>
    <s v="LIDER DE COSTOS "/>
    <m/>
    <x v="35"/>
    <s v=""/>
    <m/>
    <m/>
    <m/>
    <m/>
    <n v="0"/>
    <m/>
    <n v="357"/>
    <x v="7"/>
    <x v="2"/>
    <x v="0"/>
    <n v="379"/>
    <n v="3218192.45"/>
    <n v="0"/>
    <n v="0"/>
    <n v="2735000"/>
    <n v="2735000"/>
    <n v="3218192.45"/>
    <n v="3218192.45"/>
    <n v="3218192.45"/>
    <n v="14.12"/>
    <n v="230"/>
    <n v="5.2199999999999998E-3"/>
    <n v="2735000"/>
    <n v="2735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4674516.2048216574"/>
    <n v="0.68845465690770469"/>
    <n v="4976340.5769949695"/>
    <n v="0.64669859311424971"/>
    <n v="4976672.1082647825"/>
    <n v="0.6466555119545716"/>
    <n v="4750000"/>
    <n v="0.67751420000000007"/>
    <n v="4888000"/>
    <n v="0.65838634410801966"/>
    <n v="5109000"/>
    <n v="0.62990652769622235"/>
    <n v="7138000"/>
    <n v="0.45085352339590923"/>
    <n v="7195000"/>
    <n v="0.44728178596247398"/>
    <n v="7463000"/>
    <n v="0.43121967707356296"/>
    <n v="6066288.9518241743"/>
    <n v="0.45085224619535591"/>
    <n v="7858000"/>
    <n v="0.409543452532451"/>
    <n v="8067000"/>
    <n v="0.39893299243832903"/>
    <n v="8258000"/>
    <n v="0.38970603657059821"/>
    <n v="4567000"/>
    <n v="5708498.5835694047"/>
    <n v="0.47911021785519331"/>
    <n v="6850000"/>
    <s v=""/>
    <s v=""/>
    <s v=""/>
    <s v=""/>
    <n v="6717000"/>
    <n v="0.47911157510793512"/>
    <n v="6717000"/>
    <n v="0.47911157510793512"/>
    <n v="6717000"/>
    <n v="0.47911157510793512"/>
    <n v="2735000"/>
    <n v="0"/>
    <n v="328200"/>
    <n v="14276.699999999999"/>
    <n v="109400"/>
    <n v="451876.7"/>
    <n v="3670069.1500000004"/>
    <n v="5708498.5835694047"/>
    <n v="0"/>
    <n v="685019.83002832858"/>
    <n v="29798.362606232291"/>
    <n v="228339.94334277618"/>
    <n v="943158.13597733702"/>
    <n v="7660158.1359773371"/>
    <n v="3990088.9859773368"/>
    <n v="3498807.55"/>
    <n v="491281.43597733701"/>
    <n v="7462000"/>
    <n v="3981337.6866118261"/>
    <n v="5972006.5299177384"/>
    <n v="4566798.8668555235"/>
    <s v=""/>
    <n v="5373600"/>
    <n v="5373600"/>
    <n v="5373600"/>
    <n v="6850198.3002832858"/>
    <s v=""/>
    <n v="8060400"/>
    <n v="8060400"/>
    <n v="8060400"/>
    <n v="0"/>
  </r>
  <r>
    <m/>
    <m/>
    <m/>
    <m/>
    <m/>
    <s v="COORDINADOR DE TERCERIZADOS"/>
    <m/>
    <x v="36"/>
    <n v="0"/>
    <m/>
    <m/>
    <m/>
    <m/>
    <n v="0"/>
    <m/>
    <n v="362"/>
    <x v="7"/>
    <x v="2"/>
    <x v="1"/>
    <n v="379"/>
    <n v="4236012"/>
    <n v="0"/>
    <n v="0"/>
    <n v="3600000"/>
    <n v="3600000"/>
    <n v="4236012"/>
    <n v="4236012"/>
    <n v="4236012"/>
    <n v="14.12"/>
    <n v="230"/>
    <n v="4.3499999999999997E-2"/>
    <n v="3600000"/>
    <n v="36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4674516.2048216574"/>
    <n v="0.90619260141416336"/>
    <n v="4976340.5769949695"/>
    <n v="0.85123032366043827"/>
    <n v="4976672.1082647825"/>
    <n v="0.85117361719797358"/>
    <n v="4750000"/>
    <n v="0.89179200000000003"/>
    <n v="4888000"/>
    <n v="0.86661456628477906"/>
    <n v="5109000"/>
    <n v="0.82912742219612445"/>
    <n v="7138000"/>
    <n v="0.59344522275147105"/>
    <n v="7195000"/>
    <n v="0.5887438498957609"/>
    <n v="7463000"/>
    <n v="0.56760176872571355"/>
    <n v="6066288.9518241743"/>
    <n v="0.59344354160997481"/>
    <n v="7858000"/>
    <n v="0.53906999236446929"/>
    <n v="8067000"/>
    <n v="0.52510375604313875"/>
    <n v="8258000"/>
    <n v="0.51295858561395014"/>
    <n v="5074000"/>
    <n v="6342492.9178470252"/>
    <n v="0.56760016079324671"/>
    <n v="7611000"/>
    <s v=""/>
    <s v=""/>
    <s v=""/>
    <s v=""/>
    <n v="7463000"/>
    <n v="0.56760176872571355"/>
    <n v="7463000"/>
    <n v="0.56760176872571355"/>
    <n v="7463000"/>
    <n v="0.56760176872571355"/>
    <n v="3600000"/>
    <n v="0"/>
    <n v="432000"/>
    <n v="156600"/>
    <n v="144000"/>
    <n v="732600"/>
    <n v="4968612"/>
    <n v="6342492.9178470252"/>
    <n v="0"/>
    <n v="761099.15014164301"/>
    <n v="275898.44192634558"/>
    <n v="253699.716713881"/>
    <n v="1290697.3087818697"/>
    <n v="8753697.3087818697"/>
    <n v="3785085.3087818697"/>
    <n v="3226988"/>
    <n v="558097.30878186971"/>
    <n v="7462000"/>
    <n v="3981337.6866118261"/>
    <n v="5972006.5299177384"/>
    <n v="5073994.3342776196"/>
    <s v=""/>
    <n v="5970400"/>
    <n v="5970400"/>
    <n v="5970400"/>
    <n v="7610991.5014164299"/>
    <s v=""/>
    <n v="8955600"/>
    <n v="8955600"/>
    <n v="8955600"/>
    <n v="0"/>
  </r>
  <r>
    <m/>
    <m/>
    <m/>
    <m/>
    <m/>
    <s v="PROGRAMADOR DE PRODUCCION"/>
    <m/>
    <x v="37"/>
    <s v="Director de calidad"/>
    <m/>
    <m/>
    <m/>
    <m/>
    <n v="0"/>
    <m/>
    <n v="370"/>
    <x v="7"/>
    <x v="2"/>
    <x v="1"/>
    <n v="379"/>
    <n v="5072624.37"/>
    <n v="0"/>
    <n v="0"/>
    <n v="4311000"/>
    <n v="4311000"/>
    <n v="5072624.37"/>
    <n v="5072624.37"/>
    <n v="5072624.37"/>
    <n v="14.12"/>
    <n v="230"/>
    <n v="4.3499999999999997E-2"/>
    <n v="4311000"/>
    <n v="4311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4674516.2048216574"/>
    <n v="1.0851656401934606"/>
    <n v="4976340.5769949695"/>
    <n v="1.0193483125833749"/>
    <n v="4976672.1082647825"/>
    <n v="1.0192804065945733"/>
    <n v="4750000"/>
    <n v="1.0679209199999999"/>
    <n v="4888000"/>
    <n v="1.0377709431260229"/>
    <n v="5109000"/>
    <n v="0.99288008807985906"/>
    <n v="7138000"/>
    <n v="0.71065065424488649"/>
    <n v="7195000"/>
    <n v="0.70502076025017379"/>
    <n v="7463000"/>
    <n v="0.67970311804904193"/>
    <n v="6066288.9518241743"/>
    <n v="0.7106486410779449"/>
    <n v="7858000"/>
    <n v="0.64553631585645199"/>
    <n v="8067000"/>
    <n v="0.62881174786165861"/>
    <n v="8258000"/>
    <n v="0.61426790627270522"/>
    <n v="5074000"/>
    <n v="6342492.9178470252"/>
    <n v="0.6797011925499129"/>
    <n v="7611000"/>
    <s v=""/>
    <s v=""/>
    <s v=""/>
    <s v=""/>
    <n v="7463000"/>
    <n v="0.67970311804904193"/>
    <n v="7463000"/>
    <n v="0.67970311804904193"/>
    <n v="7463000"/>
    <n v="0.67970311804904193"/>
    <n v="4311000"/>
    <n v="0"/>
    <n v="517320"/>
    <n v="187528.5"/>
    <n v="172440"/>
    <n v="877288.5"/>
    <n v="5949912.8700000001"/>
    <n v="6342492.9178470252"/>
    <n v="0"/>
    <n v="761099.15014164301"/>
    <n v="275898.44192634558"/>
    <n v="253699.716713881"/>
    <n v="1290697.3087818697"/>
    <n v="8753697.3087818697"/>
    <n v="2803784.4387818696"/>
    <n v="2390375.63"/>
    <n v="413408.80878186971"/>
    <n v="7462000"/>
    <n v="3981337.6866118261"/>
    <n v="5972006.5299177384"/>
    <n v="5073994.3342776196"/>
    <s v=""/>
    <n v="5970400"/>
    <n v="5970400"/>
    <n v="5970400"/>
    <n v="7610991.5014164299"/>
    <s v=""/>
    <n v="8955600"/>
    <n v="8955600"/>
    <n v="8955600"/>
    <n v="0"/>
  </r>
  <r>
    <m/>
    <m/>
    <m/>
    <m/>
    <m/>
    <s v="INGENIERO DE MEJORA CONTINUA"/>
    <m/>
    <x v="38"/>
    <s v="Director de producción "/>
    <m/>
    <m/>
    <m/>
    <m/>
    <n v="0"/>
    <m/>
    <n v="370"/>
    <x v="7"/>
    <x v="2"/>
    <x v="0"/>
    <n v="379"/>
    <n v="7441261.080000001"/>
    <n v="0"/>
    <n v="0"/>
    <n v="6324000"/>
    <n v="6324000"/>
    <n v="7441261.080000001"/>
    <n v="7441261.080000001"/>
    <n v="7441261.080000001"/>
    <n v="14.12"/>
    <n v="230"/>
    <n v="4.3499999999999997E-2"/>
    <n v="6324000"/>
    <n v="632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4674516.2048216574"/>
    <n v="1.591878336484214"/>
    <n v="4976340.5769949695"/>
    <n v="1.49532793523017"/>
    <n v="4976672.1082647825"/>
    <n v="1.4952283208777737"/>
    <n v="4750000"/>
    <n v="1.5665812800000003"/>
    <n v="4888000"/>
    <n v="1.522352921440262"/>
    <n v="5109000"/>
    <n v="1.4565005049911921"/>
    <n v="7138000"/>
    <n v="1.0424854413000841"/>
    <n v="7195000"/>
    <n v="1.0342266963168869"/>
    <n v="7463000"/>
    <n v="0.9970871070615035"/>
    <n v="6066288.9518241743"/>
    <n v="1.0424824880948558"/>
    <n v="7858000"/>
    <n v="0.94696628658691795"/>
    <n v="8067000"/>
    <n v="0.92243226478244711"/>
    <n v="8258000"/>
    <n v="0.90109724872850583"/>
    <n v="4567000"/>
    <n v="5708498.5835694047"/>
    <n v="1.1078219443203812"/>
    <n v="6850000"/>
    <s v=""/>
    <s v=""/>
    <s v=""/>
    <s v=""/>
    <n v="6717000"/>
    <n v="1.1078250826261726"/>
    <n v="6717000"/>
    <n v="1.1078250826261726"/>
    <n v="6717000"/>
    <n v="1.1078250826261726"/>
    <n v="6324000"/>
    <n v="0"/>
    <n v="758880"/>
    <n v="275094"/>
    <n v="252960"/>
    <n v="1286934"/>
    <n v="8728195.0800000019"/>
    <n v="5708498.5835694047"/>
    <n v="0"/>
    <n v="685019.83002832858"/>
    <n v="248319.68838526908"/>
    <n v="228339.94334277618"/>
    <n v="1161679.461756374"/>
    <n v="7878679.4617563738"/>
    <n v="0"/>
    <n v="0"/>
    <n v="0"/>
    <n v="7462000"/>
    <n v="3981337.6866118261"/>
    <n v="5972006.5299177384"/>
    <n v="4566798.8668555235"/>
    <s v=""/>
    <n v="5373600"/>
    <n v="5373600"/>
    <n v="5373600"/>
    <n v="6850198.3002832858"/>
    <s v=""/>
    <n v="8060400"/>
    <n v="8060400"/>
    <n v="8060400"/>
    <n v="0"/>
  </r>
  <r>
    <m/>
    <m/>
    <m/>
    <m/>
    <m/>
    <s v="COORDINADOR CEDI"/>
    <m/>
    <x v="39"/>
    <s v="Director de materiales "/>
    <m/>
    <m/>
    <m/>
    <m/>
    <n v="0"/>
    <m/>
    <n v="376"/>
    <x v="7"/>
    <x v="2"/>
    <x v="1"/>
    <n v="379"/>
    <n v="5424448.7000000002"/>
    <n v="0"/>
    <n v="0"/>
    <n v="4610000"/>
    <n v="4610000"/>
    <n v="5424448.7000000002"/>
    <n v="5424448.7000000002"/>
    <n v="5424448.7000000002"/>
    <n v="14.12"/>
    <n v="230"/>
    <n v="5.2199999999999998E-3"/>
    <n v="4610000"/>
    <n v="461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4674516.2048216574"/>
    <n v="1.1604299701442482"/>
    <n v="4976340.5769949695"/>
    <n v="1.0900477200207279"/>
    <n v="4976672.1082647825"/>
    <n v="1.0899751042451828"/>
    <n v="4750000"/>
    <n v="1.1419892"/>
    <n v="4888000"/>
    <n v="1.1097480973813421"/>
    <n v="5109000"/>
    <n v="1.0617437267567038"/>
    <n v="7138000"/>
    <n v="0.75993957691230041"/>
    <n v="7195000"/>
    <n v="0.75391920778318278"/>
    <n v="7463000"/>
    <n v="0.72684559828487205"/>
    <n v="6066288.9518241743"/>
    <n v="0.75993742411721776"/>
    <n v="7858000"/>
    <n v="0.69030907355561211"/>
    <n v="8067000"/>
    <n v="0.67242453204413044"/>
    <n v="8258000"/>
    <n v="0.65687196657786395"/>
    <n v="5074000"/>
    <n v="6342492.9178470252"/>
    <n v="0.7268435392380187"/>
    <n v="7611000"/>
    <s v=""/>
    <s v=""/>
    <s v=""/>
    <s v=""/>
    <n v="7463000"/>
    <n v="0.72684559828487205"/>
    <n v="7463000"/>
    <n v="0.72684559828487205"/>
    <n v="7463000"/>
    <n v="0.72684559828487205"/>
    <n v="4610000"/>
    <n v="0"/>
    <n v="553200"/>
    <n v="24064.2"/>
    <n v="184400"/>
    <n v="761664.2"/>
    <n v="6186112.9000000004"/>
    <n v="6342492.9178470252"/>
    <n v="0"/>
    <n v="761099.15014164301"/>
    <n v="33107.813031161473"/>
    <n v="253699.716713881"/>
    <n v="1047906.6798866855"/>
    <n v="8510906.6798866857"/>
    <n v="2324793.7798866853"/>
    <n v="2038551.2999999998"/>
    <n v="286242.4798866855"/>
    <n v="7462000"/>
    <n v="3981337.6866118261"/>
    <n v="5972006.5299177384"/>
    <n v="5073994.3342776196"/>
    <s v=""/>
    <n v="5970400"/>
    <n v="5970400"/>
    <n v="5970400"/>
    <n v="7610991.5014164299"/>
    <s v=""/>
    <n v="8955600"/>
    <n v="8955600"/>
    <n v="8955600"/>
    <n v="0"/>
  </r>
  <r>
    <m/>
    <m/>
    <m/>
    <m/>
    <m/>
    <s v="COORDINADOR DE LABORATORIO"/>
    <m/>
    <x v="40"/>
    <s v="Director de Logistica "/>
    <m/>
    <m/>
    <m/>
    <m/>
    <n v="0"/>
    <m/>
    <n v="376"/>
    <x v="7"/>
    <x v="2"/>
    <x v="2"/>
    <n v="379"/>
    <n v="4745510.1100000003"/>
    <n v="0"/>
    <n v="0"/>
    <n v="4033000"/>
    <n v="4033000"/>
    <n v="4745510.1100000003"/>
    <n v="4745510.1100000003"/>
    <n v="4745510.1100000003"/>
    <n v="14.12"/>
    <n v="230"/>
    <n v="4.3499999999999997E-2"/>
    <n v="4033000"/>
    <n v="4033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4674516.2048216574"/>
    <n v="1.0151874337509226"/>
    <n v="4976340.5769949695"/>
    <n v="0.95361441536737435"/>
    <n v="4976672.1082647825"/>
    <n v="0.95355088837761881"/>
    <n v="4750000"/>
    <n v="0.99905476000000004"/>
    <n v="4888000"/>
    <n v="0.97084904050736509"/>
    <n v="5109000"/>
    <n v="0.92885302603249176"/>
    <n v="7138000"/>
    <n v="0.66482349537685625"/>
    <n v="7195000"/>
    <n v="0.65955665184155665"/>
    <n v="7463000"/>
    <n v="0.63587164813077857"/>
    <n v="6066288.9518241743"/>
    <n v="0.66482161203139678"/>
    <n v="7858000"/>
    <n v="0.60390813311275138"/>
    <n v="8067000"/>
    <n v="0.58826206892277177"/>
    <n v="8258000"/>
    <n v="0.57465610438362802"/>
    <n v="6088000"/>
    <n v="7610481.5864022654"/>
    <n v="0.52992704262051005"/>
    <n v="9133000"/>
    <s v=""/>
    <s v=""/>
    <s v=""/>
    <s v=""/>
    <n v="8955000"/>
    <n v="0.52992854383026244"/>
    <n v="8955000"/>
    <n v="0.52992854383026244"/>
    <n v="8955000"/>
    <n v="0.52992854383026244"/>
    <n v="4033000"/>
    <n v="0"/>
    <n v="483960"/>
    <n v="175435.5"/>
    <n v="161320"/>
    <n v="820715.5"/>
    <n v="5566225.6100000003"/>
    <n v="7610481.5864022654"/>
    <n v="0"/>
    <n v="913257.79036827176"/>
    <n v="331055.94900849852"/>
    <n v="304419.26345609064"/>
    <n v="1548733.0028328609"/>
    <n v="10503733.002832862"/>
    <n v="4937507.3928328613"/>
    <n v="4209489.8899999997"/>
    <n v="728017.50283286092"/>
    <n v="7462000"/>
    <n v="3981337.6866118261"/>
    <n v="5972006.5299177384"/>
    <n v="6088385.2691218127"/>
    <s v=""/>
    <n v="7164000"/>
    <n v="7164000"/>
    <n v="7164000"/>
    <n v="9132577.9036827181"/>
    <s v=""/>
    <n v="10746000"/>
    <n v="10746000"/>
    <n v="10746000"/>
    <n v="0"/>
  </r>
  <r>
    <m/>
    <m/>
    <m/>
    <m/>
    <m/>
    <s v="INGENIERO DE FORMULACIONES"/>
    <m/>
    <x v="41"/>
    <s v="Jefe de mejora continua"/>
    <m/>
    <m/>
    <m/>
    <m/>
    <n v="0"/>
    <m/>
    <n v="381"/>
    <x v="7"/>
    <x v="2"/>
    <x v="2"/>
    <n v="379"/>
    <n v="9295693"/>
    <n v="0"/>
    <n v="0"/>
    <n v="7900000"/>
    <n v="7900000"/>
    <n v="9295693"/>
    <n v="9295693"/>
    <n v="9295693"/>
    <n v="14.12"/>
    <n v="230"/>
    <n v="4.3499999999999997E-2"/>
    <n v="7900000"/>
    <n v="79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4674516.2048216574"/>
    <n v="1.9885893197699698"/>
    <n v="4976340.5769949695"/>
    <n v="1.867977654699295"/>
    <n v="4976672.1082647825"/>
    <n v="1.8678532155177754"/>
    <n v="4750000"/>
    <n v="1.9569879999999999"/>
    <n v="4888000"/>
    <n v="1.9017375204582652"/>
    <n v="5109000"/>
    <n v="1.8194740653748287"/>
    <n v="7138000"/>
    <n v="1.3022825721490614"/>
    <n v="7195000"/>
    <n v="1.2919656706045866"/>
    <n v="7463000"/>
    <n v="1.2455705480369825"/>
    <n v="6066288.9518241743"/>
    <n v="1.3022788829774448"/>
    <n v="7858000"/>
    <n v="1.1829591499109189"/>
    <n v="8067000"/>
    <n v="1.1523110202057767"/>
    <n v="8258000"/>
    <n v="1.1256591184306128"/>
    <n v="6088000"/>
    <n v="7610481.5864022654"/>
    <n v="1.0380420621626654"/>
    <n v="9133000"/>
    <s v=""/>
    <s v=""/>
    <s v=""/>
    <s v=""/>
    <n v="8955000"/>
    <n v="1.0380450027917365"/>
    <n v="8955000"/>
    <n v="1.0380450027917365"/>
    <n v="8955000"/>
    <n v="1.0380450027917365"/>
    <n v="7900000"/>
    <n v="0"/>
    <n v="948000"/>
    <n v="343650"/>
    <n v="316000"/>
    <n v="1607650"/>
    <n v="10903343"/>
    <n v="7610481.5864022654"/>
    <n v="0"/>
    <n v="913257.79036827176"/>
    <n v="331055.94900849852"/>
    <n v="304419.26345609064"/>
    <n v="1548733.0028328609"/>
    <n v="10503733.002832862"/>
    <n v="0"/>
    <n v="0"/>
    <n v="0"/>
    <n v="7462000"/>
    <n v="3981337.6866118261"/>
    <n v="5972006.5299177384"/>
    <n v="6088385.2691218127"/>
    <s v=""/>
    <n v="7164000"/>
    <n v="7164000"/>
    <n v="7164000"/>
    <n v="9132577.9036827181"/>
    <s v=""/>
    <n v="10746000"/>
    <n v="10746000"/>
    <n v="10746000"/>
    <n v="0"/>
  </r>
  <r>
    <m/>
    <m/>
    <m/>
    <m/>
    <m/>
    <s v="LIDER DE COMERCIO EXTERIOR"/>
    <m/>
    <x v="42"/>
    <s v="Coordinador de comercio exterior"/>
    <m/>
    <m/>
    <m/>
    <m/>
    <n v="0"/>
    <m/>
    <n v="384"/>
    <x v="7"/>
    <x v="2"/>
    <x v="1"/>
    <n v="379"/>
    <n v="5356201.8400000008"/>
    <n v="0"/>
    <n v="0"/>
    <n v="4552000"/>
    <n v="4552000"/>
    <n v="5356201.8400000008"/>
    <n v="5356201.8400000008"/>
    <n v="5356201.8400000008"/>
    <n v="14.12"/>
    <n v="230"/>
    <n v="5.2199999999999998E-3"/>
    <n v="4552000"/>
    <n v="4552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4674516.2048216574"/>
    <n v="1.145830200454798"/>
    <n v="4976340.5769949695"/>
    <n v="1.0763334536950877"/>
    <n v="4976672.1082647825"/>
    <n v="1.0762617515236601"/>
    <n v="4750000"/>
    <n v="1.1276214400000002"/>
    <n v="4888000"/>
    <n v="1.0957859738134208"/>
    <n v="5109000"/>
    <n v="1.0483855627324332"/>
    <n v="7138000"/>
    <n v="0.75037851499019348"/>
    <n v="7195000"/>
    <n v="0.74443389020152895"/>
    <n v="7463000"/>
    <n v="0.71770090312206902"/>
    <n v="6066288.9518241743"/>
    <n v="0.75037638928016814"/>
    <n v="7858000"/>
    <n v="0.68162405701196238"/>
    <n v="8067000"/>
    <n v="0.66396452708565767"/>
    <n v="8258000"/>
    <n v="0.64860763380963926"/>
    <n v="5074000"/>
    <n v="6342492.9178470252"/>
    <n v="0.71769886998079413"/>
    <n v="7611000"/>
    <s v=""/>
    <s v=""/>
    <s v=""/>
    <s v=""/>
    <n v="7463000"/>
    <n v="0.71770090312206902"/>
    <n v="7463000"/>
    <n v="0.71770090312206902"/>
    <n v="7463000"/>
    <n v="0.71770090312206902"/>
    <n v="4552000"/>
    <n v="0"/>
    <n v="546240"/>
    <n v="23761.439999999999"/>
    <n v="182080"/>
    <n v="752081.44"/>
    <n v="6108283.2800000012"/>
    <n v="6342492.9178470252"/>
    <n v="0"/>
    <n v="761099.15014164301"/>
    <n v="33107.813031161473"/>
    <n v="253699.716713881"/>
    <n v="1047906.6798866855"/>
    <n v="8510906.6798866857"/>
    <n v="2402623.3998866845"/>
    <n v="2106798.1599999992"/>
    <n v="295825.23988668551"/>
    <n v="7462000"/>
    <n v="3981337.6866118261"/>
    <n v="5972006.5299177384"/>
    <n v="5073994.3342776196"/>
    <s v=""/>
    <n v="5970400"/>
    <n v="5970400"/>
    <n v="5970400"/>
    <n v="7610991.5014164299"/>
    <s v=""/>
    <n v="8955600"/>
    <n v="8955600"/>
    <n v="8955600"/>
    <n v="0"/>
  </r>
  <r>
    <m/>
    <m/>
    <m/>
    <m/>
    <m/>
    <s v="LIDER DE GESTIÓN HUMANA Y DESARROLLO DEL TALENTO"/>
    <m/>
    <x v="43"/>
    <s v="Director de gestón humana "/>
    <m/>
    <m/>
    <m/>
    <m/>
    <n v="0"/>
    <m/>
    <n v="384"/>
    <x v="7"/>
    <x v="2"/>
    <x v="0"/>
    <n v="379"/>
    <n v="4457225.96"/>
    <n v="0"/>
    <n v="0"/>
    <n v="3788000"/>
    <n v="3788000"/>
    <n v="4457225.96"/>
    <n v="4457225.96"/>
    <n v="4457225.96"/>
    <n v="14.12"/>
    <n v="230"/>
    <n v="5.2199999999999998E-3"/>
    <n v="3788000"/>
    <n v="3788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4674516.2048216574"/>
    <n v="0.95351599282134747"/>
    <n v="4976340.5769949695"/>
    <n v="0.89568346278492783"/>
    <n v="4976672.1082647825"/>
    <n v="0.89562379498497879"/>
    <n v="4750000"/>
    <n v="0.93836335999999998"/>
    <n v="4888000"/>
    <n v="0.9118711047463175"/>
    <n v="5109000"/>
    <n v="0.87242629868858879"/>
    <n v="7138000"/>
    <n v="0.62443625105071443"/>
    <n v="7195000"/>
    <n v="0.61948936205698402"/>
    <n v="7463000"/>
    <n v="0.59724319442583407"/>
    <n v="6066288.9518241743"/>
    <n v="0.6244344821162735"/>
    <n v="7858000"/>
    <n v="0.56722142529905828"/>
    <n v="8067000"/>
    <n v="0.55252584108094704"/>
    <n v="8258000"/>
    <n v="0.5397464228626786"/>
    <n v="4567000"/>
    <n v="5708498.5835694047"/>
    <n v="0.66357203116470653"/>
    <n v="6850000"/>
    <s v=""/>
    <s v=""/>
    <s v=""/>
    <s v=""/>
    <n v="6717000"/>
    <n v="0.66357391097216023"/>
    <n v="6717000"/>
    <n v="0.66357391097216023"/>
    <n v="6717000"/>
    <n v="0.66357391097216023"/>
    <n v="3788000"/>
    <n v="0"/>
    <n v="454560"/>
    <n v="19773.36"/>
    <n v="151520"/>
    <n v="625853.36"/>
    <n v="5083079.32"/>
    <n v="5708498.5835694047"/>
    <n v="0"/>
    <n v="685019.83002832858"/>
    <n v="29798.362606232291"/>
    <n v="228339.94334277618"/>
    <n v="943158.13597733702"/>
    <n v="7660158.1359773371"/>
    <n v="2577078.8159773368"/>
    <n v="2259774.04"/>
    <n v="317304.77597733703"/>
    <n v="7462000"/>
    <n v="3981337.6866118261"/>
    <n v="5972006.5299177384"/>
    <n v="4566798.8668555235"/>
    <s v=""/>
    <n v="5373600"/>
    <n v="5373600"/>
    <n v="5373600"/>
    <n v="6850198.3002832858"/>
    <s v=""/>
    <n v="8060400"/>
    <n v="8060400"/>
    <n v="8060400"/>
    <n v="0"/>
  </r>
  <r>
    <m/>
    <m/>
    <m/>
    <m/>
    <m/>
    <s v="COORDINADOR DE PRODUCCION"/>
    <m/>
    <x v="44"/>
    <s v="Director de producción "/>
    <m/>
    <m/>
    <m/>
    <m/>
    <n v="0"/>
    <m/>
    <n v="396"/>
    <x v="7"/>
    <x v="2"/>
    <x v="1"/>
    <n v="379"/>
    <n v="4745510.1100000003"/>
    <n v="0"/>
    <n v="0"/>
    <n v="4033000"/>
    <n v="4033000"/>
    <n v="4745510.1100000003"/>
    <n v="4745510.1100000003"/>
    <n v="4745510.1100000003"/>
    <n v="14.12"/>
    <n v="230"/>
    <n v="4.3499999999999997E-2"/>
    <n v="4033000"/>
    <n v="4033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4674516.2048216574"/>
    <n v="1.0151874337509226"/>
    <n v="4976340.5769949695"/>
    <n v="0.95361441536737435"/>
    <n v="4976672.1082647825"/>
    <n v="0.95355088837761881"/>
    <n v="4750000"/>
    <n v="0.99905476000000004"/>
    <n v="4888000"/>
    <n v="0.97084904050736509"/>
    <n v="5109000"/>
    <n v="0.92885302603249176"/>
    <n v="7138000"/>
    <n v="0.66482349537685625"/>
    <n v="7195000"/>
    <n v="0.65955665184155665"/>
    <n v="7463000"/>
    <n v="0.63587164813077857"/>
    <n v="6066288.9518241743"/>
    <n v="0.66482161203139678"/>
    <n v="7858000"/>
    <n v="0.60390813311275138"/>
    <n v="8067000"/>
    <n v="0.58826206892277177"/>
    <n v="8258000"/>
    <n v="0.57465610438362802"/>
    <n v="5074000"/>
    <n v="6342492.9178470252"/>
    <n v="0.63586984679976777"/>
    <n v="7611000"/>
    <s v=""/>
    <s v=""/>
    <s v=""/>
    <s v=""/>
    <n v="7463000"/>
    <n v="0.63587164813077857"/>
    <n v="7463000"/>
    <n v="0.63587164813077857"/>
    <n v="7463000"/>
    <n v="0.63587164813077857"/>
    <n v="4033000"/>
    <n v="0"/>
    <n v="483960"/>
    <n v="175435.5"/>
    <n v="161320"/>
    <n v="820715.5"/>
    <n v="5566225.6100000003"/>
    <n v="6342492.9178470252"/>
    <n v="0"/>
    <n v="761099.15014164301"/>
    <n v="275898.44192634558"/>
    <n v="253699.716713881"/>
    <n v="1290697.3087818697"/>
    <n v="8753697.3087818697"/>
    <n v="3187471.6987818694"/>
    <n v="2717489.8899999997"/>
    <n v="469981.80878186971"/>
    <n v="7462000"/>
    <n v="3981337.6866118261"/>
    <n v="5972006.5299177384"/>
    <n v="5073994.3342776196"/>
    <s v=""/>
    <n v="5970400"/>
    <n v="5970400"/>
    <n v="5970400"/>
    <n v="7610991.5014164299"/>
    <s v=""/>
    <n v="8955600"/>
    <n v="8955600"/>
    <n v="8955600"/>
    <n v="0"/>
  </r>
  <r>
    <m/>
    <m/>
    <m/>
    <m/>
    <m/>
    <s v="COORDINADOR DE PRODUCCION"/>
    <m/>
    <x v="44"/>
    <s v="Director de producción "/>
    <m/>
    <m/>
    <m/>
    <m/>
    <n v="0"/>
    <m/>
    <n v="396"/>
    <x v="7"/>
    <x v="2"/>
    <x v="1"/>
    <n v="379"/>
    <n v="4745510.1100000003"/>
    <n v="0"/>
    <n v="0"/>
    <n v="4033000"/>
    <n v="4033000"/>
    <n v="4745510.1100000003"/>
    <n v="4745510.1100000003"/>
    <n v="4745510.1100000003"/>
    <n v="14.12"/>
    <n v="230"/>
    <n v="4.3499999999999997E-2"/>
    <n v="4033000"/>
    <n v="4033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4674516.2048216574"/>
    <n v="1.0151874337509226"/>
    <n v="4976340.5769949695"/>
    <n v="0.95361441536737435"/>
    <n v="4976672.1082647825"/>
    <n v="0.95355088837761881"/>
    <n v="4750000"/>
    <n v="0.99905476000000004"/>
    <n v="4888000"/>
    <n v="0.97084904050736509"/>
    <n v="5109000"/>
    <n v="0.92885302603249176"/>
    <n v="7138000"/>
    <n v="0.66482349537685625"/>
    <n v="7195000"/>
    <n v="0.65955665184155665"/>
    <n v="7463000"/>
    <n v="0.63587164813077857"/>
    <n v="6066288.9518241743"/>
    <n v="0.66482161203139678"/>
    <n v="7858000"/>
    <n v="0.60390813311275138"/>
    <n v="8067000"/>
    <n v="0.58826206892277177"/>
    <n v="8258000"/>
    <n v="0.57465610438362802"/>
    <n v="5074000"/>
    <n v="6342492.9178470252"/>
    <n v="0.63586984679976777"/>
    <n v="7611000"/>
    <s v=""/>
    <s v=""/>
    <s v=""/>
    <s v=""/>
    <n v="7463000"/>
    <n v="0.63587164813077857"/>
    <n v="7463000"/>
    <n v="0.63587164813077857"/>
    <n v="7463000"/>
    <n v="0.63587164813077857"/>
    <n v="4033000"/>
    <n v="0"/>
    <n v="483960"/>
    <n v="175435.5"/>
    <n v="161320"/>
    <n v="820715.5"/>
    <n v="5566225.6100000003"/>
    <n v="6342492.9178470252"/>
    <n v="0"/>
    <n v="761099.15014164301"/>
    <n v="275898.44192634558"/>
    <n v="253699.716713881"/>
    <n v="1290697.3087818697"/>
    <n v="8753697.3087818697"/>
    <n v="3187471.6987818694"/>
    <n v="2717489.8899999997"/>
    <n v="469981.80878186971"/>
    <n v="7462000"/>
    <n v="3981337.6866118261"/>
    <n v="5972006.5299177384"/>
    <n v="5073994.3342776196"/>
    <s v=""/>
    <n v="5970400"/>
    <n v="5970400"/>
    <n v="5970400"/>
    <n v="7610991.5014164299"/>
    <s v=""/>
    <n v="8955600"/>
    <n v="8955600"/>
    <n v="8955600"/>
    <n v="0"/>
  </r>
  <r>
    <m/>
    <m/>
    <m/>
    <m/>
    <m/>
    <s v="COORDINADOR DE PRODUCCION"/>
    <m/>
    <x v="44"/>
    <s v="Director de producción "/>
    <m/>
    <m/>
    <m/>
    <m/>
    <n v="0"/>
    <m/>
    <n v="396"/>
    <x v="7"/>
    <x v="2"/>
    <x v="1"/>
    <n v="379"/>
    <n v="4745510.1100000003"/>
    <n v="0"/>
    <n v="0"/>
    <n v="4033000"/>
    <n v="4033000"/>
    <n v="4745510.1100000003"/>
    <n v="4745510.1100000003"/>
    <n v="4745510.1100000003"/>
    <n v="14.12"/>
    <n v="230"/>
    <n v="4.3499999999999997E-2"/>
    <n v="4033000"/>
    <n v="4033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4674516.2048216574"/>
    <n v="1.0151874337509226"/>
    <n v="4976340.5769949695"/>
    <n v="0.95361441536737435"/>
    <n v="4976672.1082647825"/>
    <n v="0.95355088837761881"/>
    <n v="4750000"/>
    <n v="0.99905476000000004"/>
    <n v="4888000"/>
    <n v="0.97084904050736509"/>
    <n v="5109000"/>
    <n v="0.92885302603249176"/>
    <n v="7138000"/>
    <n v="0.66482349537685625"/>
    <n v="7195000"/>
    <n v="0.65955665184155665"/>
    <n v="7463000"/>
    <n v="0.63587164813077857"/>
    <n v="6066288.9518241743"/>
    <n v="0.66482161203139678"/>
    <n v="7858000"/>
    <n v="0.60390813311275138"/>
    <n v="8067000"/>
    <n v="0.58826206892277177"/>
    <n v="8258000"/>
    <n v="0.57465610438362802"/>
    <n v="5074000"/>
    <n v="6342492.9178470252"/>
    <n v="0.63586984679976777"/>
    <n v="7611000"/>
    <s v=""/>
    <s v=""/>
    <s v=""/>
    <s v=""/>
    <n v="7463000"/>
    <n v="0.63587164813077857"/>
    <n v="7463000"/>
    <n v="0.63587164813077857"/>
    <n v="7463000"/>
    <n v="0.63587164813077857"/>
    <n v="4033000"/>
    <n v="0"/>
    <n v="483960"/>
    <n v="175435.5"/>
    <n v="161320"/>
    <n v="820715.5"/>
    <n v="5566225.6100000003"/>
    <n v="6342492.9178470252"/>
    <n v="0"/>
    <n v="761099.15014164301"/>
    <n v="275898.44192634558"/>
    <n v="253699.716713881"/>
    <n v="1290697.3087818697"/>
    <n v="8753697.3087818697"/>
    <n v="3187471.6987818694"/>
    <n v="2717489.8899999997"/>
    <n v="469981.80878186971"/>
    <n v="7462000"/>
    <n v="3981337.6866118261"/>
    <n v="5972006.5299177384"/>
    <n v="5073994.3342776196"/>
    <s v=""/>
    <n v="5970400"/>
    <n v="5970400"/>
    <n v="5970400"/>
    <n v="7610991.5014164299"/>
    <s v=""/>
    <n v="8955600"/>
    <n v="8955600"/>
    <n v="8955600"/>
    <n v="0"/>
  </r>
  <r>
    <m/>
    <m/>
    <m/>
    <m/>
    <m/>
    <s v="COORDINADOR DE PRODUCCION"/>
    <m/>
    <x v="44"/>
    <s v="Director de producción "/>
    <m/>
    <m/>
    <m/>
    <m/>
    <n v="0"/>
    <m/>
    <n v="396"/>
    <x v="7"/>
    <x v="2"/>
    <x v="1"/>
    <n v="379"/>
    <n v="4745510.1100000003"/>
    <n v="0"/>
    <n v="0"/>
    <n v="4033000"/>
    <n v="4033000"/>
    <n v="4745510.1100000003"/>
    <n v="4745510.1100000003"/>
    <n v="4745510.1100000003"/>
    <n v="14.12"/>
    <n v="230"/>
    <n v="4.3499999999999997E-2"/>
    <n v="4033000"/>
    <n v="4033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4674516.2048216574"/>
    <n v="1.0151874337509226"/>
    <n v="4976340.5769949695"/>
    <n v="0.95361441536737435"/>
    <n v="4976672.1082647825"/>
    <n v="0.95355088837761881"/>
    <n v="4750000"/>
    <n v="0.99905476000000004"/>
    <n v="4888000"/>
    <n v="0.97084904050736509"/>
    <n v="5109000"/>
    <n v="0.92885302603249176"/>
    <n v="7138000"/>
    <n v="0.66482349537685625"/>
    <n v="7195000"/>
    <n v="0.65955665184155665"/>
    <n v="7463000"/>
    <n v="0.63587164813077857"/>
    <n v="6066288.9518241743"/>
    <n v="0.66482161203139678"/>
    <n v="7858000"/>
    <n v="0.60390813311275138"/>
    <n v="8067000"/>
    <n v="0.58826206892277177"/>
    <n v="8258000"/>
    <n v="0.57465610438362802"/>
    <n v="5074000"/>
    <n v="6342492.9178470252"/>
    <n v="0.63586984679976777"/>
    <n v="7611000"/>
    <s v=""/>
    <s v=""/>
    <s v=""/>
    <s v=""/>
    <n v="7463000"/>
    <n v="0.63587164813077857"/>
    <n v="7463000"/>
    <n v="0.63587164813077857"/>
    <n v="7463000"/>
    <n v="0.63587164813077857"/>
    <n v="4033000"/>
    <n v="0"/>
    <n v="483960"/>
    <n v="175435.5"/>
    <n v="161320"/>
    <n v="820715.5"/>
    <n v="5566225.6100000003"/>
    <n v="6342492.9178470252"/>
    <n v="0"/>
    <n v="761099.15014164301"/>
    <n v="275898.44192634558"/>
    <n v="253699.716713881"/>
    <n v="1290697.3087818697"/>
    <n v="8753697.3087818697"/>
    <n v="3187471.6987818694"/>
    <n v="2717489.8899999997"/>
    <n v="469981.80878186971"/>
    <n v="7462000"/>
    <n v="3981337.6866118261"/>
    <n v="5972006.5299177384"/>
    <n v="5073994.3342776196"/>
    <s v=""/>
    <n v="5970400"/>
    <n v="5970400"/>
    <n v="5970400"/>
    <n v="7610991.5014164299"/>
    <s v=""/>
    <n v="8955600"/>
    <n v="8955600"/>
    <n v="8955600"/>
    <n v="0"/>
  </r>
  <r>
    <m/>
    <m/>
    <m/>
    <m/>
    <m/>
    <s v="COORDINADOR DE PRODUCCION"/>
    <m/>
    <x v="44"/>
    <s v="Director de producción "/>
    <m/>
    <m/>
    <m/>
    <m/>
    <n v="0"/>
    <m/>
    <n v="396"/>
    <x v="7"/>
    <x v="2"/>
    <x v="1"/>
    <n v="379"/>
    <n v="4745510.1100000003"/>
    <n v="0"/>
    <n v="0"/>
    <n v="4033000"/>
    <n v="4033000"/>
    <n v="4745510.1100000003"/>
    <n v="4745510.1100000003"/>
    <n v="4745510.1100000003"/>
    <n v="14.12"/>
    <n v="230"/>
    <n v="4.3499999999999997E-2"/>
    <n v="4033000"/>
    <n v="4033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4674516.2048216574"/>
    <n v="1.0151874337509226"/>
    <n v="4976340.5769949695"/>
    <n v="0.95361441536737435"/>
    <n v="4976672.1082647825"/>
    <n v="0.95355088837761881"/>
    <n v="4750000"/>
    <n v="0.99905476000000004"/>
    <n v="4888000"/>
    <n v="0.97084904050736509"/>
    <n v="5109000"/>
    <n v="0.92885302603249176"/>
    <n v="7138000"/>
    <n v="0.66482349537685625"/>
    <n v="7195000"/>
    <n v="0.65955665184155665"/>
    <n v="7463000"/>
    <n v="0.63587164813077857"/>
    <n v="6066288.9518241743"/>
    <n v="0.66482161203139678"/>
    <n v="7858000"/>
    <n v="0.60390813311275138"/>
    <n v="8067000"/>
    <n v="0.58826206892277177"/>
    <n v="8258000"/>
    <n v="0.57465610438362802"/>
    <n v="5074000"/>
    <n v="6342492.9178470252"/>
    <n v="0.63586984679976777"/>
    <n v="7611000"/>
    <s v=""/>
    <s v=""/>
    <s v=""/>
    <s v=""/>
    <n v="7463000"/>
    <n v="0.63587164813077857"/>
    <n v="7463000"/>
    <n v="0.63587164813077857"/>
    <n v="7463000"/>
    <n v="0.63587164813077857"/>
    <n v="4033000"/>
    <n v="0"/>
    <n v="483960"/>
    <n v="175435.5"/>
    <n v="161320"/>
    <n v="820715.5"/>
    <n v="5566225.6100000003"/>
    <n v="6342492.9178470252"/>
    <n v="0"/>
    <n v="761099.15014164301"/>
    <n v="275898.44192634558"/>
    <n v="253699.716713881"/>
    <n v="1290697.3087818697"/>
    <n v="8753697.3087818697"/>
    <n v="3187471.6987818694"/>
    <n v="2717489.8899999997"/>
    <n v="469981.80878186971"/>
    <n v="7462000"/>
    <n v="3981337.6866118261"/>
    <n v="5972006.5299177384"/>
    <n v="5073994.3342776196"/>
    <s v=""/>
    <n v="5970400"/>
    <n v="5970400"/>
    <n v="5970400"/>
    <n v="7610991.5014164299"/>
    <s v=""/>
    <n v="8955600"/>
    <n v="8955600"/>
    <n v="8955600"/>
    <n v="0"/>
  </r>
  <r>
    <m/>
    <m/>
    <m/>
    <m/>
    <m/>
    <s v="COORDINADOR DE PRODUCCION"/>
    <m/>
    <x v="44"/>
    <s v="Director de producción "/>
    <m/>
    <m/>
    <m/>
    <m/>
    <n v="0"/>
    <m/>
    <n v="396"/>
    <x v="7"/>
    <x v="2"/>
    <x v="1"/>
    <n v="379"/>
    <n v="4745510.1100000003"/>
    <n v="0"/>
    <n v="0"/>
    <n v="4033000"/>
    <n v="4033000"/>
    <n v="4745510.1100000003"/>
    <n v="4745510.1100000003"/>
    <n v="4745510.1100000003"/>
    <n v="14.12"/>
    <n v="230"/>
    <n v="4.3499999999999997E-2"/>
    <n v="4033000"/>
    <n v="4033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4674516.2048216574"/>
    <n v="1.0151874337509226"/>
    <n v="4976340.5769949695"/>
    <n v="0.95361441536737435"/>
    <n v="4976672.1082647825"/>
    <n v="0.95355088837761881"/>
    <n v="4750000"/>
    <n v="0.99905476000000004"/>
    <n v="4888000"/>
    <n v="0.97084904050736509"/>
    <n v="5109000"/>
    <n v="0.92885302603249176"/>
    <n v="7138000"/>
    <n v="0.66482349537685625"/>
    <n v="7195000"/>
    <n v="0.65955665184155665"/>
    <n v="7463000"/>
    <n v="0.63587164813077857"/>
    <n v="6066288.9518241743"/>
    <n v="0.66482161203139678"/>
    <n v="7858000"/>
    <n v="0.60390813311275138"/>
    <n v="8067000"/>
    <n v="0.58826206892277177"/>
    <n v="8258000"/>
    <n v="0.57465610438362802"/>
    <n v="5074000"/>
    <n v="6342492.9178470252"/>
    <n v="0.63586984679976777"/>
    <n v="7611000"/>
    <s v=""/>
    <s v=""/>
    <s v=""/>
    <s v=""/>
    <n v="7463000"/>
    <n v="0.63587164813077857"/>
    <n v="7463000"/>
    <n v="0.63587164813077857"/>
    <n v="7463000"/>
    <n v="0.63587164813077857"/>
    <n v="4033000"/>
    <n v="0"/>
    <n v="483960"/>
    <n v="175435.5"/>
    <n v="161320"/>
    <n v="820715.5"/>
    <n v="5566225.6100000003"/>
    <n v="6342492.9178470252"/>
    <n v="0"/>
    <n v="761099.15014164301"/>
    <n v="275898.44192634558"/>
    <n v="253699.716713881"/>
    <n v="1290697.3087818697"/>
    <n v="8753697.3087818697"/>
    <n v="3187471.6987818694"/>
    <n v="2717489.8899999997"/>
    <n v="469981.80878186971"/>
    <n v="7462000"/>
    <n v="3981337.6866118261"/>
    <n v="5972006.5299177384"/>
    <n v="5073994.3342776196"/>
    <s v=""/>
    <n v="5970400"/>
    <n v="5970400"/>
    <n v="5970400"/>
    <n v="7610991.5014164299"/>
    <s v=""/>
    <n v="8955600"/>
    <n v="8955600"/>
    <n v="8955600"/>
    <n v="0"/>
  </r>
  <r>
    <m/>
    <m/>
    <m/>
    <m/>
    <m/>
    <s v="COORDINADOR DE PRODUCCION"/>
    <m/>
    <x v="44"/>
    <s v="Director de producción "/>
    <m/>
    <m/>
    <m/>
    <m/>
    <n v="0"/>
    <m/>
    <n v="396"/>
    <x v="7"/>
    <x v="2"/>
    <x v="1"/>
    <n v="379"/>
    <n v="4745510.1100000003"/>
    <n v="0"/>
    <n v="0"/>
    <n v="4033000"/>
    <n v="4033000"/>
    <n v="4745510.1100000003"/>
    <n v="4745510.1100000003"/>
    <n v="4745510.1100000003"/>
    <n v="14.12"/>
    <n v="230"/>
    <n v="4.3499999999999997E-2"/>
    <n v="4033000"/>
    <n v="4033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4674516.2048216574"/>
    <n v="1.0151874337509226"/>
    <n v="4976340.5769949695"/>
    <n v="0.95361441536737435"/>
    <n v="4976672.1082647825"/>
    <n v="0.95355088837761881"/>
    <n v="4750000"/>
    <n v="0.99905476000000004"/>
    <n v="4888000"/>
    <n v="0.97084904050736509"/>
    <n v="5109000"/>
    <n v="0.92885302603249176"/>
    <n v="7138000"/>
    <n v="0.66482349537685625"/>
    <n v="7195000"/>
    <n v="0.65955665184155665"/>
    <n v="7463000"/>
    <n v="0.63587164813077857"/>
    <n v="6066288.9518241743"/>
    <n v="0.66482161203139678"/>
    <n v="7858000"/>
    <n v="0.60390813311275138"/>
    <n v="8067000"/>
    <n v="0.58826206892277177"/>
    <n v="8258000"/>
    <n v="0.57465610438362802"/>
    <n v="5074000"/>
    <n v="6342492.9178470252"/>
    <n v="0.63586984679976777"/>
    <n v="7611000"/>
    <s v=""/>
    <s v=""/>
    <s v=""/>
    <s v=""/>
    <n v="7463000"/>
    <n v="0.63587164813077857"/>
    <n v="7463000"/>
    <n v="0.63587164813077857"/>
    <n v="7463000"/>
    <n v="0.63587164813077857"/>
    <n v="4033000"/>
    <n v="0"/>
    <n v="483960"/>
    <n v="175435.5"/>
    <n v="161320"/>
    <n v="820715.5"/>
    <n v="5566225.6100000003"/>
    <n v="6342492.9178470252"/>
    <n v="0"/>
    <n v="761099.15014164301"/>
    <n v="275898.44192634558"/>
    <n v="253699.716713881"/>
    <n v="1290697.3087818697"/>
    <n v="8753697.3087818697"/>
    <n v="3187471.6987818694"/>
    <n v="2717489.8899999997"/>
    <n v="469981.80878186971"/>
    <n v="7462000"/>
    <n v="3981337.6866118261"/>
    <n v="5972006.5299177384"/>
    <n v="5073994.3342776196"/>
    <s v=""/>
    <n v="5970400"/>
    <n v="5970400"/>
    <n v="5970400"/>
    <n v="7610991.5014164299"/>
    <s v=""/>
    <n v="8955600"/>
    <n v="8955600"/>
    <n v="8955600"/>
    <n v="0"/>
  </r>
  <r>
    <m/>
    <m/>
    <m/>
    <m/>
    <m/>
    <s v="COORDINADOR DE MANTENIMIENTO"/>
    <m/>
    <x v="45"/>
    <s v="Director de mantenimiento y proyectos "/>
    <m/>
    <m/>
    <m/>
    <m/>
    <n v="0"/>
    <m/>
    <n v="399"/>
    <x v="7"/>
    <x v="2"/>
    <x v="1"/>
    <n v="379"/>
    <n v="6561111.9200000009"/>
    <n v="0"/>
    <n v="0"/>
    <n v="5576000"/>
    <n v="5576000"/>
    <n v="6561111.9200000009"/>
    <n v="6561111.9200000009"/>
    <n v="6561111.9200000009"/>
    <n v="14.12"/>
    <n v="230"/>
    <n v="4.3499999999999997E-2"/>
    <n v="5576000"/>
    <n v="5576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4674516.2048216574"/>
    <n v="1.4035916515237155"/>
    <n v="4976340.5769949695"/>
    <n v="1.3184611902029457"/>
    <n v="4976672.1082647825"/>
    <n v="1.3183733581933059"/>
    <n v="4750000"/>
    <n v="1.3812867200000001"/>
    <n v="4888000"/>
    <n v="1.342289672667758"/>
    <n v="5109000"/>
    <n v="1.2842262517126641"/>
    <n v="7138000"/>
    <n v="0.91918071168394522"/>
    <n v="7195000"/>
    <n v="0.91189880750521202"/>
    <n v="7463000"/>
    <n v="0.87915207289293862"/>
    <n v="6066288.9518241743"/>
    <n v="0.91917810778256104"/>
    <n v="7858000"/>
    <n v="0.8349595215067448"/>
    <n v="8067000"/>
    <n v="0.81332737324903936"/>
    <n v="8258000"/>
    <n v="0.79451585371760725"/>
    <n v="5074000"/>
    <n v="6342492.9178470252"/>
    <n v="0.8791495823842066"/>
    <n v="7611000"/>
    <s v=""/>
    <s v=""/>
    <s v=""/>
    <s v=""/>
    <n v="7463000"/>
    <n v="0.87915207289293862"/>
    <n v="7463000"/>
    <n v="0.87915207289293862"/>
    <n v="7463000"/>
    <n v="0.87915207289293862"/>
    <n v="5576000"/>
    <n v="0"/>
    <n v="669120"/>
    <n v="242555.99999999997"/>
    <n v="223040"/>
    <n v="1134716"/>
    <n v="7695827.9200000009"/>
    <n v="6342492.9178470252"/>
    <n v="0"/>
    <n v="761099.15014164301"/>
    <n v="275898.44192634558"/>
    <n v="253699.716713881"/>
    <n v="1290697.3087818697"/>
    <n v="8753697.3087818697"/>
    <n v="1057869.3887818689"/>
    <n v="901888.07999999914"/>
    <n v="155981.30878186971"/>
    <n v="7462000"/>
    <n v="3981337.6866118261"/>
    <n v="5972006.5299177384"/>
    <n v="5073994.3342776196"/>
    <s v=""/>
    <n v="5970400"/>
    <n v="5970400"/>
    <n v="5970400"/>
    <n v="7610991.5014164299"/>
    <s v=""/>
    <n v="8955600"/>
    <n v="8955600"/>
    <n v="8955600"/>
    <n v="0"/>
  </r>
  <r>
    <m/>
    <m/>
    <m/>
    <m/>
    <m/>
    <s v="COORDINADOR TIC"/>
    <m/>
    <x v="46"/>
    <s v="Director TIC"/>
    <m/>
    <m/>
    <m/>
    <m/>
    <n v="0"/>
    <m/>
    <n v="404"/>
    <x v="7"/>
    <x v="2"/>
    <x v="0"/>
    <n v="379"/>
    <n v="6471685.0000000009"/>
    <n v="0"/>
    <n v="0"/>
    <n v="5500000"/>
    <n v="5500000"/>
    <n v="6471685.0000000009"/>
    <n v="6471685.0000000009"/>
    <n v="6471685.0000000009"/>
    <n v="14.12"/>
    <n v="230"/>
    <n v="4.3499999999999997E-2"/>
    <n v="5500000"/>
    <n v="55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4674516.2048216574"/>
    <n v="1.3844609188271944"/>
    <n v="4976340.5769949695"/>
    <n v="1.3004907722590031"/>
    <n v="4976672.1082647825"/>
    <n v="1.3004041373857931"/>
    <n v="4750000"/>
    <n v="1.3624600000000002"/>
    <n v="4888000"/>
    <n v="1.3239944762684126"/>
    <n v="5109000"/>
    <n v="1.2667224505774126"/>
    <n v="7138000"/>
    <n v="0.90665242364808085"/>
    <n v="7195000"/>
    <n v="0.89946977067407941"/>
    <n v="7463000"/>
    <n v="0.86716936888650686"/>
    <n v="6066288.9518241743"/>
    <n v="0.90664985523746155"/>
    <n v="7858000"/>
    <n v="0.82357915500127266"/>
    <n v="8067000"/>
    <n v="0.80224184951035094"/>
    <n v="8258000"/>
    <n v="0.78368672802131278"/>
    <n v="4567000"/>
    <n v="5708498.5835694047"/>
    <n v="0.963475758026897"/>
    <n v="6850000"/>
    <s v=""/>
    <s v=""/>
    <s v=""/>
    <s v=""/>
    <n v="6717000"/>
    <n v="0.96347848741997932"/>
    <n v="6717000"/>
    <n v="0.96347848741997932"/>
    <n v="6717000"/>
    <n v="0.96347848741997932"/>
    <n v="5500000"/>
    <n v="0"/>
    <n v="660000"/>
    <n v="239249.99999999997"/>
    <n v="220000"/>
    <n v="1119250"/>
    <n v="7590935.0000000009"/>
    <n v="5708498.5835694047"/>
    <n v="0"/>
    <n v="685019.83002832858"/>
    <n v="248319.68838526908"/>
    <n v="228339.94334277618"/>
    <n v="1161679.461756374"/>
    <n v="7878679.4617563738"/>
    <n v="287744.46175637282"/>
    <n v="245314.99999999907"/>
    <n v="42429.461756373988"/>
    <n v="7462000"/>
    <n v="3981337.6866118261"/>
    <n v="5972006.5299177384"/>
    <n v="4566798.8668555235"/>
    <s v=""/>
    <n v="5373600"/>
    <n v="5373600"/>
    <n v="5373600"/>
    <n v="6850198.3002832858"/>
    <s v=""/>
    <n v="8060400"/>
    <n v="8060400"/>
    <n v="8060400"/>
    <n v="0"/>
  </r>
  <r>
    <m/>
    <m/>
    <m/>
    <m/>
    <m/>
    <s v="COORDINADOR DE INGENIERIA "/>
    <m/>
    <x v="47"/>
    <s v=""/>
    <m/>
    <m/>
    <m/>
    <m/>
    <n v="0"/>
    <m/>
    <n v="408"/>
    <x v="8"/>
    <x v="2"/>
    <x v="2"/>
    <n v="436"/>
    <n v="4745510.1100000003"/>
    <n v="0"/>
    <n v="0"/>
    <n v="4033000"/>
    <n v="4033000"/>
    <n v="4745510.1100000003"/>
    <n v="4745510.1100000003"/>
    <n v="4745510.1100000003"/>
    <n v="14.12"/>
    <n v="230"/>
    <n v="4.3499999999999997E-2"/>
    <n v="4033000"/>
    <n v="4033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5522949.2161972504"/>
    <n v="0.859234790007259"/>
    <n v="5784495.1573274927"/>
    <n v="0.82038449007752023"/>
    <n v="5788705.6260986775"/>
    <n v="0.81978777580338924"/>
    <n v="6487000"/>
    <n v="0.73154156158470796"/>
    <n v="6736000"/>
    <n v="0.70449971941805234"/>
    <n v="7056000"/>
    <n v="0.67254961876417241"/>
    <n v="8575000"/>
    <n v="0.5534122577259476"/>
    <n v="8645000"/>
    <n v="0.54893118681318687"/>
    <n v="8935000"/>
    <n v="0.53111472971460549"/>
    <n v="7287535.4107442275"/>
    <n v="0.55341068999184961"/>
    <n v="8965000"/>
    <n v="0.52933743558282209"/>
    <n v="9200000"/>
    <n v="0.51581631630434788"/>
    <n v="9412000"/>
    <n v="0.50419784424139402"/>
    <n v="7290000"/>
    <n v="9112181.3031161465"/>
    <n v="0.44259435428713551"/>
    <n v="10935000"/>
    <s v=""/>
    <s v=""/>
    <s v=""/>
    <s v=""/>
    <n v="10722000"/>
    <n v="0.44259560809550458"/>
    <n v="10722000"/>
    <n v="0.44259560809550458"/>
    <n v="10722000"/>
    <n v="0.44259560809550458"/>
    <n v="4033000"/>
    <n v="0"/>
    <n v="483960"/>
    <n v="175435.5"/>
    <n v="161320"/>
    <n v="820715.5"/>
    <n v="5566225.6100000003"/>
    <n v="9112181.3031161465"/>
    <n v="0"/>
    <n v="1093461.7563739375"/>
    <n v="396379.88668555237"/>
    <n v="364487.25212464586"/>
    <n v="1854328.8951841355"/>
    <n v="12576328.895184135"/>
    <n v="7010103.2851841347"/>
    <n v="5976489.8899999997"/>
    <n v="1033613.3951841355"/>
    <n v="8934000"/>
    <n v="4630964.5008789422"/>
    <n v="6946446.7513184128"/>
    <n v="7289745.0424929177"/>
    <s v=""/>
    <n v="8577600"/>
    <n v="8577600"/>
    <n v="8577600"/>
    <n v="10934617.563739376"/>
    <s v=""/>
    <n v="12866400"/>
    <n v="12866400"/>
    <n v="12866400"/>
    <n v="0"/>
  </r>
  <r>
    <m/>
    <m/>
    <m/>
    <m/>
    <m/>
    <s v="COORDINADOR DE INGENIERIA "/>
    <m/>
    <x v="47"/>
    <s v=""/>
    <m/>
    <m/>
    <m/>
    <m/>
    <n v="0"/>
    <m/>
    <n v="408"/>
    <x v="8"/>
    <x v="2"/>
    <x v="2"/>
    <n v="436"/>
    <n v="4745510.1100000003"/>
    <n v="0"/>
    <n v="0"/>
    <n v="4033000"/>
    <n v="4033000"/>
    <n v="4745510.1100000003"/>
    <n v="4745510.1100000003"/>
    <n v="4745510.1100000003"/>
    <n v="14.12"/>
    <n v="230"/>
    <n v="4.3499999999999997E-2"/>
    <n v="4033000"/>
    <n v="4033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5522949.2161972504"/>
    <n v="0.859234790007259"/>
    <n v="5784495.1573274927"/>
    <n v="0.82038449007752023"/>
    <n v="5788705.6260986775"/>
    <n v="0.81978777580338924"/>
    <n v="6487000"/>
    <n v="0.73154156158470796"/>
    <n v="6736000"/>
    <n v="0.70449971941805234"/>
    <n v="7056000"/>
    <n v="0.67254961876417241"/>
    <n v="8575000"/>
    <n v="0.5534122577259476"/>
    <n v="8645000"/>
    <n v="0.54893118681318687"/>
    <n v="8935000"/>
    <n v="0.53111472971460549"/>
    <n v="7287535.4107442275"/>
    <n v="0.55341068999184961"/>
    <n v="8965000"/>
    <n v="0.52933743558282209"/>
    <n v="9200000"/>
    <n v="0.51581631630434788"/>
    <n v="9412000"/>
    <n v="0.50419784424139402"/>
    <n v="7290000"/>
    <n v="9112181.3031161465"/>
    <n v="0.44259435428713551"/>
    <n v="10935000"/>
    <s v=""/>
    <s v=""/>
    <s v=""/>
    <s v=""/>
    <n v="10722000"/>
    <n v="0.44259560809550458"/>
    <n v="10722000"/>
    <n v="0.44259560809550458"/>
    <n v="10722000"/>
    <n v="0.44259560809550458"/>
    <n v="4033000"/>
    <n v="0"/>
    <n v="483960"/>
    <n v="175435.5"/>
    <n v="161320"/>
    <n v="820715.5"/>
    <n v="5566225.6100000003"/>
    <n v="9112181.3031161465"/>
    <n v="0"/>
    <n v="1093461.7563739375"/>
    <n v="396379.88668555237"/>
    <n v="364487.25212464586"/>
    <n v="1854328.8951841355"/>
    <n v="12576328.895184135"/>
    <n v="7010103.2851841347"/>
    <n v="5976489.8899999997"/>
    <n v="1033613.3951841355"/>
    <n v="8934000"/>
    <n v="4630964.5008789422"/>
    <n v="6946446.7513184128"/>
    <n v="7289745.0424929177"/>
    <s v=""/>
    <n v="8577600"/>
    <n v="8577600"/>
    <n v="8577600"/>
    <n v="10934617.563739376"/>
    <s v=""/>
    <n v="12866400"/>
    <n v="12866400"/>
    <n v="12866400"/>
    <n v="0"/>
  </r>
  <r>
    <m/>
    <m/>
    <m/>
    <m/>
    <m/>
    <s v="COORDINADOR DE INGENIERIA "/>
    <m/>
    <x v="47"/>
    <s v=""/>
    <m/>
    <m/>
    <m/>
    <m/>
    <n v="0"/>
    <m/>
    <n v="408"/>
    <x v="8"/>
    <x v="2"/>
    <x v="2"/>
    <n v="436"/>
    <n v="4745510.1100000003"/>
    <n v="0"/>
    <n v="0"/>
    <n v="4033000"/>
    <n v="4033000"/>
    <n v="4745510.1100000003"/>
    <n v="4745510.1100000003"/>
    <n v="4745510.1100000003"/>
    <n v="14.12"/>
    <n v="230"/>
    <n v="4.3499999999999997E-2"/>
    <n v="4033000"/>
    <n v="4033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5522949.2161972504"/>
    <n v="0.859234790007259"/>
    <n v="5784495.1573274927"/>
    <n v="0.82038449007752023"/>
    <n v="5788705.6260986775"/>
    <n v="0.81978777580338924"/>
    <n v="6487000"/>
    <n v="0.73154156158470796"/>
    <n v="6736000"/>
    <n v="0.70449971941805234"/>
    <n v="7056000"/>
    <n v="0.67254961876417241"/>
    <n v="8575000"/>
    <n v="0.5534122577259476"/>
    <n v="8645000"/>
    <n v="0.54893118681318687"/>
    <n v="8935000"/>
    <n v="0.53111472971460549"/>
    <n v="7287535.4107442275"/>
    <n v="0.55341068999184961"/>
    <n v="8965000"/>
    <n v="0.52933743558282209"/>
    <n v="9200000"/>
    <n v="0.51581631630434788"/>
    <n v="9412000"/>
    <n v="0.50419784424139402"/>
    <n v="7290000"/>
    <n v="9112181.3031161465"/>
    <n v="0.44259435428713551"/>
    <n v="10935000"/>
    <s v=""/>
    <s v=""/>
    <s v=""/>
    <s v=""/>
    <n v="10722000"/>
    <n v="0.44259560809550458"/>
    <n v="10722000"/>
    <n v="0.44259560809550458"/>
    <n v="10722000"/>
    <n v="0.44259560809550458"/>
    <n v="4033000"/>
    <n v="0"/>
    <n v="483960"/>
    <n v="175435.5"/>
    <n v="161320"/>
    <n v="820715.5"/>
    <n v="5566225.6100000003"/>
    <n v="9112181.3031161465"/>
    <n v="0"/>
    <n v="1093461.7563739375"/>
    <n v="396379.88668555237"/>
    <n v="364487.25212464586"/>
    <n v="1854328.8951841355"/>
    <n v="12576328.895184135"/>
    <n v="7010103.2851841347"/>
    <n v="5976489.8899999997"/>
    <n v="1033613.3951841355"/>
    <n v="8934000"/>
    <n v="4630964.5008789422"/>
    <n v="6946446.7513184128"/>
    <n v="7289745.0424929177"/>
    <s v=""/>
    <n v="8577600"/>
    <n v="8577600"/>
    <n v="8577600"/>
    <n v="10934617.563739376"/>
    <s v=""/>
    <n v="12866400"/>
    <n v="12866400"/>
    <n v="12866400"/>
    <n v="0"/>
  </r>
  <r>
    <m/>
    <m/>
    <m/>
    <m/>
    <m/>
    <s v="COORDINADOR DE INGENIERIA "/>
    <m/>
    <x v="47"/>
    <s v=""/>
    <m/>
    <m/>
    <m/>
    <m/>
    <n v="0"/>
    <m/>
    <n v="408"/>
    <x v="8"/>
    <x v="2"/>
    <x v="2"/>
    <n v="436"/>
    <n v="4745510.1100000003"/>
    <n v="0"/>
    <n v="0"/>
    <n v="4033000"/>
    <n v="4033000"/>
    <n v="4745510.1100000003"/>
    <n v="4745510.1100000003"/>
    <n v="4745510.1100000003"/>
    <n v="14.12"/>
    <n v="230"/>
    <n v="4.3499999999999997E-2"/>
    <n v="4033000"/>
    <n v="4033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5522949.2161972504"/>
    <n v="0.859234790007259"/>
    <n v="5784495.1573274927"/>
    <n v="0.82038449007752023"/>
    <n v="5788705.6260986775"/>
    <n v="0.81978777580338924"/>
    <n v="6487000"/>
    <n v="0.73154156158470796"/>
    <n v="6736000"/>
    <n v="0.70449971941805234"/>
    <n v="7056000"/>
    <n v="0.67254961876417241"/>
    <n v="8575000"/>
    <n v="0.5534122577259476"/>
    <n v="8645000"/>
    <n v="0.54893118681318687"/>
    <n v="8935000"/>
    <n v="0.53111472971460549"/>
    <n v="7287535.4107442275"/>
    <n v="0.55341068999184961"/>
    <n v="8965000"/>
    <n v="0.52933743558282209"/>
    <n v="9200000"/>
    <n v="0.51581631630434788"/>
    <n v="9412000"/>
    <n v="0.50419784424139402"/>
    <n v="7290000"/>
    <n v="9112181.3031161465"/>
    <n v="0.44259435428713551"/>
    <n v="10935000"/>
    <s v=""/>
    <s v=""/>
    <s v=""/>
    <s v=""/>
    <n v="10722000"/>
    <n v="0.44259560809550458"/>
    <n v="10722000"/>
    <n v="0.44259560809550458"/>
    <n v="10722000"/>
    <n v="0.44259560809550458"/>
    <n v="4033000"/>
    <n v="0"/>
    <n v="483960"/>
    <n v="175435.5"/>
    <n v="161320"/>
    <n v="820715.5"/>
    <n v="5566225.6100000003"/>
    <n v="9112181.3031161465"/>
    <n v="0"/>
    <n v="1093461.7563739375"/>
    <n v="396379.88668555237"/>
    <n v="364487.25212464586"/>
    <n v="1854328.8951841355"/>
    <n v="12576328.895184135"/>
    <n v="7010103.2851841347"/>
    <n v="5976489.8899999997"/>
    <n v="1033613.3951841355"/>
    <n v="8934000"/>
    <n v="4630964.5008789422"/>
    <n v="6946446.7513184128"/>
    <n v="7289745.0424929177"/>
    <s v=""/>
    <n v="8577600"/>
    <n v="8577600"/>
    <n v="8577600"/>
    <n v="10934617.563739376"/>
    <s v=""/>
    <n v="12866400"/>
    <n v="12866400"/>
    <n v="12866400"/>
    <n v="0"/>
  </r>
  <r>
    <m/>
    <m/>
    <m/>
    <m/>
    <m/>
    <s v="COORDINADOR DE INGENIERIA "/>
    <m/>
    <x v="47"/>
    <s v=""/>
    <m/>
    <m/>
    <m/>
    <m/>
    <n v="0"/>
    <m/>
    <n v="408"/>
    <x v="8"/>
    <x v="2"/>
    <x v="2"/>
    <n v="436"/>
    <n v="4745510.1100000003"/>
    <n v="0"/>
    <n v="0"/>
    <n v="4033000"/>
    <n v="4033000"/>
    <n v="4745510.1100000003"/>
    <n v="4745510.1100000003"/>
    <n v="4745510.1100000003"/>
    <n v="14.12"/>
    <n v="230"/>
    <n v="4.3499999999999997E-2"/>
    <n v="4033000"/>
    <n v="4033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5522949.2161972504"/>
    <n v="0.859234790007259"/>
    <n v="5784495.1573274927"/>
    <n v="0.82038449007752023"/>
    <n v="5788705.6260986775"/>
    <n v="0.81978777580338924"/>
    <n v="6487000"/>
    <n v="0.73154156158470796"/>
    <n v="6736000"/>
    <n v="0.70449971941805234"/>
    <n v="7056000"/>
    <n v="0.67254961876417241"/>
    <n v="8575000"/>
    <n v="0.5534122577259476"/>
    <n v="8645000"/>
    <n v="0.54893118681318687"/>
    <n v="8935000"/>
    <n v="0.53111472971460549"/>
    <n v="7287535.4107442275"/>
    <n v="0.55341068999184961"/>
    <n v="8965000"/>
    <n v="0.52933743558282209"/>
    <n v="9200000"/>
    <n v="0.51581631630434788"/>
    <n v="9412000"/>
    <n v="0.50419784424139402"/>
    <n v="7290000"/>
    <n v="9112181.3031161465"/>
    <n v="0.44259435428713551"/>
    <n v="10935000"/>
    <s v=""/>
    <s v=""/>
    <s v=""/>
    <s v=""/>
    <n v="10722000"/>
    <n v="0.44259560809550458"/>
    <n v="10722000"/>
    <n v="0.44259560809550458"/>
    <n v="10722000"/>
    <n v="0.44259560809550458"/>
    <n v="4033000"/>
    <n v="0"/>
    <n v="483960"/>
    <n v="175435.5"/>
    <n v="161320"/>
    <n v="820715.5"/>
    <n v="5566225.6100000003"/>
    <n v="9112181.3031161465"/>
    <n v="0"/>
    <n v="1093461.7563739375"/>
    <n v="396379.88668555237"/>
    <n v="364487.25212464586"/>
    <n v="1854328.8951841355"/>
    <n v="12576328.895184135"/>
    <n v="7010103.2851841347"/>
    <n v="5976489.8899999997"/>
    <n v="1033613.3951841355"/>
    <n v="8934000"/>
    <n v="4630964.5008789422"/>
    <n v="6946446.7513184128"/>
    <n v="7289745.0424929177"/>
    <s v=""/>
    <n v="8577600"/>
    <n v="8577600"/>
    <n v="8577600"/>
    <n v="10934617.563739376"/>
    <s v=""/>
    <n v="12866400"/>
    <n v="12866400"/>
    <n v="12866400"/>
    <n v="0"/>
  </r>
  <r>
    <m/>
    <m/>
    <m/>
    <m/>
    <m/>
    <s v="COORDINADOR DE INGENIERIA "/>
    <m/>
    <x v="47"/>
    <s v=""/>
    <m/>
    <m/>
    <m/>
    <m/>
    <n v="0"/>
    <m/>
    <n v="408"/>
    <x v="8"/>
    <x v="2"/>
    <x v="2"/>
    <n v="436"/>
    <n v="4745510.1100000003"/>
    <n v="0"/>
    <n v="0"/>
    <n v="4033000"/>
    <n v="4033000"/>
    <n v="4745510.1100000003"/>
    <n v="4745510.1100000003"/>
    <n v="4745510.1100000003"/>
    <n v="14.12"/>
    <n v="230"/>
    <n v="4.3499999999999997E-2"/>
    <n v="4033000"/>
    <n v="4033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5522949.2161972504"/>
    <n v="0.859234790007259"/>
    <n v="5784495.1573274927"/>
    <n v="0.82038449007752023"/>
    <n v="5788705.6260986775"/>
    <n v="0.81978777580338924"/>
    <n v="6487000"/>
    <n v="0.73154156158470796"/>
    <n v="6736000"/>
    <n v="0.70449971941805234"/>
    <n v="7056000"/>
    <n v="0.67254961876417241"/>
    <n v="8575000"/>
    <n v="0.5534122577259476"/>
    <n v="8645000"/>
    <n v="0.54893118681318687"/>
    <n v="8935000"/>
    <n v="0.53111472971460549"/>
    <n v="7287535.4107442275"/>
    <n v="0.55341068999184961"/>
    <n v="8965000"/>
    <n v="0.52933743558282209"/>
    <n v="9200000"/>
    <n v="0.51581631630434788"/>
    <n v="9412000"/>
    <n v="0.50419784424139402"/>
    <n v="7290000"/>
    <n v="9112181.3031161465"/>
    <n v="0.44259435428713551"/>
    <n v="10935000"/>
    <s v=""/>
    <s v=""/>
    <s v=""/>
    <s v=""/>
    <n v="10722000"/>
    <n v="0.44259560809550458"/>
    <n v="10722000"/>
    <n v="0.44259560809550458"/>
    <n v="10722000"/>
    <n v="0.44259560809550458"/>
    <n v="4033000"/>
    <n v="0"/>
    <n v="483960"/>
    <n v="175435.5"/>
    <n v="161320"/>
    <n v="820715.5"/>
    <n v="5566225.6100000003"/>
    <n v="9112181.3031161465"/>
    <n v="0"/>
    <n v="1093461.7563739375"/>
    <n v="396379.88668555237"/>
    <n v="364487.25212464586"/>
    <n v="1854328.8951841355"/>
    <n v="12576328.895184135"/>
    <n v="7010103.2851841347"/>
    <n v="5976489.8899999997"/>
    <n v="1033613.3951841355"/>
    <n v="8934000"/>
    <n v="4630964.5008789422"/>
    <n v="6946446.7513184128"/>
    <n v="7289745.0424929177"/>
    <s v=""/>
    <n v="8577600"/>
    <n v="8577600"/>
    <n v="8577600"/>
    <n v="10934617.563739376"/>
    <s v=""/>
    <n v="12866400"/>
    <n v="12866400"/>
    <n v="12866400"/>
    <n v="0"/>
  </r>
  <r>
    <m/>
    <m/>
    <m/>
    <m/>
    <m/>
    <s v="COORDINADOR DE INGENIERIA "/>
    <m/>
    <x v="47"/>
    <s v=""/>
    <m/>
    <m/>
    <m/>
    <m/>
    <n v="0"/>
    <m/>
    <n v="408"/>
    <x v="8"/>
    <x v="2"/>
    <x v="2"/>
    <n v="436"/>
    <n v="4745510.1100000003"/>
    <n v="0"/>
    <n v="0"/>
    <n v="4033000"/>
    <n v="4033000"/>
    <n v="4745510.1100000003"/>
    <n v="4745510.1100000003"/>
    <n v="4745510.1100000003"/>
    <n v="14.12"/>
    <n v="230"/>
    <n v="4.3499999999999997E-2"/>
    <n v="4033000"/>
    <n v="4033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5522949.2161972504"/>
    <n v="0.859234790007259"/>
    <n v="5784495.1573274927"/>
    <n v="0.82038449007752023"/>
    <n v="5788705.6260986775"/>
    <n v="0.81978777580338924"/>
    <n v="6487000"/>
    <n v="0.73154156158470796"/>
    <n v="6736000"/>
    <n v="0.70449971941805234"/>
    <n v="7056000"/>
    <n v="0.67254961876417241"/>
    <n v="8575000"/>
    <n v="0.5534122577259476"/>
    <n v="8645000"/>
    <n v="0.54893118681318687"/>
    <n v="8935000"/>
    <n v="0.53111472971460549"/>
    <n v="7287535.4107442275"/>
    <n v="0.55341068999184961"/>
    <n v="8965000"/>
    <n v="0.52933743558282209"/>
    <n v="9200000"/>
    <n v="0.51581631630434788"/>
    <n v="9412000"/>
    <n v="0.50419784424139402"/>
    <n v="7290000"/>
    <n v="9112181.3031161465"/>
    <n v="0.44259435428713551"/>
    <n v="10935000"/>
    <s v=""/>
    <s v=""/>
    <s v=""/>
    <s v=""/>
    <n v="10722000"/>
    <n v="0.44259560809550458"/>
    <n v="10722000"/>
    <n v="0.44259560809550458"/>
    <n v="10722000"/>
    <n v="0.44259560809550458"/>
    <n v="4033000"/>
    <n v="0"/>
    <n v="483960"/>
    <n v="175435.5"/>
    <n v="161320"/>
    <n v="820715.5"/>
    <n v="5566225.6100000003"/>
    <n v="9112181.3031161465"/>
    <n v="0"/>
    <n v="1093461.7563739375"/>
    <n v="396379.88668555237"/>
    <n v="364487.25212464586"/>
    <n v="1854328.8951841355"/>
    <n v="12576328.895184135"/>
    <n v="7010103.2851841347"/>
    <n v="5976489.8899999997"/>
    <n v="1033613.3951841355"/>
    <n v="8934000"/>
    <n v="4630964.5008789422"/>
    <n v="6946446.7513184128"/>
    <n v="7289745.0424929177"/>
    <s v=""/>
    <n v="8577600"/>
    <n v="8577600"/>
    <n v="8577600"/>
    <n v="10934617.563739376"/>
    <s v=""/>
    <n v="12866400"/>
    <n v="12866400"/>
    <n v="12866400"/>
    <n v="0"/>
  </r>
  <r>
    <m/>
    <m/>
    <m/>
    <m/>
    <m/>
    <s v="COORDINADOR DE INGENIERIA "/>
    <m/>
    <x v="47"/>
    <s v=""/>
    <m/>
    <m/>
    <m/>
    <m/>
    <n v="0"/>
    <m/>
    <n v="408"/>
    <x v="8"/>
    <x v="2"/>
    <x v="2"/>
    <n v="436"/>
    <n v="4745510.1100000003"/>
    <n v="0"/>
    <n v="0"/>
    <n v="4033000"/>
    <n v="4033000"/>
    <n v="4745510.1100000003"/>
    <n v="4745510.1100000003"/>
    <n v="4745510.1100000003"/>
    <n v="14.12"/>
    <n v="230"/>
    <n v="4.3499999999999997E-2"/>
    <n v="4033000"/>
    <n v="4033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5522949.2161972504"/>
    <n v="0.859234790007259"/>
    <n v="5784495.1573274927"/>
    <n v="0.82038449007752023"/>
    <n v="5788705.6260986775"/>
    <n v="0.81978777580338924"/>
    <n v="6487000"/>
    <n v="0.73154156158470796"/>
    <n v="6736000"/>
    <n v="0.70449971941805234"/>
    <n v="7056000"/>
    <n v="0.67254961876417241"/>
    <n v="8575000"/>
    <n v="0.5534122577259476"/>
    <n v="8645000"/>
    <n v="0.54893118681318687"/>
    <n v="8935000"/>
    <n v="0.53111472971460549"/>
    <n v="7287535.4107442275"/>
    <n v="0.55341068999184961"/>
    <n v="8965000"/>
    <n v="0.52933743558282209"/>
    <n v="9200000"/>
    <n v="0.51581631630434788"/>
    <n v="9412000"/>
    <n v="0.50419784424139402"/>
    <n v="7290000"/>
    <n v="9112181.3031161465"/>
    <n v="0.44259435428713551"/>
    <n v="10935000"/>
    <s v=""/>
    <s v=""/>
    <s v=""/>
    <s v=""/>
    <n v="10722000"/>
    <n v="0.44259560809550458"/>
    <n v="10722000"/>
    <n v="0.44259560809550458"/>
    <n v="10722000"/>
    <n v="0.44259560809550458"/>
    <n v="4033000"/>
    <n v="0"/>
    <n v="483960"/>
    <n v="175435.5"/>
    <n v="161320"/>
    <n v="820715.5"/>
    <n v="5566225.6100000003"/>
    <n v="9112181.3031161465"/>
    <n v="0"/>
    <n v="1093461.7563739375"/>
    <n v="396379.88668555237"/>
    <n v="364487.25212464586"/>
    <n v="1854328.8951841355"/>
    <n v="12576328.895184135"/>
    <n v="7010103.2851841347"/>
    <n v="5976489.8899999997"/>
    <n v="1033613.3951841355"/>
    <n v="8934000"/>
    <n v="4630964.5008789422"/>
    <n v="6946446.7513184128"/>
    <n v="7289745.0424929177"/>
    <s v=""/>
    <n v="8577600"/>
    <n v="8577600"/>
    <n v="8577600"/>
    <n v="10934617.563739376"/>
    <s v=""/>
    <n v="12866400"/>
    <n v="12866400"/>
    <n v="12866400"/>
    <n v="0"/>
  </r>
  <r>
    <m/>
    <m/>
    <m/>
    <m/>
    <m/>
    <s v="LIDER DE ZONA"/>
    <m/>
    <x v="48"/>
    <s v="Director de ventas Nacional"/>
    <m/>
    <m/>
    <m/>
    <m/>
    <n v="0"/>
    <m/>
    <n v="409"/>
    <x v="8"/>
    <x v="2"/>
    <x v="3"/>
    <n v="436"/>
    <n v="4471346"/>
    <n v="3412343.0000000005"/>
    <n v="0"/>
    <n v="6700000"/>
    <n v="6700000"/>
    <n v="4471346"/>
    <n v="7883689"/>
    <n v="7883689"/>
    <n v="14.12"/>
    <n v="230"/>
    <n v="4.3499999999999997E-2"/>
    <n v="3800000"/>
    <n v="3800000"/>
    <m/>
    <n v="0"/>
    <m/>
    <n v="0"/>
    <m/>
    <m/>
    <m/>
    <m/>
    <m/>
    <n v="2900000"/>
    <m/>
    <n v="0"/>
    <m/>
    <n v="0"/>
    <m/>
    <n v="0"/>
    <m/>
    <m/>
    <n v="0"/>
    <m/>
    <m/>
    <m/>
    <m/>
    <m/>
    <m/>
    <m/>
    <m/>
    <m/>
    <n v="0.43283582089552247"/>
    <n v="0"/>
    <n v="5522949.2161972504"/>
    <n v="0.80959390082508909"/>
    <n v="5784495.1573274927"/>
    <n v="1.3629000950953101"/>
    <n v="5788705.6260986775"/>
    <n v="1.3619087770599323"/>
    <n v="6487000"/>
    <n v="0.68927794049637736"/>
    <n v="6736000"/>
    <n v="1.1703813836104513"/>
    <n v="7056000"/>
    <n v="1.1173028628117914"/>
    <n v="8575000"/>
    <n v="0.5214397667638484"/>
    <n v="8645000"/>
    <n v="0.91193626373626369"/>
    <n v="8935000"/>
    <n v="0.88233788472299945"/>
    <n v="7287535.4107442275"/>
    <n v="0.52143828960303207"/>
    <n v="8965000"/>
    <n v="0.4987558282208589"/>
    <n v="9200000"/>
    <n v="0.85692271739130432"/>
    <n v="9412000"/>
    <n v="0.8376210157246069"/>
    <n v="6683000"/>
    <n v="5453249.5750708207"/>
    <n v="0.69683221860438138"/>
    <n v="10024000"/>
    <s v=""/>
    <s v=""/>
    <s v=""/>
    <s v=""/>
    <n v="6416657"/>
    <n v="0.69683419263332913"/>
    <n v="9829000"/>
    <n v="0.80208454573201748"/>
    <n v="9829000"/>
    <n v="0.80208454573201748"/>
    <n v="6700000"/>
    <n v="0"/>
    <n v="804000"/>
    <n v="291450"/>
    <n v="268000"/>
    <n v="1363450"/>
    <n v="9247139"/>
    <n v="5453249.5750708207"/>
    <n v="0"/>
    <n v="654389.94900849846"/>
    <n v="237216.35651558067"/>
    <n v="218129.98300283283"/>
    <n v="1109736.288526912"/>
    <n v="10938736.288526911"/>
    <n v="1691597.2885269113"/>
    <n v="1945311"/>
    <n v="0"/>
    <n v="8934000"/>
    <n v="4630964.5008789422"/>
    <n v="6946446.7513184128"/>
    <n v="6682606.2322946172"/>
    <s v=""/>
    <n v="7863200"/>
    <n v="7863200"/>
    <n v="7863200"/>
    <n v="10023909.348441925"/>
    <s v=""/>
    <n v="11794800"/>
    <n v="11794800"/>
    <n v="11794800"/>
    <n v="0"/>
  </r>
  <r>
    <m/>
    <m/>
    <m/>
    <m/>
    <m/>
    <s v="ADMINISTRADOR FEDEXTRU"/>
    <m/>
    <x v="49"/>
    <s v="Directora administrativa y contable "/>
    <m/>
    <m/>
    <m/>
    <m/>
    <n v="0"/>
    <m/>
    <n v="410"/>
    <x v="8"/>
    <x v="2"/>
    <x v="0"/>
    <n v="436"/>
    <n v="5570355.7800000003"/>
    <n v="0"/>
    <n v="0"/>
    <n v="4734000"/>
    <n v="4734000"/>
    <n v="5570355.7800000003"/>
    <n v="5570355.7800000003"/>
    <n v="5570355.7800000003"/>
    <n v="14.12"/>
    <n v="230"/>
    <n v="5.2199999999999998E-3"/>
    <n v="4734000"/>
    <n v="473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5522949.2161972504"/>
    <n v="1.0085835596068347"/>
    <n v="5784495.1573274927"/>
    <n v="0.96298045525092502"/>
    <n v="5788705.6260986775"/>
    <n v="0.9622800224778687"/>
    <n v="6487000"/>
    <n v="0.85869520271311861"/>
    <n v="6736000"/>
    <n v="0.82695305522565321"/>
    <n v="7056000"/>
    <n v="0.78944951530612251"/>
    <n v="8575000"/>
    <n v="0.64960417259475223"/>
    <n v="8645000"/>
    <n v="0.64434421978021983"/>
    <n v="8935000"/>
    <n v="0.62343097705651929"/>
    <n v="7287535.4107442275"/>
    <n v="0.64960233236335629"/>
    <n v="8965000"/>
    <n v="0.62134476073619638"/>
    <n v="9200000"/>
    <n v="0.60547345434782607"/>
    <n v="9412000"/>
    <n v="0.59183550573735655"/>
    <n v="5468000"/>
    <n v="6834560.9065155806"/>
    <n v="0.69265605570753541"/>
    <n v="8201000"/>
    <s v=""/>
    <s v=""/>
    <s v=""/>
    <s v=""/>
    <n v="8042000"/>
    <n v="0.69265801790599357"/>
    <n v="8042000"/>
    <n v="0.69265801790599357"/>
    <n v="8042000"/>
    <n v="0.69265801790599357"/>
    <n v="4734000"/>
    <n v="0"/>
    <n v="568080"/>
    <n v="24711.48"/>
    <n v="189360"/>
    <n v="782151.48"/>
    <n v="6352507.2599999998"/>
    <n v="6834560.9065155806"/>
    <n v="0"/>
    <n v="820147.30878186959"/>
    <n v="35676.407932011331"/>
    <n v="273382.43626062322"/>
    <n v="1129206.152974504"/>
    <n v="9171206.152974505"/>
    <n v="2818698.8929745052"/>
    <n v="2471644.2199999997"/>
    <n v="347054.67297450406"/>
    <n v="8934000"/>
    <n v="4630964.5008789422"/>
    <n v="6946446.7513184128"/>
    <n v="5467648.7252124641"/>
    <s v=""/>
    <n v="6433600"/>
    <n v="6433600"/>
    <n v="6433600"/>
    <n v="8201473.0878186962"/>
    <s v=""/>
    <n v="9650400"/>
    <n v="9650400"/>
    <n v="9650400"/>
    <n v="0"/>
  </r>
  <r>
    <m/>
    <m/>
    <m/>
    <m/>
    <m/>
    <s v="JEFE DE CALIDAD "/>
    <m/>
    <x v="50"/>
    <s v=""/>
    <m/>
    <m/>
    <m/>
    <m/>
    <n v="0"/>
    <m/>
    <n v="410"/>
    <x v="8"/>
    <x v="2"/>
    <x v="1"/>
    <n v="436"/>
    <n v="5818633.1500000004"/>
    <n v="0"/>
    <n v="0"/>
    <n v="4945000"/>
    <n v="4945000"/>
    <n v="5818633.1500000004"/>
    <n v="5818633.1500000004"/>
    <n v="5818633.1500000004"/>
    <n v="14.12"/>
    <n v="230"/>
    <n v="4.3499999999999997E-2"/>
    <n v="4945000"/>
    <n v="4945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5522949.2161972504"/>
    <n v="1.0535373262052805"/>
    <n v="5784495.1573274927"/>
    <n v="1.0059016373501952"/>
    <n v="5788705.6260986775"/>
    <n v="1.0051699854569203"/>
    <n v="6487000"/>
    <n v="0.8969682673038385"/>
    <n v="6736000"/>
    <n v="0.86381133461995252"/>
    <n v="7056000"/>
    <n v="0.82463621740362814"/>
    <n v="8575000"/>
    <n v="0.67855780174927116"/>
    <n v="8645000"/>
    <n v="0.67306340659340669"/>
    <n v="8935000"/>
    <n v="0.65121803581421378"/>
    <n v="7287535.4107442275"/>
    <n v="0.67855587949657725"/>
    <n v="8965000"/>
    <n v="0.64903883435582821"/>
    <n v="9200000"/>
    <n v="0.63246012500000004"/>
    <n v="9412000"/>
    <n v="0.61821431682957928"/>
    <n v="6075000"/>
    <n v="7593484.419263456"/>
    <n v="0.65121619100914008"/>
    <n v="9112000"/>
    <s v=""/>
    <s v=""/>
    <s v=""/>
    <s v=""/>
    <n v="8935000"/>
    <n v="0.65121803581421378"/>
    <n v="8935000"/>
    <n v="0.65121803581421378"/>
    <n v="8935000"/>
    <n v="0.65121803581421378"/>
    <n v="4945000"/>
    <n v="0"/>
    <n v="593400"/>
    <n v="215107.49999999997"/>
    <n v="197800"/>
    <n v="1006307.5"/>
    <n v="6824940.6500000004"/>
    <n v="7593484.419263456"/>
    <n v="0"/>
    <n v="911218.13031161472"/>
    <n v="330316.5722379603"/>
    <n v="303739.37677053822"/>
    <n v="1545274.0793201132"/>
    <n v="10480274.079320114"/>
    <n v="3655333.4293201137"/>
    <n v="3116366.8499999996"/>
    <n v="538966.57932011317"/>
    <n v="8934000"/>
    <n v="4630964.5008789422"/>
    <n v="6946446.7513184128"/>
    <n v="6074787.5354107646"/>
    <s v=""/>
    <n v="7148000"/>
    <n v="7148000"/>
    <n v="7148000"/>
    <n v="9112181.3031161465"/>
    <s v=""/>
    <n v="10722000"/>
    <n v="10722000"/>
    <n v="10722000"/>
    <n v="0"/>
  </r>
  <r>
    <m/>
    <m/>
    <m/>
    <m/>
    <m/>
    <s v="DIRECTOR DE COSTOS"/>
    <m/>
    <x v="51"/>
    <s v=""/>
    <m/>
    <m/>
    <m/>
    <m/>
    <n v="0"/>
    <m/>
    <n v="420"/>
    <x v="8"/>
    <x v="2"/>
    <x v="0"/>
    <n v="436"/>
    <n v="11251318.540000001"/>
    <n v="0"/>
    <n v="0"/>
    <n v="9562000"/>
    <n v="9562000"/>
    <n v="11251318.540000001"/>
    <n v="11251318.540000001"/>
    <n v="11251318.540000001"/>
    <n v="14.12"/>
    <n v="230"/>
    <n v="5.2199999999999998E-3"/>
    <n v="9562000"/>
    <n v="9562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5522949.2161972504"/>
    <n v="2.0371939157077636"/>
    <n v="5784495.1573274927"/>
    <n v="1.9450821954181128"/>
    <n v="5788705.6260986775"/>
    <n v="1.9436674218279215"/>
    <n v="6487000"/>
    <n v="1.734440965006937"/>
    <n v="6736000"/>
    <n v="1.6703263865795726"/>
    <n v="7056000"/>
    <n v="1.594574623015873"/>
    <n v="8575000"/>
    <n v="1.3121071183673469"/>
    <n v="8645000"/>
    <n v="1.3014827692307693"/>
    <n v="8935000"/>
    <n v="1.2592410229434807"/>
    <n v="7287535.4107442275"/>
    <n v="1.3121034013642614"/>
    <n v="8965000"/>
    <n v="1.2550271656441718"/>
    <n v="9200000"/>
    <n v="1.2229694065217391"/>
    <n v="9412000"/>
    <n v="1.1954227093072674"/>
    <n v="5468000"/>
    <n v="6834560.9065155806"/>
    <n v="1.3990657382077427"/>
    <n v="8201000"/>
    <s v=""/>
    <s v=""/>
    <s v=""/>
    <s v=""/>
    <n v="8042000"/>
    <n v="1.3990697015667746"/>
    <n v="8042000"/>
    <n v="1.3990697015667746"/>
    <n v="8042000"/>
    <n v="1.3990697015667746"/>
    <n v="9562000"/>
    <n v="0"/>
    <n v="1147440"/>
    <n v="49913.64"/>
    <n v="382480"/>
    <n v="1579833.64"/>
    <n v="12831152.180000002"/>
    <n v="6834560.9065155806"/>
    <n v="0"/>
    <n v="820147.30878186959"/>
    <n v="35676.407932011331"/>
    <n v="273382.43626062322"/>
    <n v="1129206.152974504"/>
    <n v="9171206.152974505"/>
    <n v="0"/>
    <n v="0"/>
    <n v="0"/>
    <n v="8934000"/>
    <n v="4630964.5008789422"/>
    <n v="6946446.7513184128"/>
    <n v="5467648.7252124641"/>
    <s v=""/>
    <n v="6433600"/>
    <n v="6433600"/>
    <n v="6433600"/>
    <n v="8201473.0878186962"/>
    <s v=""/>
    <n v="9650400"/>
    <n v="9650400"/>
    <n v="9650400"/>
    <n v="3426623.3364305962"/>
  </r>
  <r>
    <m/>
    <m/>
    <m/>
    <m/>
    <m/>
    <s v="COORDINADORA DE GESTION HUMANA"/>
    <m/>
    <x v="52"/>
    <s v="Director de gestion humana "/>
    <m/>
    <m/>
    <m/>
    <m/>
    <n v="0"/>
    <m/>
    <n v="420"/>
    <x v="8"/>
    <x v="2"/>
    <x v="0"/>
    <n v="436"/>
    <n v="5424448.7000000002"/>
    <n v="0"/>
    <n v="0"/>
    <n v="4610000"/>
    <n v="4610000"/>
    <n v="5424448.7000000002"/>
    <n v="5424448.7000000002"/>
    <n v="5424448.7000000002"/>
    <n v="14.12"/>
    <n v="230"/>
    <n v="5.2199999999999998E-3"/>
    <n v="4610000"/>
    <n v="461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5522949.2161972504"/>
    <n v="0.98216523231675279"/>
    <n v="5784495.1573274927"/>
    <n v="0.93775663259542974"/>
    <n v="5788705.6260986775"/>
    <n v="0.93707454660392364"/>
    <n v="6487000"/>
    <n v="0.83620297518113151"/>
    <n v="6736000"/>
    <n v="0.80529226543943"/>
    <n v="7056000"/>
    <n v="0.76877107426303859"/>
    <n v="8575000"/>
    <n v="0.63258876967930033"/>
    <n v="8645000"/>
    <n v="0.62746659340659339"/>
    <n v="8935000"/>
    <n v="0.60710114157806383"/>
    <n v="7287535.4107442275"/>
    <n v="0.63258697764999416"/>
    <n v="8965000"/>
    <n v="0.60506957055214727"/>
    <n v="9200000"/>
    <n v="0.58961398913043483"/>
    <n v="9412000"/>
    <n v="0.57633326604334889"/>
    <n v="5468000"/>
    <n v="6834560.9065155806"/>
    <n v="0.67451297355550033"/>
    <n v="8201000"/>
    <s v=""/>
    <s v=""/>
    <s v=""/>
    <s v=""/>
    <n v="8042000"/>
    <n v="0.67451488435712514"/>
    <n v="8042000"/>
    <n v="0.67451488435712514"/>
    <n v="8042000"/>
    <n v="0.67451488435712514"/>
    <n v="4610000"/>
    <n v="0"/>
    <n v="553200"/>
    <n v="24064.2"/>
    <n v="184400"/>
    <n v="761664.2"/>
    <n v="6186112.9000000004"/>
    <n v="6834560.9065155806"/>
    <n v="0"/>
    <n v="820147.30878186959"/>
    <n v="35676.407932011331"/>
    <n v="273382.43626062322"/>
    <n v="1129206.152974504"/>
    <n v="9171206.152974505"/>
    <n v="2985093.2529745046"/>
    <n v="2617551.2999999998"/>
    <n v="367541.95297450409"/>
    <n v="8934000"/>
    <n v="4630964.5008789422"/>
    <n v="6946446.7513184128"/>
    <n v="5467648.7252124641"/>
    <s v=""/>
    <n v="6433600"/>
    <n v="6433600"/>
    <n v="6433600"/>
    <n v="8201473.0878186962"/>
    <s v=""/>
    <n v="9650400"/>
    <n v="9650400"/>
    <n v="9650400"/>
    <n v="0"/>
  </r>
  <r>
    <m/>
    <m/>
    <m/>
    <m/>
    <m/>
    <s v="COORDINADOR DE DISEÑO Y DESARROLLO"/>
    <m/>
    <x v="53"/>
    <s v="Directora de diseño y desarrollo"/>
    <m/>
    <m/>
    <m/>
    <m/>
    <n v="0"/>
    <m/>
    <n v="442"/>
    <x v="8"/>
    <x v="2"/>
    <x v="2"/>
    <n v="436"/>
    <n v="4745510.1100000003"/>
    <n v="0"/>
    <n v="0"/>
    <n v="4033000"/>
    <n v="4033000"/>
    <n v="4745510.1100000003"/>
    <n v="4745510.1100000003"/>
    <n v="4745510.1100000003"/>
    <n v="14.12"/>
    <n v="230"/>
    <n v="4.3499999999999997E-2"/>
    <n v="4033000"/>
    <n v="4033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5522949.2161972504"/>
    <n v="0.859234790007259"/>
    <n v="5784495.1573274927"/>
    <n v="0.82038449007752023"/>
    <n v="5788705.6260986775"/>
    <n v="0.81978777580338924"/>
    <n v="6487000"/>
    <n v="0.73154156158470796"/>
    <n v="6736000"/>
    <n v="0.70449971941805234"/>
    <n v="7056000"/>
    <n v="0.67254961876417241"/>
    <n v="8575000"/>
    <n v="0.5534122577259476"/>
    <n v="8645000"/>
    <n v="0.54893118681318687"/>
    <n v="8935000"/>
    <n v="0.53111472971460549"/>
    <n v="7287535.4107442275"/>
    <n v="0.55341068999184961"/>
    <n v="8965000"/>
    <n v="0.52933743558282209"/>
    <n v="9200000"/>
    <n v="0.51581631630434788"/>
    <n v="9412000"/>
    <n v="0.50419784424139402"/>
    <n v="7290000"/>
    <n v="9112181.3031161465"/>
    <n v="0.44259435428713551"/>
    <n v="10935000"/>
    <s v=""/>
    <s v=""/>
    <s v=""/>
    <s v=""/>
    <n v="10722000"/>
    <n v="0.44259560809550458"/>
    <n v="10722000"/>
    <n v="0.44259560809550458"/>
    <n v="10722000"/>
    <n v="0.44259560809550458"/>
    <n v="4033000"/>
    <n v="0"/>
    <n v="483960"/>
    <n v="175435.5"/>
    <n v="161320"/>
    <n v="820715.5"/>
    <n v="5566225.6100000003"/>
    <n v="9112181.3031161465"/>
    <n v="0"/>
    <n v="1093461.7563739375"/>
    <n v="396379.88668555237"/>
    <n v="364487.25212464586"/>
    <n v="1854328.8951841355"/>
    <n v="12576328.895184135"/>
    <n v="7010103.2851841347"/>
    <n v="5976489.8899999997"/>
    <n v="1033613.3951841355"/>
    <n v="8934000"/>
    <n v="4630964.5008789422"/>
    <n v="6946446.7513184128"/>
    <n v="7289745.0424929177"/>
    <s v=""/>
    <n v="8577600"/>
    <n v="8577600"/>
    <n v="8577600"/>
    <n v="10934617.563739376"/>
    <s v=""/>
    <n v="12866400"/>
    <n v="12866400"/>
    <n v="12866400"/>
    <n v="0"/>
  </r>
  <r>
    <m/>
    <m/>
    <m/>
    <m/>
    <m/>
    <s v="COORDINADOR DE DISEÑO Y DESARROLLO"/>
    <m/>
    <x v="53"/>
    <s v="Directora de diseño y desarrollo"/>
    <m/>
    <m/>
    <m/>
    <m/>
    <n v="0"/>
    <m/>
    <n v="442"/>
    <x v="8"/>
    <x v="2"/>
    <x v="2"/>
    <n v="436"/>
    <n v="4745510.1100000003"/>
    <n v="0"/>
    <n v="0"/>
    <n v="4033000"/>
    <n v="4033000"/>
    <n v="4745510.1100000003"/>
    <n v="4745510.1100000003"/>
    <n v="4745510.1100000003"/>
    <n v="14.12"/>
    <n v="230"/>
    <n v="4.3499999999999997E-2"/>
    <n v="4033000"/>
    <n v="4033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5522949.2161972504"/>
    <n v="0.859234790007259"/>
    <n v="5784495.1573274927"/>
    <n v="0.82038449007752023"/>
    <n v="5788705.6260986775"/>
    <n v="0.81978777580338924"/>
    <n v="6487000"/>
    <n v="0.73154156158470796"/>
    <n v="6736000"/>
    <n v="0.70449971941805234"/>
    <n v="7056000"/>
    <n v="0.67254961876417241"/>
    <n v="8575000"/>
    <n v="0.5534122577259476"/>
    <n v="8645000"/>
    <n v="0.54893118681318687"/>
    <n v="8935000"/>
    <n v="0.53111472971460549"/>
    <n v="7287535.4107442275"/>
    <n v="0.55341068999184961"/>
    <n v="8965000"/>
    <n v="0.52933743558282209"/>
    <n v="9200000"/>
    <n v="0.51581631630434788"/>
    <n v="9412000"/>
    <n v="0.50419784424139402"/>
    <n v="7290000"/>
    <n v="9112181.3031161465"/>
    <n v="0.44259435428713551"/>
    <n v="10935000"/>
    <s v=""/>
    <s v=""/>
    <s v=""/>
    <s v=""/>
    <n v="10722000"/>
    <n v="0.44259560809550458"/>
    <n v="10722000"/>
    <n v="0.44259560809550458"/>
    <n v="10722000"/>
    <n v="0.44259560809550458"/>
    <n v="4033000"/>
    <n v="0"/>
    <n v="483960"/>
    <n v="175435.5"/>
    <n v="161320"/>
    <n v="820715.5"/>
    <n v="5566225.6100000003"/>
    <n v="9112181.3031161465"/>
    <n v="0"/>
    <n v="1093461.7563739375"/>
    <n v="396379.88668555237"/>
    <n v="364487.25212464586"/>
    <n v="1854328.8951841355"/>
    <n v="12576328.895184135"/>
    <n v="7010103.2851841347"/>
    <n v="5976489.8899999997"/>
    <n v="1033613.3951841355"/>
    <n v="8934000"/>
    <n v="4630964.5008789422"/>
    <n v="6946446.7513184128"/>
    <n v="7289745.0424929177"/>
    <s v=""/>
    <n v="8577600"/>
    <n v="8577600"/>
    <n v="8577600"/>
    <n v="10934617.563739376"/>
    <s v=""/>
    <n v="12866400"/>
    <n v="12866400"/>
    <n v="12866400"/>
    <n v="0"/>
  </r>
  <r>
    <m/>
    <m/>
    <m/>
    <m/>
    <m/>
    <s v="COORDINADOR DE DISEÑO Y DESARROLLO"/>
    <m/>
    <x v="53"/>
    <s v="Directora de diseño y desarrollo"/>
    <m/>
    <m/>
    <m/>
    <m/>
    <n v="0"/>
    <m/>
    <n v="442"/>
    <x v="8"/>
    <x v="2"/>
    <x v="2"/>
    <n v="436"/>
    <n v="4745510.1100000003"/>
    <n v="0"/>
    <n v="0"/>
    <n v="4033000"/>
    <n v="4033000"/>
    <n v="4745510.1100000003"/>
    <n v="4745510.1100000003"/>
    <n v="4745510.1100000003"/>
    <n v="14.12"/>
    <n v="230"/>
    <n v="4.3499999999999997E-2"/>
    <n v="4033000"/>
    <n v="4033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5522949.2161972504"/>
    <n v="0.859234790007259"/>
    <n v="5784495.1573274927"/>
    <n v="0.82038449007752023"/>
    <n v="5788705.6260986775"/>
    <n v="0.81978777580338924"/>
    <n v="6487000"/>
    <n v="0.73154156158470796"/>
    <n v="6736000"/>
    <n v="0.70449971941805234"/>
    <n v="7056000"/>
    <n v="0.67254961876417241"/>
    <n v="8575000"/>
    <n v="0.5534122577259476"/>
    <n v="8645000"/>
    <n v="0.54893118681318687"/>
    <n v="8935000"/>
    <n v="0.53111472971460549"/>
    <n v="7287535.4107442275"/>
    <n v="0.55341068999184961"/>
    <n v="8965000"/>
    <n v="0.52933743558282209"/>
    <n v="9200000"/>
    <n v="0.51581631630434788"/>
    <n v="9412000"/>
    <n v="0.50419784424139402"/>
    <n v="7290000"/>
    <n v="9112181.3031161465"/>
    <n v="0.44259435428713551"/>
    <n v="10935000"/>
    <s v=""/>
    <s v=""/>
    <s v=""/>
    <s v=""/>
    <n v="10722000"/>
    <n v="0.44259560809550458"/>
    <n v="10722000"/>
    <n v="0.44259560809550458"/>
    <n v="10722000"/>
    <n v="0.44259560809550458"/>
    <n v="4033000"/>
    <n v="0"/>
    <n v="483960"/>
    <n v="175435.5"/>
    <n v="161320"/>
    <n v="820715.5"/>
    <n v="5566225.6100000003"/>
    <n v="9112181.3031161465"/>
    <n v="0"/>
    <n v="1093461.7563739375"/>
    <n v="396379.88668555237"/>
    <n v="364487.25212464586"/>
    <n v="1854328.8951841355"/>
    <n v="12576328.895184135"/>
    <n v="7010103.2851841347"/>
    <n v="5976489.8899999997"/>
    <n v="1033613.3951841355"/>
    <n v="8934000"/>
    <n v="4630964.5008789422"/>
    <n v="6946446.7513184128"/>
    <n v="7289745.0424929177"/>
    <s v=""/>
    <n v="8577600"/>
    <n v="8577600"/>
    <n v="8577600"/>
    <n v="10934617.563739376"/>
    <s v=""/>
    <n v="12866400"/>
    <n v="12866400"/>
    <n v="12866400"/>
    <n v="0"/>
  </r>
  <r>
    <m/>
    <m/>
    <m/>
    <m/>
    <m/>
    <s v="COORDINADOR DE DISEÑO Y DESARROLLO"/>
    <m/>
    <x v="53"/>
    <s v="Directora de diseño y desarrollo"/>
    <m/>
    <m/>
    <m/>
    <m/>
    <n v="0"/>
    <m/>
    <n v="442"/>
    <x v="8"/>
    <x v="2"/>
    <x v="2"/>
    <n v="436"/>
    <n v="4745510.1100000003"/>
    <n v="0"/>
    <n v="0"/>
    <n v="4033000"/>
    <n v="4033000"/>
    <n v="4745510.1100000003"/>
    <n v="4745510.1100000003"/>
    <n v="4745510.1100000003"/>
    <n v="14.12"/>
    <n v="230"/>
    <n v="4.3499999999999997E-2"/>
    <n v="4033000"/>
    <n v="4033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5522949.2161972504"/>
    <n v="0.859234790007259"/>
    <n v="5784495.1573274927"/>
    <n v="0.82038449007752023"/>
    <n v="5788705.6260986775"/>
    <n v="0.81978777580338924"/>
    <n v="6487000"/>
    <n v="0.73154156158470796"/>
    <n v="6736000"/>
    <n v="0.70449971941805234"/>
    <n v="7056000"/>
    <n v="0.67254961876417241"/>
    <n v="8575000"/>
    <n v="0.5534122577259476"/>
    <n v="8645000"/>
    <n v="0.54893118681318687"/>
    <n v="8935000"/>
    <n v="0.53111472971460549"/>
    <n v="7287535.4107442275"/>
    <n v="0.55341068999184961"/>
    <n v="8965000"/>
    <n v="0.52933743558282209"/>
    <n v="9200000"/>
    <n v="0.51581631630434788"/>
    <n v="9412000"/>
    <n v="0.50419784424139402"/>
    <n v="7290000"/>
    <n v="9112181.3031161465"/>
    <n v="0.44259435428713551"/>
    <n v="10935000"/>
    <s v=""/>
    <s v=""/>
    <s v=""/>
    <s v=""/>
    <n v="10722000"/>
    <n v="0.44259560809550458"/>
    <n v="10722000"/>
    <n v="0.44259560809550458"/>
    <n v="10722000"/>
    <n v="0.44259560809550458"/>
    <n v="4033000"/>
    <n v="0"/>
    <n v="483960"/>
    <n v="175435.5"/>
    <n v="161320"/>
    <n v="820715.5"/>
    <n v="5566225.6100000003"/>
    <n v="9112181.3031161465"/>
    <n v="0"/>
    <n v="1093461.7563739375"/>
    <n v="396379.88668555237"/>
    <n v="364487.25212464586"/>
    <n v="1854328.8951841355"/>
    <n v="12576328.895184135"/>
    <n v="7010103.2851841347"/>
    <n v="5976489.8899999997"/>
    <n v="1033613.3951841355"/>
    <n v="8934000"/>
    <n v="4630964.5008789422"/>
    <n v="6946446.7513184128"/>
    <n v="7289745.0424929177"/>
    <s v=""/>
    <n v="8577600"/>
    <n v="8577600"/>
    <n v="8577600"/>
    <n v="10934617.563739376"/>
    <s v=""/>
    <n v="12866400"/>
    <n v="12866400"/>
    <n v="12866400"/>
    <n v="0"/>
  </r>
  <r>
    <m/>
    <m/>
    <m/>
    <m/>
    <m/>
    <s v="COORDINADOR DE DISEÑO Y DESARROLLO"/>
    <m/>
    <x v="53"/>
    <s v="Directora de diseño y desarrollo"/>
    <m/>
    <m/>
    <m/>
    <m/>
    <n v="0"/>
    <m/>
    <n v="442"/>
    <x v="8"/>
    <x v="2"/>
    <x v="2"/>
    <n v="436"/>
    <n v="4745510.1100000003"/>
    <n v="0"/>
    <n v="0"/>
    <n v="4033000"/>
    <n v="4033000"/>
    <n v="4745510.1100000003"/>
    <n v="4745510.1100000003"/>
    <n v="4745510.1100000003"/>
    <n v="14.12"/>
    <n v="230"/>
    <n v="4.3499999999999997E-2"/>
    <n v="4033000"/>
    <n v="4033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5522949.2161972504"/>
    <n v="0.859234790007259"/>
    <n v="5784495.1573274927"/>
    <n v="0.82038449007752023"/>
    <n v="5788705.6260986775"/>
    <n v="0.81978777580338924"/>
    <n v="6487000"/>
    <n v="0.73154156158470796"/>
    <n v="6736000"/>
    <n v="0.70449971941805234"/>
    <n v="7056000"/>
    <n v="0.67254961876417241"/>
    <n v="8575000"/>
    <n v="0.5534122577259476"/>
    <n v="8645000"/>
    <n v="0.54893118681318687"/>
    <n v="8935000"/>
    <n v="0.53111472971460549"/>
    <n v="7287535.4107442275"/>
    <n v="0.55341068999184961"/>
    <n v="8965000"/>
    <n v="0.52933743558282209"/>
    <n v="9200000"/>
    <n v="0.51581631630434788"/>
    <n v="9412000"/>
    <n v="0.50419784424139402"/>
    <n v="7290000"/>
    <n v="9112181.3031161465"/>
    <n v="0.44259435428713551"/>
    <n v="10935000"/>
    <s v=""/>
    <s v=""/>
    <s v=""/>
    <s v=""/>
    <n v="10722000"/>
    <n v="0.44259560809550458"/>
    <n v="10722000"/>
    <n v="0.44259560809550458"/>
    <n v="10722000"/>
    <n v="0.44259560809550458"/>
    <n v="4033000"/>
    <n v="0"/>
    <n v="483960"/>
    <n v="175435.5"/>
    <n v="161320"/>
    <n v="820715.5"/>
    <n v="5566225.6100000003"/>
    <n v="9112181.3031161465"/>
    <n v="0"/>
    <n v="1093461.7563739375"/>
    <n v="396379.88668555237"/>
    <n v="364487.25212464586"/>
    <n v="1854328.8951841355"/>
    <n v="12576328.895184135"/>
    <n v="7010103.2851841347"/>
    <n v="5976489.8899999997"/>
    <n v="1033613.3951841355"/>
    <n v="8934000"/>
    <n v="4630964.5008789422"/>
    <n v="6946446.7513184128"/>
    <n v="7289745.0424929177"/>
    <s v=""/>
    <n v="8577600"/>
    <n v="8577600"/>
    <n v="8577600"/>
    <n v="10934617.563739376"/>
    <s v=""/>
    <n v="12866400"/>
    <n v="12866400"/>
    <n v="12866400"/>
    <n v="0"/>
  </r>
  <r>
    <m/>
    <m/>
    <m/>
    <m/>
    <m/>
    <s v="COORDINADORA DE COMERCIO EXTERIOR"/>
    <m/>
    <x v="54"/>
    <s v="Director de Logistica "/>
    <m/>
    <m/>
    <m/>
    <m/>
    <n v="0"/>
    <m/>
    <n v="452"/>
    <x v="8"/>
    <x v="2"/>
    <x v="1"/>
    <n v="436"/>
    <n v="6023373.7300000004"/>
    <n v="0"/>
    <n v="0"/>
    <n v="5119000"/>
    <n v="5119000"/>
    <n v="6023373.7300000004"/>
    <n v="6023373.7300000004"/>
    <n v="6023373.7300000004"/>
    <n v="14.12"/>
    <n v="230"/>
    <n v="5.2199999999999998E-3"/>
    <n v="5119000"/>
    <n v="5119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5522949.2161972504"/>
    <n v="1.0906082048220083"/>
    <n v="5784495.1573274927"/>
    <n v="1.0412963562377451"/>
    <n v="5788705.6260986775"/>
    <n v="1.0405389596671335"/>
    <n v="6487000"/>
    <n v="0.92852994142130418"/>
    <n v="6736000"/>
    <n v="0.8942063138361046"/>
    <n v="7056000"/>
    <n v="0.85365273951247167"/>
    <n v="8575000"/>
    <n v="0.70243425422740535"/>
    <n v="8645000"/>
    <n v="0.69674652747252752"/>
    <n v="8935000"/>
    <n v="0.67413248237269174"/>
    <n v="7287535.4107442275"/>
    <n v="0.70243226433629513"/>
    <n v="8965000"/>
    <n v="0.67187660122699389"/>
    <n v="9200000"/>
    <n v="0.6547145358695653"/>
    <n v="9412000"/>
    <n v="0.63996745962600943"/>
    <n v="6075000"/>
    <n v="7593484.419263456"/>
    <n v="0.6741305726543555"/>
    <n v="9112000"/>
    <s v=""/>
    <s v=""/>
    <s v=""/>
    <s v=""/>
    <n v="8935000"/>
    <n v="0.67413248237269174"/>
    <n v="8935000"/>
    <n v="0.67413248237269174"/>
    <n v="8935000"/>
    <n v="0.67413248237269174"/>
    <n v="5119000"/>
    <n v="0"/>
    <n v="614280"/>
    <n v="26721.18"/>
    <n v="204760"/>
    <n v="845761.18"/>
    <n v="6869134.9100000001"/>
    <n v="7593484.419263456"/>
    <n v="0"/>
    <n v="911218.13031161472"/>
    <n v="39637.988668555241"/>
    <n v="303739.37677053822"/>
    <n v="1254595.4957507083"/>
    <n v="10189595.495750709"/>
    <n v="3320460.5857507084"/>
    <n v="2911626.2699999996"/>
    <n v="408834.31575070822"/>
    <n v="8934000"/>
    <n v="4630964.5008789422"/>
    <n v="6946446.7513184128"/>
    <n v="6074787.5354107646"/>
    <s v=""/>
    <n v="7148000"/>
    <n v="7148000"/>
    <n v="7148000"/>
    <n v="9112181.3031161465"/>
    <s v=""/>
    <n v="10722000"/>
    <n v="10722000"/>
    <n v="10722000"/>
    <n v="0"/>
  </r>
  <r>
    <m/>
    <m/>
    <m/>
    <m/>
    <m/>
    <s v="LIDER DE VENTAS EEUU"/>
    <m/>
    <x v="55"/>
    <s v="Director de ventas EEUU"/>
    <m/>
    <m/>
    <m/>
    <m/>
    <n v="0"/>
    <m/>
    <n v="452"/>
    <x v="8"/>
    <x v="2"/>
    <x v="2"/>
    <n v="436"/>
    <n v="6189284.2000000002"/>
    <n v="4118345.0000000005"/>
    <n v="0"/>
    <n v="8760000"/>
    <n v="8760000"/>
    <n v="6189284.2000000002"/>
    <n v="10307629.200000001"/>
    <n v="10307629.200000001"/>
    <n v="14.12"/>
    <n v="230"/>
    <n v="4.3499999999999997E-2"/>
    <n v="5260000"/>
    <n v="5260000"/>
    <m/>
    <n v="0"/>
    <m/>
    <n v="0"/>
    <m/>
    <m/>
    <m/>
    <m/>
    <m/>
    <n v="3500000"/>
    <m/>
    <n v="0"/>
    <m/>
    <n v="0"/>
    <m/>
    <n v="0"/>
    <m/>
    <m/>
    <n v="0"/>
    <m/>
    <m/>
    <m/>
    <m/>
    <m/>
    <m/>
    <m/>
    <m/>
    <m/>
    <n v="0.3995433789954338"/>
    <n v="0"/>
    <n v="5522949.2161972504"/>
    <n v="1.1206483995631495"/>
    <n v="5784495.1573274927"/>
    <n v="1.7819410198559578"/>
    <n v="5788705.6260986775"/>
    <n v="1.7806449085141804"/>
    <n v="6487000"/>
    <n v="0.95410578079235397"/>
    <n v="6736000"/>
    <n v="1.5302299881235155"/>
    <n v="7056000"/>
    <n v="1.4608318027210887"/>
    <n v="8575000"/>
    <n v="0.72178241399416909"/>
    <n v="8645000"/>
    <n v="1.1923226373626374"/>
    <n v="8935000"/>
    <n v="1.1536238612199219"/>
    <n v="7287535.4107442275"/>
    <n v="0.72178036929261813"/>
    <n v="8965000"/>
    <n v="0.6903830674846626"/>
    <n v="9200000"/>
    <n v="1.1203944782608697"/>
    <n v="9412000"/>
    <n v="1.0951582235444115"/>
    <n v="7290000"/>
    <n v="5612171.3881019829"/>
    <n v="0.93724863983152762"/>
    <n v="10935000"/>
    <s v=""/>
    <s v=""/>
    <s v=""/>
    <s v=""/>
    <n v="6603655"/>
    <n v="0.93725129492682469"/>
    <n v="10722000"/>
    <n v="0.9613532176832682"/>
    <n v="10722000"/>
    <n v="0.9613532176832682"/>
    <n v="8760000"/>
    <n v="0"/>
    <n v="1051200"/>
    <n v="381060"/>
    <n v="350400"/>
    <n v="1782660"/>
    <n v="12090289.200000001"/>
    <n v="5612171.3881019829"/>
    <n v="0"/>
    <n v="673460.56657223788"/>
    <n v="244129.45538243625"/>
    <n v="224486.85552407932"/>
    <n v="1142076.8774787534"/>
    <n v="11864076.877478754"/>
    <n v="-226212.32252124697"/>
    <n v="414370.79999999888"/>
    <n v="0"/>
    <n v="8934000"/>
    <n v="4630964.5008789422"/>
    <n v="6946446.7513184128"/>
    <n v="7289745.0424929177"/>
    <s v=""/>
    <n v="8577600"/>
    <n v="8577600"/>
    <n v="8577600"/>
    <n v="10934617.563739376"/>
    <s v=""/>
    <n v="12866400"/>
    <n v="12866400"/>
    <n v="12866400"/>
    <n v="0"/>
  </r>
  <r>
    <m/>
    <m/>
    <m/>
    <m/>
    <m/>
    <s v="JEFE DE TERCERIZADOS"/>
    <m/>
    <x v="56"/>
    <n v="0"/>
    <m/>
    <m/>
    <m/>
    <m/>
    <n v="0"/>
    <m/>
    <n v="452"/>
    <x v="8"/>
    <x v="2"/>
    <x v="2"/>
    <n v="436"/>
    <n v="6354018.0000000009"/>
    <n v="0"/>
    <n v="0"/>
    <n v="5400000"/>
    <n v="5400000"/>
    <n v="6354018.0000000009"/>
    <n v="6354018.0000000009"/>
    <n v="6354018.0000000009"/>
    <n v="14.12"/>
    <n v="230"/>
    <n v="4.3499999999999997E-2"/>
    <n v="5400000"/>
    <n v="54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5522949.2161972504"/>
    <n v="1.1504755432777583"/>
    <n v="5784495.1573274927"/>
    <n v="1.0984567930618918"/>
    <n v="5788705.6260986775"/>
    <n v="1.0976578203169605"/>
    <n v="6487000"/>
    <n v="0.97950023123169427"/>
    <n v="6736000"/>
    <n v="0.94329245843230414"/>
    <n v="7056000"/>
    <n v="0.90051275510204098"/>
    <n v="8575000"/>
    <n v="0.74099335276967937"/>
    <n v="8645000"/>
    <n v="0.73499340659340673"/>
    <n v="8935000"/>
    <n v="0.71113799664241761"/>
    <n v="7287535.4107442275"/>
    <n v="0.74099125364641405"/>
    <n v="8965000"/>
    <n v="0.70875828220858905"/>
    <n v="9200000"/>
    <n v="0.69065413043478274"/>
    <n v="9412000"/>
    <n v="0.67509753506162351"/>
    <n v="7290000"/>
    <n v="9112181.3031161465"/>
    <n v="0.59261331841074427"/>
    <n v="10935000"/>
    <s v=""/>
    <s v=""/>
    <s v=""/>
    <s v=""/>
    <n v="10722000"/>
    <n v="0.5926149972020146"/>
    <n v="10722000"/>
    <n v="0.5926149972020146"/>
    <n v="10722000"/>
    <n v="0.5926149972020146"/>
    <n v="5400000"/>
    <n v="0"/>
    <n v="648000"/>
    <n v="234899.99999999997"/>
    <n v="216000"/>
    <n v="1098900"/>
    <n v="7452918.0000000009"/>
    <n v="9112181.3031161465"/>
    <n v="0"/>
    <n v="1093461.7563739375"/>
    <n v="396379.88668555237"/>
    <n v="364487.25212464586"/>
    <n v="1854328.8951841355"/>
    <n v="12576328.895184135"/>
    <n v="5123410.8951841341"/>
    <n v="4367981.9999999991"/>
    <n v="755428.89518413553"/>
    <n v="8934000"/>
    <n v="4630964.5008789422"/>
    <n v="6946446.7513184128"/>
    <n v="7289745.0424929177"/>
    <s v=""/>
    <n v="8577600"/>
    <n v="8577600"/>
    <n v="8577600"/>
    <n v="10934617.563739376"/>
    <s v=""/>
    <n v="12866400"/>
    <n v="12866400"/>
    <n v="12866400"/>
    <n v="0"/>
  </r>
  <r>
    <m/>
    <m/>
    <m/>
    <m/>
    <m/>
    <s v="COORDINADORA DE CONTABILIDAD"/>
    <m/>
    <x v="57"/>
    <s v="Directora administrativa y contable "/>
    <m/>
    <m/>
    <m/>
    <m/>
    <n v="0"/>
    <m/>
    <n v="457"/>
    <x v="8"/>
    <x v="2"/>
    <x v="0"/>
    <n v="436"/>
    <n v="5656252.6900000004"/>
    <n v="0"/>
    <n v="0"/>
    <n v="4807000"/>
    <n v="4807000"/>
    <n v="5656252.6900000004"/>
    <n v="5656252.6900000004"/>
    <n v="5656252.6900000004"/>
    <n v="14.12"/>
    <n v="230"/>
    <n v="4.3499999999999997E-2"/>
    <n v="4807000"/>
    <n v="4807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5522949.2161972504"/>
    <n v="1.0241362845437376"/>
    <n v="5784495.1573274927"/>
    <n v="0.97782996374972475"/>
    <n v="5788705.6260986775"/>
    <n v="0.97711873004882022"/>
    <n v="6487000"/>
    <n v="0.8719365947279174"/>
    <n v="6736000"/>
    <n v="0.83970497179334924"/>
    <n v="7056000"/>
    <n v="0.80162311366213157"/>
    <n v="8575000"/>
    <n v="0.65962130495626825"/>
    <n v="8645000"/>
    <n v="0.65428024175824184"/>
    <n v="8935000"/>
    <n v="0.63304450923335198"/>
    <n v="7287535.4107442275"/>
    <n v="0.6596194363478356"/>
    <n v="8965000"/>
    <n v="0.63092612269938653"/>
    <n v="9200000"/>
    <n v="0.61481007500000007"/>
    <n v="9412000"/>
    <n v="0.60096182426689337"/>
    <n v="5468000"/>
    <n v="6834560.9065155806"/>
    <n v="0.7033370637486529"/>
    <n v="8201000"/>
    <s v=""/>
    <s v=""/>
    <s v=""/>
    <s v=""/>
    <n v="8042000"/>
    <n v="0.70333905620492421"/>
    <n v="8042000"/>
    <n v="0.70333905620492421"/>
    <n v="8042000"/>
    <n v="0.70333905620492421"/>
    <n v="4807000"/>
    <n v="0"/>
    <n v="576840"/>
    <n v="209104.5"/>
    <n v="192280"/>
    <n v="978224.5"/>
    <n v="6634477.1900000004"/>
    <n v="6834560.9065155806"/>
    <n v="0"/>
    <n v="820147.30878186959"/>
    <n v="297303.39943342772"/>
    <n v="273382.43626062322"/>
    <n v="1390833.1444759204"/>
    <n v="9432833.1444759201"/>
    <n v="2798355.9544759197"/>
    <n v="2385747.3099999996"/>
    <n v="412608.64447592036"/>
    <n v="8934000"/>
    <n v="4630964.5008789422"/>
    <n v="6946446.7513184128"/>
    <n v="5467648.7252124641"/>
    <s v=""/>
    <n v="6433600"/>
    <n v="6433600"/>
    <n v="6433600"/>
    <n v="8201473.0878186962"/>
    <s v=""/>
    <n v="9650400"/>
    <n v="9650400"/>
    <n v="9650400"/>
    <n v="0"/>
  </r>
  <r>
    <m/>
    <m/>
    <m/>
    <m/>
    <m/>
    <s v="JEFE DE COMPRAS"/>
    <m/>
    <x v="58"/>
    <s v="Director de logistica "/>
    <m/>
    <m/>
    <m/>
    <m/>
    <n v="0"/>
    <m/>
    <n v="468"/>
    <x v="9"/>
    <x v="3"/>
    <x v="1"/>
    <n v="502"/>
    <n v="6808212.620000001"/>
    <n v="0"/>
    <n v="0"/>
    <n v="5786000"/>
    <n v="5786000"/>
    <n v="6808212.620000001"/>
    <n v="6808212.620000001"/>
    <n v="6808212.620000001"/>
    <n v="14.12"/>
    <n v="230"/>
    <n v="5.2199999999999998E-3"/>
    <n v="5786000"/>
    <n v="5786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6722651.8092292752"/>
    <n v="1.0127272411540431"/>
    <n v="6877026.4942380982"/>
    <n v="0.98999365869889366"/>
    <n v="6889921.0548498491"/>
    <n v="0.98814087502608861"/>
    <n v="8624000"/>
    <n v="0.78944951530612262"/>
    <n v="9004000"/>
    <n v="0.75613201021768117"/>
    <n v="9397000"/>
    <n v="0.72450916462700876"/>
    <n v="10238000"/>
    <n v="0.66499439538972471"/>
    <n v="10323000"/>
    <n v="0.65951880461106283"/>
    <n v="10640000"/>
    <n v="0.63986960714285723"/>
    <n v="8700849.8583322912"/>
    <n v="0.66499251156013095"/>
    <n v="10804000"/>
    <n v="0.6301566660496114"/>
    <n v="11073000"/>
    <n v="0.61484806466178998"/>
    <n v="11207000"/>
    <n v="0.60749644150977078"/>
    <n v="7234000"/>
    <n v="9042492.9178470243"/>
    <n v="0.63986779448621567"/>
    <n v="10851000"/>
    <s v=""/>
    <s v=""/>
    <s v=""/>
    <s v=""/>
    <n v="10640000"/>
    <n v="0.63986960714285723"/>
    <n v="10640000"/>
    <n v="0.63986960714285723"/>
    <n v="10640000"/>
    <n v="0.63986960714285723"/>
    <n v="5786000"/>
    <n v="0"/>
    <n v="694320"/>
    <n v="30202.92"/>
    <n v="231440"/>
    <n v="955962.92"/>
    <n v="7764175.540000001"/>
    <n v="9042492.9178470243"/>
    <n v="0"/>
    <n v="1085099.1501416429"/>
    <n v="47201.813031161466"/>
    <n v="361699.716713881"/>
    <n v="1494000.6798866852"/>
    <n v="12134000.679886686"/>
    <n v="4369825.1398866847"/>
    <n v="3831787.379999999"/>
    <n v="538037.75988668518"/>
    <n v="10639000"/>
    <n v="5511936.8438798795"/>
    <n v="8267905.2658198187"/>
    <n v="7233994.3342776196"/>
    <s v=""/>
    <n v="8512000"/>
    <n v="8512000"/>
    <n v="8512000"/>
    <n v="10850991.50141643"/>
    <s v=""/>
    <n v="12768000"/>
    <n v="12768000"/>
    <n v="12768000"/>
    <n v="0"/>
  </r>
  <r>
    <m/>
    <m/>
    <m/>
    <m/>
    <m/>
    <s v="COORDINADOR  SST"/>
    <m/>
    <x v="59"/>
    <s v="Gerente de operaciones "/>
    <m/>
    <m/>
    <m/>
    <m/>
    <n v="0"/>
    <m/>
    <n v="474"/>
    <x v="9"/>
    <x v="3"/>
    <x v="1"/>
    <n v="502"/>
    <n v="6023373.7300000004"/>
    <n v="0"/>
    <n v="0"/>
    <n v="5119000"/>
    <n v="5119000"/>
    <n v="6023373.7300000004"/>
    <n v="6023373.7300000004"/>
    <n v="6023373.7300000004"/>
    <n v="14.12"/>
    <n v="230"/>
    <n v="4.3499999999999997E-2"/>
    <n v="5119000"/>
    <n v="5119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6722651.8092292752"/>
    <n v="0.89598180910258329"/>
    <n v="6877026.4942380982"/>
    <n v="0.87586891442786663"/>
    <n v="6889921.0548498491"/>
    <n v="0.874229716429061"/>
    <n v="8624000"/>
    <n v="0.69844315051020411"/>
    <n v="9004000"/>
    <n v="0.66896642936472683"/>
    <n v="9397000"/>
    <n v="0.64098901032244338"/>
    <n v="10238000"/>
    <n v="0.58833500000000005"/>
    <n v="10323000"/>
    <n v="0.58349062578707744"/>
    <n v="10640000"/>
    <n v="0.56610655357142858"/>
    <n v="8700849.8583322912"/>
    <n v="0.58833333333500004"/>
    <n v="10804000"/>
    <n v="0.55751330340614591"/>
    <n v="11073000"/>
    <n v="0.54396945091664417"/>
    <n v="11207000"/>
    <n v="0.53746531007406084"/>
    <n v="7234000"/>
    <n v="9042492.9178470243"/>
    <n v="0.56610494987468685"/>
    <n v="10851000"/>
    <s v=""/>
    <s v=""/>
    <s v=""/>
    <s v=""/>
    <n v="10640000"/>
    <n v="0.56610655357142858"/>
    <n v="10640000"/>
    <n v="0.56610655357142858"/>
    <n v="10640000"/>
    <n v="0.56610655357142858"/>
    <n v="5119000"/>
    <n v="0"/>
    <n v="614280"/>
    <n v="222676.49999999997"/>
    <n v="204760"/>
    <n v="1041716.5"/>
    <n v="7065090.2300000004"/>
    <n v="9042492.9178470243"/>
    <n v="0"/>
    <n v="1085099.1501416429"/>
    <n v="393348.44192634552"/>
    <n v="361699.716713881"/>
    <n v="1840147.3087818692"/>
    <n v="12480147.30878187"/>
    <n v="5415057.0787818693"/>
    <n v="4616626.2699999996"/>
    <n v="798430.80878186924"/>
    <n v="10639000"/>
    <n v="5511936.8438798795"/>
    <n v="8267905.2658198187"/>
    <n v="7233994.3342776196"/>
    <s v=""/>
    <n v="8512000"/>
    <n v="8512000"/>
    <n v="8512000"/>
    <n v="10850991.50141643"/>
    <s v=""/>
    <n v="12768000"/>
    <n v="12768000"/>
    <n v="12768000"/>
    <n v="0"/>
  </r>
  <r>
    <m/>
    <m/>
    <m/>
    <m/>
    <m/>
    <s v="JEFE DE MEJORAMIENTO CONTINUO"/>
    <m/>
    <x v="60"/>
    <s v="Gerente de operaciones"/>
    <m/>
    <m/>
    <m/>
    <m/>
    <n v="0"/>
    <m/>
    <n v="478"/>
    <x v="9"/>
    <x v="3"/>
    <x v="3"/>
    <n v="502"/>
    <n v="7441261.080000001"/>
    <n v="0"/>
    <n v="0"/>
    <n v="6324000"/>
    <n v="6324000"/>
    <n v="7441261.080000001"/>
    <n v="7441261.080000001"/>
    <n v="7441261.080000001"/>
    <n v="14.12"/>
    <n v="230"/>
    <n v="4.3499999999999997E-2"/>
    <n v="6324000"/>
    <n v="632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6722651.8092292752"/>
    <n v="1.1068937215793586"/>
    <n v="6877026.4942380982"/>
    <n v="1.0820463010044596"/>
    <n v="6889921.0548498491"/>
    <n v="1.080021239831487"/>
    <n v="8624000"/>
    <n v="0.86285494897959192"/>
    <n v="9004000"/>
    <n v="0.82643948023100855"/>
    <n v="9397000"/>
    <n v="0.79187624561030123"/>
    <n v="10238000"/>
    <n v="0.7268276108614965"/>
    <n v="10323000"/>
    <n v="0.72084288288288301"/>
    <n v="10640000"/>
    <n v="0.69936664285714301"/>
    <n v="8700849.8583322912"/>
    <n v="0.72682555186765785"/>
    <n v="10804000"/>
    <n v="0.6887505627545355"/>
    <n v="11073000"/>
    <n v="0.67201852072609058"/>
    <n v="11207000"/>
    <n v="0.66398332113857417"/>
    <n v="7957000"/>
    <n v="9946742.209631728"/>
    <n v="0.6357860560492139"/>
    <n v="11936000"/>
    <s v=""/>
    <s v=""/>
    <s v=""/>
    <s v=""/>
    <n v="11704000"/>
    <n v="0.63578785714285724"/>
    <n v="11704000"/>
    <n v="0.63578785714285724"/>
    <n v="11704000"/>
    <n v="0.63578785714285724"/>
    <n v="6324000"/>
    <n v="0"/>
    <n v="758880"/>
    <n v="275094"/>
    <n v="252960"/>
    <n v="1286934"/>
    <n v="8728195.0800000019"/>
    <n v="9946742.209631728"/>
    <n v="0"/>
    <n v="1193609.0651558074"/>
    <n v="432683.28611898015"/>
    <n v="397869.68838526914"/>
    <n v="2024162.0396600566"/>
    <n v="13728162.039660057"/>
    <n v="4999966.9596600551"/>
    <n v="4262738.919999999"/>
    <n v="737228.03966005659"/>
    <n v="10639000"/>
    <n v="5511936.8438798795"/>
    <n v="8267905.2658198187"/>
    <n v="7957393.7677053818"/>
    <s v=""/>
    <n v="9363200"/>
    <n v="9363200"/>
    <n v="9363200"/>
    <n v="11936090.651558073"/>
    <s v=""/>
    <n v="14044800"/>
    <n v="14044800"/>
    <n v="14044800"/>
    <n v="0"/>
  </r>
  <r>
    <m/>
    <m/>
    <m/>
    <m/>
    <m/>
    <s v="DIRECTOR DE CENTRO DE TRANSFORMACION"/>
    <m/>
    <x v="61"/>
    <s v=""/>
    <m/>
    <m/>
    <m/>
    <m/>
    <n v="0"/>
    <m/>
    <n v="527"/>
    <x v="9"/>
    <x v="3"/>
    <x v="2"/>
    <n v="502"/>
    <n v="9295693"/>
    <n v="0"/>
    <n v="0"/>
    <n v="7900000"/>
    <n v="7900000"/>
    <n v="9295693"/>
    <n v="9295693"/>
    <n v="9295693"/>
    <n v="14.12"/>
    <n v="230"/>
    <n v="4.3499999999999997E-2"/>
    <n v="7900000"/>
    <n v="79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6722651.8092292752"/>
    <n v="1.3827419988103942"/>
    <n v="6877026.4942380982"/>
    <n v="1.3517023684274558"/>
    <n v="6889921.0548498491"/>
    <n v="1.3491726430532489"/>
    <n v="8624000"/>
    <n v="1.0778864795918368"/>
    <n v="9004000"/>
    <n v="1.0323959351399379"/>
    <n v="9397000"/>
    <n v="0.98921921889964881"/>
    <n v="10238000"/>
    <n v="0.90795985544051572"/>
    <n v="10323000"/>
    <n v="0.90048367722561273"/>
    <n v="10640000"/>
    <n v="0.87365535714285714"/>
    <n v="8700849.8583322912"/>
    <n v="0.90795728332613801"/>
    <n v="10804000"/>
    <n v="0.86039365049981487"/>
    <n v="11073000"/>
    <n v="0.83949182696649505"/>
    <n v="11207000"/>
    <n v="0.82945418042294994"/>
    <n v="8681000"/>
    <n v="10850991.50141643"/>
    <n v="0.72804406850459491"/>
    <n v="13021000"/>
    <s v=""/>
    <s v=""/>
    <s v=""/>
    <s v=""/>
    <n v="12768000"/>
    <n v="0.72804613095238091"/>
    <n v="12768000"/>
    <n v="0.72804613095238091"/>
    <n v="12768000"/>
    <n v="0.72804613095238091"/>
    <n v="7900000"/>
    <n v="0"/>
    <n v="948000"/>
    <n v="343650"/>
    <n v="316000"/>
    <n v="1607650"/>
    <n v="10903343"/>
    <n v="10850991.50141643"/>
    <n v="0"/>
    <n v="1302118.9801699715"/>
    <n v="472018.13031161466"/>
    <n v="434039.66005665722"/>
    <n v="2208176.7705382435"/>
    <n v="14976176.770538244"/>
    <n v="4072833.7705382444"/>
    <n v="3472307"/>
    <n v="600526.77053824347"/>
    <n v="10639000"/>
    <n v="5511936.8438798795"/>
    <n v="8267905.2658198187"/>
    <n v="8680793.2011331432"/>
    <s v=""/>
    <n v="10214400"/>
    <n v="10214400"/>
    <n v="10214400"/>
    <n v="13021189.801699717"/>
    <s v=""/>
    <n v="15321600"/>
    <n v="15321600"/>
    <n v="15321600"/>
    <n v="0"/>
  </r>
  <r>
    <m/>
    <m/>
    <m/>
    <m/>
    <m/>
    <s v="DIRECTOR DE PRODUCCION"/>
    <m/>
    <x v="62"/>
    <s v=""/>
    <m/>
    <m/>
    <m/>
    <m/>
    <n v="0"/>
    <m/>
    <n v="536"/>
    <x v="10"/>
    <x v="3"/>
    <x v="3"/>
    <n v="577"/>
    <n v="9295693"/>
    <n v="0"/>
    <n v="0"/>
    <n v="7900000"/>
    <n v="7900000"/>
    <n v="9295693"/>
    <n v="9295693"/>
    <n v="9295693"/>
    <n v="14.12"/>
    <n v="230"/>
    <n v="5.2199999999999998E-3"/>
    <n v="7900000"/>
    <n v="79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8085950.2104020286"/>
    <n v="1.1496104673068255"/>
    <n v="8118539.3770910595"/>
    <n v="1.1449957397793302"/>
    <n v="8141302.2238852717"/>
    <n v="1.1417943646322244"/>
    <n v="11052000"/>
    <n v="0.84108695258776689"/>
    <n v="11581000"/>
    <n v="0.80266755893273467"/>
    <n v="12057000"/>
    <n v="0.77097893339968482"/>
    <n v="12127000"/>
    <n v="0.76652865506720536"/>
    <n v="12231000"/>
    <n v="0.76001087400866651"/>
    <n v="12577000"/>
    <n v="0.73910256818001108"/>
    <n v="10306232.294588367"/>
    <n v="0.76652648360625064"/>
    <n v="12957000"/>
    <n v="0.71742633325615501"/>
    <n v="13265000"/>
    <n v="0.70076841311722582"/>
    <n v="13298000"/>
    <n v="0.69902940291773197"/>
    <n v="9406000"/>
    <n v="11756940.509915013"/>
    <n v="0.67194352079417863"/>
    <n v="14108000"/>
    <s v=""/>
    <s v=""/>
    <s v=""/>
    <s v=""/>
    <n v="13834000"/>
    <n v="0.67194542431690041"/>
    <n v="13834000"/>
    <n v="0.67194542431690041"/>
    <n v="13834000"/>
    <n v="0.67194542431690041"/>
    <n v="7900000"/>
    <n v="0"/>
    <n v="948000"/>
    <n v="41238"/>
    <n v="316000"/>
    <n v="1305238"/>
    <n v="10600931"/>
    <n v="11756940.509915013"/>
    <n v="0"/>
    <n v="1410832.8611898015"/>
    <n v="61371.229461756368"/>
    <n v="470277.62039660051"/>
    <n v="1942481.7110481584"/>
    <n v="15776481.711048158"/>
    <n v="5175550.7110481579"/>
    <n v="4538307"/>
    <n v="637243.71104815835"/>
    <n v="12576000"/>
    <n v="6513041.7791082179"/>
    <n v="9769562.6686623264"/>
    <n v="9405552.4079320114"/>
    <s v=""/>
    <n v="11067200"/>
    <n v="11067200"/>
    <n v="11067200"/>
    <n v="14108328.611898016"/>
    <s v=""/>
    <n v="16600800"/>
    <n v="16600800"/>
    <n v="16600800"/>
    <n v="0"/>
  </r>
  <r>
    <m/>
    <m/>
    <m/>
    <m/>
    <m/>
    <s v="DIRECTOR DE CALIDAD Y CONTROL DE PROCESOS"/>
    <m/>
    <x v="63"/>
    <s v="Gerente de operaciones "/>
    <m/>
    <m/>
    <m/>
    <m/>
    <n v="0"/>
    <m/>
    <n v="540"/>
    <x v="10"/>
    <x v="3"/>
    <x v="3"/>
    <n v="577"/>
    <n v="9295693"/>
    <n v="0"/>
    <n v="0"/>
    <n v="7900000"/>
    <n v="7900000"/>
    <n v="9295693"/>
    <n v="9295693"/>
    <n v="9295693"/>
    <n v="14.12"/>
    <n v="230"/>
    <n v="4.3499999999999997E-2"/>
    <n v="7900000"/>
    <n v="79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8085950.2104020286"/>
    <n v="1.1496104673068255"/>
    <n v="8118539.3770910595"/>
    <n v="1.1449957397793302"/>
    <n v="8141302.2238852717"/>
    <n v="1.1417943646322244"/>
    <n v="11052000"/>
    <n v="0.84108695258776689"/>
    <n v="11581000"/>
    <n v="0.80266755893273467"/>
    <n v="12057000"/>
    <n v="0.77097893339968482"/>
    <n v="12127000"/>
    <n v="0.76652865506720536"/>
    <n v="12231000"/>
    <n v="0.76001087400866651"/>
    <n v="12577000"/>
    <n v="0.73910256818001108"/>
    <n v="10306232.294588367"/>
    <n v="0.76652648360625064"/>
    <n v="12957000"/>
    <n v="0.71742633325615501"/>
    <n v="13265000"/>
    <n v="0.70076841311722582"/>
    <n v="13298000"/>
    <n v="0.69902940291773197"/>
    <n v="9406000"/>
    <n v="11756940.509915013"/>
    <n v="0.67194352079417863"/>
    <n v="14108000"/>
    <s v=""/>
    <s v=""/>
    <s v=""/>
    <s v=""/>
    <n v="13834000"/>
    <n v="0.67194542431690041"/>
    <n v="13834000"/>
    <n v="0.67194542431690041"/>
    <n v="13834000"/>
    <n v="0.67194542431690041"/>
    <n v="7900000"/>
    <n v="0"/>
    <n v="948000"/>
    <n v="343650"/>
    <n v="316000"/>
    <n v="1607650"/>
    <n v="10903343"/>
    <n v="11756940.509915013"/>
    <n v="0"/>
    <n v="1410832.8611898015"/>
    <n v="511426.91218130302"/>
    <n v="470277.62039660051"/>
    <n v="2392537.3937677052"/>
    <n v="16226537.393767705"/>
    <n v="5323194.3937677052"/>
    <n v="4538307"/>
    <n v="784887.39376770519"/>
    <n v="12576000"/>
    <n v="6513041.7791082179"/>
    <n v="9769562.6686623264"/>
    <n v="9405552.4079320114"/>
    <s v=""/>
    <n v="11067200"/>
    <n v="11067200"/>
    <n v="11067200"/>
    <n v="14108328.611898016"/>
    <s v=""/>
    <n v="16600800"/>
    <n v="16600800"/>
    <n v="16600800"/>
    <n v="0"/>
  </r>
  <r>
    <m/>
    <m/>
    <m/>
    <m/>
    <m/>
    <s v="DIRECTOR DE MATERIALES"/>
    <m/>
    <x v="64"/>
    <s v="Gerente de operaciones "/>
    <m/>
    <m/>
    <m/>
    <m/>
    <n v="0"/>
    <m/>
    <n v="556"/>
    <x v="10"/>
    <x v="3"/>
    <x v="2"/>
    <n v="577"/>
    <n v="9295693"/>
    <n v="0"/>
    <n v="0"/>
    <n v="7900000"/>
    <n v="7900000"/>
    <n v="9295693"/>
    <n v="9295693"/>
    <n v="9295693"/>
    <n v="14.12"/>
    <n v="230"/>
    <n v="4.3499999999999997E-2"/>
    <n v="7900000"/>
    <n v="79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8085950.2104020286"/>
    <n v="1.1496104673068255"/>
    <n v="8118539.3770910595"/>
    <n v="1.1449957397793302"/>
    <n v="8141302.2238852717"/>
    <n v="1.1417943646322244"/>
    <n v="11052000"/>
    <n v="0.84108695258776689"/>
    <n v="11581000"/>
    <n v="0.80266755893273467"/>
    <n v="12057000"/>
    <n v="0.77097893339968482"/>
    <n v="12127000"/>
    <n v="0.76652865506720536"/>
    <n v="12231000"/>
    <n v="0.76001087400866651"/>
    <n v="12577000"/>
    <n v="0.73910256818001108"/>
    <n v="10306232.294588367"/>
    <n v="0.76652648360625064"/>
    <n v="12957000"/>
    <n v="0.71742633325615501"/>
    <n v="13265000"/>
    <n v="0.70076841311722582"/>
    <n v="13298000"/>
    <n v="0.69902940291773197"/>
    <n v="10261000"/>
    <n v="12826062.322946174"/>
    <n v="0.6159333863415497"/>
    <n v="15391000"/>
    <s v=""/>
    <s v=""/>
    <s v=""/>
    <s v=""/>
    <n v="15092000"/>
    <n v="0.61593513119533527"/>
    <n v="15092000"/>
    <n v="0.61593513119533527"/>
    <n v="15092000"/>
    <n v="0.61593513119533527"/>
    <n v="7900000"/>
    <n v="0"/>
    <n v="948000"/>
    <n v="343650"/>
    <n v="316000"/>
    <n v="1607650"/>
    <n v="10903343"/>
    <n v="12826062.322946174"/>
    <n v="0"/>
    <n v="1539127.4787535409"/>
    <n v="557933.71104815858"/>
    <n v="513042.49291784695"/>
    <n v="2610103.6827195464"/>
    <n v="17702103.682719547"/>
    <n v="6798760.6827195473"/>
    <n v="5796307"/>
    <n v="1002453.6827195464"/>
    <n v="12576000"/>
    <n v="6513041.7791082179"/>
    <n v="9769562.6686623264"/>
    <n v="10260849.85835694"/>
    <s v=""/>
    <n v="12073600"/>
    <n v="12073600"/>
    <n v="12073600"/>
    <n v="15391274.78753541"/>
    <s v=""/>
    <n v="18110400"/>
    <n v="18110400"/>
    <n v="18110400"/>
    <n v="0"/>
  </r>
  <r>
    <m/>
    <m/>
    <m/>
    <m/>
    <m/>
    <s v="DIRECTOR DE  MANTENIMIENTO Y PROYECTOS"/>
    <m/>
    <x v="65"/>
    <s v=""/>
    <m/>
    <m/>
    <m/>
    <m/>
    <n v="0"/>
    <m/>
    <n v="559"/>
    <x v="10"/>
    <x v="3"/>
    <x v="3"/>
    <n v="577"/>
    <n v="9295693"/>
    <n v="0"/>
    <n v="0"/>
    <n v="7900000"/>
    <n v="7900000"/>
    <n v="9295693"/>
    <n v="9295693"/>
    <n v="9295693"/>
    <n v="14.12"/>
    <n v="230"/>
    <n v="4.3499999999999997E-2"/>
    <n v="7900000"/>
    <n v="79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8085950.2104020286"/>
    <n v="1.1496104673068255"/>
    <n v="8118539.3770910595"/>
    <n v="1.1449957397793302"/>
    <n v="8141302.2238852717"/>
    <n v="1.1417943646322244"/>
    <n v="11052000"/>
    <n v="0.84108695258776689"/>
    <n v="11581000"/>
    <n v="0.80266755893273467"/>
    <n v="12057000"/>
    <n v="0.77097893339968482"/>
    <n v="12127000"/>
    <n v="0.76652865506720536"/>
    <n v="12231000"/>
    <n v="0.76001087400866651"/>
    <n v="12577000"/>
    <n v="0.73910256818001108"/>
    <n v="10306232.294588367"/>
    <n v="0.76652648360625064"/>
    <n v="12957000"/>
    <n v="0.71742633325615501"/>
    <n v="13265000"/>
    <n v="0.70076841311722582"/>
    <n v="13298000"/>
    <n v="0.69902940291773197"/>
    <n v="9406000"/>
    <n v="11756940.509915013"/>
    <n v="0.67194352079417863"/>
    <n v="14108000"/>
    <s v=""/>
    <s v=""/>
    <s v=""/>
    <s v=""/>
    <n v="13834000"/>
    <n v="0.67194542431690041"/>
    <n v="13834000"/>
    <n v="0.67194542431690041"/>
    <n v="13834000"/>
    <n v="0.67194542431690041"/>
    <n v="7900000"/>
    <n v="0"/>
    <n v="948000"/>
    <n v="343650"/>
    <n v="316000"/>
    <n v="1607650"/>
    <n v="10903343"/>
    <n v="11756940.509915013"/>
    <n v="0"/>
    <n v="1410832.8611898015"/>
    <n v="511426.91218130302"/>
    <n v="470277.62039660051"/>
    <n v="2392537.3937677052"/>
    <n v="16226537.393767705"/>
    <n v="5323194.3937677052"/>
    <n v="4538307"/>
    <n v="784887.39376770519"/>
    <n v="12576000"/>
    <n v="6513041.7791082179"/>
    <n v="9769562.6686623264"/>
    <n v="9405552.4079320114"/>
    <s v=""/>
    <n v="11067200"/>
    <n v="11067200"/>
    <n v="11067200"/>
    <n v="14108328.611898016"/>
    <s v=""/>
    <n v="16600800"/>
    <n v="16600800"/>
    <n v="16600800"/>
    <n v="0"/>
  </r>
  <r>
    <m/>
    <m/>
    <m/>
    <m/>
    <m/>
    <s v="DIRECTORA ADMINISTRATIVA Y CONTABLE"/>
    <m/>
    <x v="66"/>
    <s v=""/>
    <m/>
    <m/>
    <m/>
    <m/>
    <n v="0"/>
    <m/>
    <n v="559"/>
    <x v="10"/>
    <x v="3"/>
    <x v="0"/>
    <n v="577"/>
    <n v="12175004.49"/>
    <n v="0"/>
    <n v="0"/>
    <n v="10347000"/>
    <n v="10347000"/>
    <n v="12175004.49"/>
    <n v="12175004.49"/>
    <n v="12175004.49"/>
    <n v="14.12"/>
    <n v="230"/>
    <n v="5.2199999999999998E-3"/>
    <n v="10347000"/>
    <n v="10347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8085950.2104020286"/>
    <n v="1.5056986715473069"/>
    <n v="8118539.3770910595"/>
    <n v="1.4996545467717379"/>
    <n v="8141302.2238852717"/>
    <n v="1.4954615558037503"/>
    <n v="11052000"/>
    <n v="1.1016109744842562"/>
    <n v="11581000"/>
    <n v="1.0512912952249374"/>
    <n v="12057000"/>
    <n v="1.0097872182134859"/>
    <n v="12127000"/>
    <n v="1.0039584802506802"/>
    <n v="12231000"/>
    <n v="0.99542183713514842"/>
    <n v="12577000"/>
    <n v="0.96803724974159178"/>
    <n v="10306232.294588367"/>
    <n v="1.0039556361865665"/>
    <n v="12957000"/>
    <n v="0.93964686964575139"/>
    <n v="13265000"/>
    <n v="0.91782921145872598"/>
    <n v="13298000"/>
    <n v="0.91555154835313579"/>
    <n v="7696000"/>
    <n v="9619546.7422096319"/>
    <n v="1.0756224048060783"/>
    <n v="11543000"/>
    <s v=""/>
    <s v=""/>
    <s v=""/>
    <s v=""/>
    <n v="11319000"/>
    <n v="1.0756254518950437"/>
    <n v="11319000"/>
    <n v="1.0756254518950437"/>
    <n v="11319000"/>
    <n v="1.0756254518950437"/>
    <n v="10347000"/>
    <n v="0"/>
    <n v="1241640"/>
    <n v="54011.34"/>
    <n v="413880"/>
    <n v="1709531.34"/>
    <n v="13884535.83"/>
    <n v="9619546.7422096319"/>
    <n v="0"/>
    <n v="1154345.6090651557"/>
    <n v="50214.033994334277"/>
    <n v="384781.86968838528"/>
    <n v="1589341.5127478754"/>
    <n v="12908341.512747876"/>
    <n v="0"/>
    <n v="0"/>
    <n v="0"/>
    <n v="12576000"/>
    <n v="6513041.7791082179"/>
    <n v="9769562.6686623264"/>
    <n v="7695637.3937677052"/>
    <s v=""/>
    <n v="9055200"/>
    <n v="9055200"/>
    <n v="9055200"/>
    <n v="11543456.090651557"/>
    <s v=""/>
    <n v="13582800"/>
    <n v="13582800"/>
    <n v="13582800"/>
    <n v="0"/>
  </r>
  <r>
    <m/>
    <m/>
    <m/>
    <m/>
    <m/>
    <s v="COORDINADOR DE MERCADEO"/>
    <m/>
    <x v="67"/>
    <s v=""/>
    <m/>
    <m/>
    <m/>
    <m/>
    <n v="0"/>
    <m/>
    <n v="559"/>
    <x v="10"/>
    <x v="3"/>
    <x v="3"/>
    <n v="577"/>
    <n v="6023373.7300000004"/>
    <n v="0"/>
    <n v="0"/>
    <n v="5119000"/>
    <n v="5119000"/>
    <n v="6023373.7300000004"/>
    <n v="6023373.7300000004"/>
    <n v="6023373.7300000004"/>
    <n v="14.12"/>
    <n v="230"/>
    <n v="5.2199999999999998E-3"/>
    <n v="5119000"/>
    <n v="5119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8085950.2104020286"/>
    <n v="0.7449184787523595"/>
    <n v="8118539.3770910595"/>
    <n v="0.74192825214308755"/>
    <n v="8141302.2238852717"/>
    <n v="0.73985384209523508"/>
    <n v="11052000"/>
    <n v="0.54500305193630116"/>
    <n v="11581000"/>
    <n v="0.52010825749071754"/>
    <n v="12057000"/>
    <n v="0.4995748303889857"/>
    <n v="12127000"/>
    <n v="0.49669116269481328"/>
    <n v="12231000"/>
    <n v="0.49246780557599545"/>
    <n v="12577000"/>
    <n v="0.47891975272322496"/>
    <n v="10306232.294588367"/>
    <n v="0.4966897556430882"/>
    <n v="12957000"/>
    <n v="0.46487410125800727"/>
    <n v="13265000"/>
    <n v="0.45408019072747835"/>
    <n v="13298000"/>
    <n v="0.45295335614378107"/>
    <n v="9406000"/>
    <n v="11756940.509915013"/>
    <n v="0.43540239024625327"/>
    <n v="14108000"/>
    <s v=""/>
    <s v=""/>
    <s v=""/>
    <s v=""/>
    <n v="13834000"/>
    <n v="0.4354036236807865"/>
    <n v="13834000"/>
    <n v="0.4354036236807865"/>
    <n v="13834000"/>
    <n v="0.4354036236807865"/>
    <n v="5119000"/>
    <n v="0"/>
    <n v="614280"/>
    <n v="26721.18"/>
    <n v="204760"/>
    <n v="845761.18"/>
    <n v="6869134.9100000001"/>
    <n v="11756940.509915013"/>
    <n v="0"/>
    <n v="1410832.8611898015"/>
    <n v="61371.229461756368"/>
    <n v="470277.62039660051"/>
    <n v="1942481.7110481584"/>
    <n v="15776481.711048158"/>
    <n v="8907346.8010481577"/>
    <n v="7810626.2699999996"/>
    <n v="1096720.5310481582"/>
    <n v="12576000"/>
    <n v="6513041.7791082179"/>
    <n v="9769562.6686623264"/>
    <n v="9405552.4079320114"/>
    <s v=""/>
    <n v="11067200"/>
    <n v="11067200"/>
    <n v="11067200"/>
    <n v="14108328.611898016"/>
    <s v=""/>
    <n v="16600800"/>
    <n v="16600800"/>
    <n v="16600800"/>
    <n v="0"/>
  </r>
  <r>
    <m/>
    <m/>
    <m/>
    <m/>
    <m/>
    <s v="DIRECTOR DE TIC"/>
    <m/>
    <x v="68"/>
    <s v=""/>
    <m/>
    <m/>
    <m/>
    <m/>
    <n v="0"/>
    <m/>
    <n v="599"/>
    <x v="10"/>
    <x v="3"/>
    <x v="0"/>
    <n v="577"/>
    <n v="11477239.180000002"/>
    <n v="0"/>
    <n v="0"/>
    <n v="9754000"/>
    <n v="9754000"/>
    <n v="11477239.180000002"/>
    <n v="11477239.180000002"/>
    <n v="11477239.180000002"/>
    <n v="14.12"/>
    <n v="230"/>
    <n v="5.2199999999999998E-3"/>
    <n v="9754000"/>
    <n v="975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8085950.2104020286"/>
    <n v="1.4194051263431364"/>
    <n v="8118539.3770910595"/>
    <n v="1.4137073982034922"/>
    <n v="8141302.2238852717"/>
    <n v="1.4097547129902177"/>
    <n v="11052000"/>
    <n v="1.0384762196887443"/>
    <n v="11581000"/>
    <n v="0.9910404265607462"/>
    <n v="12057000"/>
    <n v="0.95191500207348445"/>
    <n v="12127000"/>
    <n v="0.94642031664880033"/>
    <n v="12231000"/>
    <n v="0.93837291963044733"/>
    <n v="12577000"/>
    <n v="0.91255777848453534"/>
    <n v="10306232.294588367"/>
    <n v="0.94641763558169223"/>
    <n v="12957000"/>
    <n v="0.88579448792158688"/>
    <n v="13265000"/>
    <n v="0.86522722804372421"/>
    <n v="13298000"/>
    <n v="0.86308010076703279"/>
    <n v="7696000"/>
    <n v="9619546.7422096319"/>
    <n v="1.0139770886709663"/>
    <n v="11543000"/>
    <s v=""/>
    <s v=""/>
    <s v=""/>
    <s v=""/>
    <n v="11319000"/>
    <n v="1.0139799611273081"/>
    <n v="11319000"/>
    <n v="1.0139799611273081"/>
    <n v="11319000"/>
    <n v="1.0139799611273081"/>
    <n v="9754000"/>
    <n v="0"/>
    <n v="1170480"/>
    <n v="50915.88"/>
    <n v="390160"/>
    <n v="1611555.88"/>
    <n v="13088795.060000002"/>
    <n v="9619546.7422096319"/>
    <n v="0"/>
    <n v="1154345.6090651557"/>
    <n v="50214.033994334277"/>
    <n v="384781.86968838528"/>
    <n v="1589341.5127478754"/>
    <n v="12908341.512747876"/>
    <n v="0"/>
    <n v="0"/>
    <n v="0"/>
    <n v="12576000"/>
    <n v="6513041.7791082179"/>
    <n v="9769562.6686623264"/>
    <n v="7695637.3937677052"/>
    <s v=""/>
    <n v="9055200"/>
    <n v="9055200"/>
    <n v="9055200"/>
    <n v="11543456.090651557"/>
    <s v=""/>
    <n v="13582800"/>
    <n v="13582800"/>
    <n v="13582800"/>
    <n v="0"/>
  </r>
  <r>
    <m/>
    <m/>
    <m/>
    <m/>
    <m/>
    <s v="DIRECTOR DE INGENIERIA"/>
    <m/>
    <x v="69"/>
    <s v=""/>
    <m/>
    <m/>
    <m/>
    <m/>
    <n v="0"/>
    <m/>
    <n v="610"/>
    <x v="10"/>
    <x v="3"/>
    <x v="2"/>
    <n v="577"/>
    <n v="9295693"/>
    <n v="0"/>
    <n v="0"/>
    <n v="7900000"/>
    <n v="7900000"/>
    <n v="9295693"/>
    <n v="9295693"/>
    <n v="9295693"/>
    <n v="14.12"/>
    <n v="230"/>
    <n v="5.2199999999999998E-3"/>
    <n v="7900000"/>
    <n v="79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8085950.2104020286"/>
    <n v="1.1496104673068255"/>
    <n v="8118539.3770910595"/>
    <n v="1.1449957397793302"/>
    <n v="8141302.2238852717"/>
    <n v="1.1417943646322244"/>
    <n v="11052000"/>
    <n v="0.84108695258776689"/>
    <n v="11581000"/>
    <n v="0.80266755893273467"/>
    <n v="12057000"/>
    <n v="0.77097893339968482"/>
    <n v="12127000"/>
    <n v="0.76652865506720536"/>
    <n v="12231000"/>
    <n v="0.76001087400866651"/>
    <n v="12577000"/>
    <n v="0.73910256818001108"/>
    <n v="10306232.294588367"/>
    <n v="0.76652648360625064"/>
    <n v="12957000"/>
    <n v="0.71742633325615501"/>
    <n v="13265000"/>
    <n v="0.70076841311722582"/>
    <n v="13298000"/>
    <n v="0.69902940291773197"/>
    <n v="10261000"/>
    <n v="12826062.322946174"/>
    <n v="0.6159333863415497"/>
    <n v="15391000"/>
    <s v=""/>
    <s v=""/>
    <s v=""/>
    <s v=""/>
    <n v="15092000"/>
    <n v="0.61593513119533527"/>
    <n v="15092000"/>
    <n v="0.61593513119533527"/>
    <n v="15092000"/>
    <n v="0.61593513119533527"/>
    <n v="7900000"/>
    <n v="0"/>
    <n v="948000"/>
    <n v="41238"/>
    <n v="316000"/>
    <n v="1305238"/>
    <n v="10600931"/>
    <n v="12826062.322946174"/>
    <n v="0"/>
    <n v="1539127.4787535409"/>
    <n v="66952.045325779021"/>
    <n v="513042.49291784695"/>
    <n v="2119122.0169971669"/>
    <n v="17211122.016997166"/>
    <n v="6610191.016997166"/>
    <n v="5796307"/>
    <n v="813884.01699716691"/>
    <n v="12576000"/>
    <n v="6513041.7791082179"/>
    <n v="9769562.6686623264"/>
    <n v="10260849.85835694"/>
    <s v=""/>
    <n v="12073600"/>
    <n v="12073600"/>
    <n v="12073600"/>
    <n v="15391274.78753541"/>
    <s v=""/>
    <n v="18110400"/>
    <n v="18110400"/>
    <n v="18110400"/>
    <n v="0"/>
  </r>
  <r>
    <m/>
    <m/>
    <m/>
    <m/>
    <m/>
    <s v="DIRECTORA DE DISEÑO Y  DESARROLLO"/>
    <m/>
    <x v="70"/>
    <s v=""/>
    <m/>
    <m/>
    <m/>
    <m/>
    <n v="0"/>
    <m/>
    <n v="619"/>
    <x v="11"/>
    <x v="3"/>
    <x v="2"/>
    <n v="663"/>
    <n v="9295693"/>
    <n v="0"/>
    <n v="0"/>
    <n v="7900000"/>
    <n v="7900000"/>
    <n v="9295693"/>
    <n v="9295693"/>
    <n v="9295693"/>
    <n v="14.12"/>
    <n v="230"/>
    <n v="4.3499999999999997E-2"/>
    <n v="7900000"/>
    <n v="79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10700392.258823581"/>
    <n v="0.86872450795761613"/>
    <n v="10921021.83990635"/>
    <n v="0.85117428902419567"/>
    <n v="10966470.005261846"/>
    <n v="0.84764678110092062"/>
    <n v="13836000"/>
    <n v="0.67184829430471238"/>
    <n v="14536000"/>
    <n v="0.63949456521739134"/>
    <n v="15107000"/>
    <n v="0.61532355861521149"/>
    <n v="15895000"/>
    <n v="0.58481868512110724"/>
    <n v="16168000"/>
    <n v="0.57494390153389408"/>
    <n v="16613000"/>
    <n v="0.55954330945644981"/>
    <n v="13508498.583531136"/>
    <n v="0.5848170284173011"/>
    <n v="16880000"/>
    <n v="0.55069271327014213"/>
    <n v="17439000"/>
    <n v="0.53304048397270487"/>
    <n v="17813000"/>
    <n v="0.52184881827878515"/>
    <n v="13554000"/>
    <n v="16941926.345609065"/>
    <n v="0.46629880444778865"/>
    <n v="20330000"/>
    <s v=""/>
    <n v="19935000"/>
    <s v=""/>
    <n v="23922000"/>
    <n v="19935000"/>
    <n v="0.46630012540757459"/>
    <n v="19935000"/>
    <n v="0.46630012540757459"/>
    <n v="19935000"/>
    <n v="0.46630012540757459"/>
    <n v="7900000"/>
    <n v="0"/>
    <n v="948000"/>
    <n v="343650"/>
    <n v="316000"/>
    <n v="1607650"/>
    <n v="10903343"/>
    <n v="16941926.345609065"/>
    <n v="1440063.7393767706"/>
    <n v="2033031.1614730877"/>
    <n v="736973.79603399429"/>
    <n v="1524773.3711048157"/>
    <n v="5734842.0679886686"/>
    <n v="25669842.067988668"/>
    <n v="14766499.067988668"/>
    <n v="10639307"/>
    <n v="4127192.0679886686"/>
    <n v="16612000"/>
    <n v="8773176.0042094775"/>
    <n v="13159764.006314214"/>
    <n v="13553541.076487251"/>
    <s v=""/>
    <n v="15948000"/>
    <n v="15948000"/>
    <n v="15948000"/>
    <n v="20330311.614730876"/>
    <n v="23922000"/>
    <n v="23922000"/>
    <n v="23922000"/>
    <n v="23922000"/>
    <n v="0"/>
  </r>
  <r>
    <m/>
    <m/>
    <m/>
    <m/>
    <m/>
    <s v="DIRECTOR DE INNOVACION"/>
    <m/>
    <x v="71"/>
    <s v="Gerente general "/>
    <m/>
    <m/>
    <m/>
    <m/>
    <n v="0"/>
    <m/>
    <n v="625"/>
    <x v="11"/>
    <x v="3"/>
    <x v="2"/>
    <n v="663"/>
    <n v="13526998.32"/>
    <n v="0"/>
    <n v="0"/>
    <n v="11496000"/>
    <n v="11496000"/>
    <n v="13526998.32"/>
    <n v="13526998.32"/>
    <n v="13526998.32"/>
    <n v="14.12"/>
    <n v="230"/>
    <n v="4.3499999999999997E-2"/>
    <n v="11496000"/>
    <n v="11496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10700392.258823581"/>
    <n v="1.2641591067697158"/>
    <n v="10921021.83990635"/>
    <n v="1.2386202059015383"/>
    <n v="10966470.005261846"/>
    <n v="1.2334870120931878"/>
    <n v="13836000"/>
    <n v="0.97766683434518653"/>
    <n v="14536000"/>
    <n v="0.93058601541001651"/>
    <n v="15107000"/>
    <n v="0.89541261137221162"/>
    <n v="15895000"/>
    <n v="0.85102222837370245"/>
    <n v="16168000"/>
    <n v="0.83665254329539829"/>
    <n v="16613000"/>
    <n v="0.81424175765966411"/>
    <n v="13508498.583531136"/>
    <n v="0.85101981755510048"/>
    <n v="16880000"/>
    <n v="0.8013624597156398"/>
    <n v="17439000"/>
    <n v="0.77567511439876147"/>
    <n v="17813000"/>
    <n v="0.75938911581429291"/>
    <n v="13554000"/>
    <n v="16941926.345609065"/>
    <n v="0.6785532982192124"/>
    <n v="20330000"/>
    <s v=""/>
    <n v="19935000"/>
    <s v=""/>
    <n v="23922000"/>
    <n v="19935000"/>
    <n v="0.67855522046651617"/>
    <n v="19935000"/>
    <n v="0.67855522046651617"/>
    <n v="19935000"/>
    <n v="0.67855522046651617"/>
    <n v="11496000"/>
    <n v="0"/>
    <n v="1379520"/>
    <n v="500075.99999999994"/>
    <n v="459840"/>
    <n v="2339436"/>
    <n v="15866434.32"/>
    <n v="16941926.345609065"/>
    <n v="1440063.7393767706"/>
    <n v="2033031.1614730877"/>
    <n v="736973.79603399429"/>
    <n v="1524773.3711048157"/>
    <n v="5734842.0679886686"/>
    <n v="25669842.067988668"/>
    <n v="9803407.7479886673"/>
    <n v="6408001.6799999997"/>
    <n v="3395406.0679886686"/>
    <n v="16612000"/>
    <n v="8773176.0042094775"/>
    <n v="13159764.006314214"/>
    <n v="13553541.076487251"/>
    <s v=""/>
    <n v="15948000"/>
    <n v="15948000"/>
    <n v="15948000"/>
    <n v="20330311.614730876"/>
    <n v="23922000"/>
    <n v="23922000"/>
    <n v="23922000"/>
    <n v="23922000"/>
    <n v="0"/>
  </r>
  <r>
    <m/>
    <m/>
    <m/>
    <m/>
    <m/>
    <s v="DIRECTOR DE GESTION HUMANA"/>
    <m/>
    <x v="72"/>
    <s v="Gerente General "/>
    <m/>
    <m/>
    <m/>
    <m/>
    <n v="0"/>
    <m/>
    <n v="632"/>
    <x v="11"/>
    <x v="3"/>
    <x v="3"/>
    <n v="663"/>
    <n v="10253502.380000001"/>
    <n v="0"/>
    <n v="0"/>
    <n v="8714000"/>
    <n v="8714000"/>
    <n v="10253502.380000001"/>
    <n v="10253502.380000001"/>
    <n v="10253502.380000001"/>
    <n v="14.12"/>
    <n v="230"/>
    <n v="5.2199999999999998E-3"/>
    <n v="8714000"/>
    <n v="8714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10700392.258823581"/>
    <n v="0.95823612181552753"/>
    <n v="10921021.83990635"/>
    <n v="0.93887756386795462"/>
    <n v="10966470.005261846"/>
    <n v="0.93498658867258522"/>
    <n v="13836000"/>
    <n v="0.74107418184446383"/>
    <n v="14536000"/>
    <n v="0.70538679003852511"/>
    <n v="15107000"/>
    <n v="0.67872525186999411"/>
    <n v="15895000"/>
    <n v="0.6450772179930796"/>
    <n v="16168000"/>
    <n v="0.63418495670460173"/>
    <n v="16613000"/>
    <n v="0.61719751881057006"/>
    <n v="13508498.583531136"/>
    <n v="0.6450753905858686"/>
    <n v="16880000"/>
    <n v="0.60743497511848343"/>
    <n v="17439000"/>
    <n v="0.58796389586558861"/>
    <n v="17813000"/>
    <n v="0.57561906360523218"/>
    <n v="12424000"/>
    <n v="15530311.614730878"/>
    <n v="0.56109627521797822"/>
    <n v="18636000"/>
    <s v=""/>
    <s v=""/>
    <s v=""/>
    <n v="21929000"/>
    <n v="18274000"/>
    <n v="0.56109786472584"/>
    <n v="18274000"/>
    <n v="0.56109786472584"/>
    <n v="18274000"/>
    <n v="0.56109786472584"/>
    <n v="8714000"/>
    <n v="0"/>
    <n v="1045680"/>
    <n v="45487.08"/>
    <n v="348560"/>
    <n v="1439727.08"/>
    <n v="11693229.460000001"/>
    <n v="15530311.614730878"/>
    <n v="1320076.4872521248"/>
    <n v="1863637.3937677052"/>
    <n v="81068.22662889518"/>
    <n v="1397728.0453257789"/>
    <n v="4662510.152974504"/>
    <n v="22936510.152974505"/>
    <n v="11243280.692974504"/>
    <n v="8020497.6199999992"/>
    <n v="3222783.072974504"/>
    <n v="16612000"/>
    <n v="8773176.0042094775"/>
    <n v="13159764.006314214"/>
    <n v="12424249.291784702"/>
    <s v=""/>
    <n v="14619200"/>
    <n v="14619200"/>
    <n v="14619200"/>
    <n v="18636373.937677052"/>
    <n v="21928800"/>
    <n v="21928800"/>
    <n v="21928800"/>
    <n v="21928800"/>
    <n v="0"/>
  </r>
  <r>
    <m/>
    <m/>
    <m/>
    <m/>
    <m/>
    <s v="DIRECTOR DE LOGISTICA"/>
    <m/>
    <x v="73"/>
    <s v="Gerente de operaciones "/>
    <m/>
    <m/>
    <m/>
    <m/>
    <n v="0"/>
    <m/>
    <n v="633"/>
    <x v="11"/>
    <x v="3"/>
    <x v="3"/>
    <n v="663"/>
    <n v="13526998.32"/>
    <n v="0"/>
    <n v="0"/>
    <n v="11496000"/>
    <n v="11496000"/>
    <n v="13526998.32"/>
    <n v="13526998.32"/>
    <n v="13526998.32"/>
    <n v="14.12"/>
    <n v="230"/>
    <n v="5.2199999999999998E-3"/>
    <n v="11496000"/>
    <n v="11496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10700392.258823581"/>
    <n v="1.2641591067697158"/>
    <n v="10921021.83990635"/>
    <n v="1.2386202059015383"/>
    <n v="10966470.005261846"/>
    <n v="1.2334870120931878"/>
    <n v="13836000"/>
    <n v="0.97766683434518653"/>
    <n v="14536000"/>
    <n v="0.93058601541001651"/>
    <n v="15107000"/>
    <n v="0.89541261137221162"/>
    <n v="15895000"/>
    <n v="0.85102222837370245"/>
    <n v="16168000"/>
    <n v="0.83665254329539829"/>
    <n v="16613000"/>
    <n v="0.81424175765966411"/>
    <n v="13508498.583531136"/>
    <n v="0.85101981755510048"/>
    <n v="16880000"/>
    <n v="0.8013624597156398"/>
    <n v="17439000"/>
    <n v="0.77567511439876147"/>
    <n v="17813000"/>
    <n v="0.75938911581429291"/>
    <n v="12424000"/>
    <n v="15530311.614730878"/>
    <n v="0.74022983473787896"/>
    <n v="18636000"/>
    <s v=""/>
    <s v=""/>
    <s v=""/>
    <n v="21929000"/>
    <n v="18274000"/>
    <n v="0.74023193170624935"/>
    <n v="18274000"/>
    <n v="0.74023193170624935"/>
    <n v="18274000"/>
    <n v="0.74023193170624935"/>
    <n v="11496000"/>
    <n v="0"/>
    <n v="1379520"/>
    <n v="60009.119999999995"/>
    <n v="459840"/>
    <n v="1899369.12"/>
    <n v="15426367.440000001"/>
    <n v="15530311.614730878"/>
    <n v="1320076.4872521248"/>
    <n v="1863637.3937677052"/>
    <n v="81068.22662889518"/>
    <n v="1397728.0453257789"/>
    <n v="4662510.152974504"/>
    <n v="22936510.152974505"/>
    <n v="7510142.7129745036"/>
    <n v="4747001.68"/>
    <n v="2763141.0329745039"/>
    <n v="16612000"/>
    <n v="8773176.0042094775"/>
    <n v="13159764.006314214"/>
    <n v="12424249.291784702"/>
    <s v=""/>
    <n v="14619200"/>
    <n v="14619200"/>
    <n v="14619200"/>
    <n v="18636373.937677052"/>
    <n v="21928800"/>
    <n v="21928800"/>
    <n v="21928800"/>
    <n v="21928800"/>
    <n v="0"/>
  </r>
  <r>
    <m/>
    <m/>
    <m/>
    <m/>
    <m/>
    <s v="DIRECTOR DE VENTAS NACIONAL "/>
    <m/>
    <x v="74"/>
    <s v=""/>
    <m/>
    <m/>
    <m/>
    <m/>
    <n v="0"/>
    <m/>
    <n v="652"/>
    <x v="11"/>
    <x v="3"/>
    <x v="3"/>
    <n v="663"/>
    <n v="6304597.8600000003"/>
    <n v="3059342.0000000005"/>
    <n v="0"/>
    <n v="7958000"/>
    <n v="7958000"/>
    <n v="6304597.8600000003"/>
    <n v="9363939.8600000013"/>
    <n v="9363939.8600000013"/>
    <n v="14.12"/>
    <n v="230"/>
    <n v="4.3499999999999997E-2"/>
    <n v="5358000"/>
    <n v="5358000"/>
    <m/>
    <n v="0"/>
    <m/>
    <n v="0"/>
    <m/>
    <m/>
    <m/>
    <m/>
    <m/>
    <n v="2600000"/>
    <m/>
    <n v="0"/>
    <m/>
    <n v="0"/>
    <m/>
    <n v="0"/>
    <m/>
    <m/>
    <n v="0"/>
    <m/>
    <m/>
    <m/>
    <m/>
    <m/>
    <m/>
    <m/>
    <m/>
    <m/>
    <n v="0.32671525508921839"/>
    <n v="0"/>
    <n v="10700392.258823581"/>
    <n v="0.58919315362492497"/>
    <n v="10921021.83990635"/>
    <n v="0.85742341671576583"/>
    <n v="10966470.005261846"/>
    <n v="0.85387001063305412"/>
    <n v="13836000"/>
    <n v="0.45566622289679098"/>
    <n v="14536000"/>
    <n v="0.64418958860759501"/>
    <n v="15107000"/>
    <n v="0.61984112398225999"/>
    <n v="15895000"/>
    <n v="0.39664031833910035"/>
    <n v="16168000"/>
    <n v="0.57916500865907972"/>
    <n v="16613000"/>
    <n v="0.56365134894359847"/>
    <n v="13508498.583531136"/>
    <n v="0.39663919471644293"/>
    <n v="16880000"/>
    <n v="0.37349513388625594"/>
    <n v="17439000"/>
    <n v="0.53695394575377031"/>
    <n v="17813000"/>
    <n v="0.52568011340032572"/>
    <n v="12424000"/>
    <n v="12930304.249291783"/>
    <n v="0.41437540035405335"/>
    <n v="18636000"/>
    <s v=""/>
    <s v=""/>
    <s v=""/>
    <n v="21929000"/>
    <n v="15214658"/>
    <n v="0.41437657422204299"/>
    <n v="18274000"/>
    <n v="0.51241872934223498"/>
    <n v="18274000"/>
    <n v="0.51241872934223498"/>
    <n v="7958000"/>
    <n v="0"/>
    <n v="954960"/>
    <n v="346173"/>
    <n v="318320"/>
    <n v="1619453"/>
    <n v="10983392.860000001"/>
    <n v="12930304.249291783"/>
    <n v="0"/>
    <n v="1551636.509915014"/>
    <n v="562468.23484419251"/>
    <n v="517212.16997167136"/>
    <n v="2631316.9147308781"/>
    <n v="20905316.914730877"/>
    <n v="9921924.0547308754"/>
    <n v="8910060.1399999987"/>
    <n v="1011863.9147308781"/>
    <n v="16612000"/>
    <n v="8773176.0042094775"/>
    <n v="13159764.006314214"/>
    <n v="12424249.291784702"/>
    <s v=""/>
    <n v="14619200"/>
    <n v="14619200"/>
    <n v="14619200"/>
    <n v="18636373.937677052"/>
    <n v="21928800"/>
    <n v="21928800"/>
    <n v="21928800"/>
    <n v="21928800"/>
    <n v="0"/>
  </r>
  <r>
    <m/>
    <m/>
    <m/>
    <m/>
    <m/>
    <s v="DIRECTOR VENTAS EEUU"/>
    <m/>
    <x v="75"/>
    <s v="Gerente comercial y de mercadeo "/>
    <m/>
    <m/>
    <m/>
    <m/>
    <n v="0"/>
    <m/>
    <n v="655"/>
    <x v="11"/>
    <x v="3"/>
    <x v="2"/>
    <n v="663"/>
    <n v="11766700.000000002"/>
    <n v="0"/>
    <n v="0"/>
    <n v="10000000"/>
    <n v="10000000"/>
    <n v="11766700.000000002"/>
    <n v="11766700.000000002"/>
    <n v="11766700.000000002"/>
    <n v="14.12"/>
    <n v="230"/>
    <n v="5.2199999999999998E-3"/>
    <n v="10000000"/>
    <n v="10000000"/>
    <m/>
    <n v="0"/>
    <m/>
    <n v="0"/>
    <m/>
    <m/>
    <m/>
    <m/>
    <m/>
    <n v="0"/>
    <m/>
    <s v=""/>
    <m/>
    <n v="0"/>
    <m/>
    <n v="0"/>
    <m/>
    <m/>
    <n v="0"/>
    <m/>
    <m/>
    <m/>
    <m/>
    <m/>
    <m/>
    <m/>
    <m/>
    <m/>
    <n v="0"/>
    <n v="0"/>
    <n v="10700392.258823581"/>
    <n v="1.0996512758957169"/>
    <n v="10921021.83990635"/>
    <n v="1.0774358088913871"/>
    <n v="10966470.005261846"/>
    <n v="1.0729706089885074"/>
    <n v="13836000"/>
    <n v="0.85044087886672459"/>
    <n v="14536000"/>
    <n v="0.80948679141441948"/>
    <n v="15107000"/>
    <n v="0.77889058052558424"/>
    <n v="15895000"/>
    <n v="0.74027681660899669"/>
    <n v="16168000"/>
    <n v="0.72777709054923312"/>
    <n v="16613000"/>
    <n v="0.70828267019803781"/>
    <n v="13508498.583531136"/>
    <n v="0.740274719515571"/>
    <n v="16880000"/>
    <n v="0.69707938388625601"/>
    <n v="17439000"/>
    <n v="0.67473478983886703"/>
    <n v="17813000"/>
    <n v="0.66056812440352564"/>
    <n v="13554000"/>
    <n v="16941926.345609065"/>
    <n v="0.59025165119973244"/>
    <n v="20330000"/>
    <s v=""/>
    <n v="19935000"/>
    <s v=""/>
    <n v="23922000"/>
    <n v="19935000"/>
    <n v="0.59025332330072744"/>
    <n v="19935000"/>
    <n v="0.59025332330072744"/>
    <n v="19935000"/>
    <n v="0.59025332330072744"/>
    <n v="10000000"/>
    <n v="0"/>
    <n v="1200000"/>
    <n v="52200"/>
    <n v="400000"/>
    <n v="1652200"/>
    <n v="13418900.000000002"/>
    <n v="16941926.345609065"/>
    <n v="1440063.7393767706"/>
    <n v="2033031.1614730877"/>
    <n v="88436.855524079321"/>
    <n v="1524773.3711048157"/>
    <n v="5086305.1274787532"/>
    <n v="25021305.127478752"/>
    <n v="11602405.12747875"/>
    <n v="8168299.9999999981"/>
    <n v="3434105.1274787532"/>
    <n v="16612000"/>
    <n v="8773176.0042094775"/>
    <n v="13159764.006314214"/>
    <n v="13553541.076487251"/>
    <s v=""/>
    <n v="15948000"/>
    <n v="15948000"/>
    <n v="15948000"/>
    <n v="20330311.614730876"/>
    <n v="23922000"/>
    <n v="23922000"/>
    <n v="23922000"/>
    <n v="23922000"/>
    <n v="0"/>
  </r>
  <r>
    <m/>
    <m/>
    <m/>
    <m/>
    <m/>
    <s v="DIRECTOR DE VENTAS LATAM"/>
    <m/>
    <x v="76"/>
    <s v=""/>
    <m/>
    <m/>
    <m/>
    <m/>
    <n v="0"/>
    <m/>
    <n v="666"/>
    <x v="11"/>
    <x v="3"/>
    <x v="3"/>
    <n v="663"/>
    <n v="7427141.040000001"/>
    <n v="4706680"/>
    <n v="0"/>
    <n v="10312000"/>
    <n v="10312000"/>
    <n v="7427141.040000001"/>
    <n v="12133821.040000001"/>
    <n v="12133821.040000001"/>
    <n v="14.12"/>
    <n v="230"/>
    <n v="4.3499999999999997E-2"/>
    <n v="6312000"/>
    <n v="6312000"/>
    <m/>
    <n v="0"/>
    <m/>
    <n v="0"/>
    <m/>
    <m/>
    <m/>
    <m/>
    <m/>
    <n v="4000000"/>
    <m/>
    <n v="0"/>
    <m/>
    <n v="0"/>
    <m/>
    <n v="0"/>
    <m/>
    <m/>
    <n v="0"/>
    <m/>
    <m/>
    <m/>
    <m/>
    <m/>
    <m/>
    <m/>
    <m/>
    <m/>
    <n v="0.38789759503491072"/>
    <n v="0"/>
    <n v="10700392.258823581"/>
    <n v="0.69409988534537637"/>
    <n v="10921021.83990635"/>
    <n v="1.1110518061287982"/>
    <n v="10966470.005261846"/>
    <n v="1.1064472919889488"/>
    <n v="13836000"/>
    <n v="0.53679828274067654"/>
    <n v="14536000"/>
    <n v="0.83474277930654928"/>
    <n v="15107000"/>
    <n v="0.80319196663798242"/>
    <n v="15895000"/>
    <n v="0.46726272664359869"/>
    <n v="16168000"/>
    <n v="0.75048373577436922"/>
    <n v="16613000"/>
    <n v="0.73038108950821656"/>
    <n v="13508498.583531136"/>
    <n v="0.46726140295822843"/>
    <n v="16880000"/>
    <n v="0.43999650710900479"/>
    <n v="17439000"/>
    <n v="0.69578651528183966"/>
    <n v="17813000"/>
    <n v="0.68117784988491559"/>
    <n v="12424000"/>
    <n v="11530300.283286119"/>
    <n v="0.54742720006604106"/>
    <n v="18636000"/>
    <s v=""/>
    <s v=""/>
    <s v=""/>
    <n v="21929000"/>
    <n v="13567320"/>
    <n v="0.54742875085131038"/>
    <n v="18274000"/>
    <n v="0.66399370909488897"/>
    <n v="18274000"/>
    <n v="0.66399370909488897"/>
    <n v="10312000"/>
    <n v="0"/>
    <n v="1237440"/>
    <n v="448571.99999999994"/>
    <n v="412480"/>
    <n v="2098492"/>
    <n v="14232313.040000001"/>
    <n v="11530300.283286119"/>
    <n v="0"/>
    <n v="1383636.0339943343"/>
    <n v="501568.06232294615"/>
    <n v="461212.01133144478"/>
    <n v="2346416.1076487252"/>
    <n v="20620416.107648727"/>
    <n v="6388103.0676487256"/>
    <n v="6140178.959999999"/>
    <n v="247924.10764872516"/>
    <n v="16612000"/>
    <n v="8773176.0042094775"/>
    <n v="13159764.006314214"/>
    <n v="12424249.291784702"/>
    <s v=""/>
    <n v="14619200"/>
    <n v="14619200"/>
    <n v="14619200"/>
    <n v="18636373.937677052"/>
    <n v="21928800"/>
    <n v="21928800"/>
    <n v="21928800"/>
    <n v="21928800"/>
    <n v="0"/>
  </r>
  <r>
    <m/>
    <m/>
    <m/>
    <m/>
    <m/>
    <s v="LIDER DE VENTAS LATINOAMERICA "/>
    <m/>
    <x v="76"/>
    <s v=""/>
    <m/>
    <m/>
    <m/>
    <m/>
    <n v="0"/>
    <m/>
    <n v="666"/>
    <x v="11"/>
    <x v="3"/>
    <x v="3"/>
    <n v="663"/>
    <n v="5203234.74"/>
    <n v="3247609.2"/>
    <n v="0"/>
    <n v="7182000"/>
    <n v="7182000"/>
    <n v="5203234.74"/>
    <n v="8450843.9400000013"/>
    <n v="8450843.9400000013"/>
    <n v="14.12"/>
    <n v="230"/>
    <n v="4.3499999999999997E-2"/>
    <n v="4422000"/>
    <n v="4422000"/>
    <m/>
    <n v="0"/>
    <m/>
    <n v="0"/>
    <m/>
    <m/>
    <m/>
    <m/>
    <m/>
    <n v="2760000"/>
    <m/>
    <n v="0"/>
    <m/>
    <n v="0"/>
    <m/>
    <n v="0"/>
    <m/>
    <m/>
    <n v="0"/>
    <m/>
    <m/>
    <m/>
    <m/>
    <m/>
    <m/>
    <m/>
    <m/>
    <m/>
    <n v="0.3842940685045948"/>
    <n v="0"/>
    <n v="10700392.258823581"/>
    <n v="0.4862657942010859"/>
    <n v="10921021.83990635"/>
    <n v="0.77381439794579421"/>
    <n v="10966470.005261846"/>
    <n v="0.77060749137554596"/>
    <n v="13836000"/>
    <n v="0.37606495663486561"/>
    <n v="14536000"/>
    <n v="0.5813734135938361"/>
    <n v="15107000"/>
    <n v="0.55939921493347466"/>
    <n v="15895000"/>
    <n v="0.3273504083044983"/>
    <n v="16168000"/>
    <n v="0.52268950643245926"/>
    <n v="16613000"/>
    <n v="0.50868861373623075"/>
    <n v="13508498.583531136"/>
    <n v="0.3273494809697855"/>
    <n v="16880000"/>
    <n v="0.3082485035545024"/>
    <n v="17439000"/>
    <n v="0.48459452606227427"/>
    <n v="17813000"/>
    <n v="0.47442002694661212"/>
    <n v="12424000"/>
    <n v="12770303.796033993"/>
    <n v="0.34627210680558107"/>
    <n v="18636000"/>
    <s v=""/>
    <s v=""/>
    <s v=""/>
    <n v="21929000"/>
    <n v="15026390.800000001"/>
    <n v="0.34627308774639348"/>
    <n v="18274000"/>
    <n v="0.46245178614424876"/>
    <n v="18274000"/>
    <n v="0.46245178614424876"/>
    <n v="7182000"/>
    <n v="0"/>
    <n v="861840"/>
    <n v="312417"/>
    <n v="287280"/>
    <n v="1461537"/>
    <n v="9912380.9400000013"/>
    <n v="12770303.796033993"/>
    <n v="0"/>
    <n v="1532436.455524079"/>
    <n v="555508.2151274787"/>
    <n v="510812.15184135974"/>
    <n v="2598756.8224929175"/>
    <n v="20872756.822492916"/>
    <n v="10960375.882492915"/>
    <n v="9823156.0599999987"/>
    <n v="1137219.8224929175"/>
    <n v="16612000"/>
    <n v="8773176.0042094775"/>
    <n v="13159764.006314214"/>
    <n v="12424249.291784702"/>
    <s v=""/>
    <n v="14619200"/>
    <n v="14619200"/>
    <n v="14619200"/>
    <n v="18636373.937677052"/>
    <n v="21928800"/>
    <n v="21928800"/>
    <n v="21928800"/>
    <n v="21928800"/>
    <n v="0"/>
  </r>
  <r>
    <m/>
    <m/>
    <m/>
    <m/>
    <m/>
    <s v="GERENTE ADMINISTRATIVA Y FINANCIERA "/>
    <m/>
    <x v="77"/>
    <s v=""/>
    <m/>
    <m/>
    <m/>
    <m/>
    <n v="0"/>
    <m/>
    <n v="805"/>
    <x v="12"/>
    <x v="4"/>
    <x v="3"/>
    <n v="762"/>
    <n v="16233339.320000002"/>
    <n v="1352778.2766666668"/>
    <n v="0"/>
    <n v="13796000"/>
    <n v="13796000"/>
    <n v="16233339.320000002"/>
    <n v="17586117.596666668"/>
    <n v="17586117.596666668"/>
    <n v="14.12"/>
    <n v="230"/>
    <n v="5.2199999999999998E-3"/>
    <n v="13796000"/>
    <n v="13796000"/>
    <m/>
    <n v="0"/>
    <m/>
    <n v="0"/>
    <m/>
    <m/>
    <m/>
    <m/>
    <m/>
    <n v="0"/>
    <m/>
    <s v=""/>
    <m/>
    <n v="1149666.6666666667"/>
    <m/>
    <n v="0"/>
    <m/>
    <m/>
    <n v="0"/>
    <m/>
    <m/>
    <m/>
    <m/>
    <m/>
    <m/>
    <m/>
    <m/>
    <m/>
    <n v="7.6923076923076927E-2"/>
    <n v="0"/>
    <n v="15856982.544907182"/>
    <n v="1.0237344509919823"/>
    <n v="16963342.114860825"/>
    <n v="1.0367130178468933"/>
    <n v="17058126.053142823"/>
    <n v="1.0309524939538459"/>
    <n v="17041000"/>
    <n v="0.95260485417522456"/>
    <n v="17937000"/>
    <n v="0.98043806638047992"/>
    <n v="18617000"/>
    <n v="0.94462682476589499"/>
    <n v="20866000"/>
    <n v="0.77798041407073715"/>
    <n v="21393000"/>
    <n v="0.82205009099549697"/>
    <n v="21977000"/>
    <n v="0.80020556020688305"/>
    <n v="17733144.475870442"/>
    <n v="0.77797821016866298"/>
    <n v="24365000"/>
    <n v="0.66625648758465017"/>
    <n v="25638000"/>
    <n v="0.68593952713420192"/>
    <n v="27337000"/>
    <n v="0.64330824877150627"/>
    <n v="16436000"/>
    <n v="19394805.997167137"/>
    <n v="0.71132446501476143"/>
    <n v="24653000"/>
    <n v="19339000"/>
    <n v="22821221.723333333"/>
    <s v=""/>
    <n v="29009000"/>
    <n v="22821221.723333333"/>
    <n v="0.71132648009823174"/>
    <n v="24174000"/>
    <n v="0.7274806650395742"/>
    <n v="24174000"/>
    <n v="0.7274806650395742"/>
    <n v="13796000"/>
    <n v="0"/>
    <n v="1655520"/>
    <n v="72015.12"/>
    <n v="551840"/>
    <n v="2279375.12"/>
    <n v="19865492.716666669"/>
    <n v="19394805.997167137"/>
    <n v="1648558.5097592068"/>
    <n v="2327376.7196600563"/>
    <n v="101240.88730521245"/>
    <n v="1745532.5397450423"/>
    <n v="5822708.6564695183"/>
    <n v="29996708.656469516"/>
    <n v="10131215.939802848"/>
    <n v="6587882.4033333324"/>
    <n v="3543333.5364695182"/>
    <n v="21976000"/>
    <n v="13646500.84251426"/>
    <n v="20469751.263771389"/>
    <n v="16435580.736543909"/>
    <n v="19339200"/>
    <n v="19339200"/>
    <n v="19339200"/>
    <n v="19339200"/>
    <n v="24653371.104815863"/>
    <n v="29008800"/>
    <n v="29008800"/>
    <n v="29008800"/>
    <n v="29008800"/>
    <n v="0"/>
  </r>
  <r>
    <m/>
    <m/>
    <m/>
    <m/>
    <m/>
    <s v="GERENCIA DE OPERACIONES"/>
    <m/>
    <x v="78"/>
    <n v="0"/>
    <m/>
    <m/>
    <m/>
    <m/>
    <n v="0"/>
    <m/>
    <n v="1025"/>
    <x v="13"/>
    <x v="4"/>
    <x v="2"/>
    <n v="1007"/>
    <n v="20846000"/>
    <n v="7005416.666666666"/>
    <n v="550000"/>
    <n v="25709000"/>
    <n v="25709000"/>
    <n v="20846000"/>
    <n v="27851416.666666664"/>
    <n v="28401416.666666664"/>
    <n v="12"/>
    <n v="230"/>
    <n v="4.3499999999999997E-2"/>
    <n v="20846000"/>
    <n v="20846000"/>
    <m/>
    <n v="0"/>
    <m/>
    <n v="0"/>
    <m/>
    <m/>
    <m/>
    <m/>
    <m/>
    <n v="4863000"/>
    <m/>
    <n v="0"/>
    <m/>
    <n v="2142416.6666666665"/>
    <m/>
    <m/>
    <m/>
    <m/>
    <n v="550000"/>
    <m/>
    <m/>
    <m/>
    <m/>
    <m/>
    <m/>
    <m/>
    <m/>
    <m/>
    <n v="0.2466572970245029"/>
    <n v="1.9365231194453329E-2"/>
    <n v="28618241.333699934"/>
    <n v="0.72841652835782089"/>
    <n v="31916558.956919879"/>
    <n v="0.87263218770732032"/>
    <n v="32133436.474666454"/>
    <n v="0.8838586775198457"/>
    <n v="24974000"/>
    <n v="0.8347080964202771"/>
    <n v="26355000"/>
    <n v="1.0567792322772402"/>
    <n v="27306000"/>
    <n v="1.040116335848043"/>
    <n v="33168000"/>
    <n v="0.62849734684032799"/>
    <n v="34324000"/>
    <n v="0.81142689274754298"/>
    <n v="35251000"/>
    <n v="0.8056910915056783"/>
    <n v="28188101.982922979"/>
    <n v="0.73953187811754761"/>
    <n v="42888000"/>
    <n v="0.486056705838463"/>
    <n v="45927000"/>
    <n v="0.60642795450751552"/>
    <n v="50906000"/>
    <n v="0.55791884388218804"/>
    <n v="28292000"/>
    <n v="29528824.362606231"/>
    <s v=""/>
    <n v="42672000"/>
    <n v="33291000"/>
    <n v="34745583.333333336"/>
    <n v="0.59996114614087637"/>
    <n v="50211000"/>
    <n v="34745583.333333336"/>
    <n v="0.59996114614087637"/>
    <n v="41751000"/>
    <n v="0.66708382234357655"/>
    <n v="42301000"/>
    <n v="0.67141241735813961"/>
    <n v="17996300"/>
    <n v="1529685.5"/>
    <n v="2159556"/>
    <n v="782839.04999999993"/>
    <n v="1619667"/>
    <n v="6091747.5499999998"/>
    <n v="34493164.216666661"/>
    <n v="24321908.333333332"/>
    <n v="2067362.2083333335"/>
    <n v="2918628.9999999995"/>
    <n v="1058003.0125"/>
    <n v="2188971.75"/>
    <n v="8232965.9708333332"/>
    <n v="50533965.970833331"/>
    <n v="16040801.75416667"/>
    <n v="13899583.333333336"/>
    <n v="2141218.4208333334"/>
    <n v="35250000"/>
    <n v="25706749.179733165"/>
    <n v="38560123.769599743"/>
    <n v="28292464.589235127"/>
    <n v="33290800"/>
    <n v="33290800"/>
    <n v="33290800"/>
    <n v="33840800"/>
    <n v="42672407.932011329"/>
    <n v="50211200"/>
    <n v="50211200"/>
    <n v="50211200"/>
    <n v="50761200"/>
    <n v="0"/>
  </r>
  <r>
    <m/>
    <m/>
    <m/>
    <m/>
    <m/>
    <s v="GERENTE COMERCIAL Y MERCADEO"/>
    <m/>
    <x v="79"/>
    <s v=""/>
    <m/>
    <m/>
    <m/>
    <m/>
    <n v="0"/>
    <m/>
    <n v="1048"/>
    <x v="13"/>
    <x v="4"/>
    <x v="2"/>
    <n v="1007"/>
    <n v="26376000"/>
    <n v="6594000"/>
    <n v="650000"/>
    <n v="26376000"/>
    <n v="26376000"/>
    <n v="26376000"/>
    <n v="32970000"/>
    <n v="33620000"/>
    <n v="12"/>
    <n v="230"/>
    <n v="4.3499999999999997E-2"/>
    <n v="26376000"/>
    <n v="26376000"/>
    <m/>
    <n v="0"/>
    <m/>
    <n v="0"/>
    <m/>
    <m/>
    <m/>
    <m/>
    <m/>
    <n v="0"/>
    <m/>
    <s v=""/>
    <m/>
    <n v="6594000"/>
    <m/>
    <n v="0"/>
    <m/>
    <m/>
    <n v="650000"/>
    <m/>
    <m/>
    <m/>
    <m/>
    <m/>
    <m/>
    <m/>
    <m/>
    <m/>
    <n v="0.196133254015467"/>
    <n v="1.9333729922665081E-2"/>
    <n v="28618241.333699934"/>
    <n v="0.92164992573951277"/>
    <n v="31916558.956919879"/>
    <n v="1.0330060970702395"/>
    <n v="32133436.474666454"/>
    <n v="1.0462622018813807"/>
    <n v="24974000"/>
    <n v="1.0561383839192759"/>
    <n v="26355000"/>
    <n v="1.250996015936255"/>
    <n v="27306000"/>
    <n v="1.2312312312312312"/>
    <n v="33168000"/>
    <n v="0.79522431259044868"/>
    <n v="34324000"/>
    <n v="0.96055238317212444"/>
    <n v="35251000"/>
    <n v="0.9537318090266943"/>
    <n v="28188101.982922979"/>
    <n v="0.93571394115074535"/>
    <n v="42888000"/>
    <n v="0.61499720201454955"/>
    <n v="45927000"/>
    <n v="0.7178783721993599"/>
    <n v="50906000"/>
    <n v="0.66043295485797349"/>
    <n v="28207000"/>
    <n v="29793484.419263452"/>
    <s v=""/>
    <n v="42587000"/>
    <n v="33191000"/>
    <n v="35057000"/>
    <n v="0.75237470405339879"/>
    <n v="50111000"/>
    <n v="35057000"/>
    <n v="0.75237470405339879"/>
    <n v="41651000"/>
    <n v="0.79157763319007945"/>
    <n v="42301000"/>
    <n v="0.79478026524195644"/>
    <n v="18463200"/>
    <n v="1569372"/>
    <n v="2215584"/>
    <n v="803149.2"/>
    <n v="1661688"/>
    <n v="6249793.2000000002"/>
    <n v="39869793.200000003"/>
    <n v="24539900"/>
    <n v="2085891.5000000002"/>
    <n v="2944788"/>
    <n v="1067485.6499999999"/>
    <n v="2208591"/>
    <n v="8306756.1500000004"/>
    <n v="50607756.149999999"/>
    <n v="10737962.949999996"/>
    <n v="8681000"/>
    <n v="2056962.9500000002"/>
    <n v="35250000"/>
    <n v="25706749.179733165"/>
    <n v="38560123.769599743"/>
    <n v="28207478.753541075"/>
    <n v="33190800"/>
    <n v="33190800"/>
    <n v="33190800"/>
    <n v="33840800"/>
    <n v="42587422.096317276"/>
    <n v="50111200"/>
    <n v="50111200"/>
    <n v="50111200"/>
    <n v="50761200"/>
    <n v="0"/>
  </r>
  <r>
    <m/>
    <m/>
    <m/>
    <m/>
    <m/>
    <s v="CAT 3"/>
    <m/>
    <x v="80"/>
    <s v=""/>
    <m/>
    <m/>
    <m/>
    <m/>
    <n v="0"/>
    <m/>
    <e v="#N/A"/>
    <x v="14"/>
    <x v="5"/>
    <x v="4"/>
    <e v="#N/A"/>
    <e v="#DIV/0!"/>
    <e v="#DIV/0!"/>
    <n v="0"/>
    <e v="#DIV/0!"/>
    <e v="#DIV/0!"/>
    <e v="#DIV/0!"/>
    <e v="#DIV/0!"/>
    <e v="#DIV/0!"/>
    <m/>
    <m/>
    <m/>
    <e v="#DIV/0!"/>
    <m/>
    <m/>
    <e v="#DIV/0!"/>
    <m/>
    <e v="#DIV/0!"/>
    <m/>
    <m/>
    <m/>
    <m/>
    <m/>
    <m/>
    <m/>
    <s v=""/>
    <m/>
    <e v="#DIV/0!"/>
    <m/>
    <e v="#DIV/0!"/>
    <m/>
    <m/>
    <m/>
    <m/>
    <m/>
    <m/>
    <m/>
    <m/>
    <m/>
    <m/>
    <m/>
    <m/>
    <s v=""/>
    <s v=""/>
    <e v="#N/A"/>
    <e v="#DIV/0!"/>
    <e v="#N/A"/>
    <e v="#DIV/0!"/>
    <e v="#N/A"/>
    <e v="#DIV/0!"/>
    <n v="1927000"/>
    <e v="#DIV/0!"/>
    <n v="2020000"/>
    <e v="#DIV/0!"/>
    <n v="2095000"/>
    <e v="#DIV/0!"/>
    <n v="2097000"/>
    <e v="#DIV/0!"/>
    <n v="2150000"/>
    <e v="#DIV/0!"/>
    <n v="2237000"/>
    <e v="#DIV/0!"/>
    <n v="1782152.9744992005"/>
    <n v="0"/>
    <n v="2906000"/>
    <e v="#DIV/0!"/>
    <n v="2998000"/>
    <e v="#DIV/0!"/>
    <n v="3094000"/>
    <e v="#DIV/0!"/>
    <e v="#N/A"/>
    <e v="#N/A"/>
    <s v=""/>
    <e v="#N/A"/>
    <s v=""/>
    <e v="#N/A"/>
    <s v=""/>
    <s v=""/>
    <e v="#N/A"/>
    <e v="#DIV/0!"/>
    <e v="#N/A"/>
    <e v="#DIV/0!"/>
    <e v="#N/A"/>
    <e v="#DIV/0!"/>
    <e v="#DIV/0!"/>
    <e v="#DIV/0!"/>
    <e v="#DIV/0!"/>
    <e v="#DIV/0!"/>
    <e v="#DIV/0!"/>
    <e v="#DIV/0!"/>
    <e v="#DIV/0!"/>
    <e v="#DIV/0!"/>
    <e v="#N/A"/>
    <e v="#DIV/0!"/>
    <e v="#DIV/0!"/>
    <e v="#N/A"/>
    <e v="#N/A"/>
    <e v="#N/A"/>
    <e v="#N/A"/>
    <e v="#N/A"/>
    <e v="#N/A"/>
    <n v="2236000"/>
    <e v="#N/A"/>
    <e v="#N/A"/>
    <e v="#N/A"/>
    <e v="#N/A"/>
    <e v="#N/A"/>
    <e v="#N/A"/>
    <e v="#N/A"/>
    <e v="#N/A"/>
    <e v="#N/A"/>
    <e v="#N/A"/>
    <e v="#N/A"/>
    <e v="#N/A"/>
    <e v="#DIV/0!"/>
  </r>
  <r>
    <m/>
    <m/>
    <m/>
    <m/>
    <m/>
    <s v="CAT 2"/>
    <m/>
    <x v="80"/>
    <s v=""/>
    <m/>
    <m/>
    <m/>
    <m/>
    <n v="0"/>
    <m/>
    <e v="#N/A"/>
    <x v="15"/>
    <x v="5"/>
    <x v="4"/>
    <e v="#N/A"/>
    <e v="#DIV/0!"/>
    <e v="#DIV/0!"/>
    <n v="0"/>
    <e v="#DIV/0!"/>
    <e v="#DIV/0!"/>
    <e v="#DIV/0!"/>
    <e v="#DIV/0!"/>
    <e v="#DIV/0!"/>
    <m/>
    <m/>
    <m/>
    <e v="#DIV/0!"/>
    <m/>
    <m/>
    <e v="#DIV/0!"/>
    <m/>
    <e v="#DIV/0!"/>
    <m/>
    <m/>
    <m/>
    <m/>
    <m/>
    <m/>
    <m/>
    <s v=""/>
    <m/>
    <e v="#DIV/0!"/>
    <m/>
    <e v="#DIV/0!"/>
    <m/>
    <m/>
    <m/>
    <m/>
    <m/>
    <m/>
    <m/>
    <m/>
    <m/>
    <m/>
    <m/>
    <m/>
    <s v=""/>
    <s v=""/>
    <e v="#N/A"/>
    <e v="#DIV/0!"/>
    <e v="#N/A"/>
    <e v="#DIV/0!"/>
    <e v="#N/A"/>
    <e v="#DIV/0!"/>
    <n v="1759000"/>
    <e v="#DIV/0!"/>
    <n v="1850000"/>
    <e v="#DIV/0!"/>
    <n v="1918000"/>
    <e v="#DIV/0!"/>
    <n v="1932000"/>
    <e v="#DIV/0!"/>
    <n v="1990000"/>
    <e v="#DIV/0!"/>
    <n v="2058000"/>
    <e v="#DIV/0!"/>
    <n v="1641926.3456044137"/>
    <n v="0"/>
    <n v="2596000"/>
    <e v="#DIV/0!"/>
    <n v="2680000"/>
    <e v="#DIV/0!"/>
    <n v="2770000"/>
    <e v="#DIV/0!"/>
    <e v="#N/A"/>
    <e v="#N/A"/>
    <s v=""/>
    <e v="#N/A"/>
    <s v=""/>
    <e v="#N/A"/>
    <s v=""/>
    <s v=""/>
    <e v="#N/A"/>
    <e v="#DIV/0!"/>
    <e v="#N/A"/>
    <e v="#DIV/0!"/>
    <e v="#N/A"/>
    <e v="#DIV/0!"/>
    <e v="#DIV/0!"/>
    <e v="#DIV/0!"/>
    <e v="#DIV/0!"/>
    <e v="#DIV/0!"/>
    <e v="#DIV/0!"/>
    <e v="#DIV/0!"/>
    <e v="#DIV/0!"/>
    <e v="#DIV/0!"/>
    <e v="#N/A"/>
    <e v="#DIV/0!"/>
    <e v="#DIV/0!"/>
    <e v="#N/A"/>
    <e v="#N/A"/>
    <e v="#N/A"/>
    <e v="#N/A"/>
    <e v="#N/A"/>
    <e v="#N/A"/>
    <n v="2057000"/>
    <e v="#N/A"/>
    <e v="#N/A"/>
    <e v="#N/A"/>
    <e v="#N/A"/>
    <e v="#N/A"/>
    <e v="#N/A"/>
    <e v="#N/A"/>
    <e v="#N/A"/>
    <e v="#N/A"/>
    <e v="#N/A"/>
    <e v="#N/A"/>
    <e v="#N/A"/>
    <e v="#DIV/0!"/>
  </r>
  <r>
    <m/>
    <m/>
    <m/>
    <m/>
    <m/>
    <s v="CAT 1"/>
    <m/>
    <x v="80"/>
    <s v=""/>
    <m/>
    <m/>
    <m/>
    <m/>
    <n v="0"/>
    <m/>
    <e v="#N/A"/>
    <x v="16"/>
    <x v="5"/>
    <x v="4"/>
    <e v="#N/A"/>
    <e v="#DIV/0!"/>
    <e v="#DIV/0!"/>
    <n v="0"/>
    <e v="#DIV/0!"/>
    <e v="#DIV/0!"/>
    <e v="#DIV/0!"/>
    <e v="#DIV/0!"/>
    <e v="#DIV/0!"/>
    <m/>
    <m/>
    <m/>
    <e v="#DIV/0!"/>
    <m/>
    <m/>
    <e v="#DIV/0!"/>
    <m/>
    <e v="#DIV/0!"/>
    <m/>
    <m/>
    <m/>
    <m/>
    <m/>
    <m/>
    <m/>
    <s v=""/>
    <m/>
    <e v="#DIV/0!"/>
    <m/>
    <e v="#DIV/0!"/>
    <m/>
    <m/>
    <m/>
    <m/>
    <m/>
    <m/>
    <m/>
    <m/>
    <m/>
    <m/>
    <m/>
    <m/>
    <s v=""/>
    <s v=""/>
    <e v="#N/A"/>
    <e v="#DIV/0!"/>
    <e v="#N/A"/>
    <e v="#DIV/0!"/>
    <e v="#N/A"/>
    <e v="#DIV/0!"/>
    <n v="1611000"/>
    <e v="#DIV/0!"/>
    <n v="1701000"/>
    <e v="#DIV/0!"/>
    <n v="1762000"/>
    <e v="#DIV/0!"/>
    <n v="1787000"/>
    <e v="#DIV/0!"/>
    <n v="1851000"/>
    <e v="#DIV/0!"/>
    <n v="1901000"/>
    <e v="#DIV/0!"/>
    <n v="1518696.8838483889"/>
    <n v="0"/>
    <n v="2324000"/>
    <e v="#DIV/0!"/>
    <n v="2402000"/>
    <e v="#DIV/0!"/>
    <n v="2486000"/>
    <e v="#DIV/0!"/>
    <e v="#N/A"/>
    <e v="#N/A"/>
    <s v=""/>
    <e v="#N/A"/>
    <s v=""/>
    <e v="#N/A"/>
    <s v=""/>
    <s v=""/>
    <e v="#N/A"/>
    <e v="#DIV/0!"/>
    <e v="#N/A"/>
    <e v="#DIV/0!"/>
    <e v="#N/A"/>
    <e v="#DIV/0!"/>
    <e v="#DIV/0!"/>
    <e v="#DIV/0!"/>
    <e v="#DIV/0!"/>
    <e v="#DIV/0!"/>
    <e v="#DIV/0!"/>
    <e v="#DIV/0!"/>
    <e v="#DIV/0!"/>
    <e v="#DIV/0!"/>
    <e v="#N/A"/>
    <e v="#DIV/0!"/>
    <e v="#DIV/0!"/>
    <e v="#N/A"/>
    <e v="#N/A"/>
    <e v="#N/A"/>
    <e v="#N/A"/>
    <e v="#N/A"/>
    <e v="#N/A"/>
    <n v="1900000"/>
    <e v="#N/A"/>
    <e v="#N/A"/>
    <e v="#N/A"/>
    <e v="#N/A"/>
    <e v="#N/A"/>
    <e v="#N/A"/>
    <e v="#N/A"/>
    <e v="#N/A"/>
    <e v="#N/A"/>
    <e v="#N/A"/>
    <e v="#N/A"/>
    <e v="#N/A"/>
    <e v="#DIV/0!"/>
  </r>
  <r>
    <m/>
    <m/>
    <m/>
    <m/>
    <m/>
    <s v="CAT 17"/>
    <m/>
    <x v="80"/>
    <s v=""/>
    <m/>
    <m/>
    <m/>
    <m/>
    <n v="0"/>
    <m/>
    <e v="#N/A"/>
    <x v="17"/>
    <x v="5"/>
    <x v="4"/>
    <e v="#N/A"/>
    <e v="#DIV/0!"/>
    <e v="#DIV/0!"/>
    <n v="0"/>
    <e v="#DIV/0!"/>
    <e v="#DIV/0!"/>
    <e v="#DIV/0!"/>
    <e v="#DIV/0!"/>
    <e v="#DIV/0!"/>
    <m/>
    <m/>
    <m/>
    <e v="#DIV/0!"/>
    <m/>
    <m/>
    <e v="#DIV/0!"/>
    <m/>
    <e v="#DIV/0!"/>
    <m/>
    <m/>
    <m/>
    <m/>
    <m/>
    <m/>
    <m/>
    <s v=""/>
    <m/>
    <e v="#DIV/0!"/>
    <m/>
    <e v="#DIV/0!"/>
    <m/>
    <m/>
    <m/>
    <m/>
    <m/>
    <m/>
    <m/>
    <m/>
    <m/>
    <m/>
    <m/>
    <m/>
    <s v=""/>
    <s v=""/>
    <e v="#N/A"/>
    <e v="#DIV/0!"/>
    <e v="#N/A"/>
    <e v="#DIV/0!"/>
    <e v="#N/A"/>
    <e v="#DIV/0!"/>
    <n v="20732000"/>
    <e v="#DIV/0!"/>
    <n v="21854000"/>
    <e v="#DIV/0!"/>
    <n v="22660000"/>
    <e v="#DIV/0!"/>
    <n v="26590000"/>
    <e v="#DIV/0!"/>
    <n v="27410000"/>
    <e v="#DIV/0!"/>
    <n v="28153000"/>
    <e v="#DIV/0!"/>
    <n v="22597733.710984141"/>
    <n v="0"/>
    <n v="32984000"/>
    <e v="#DIV/0!"/>
    <n v="35078000"/>
    <e v="#DIV/0!"/>
    <n v="38304000"/>
    <e v="#DIV/0!"/>
    <e v="#N/A"/>
    <e v="#N/A"/>
    <s v=""/>
    <e v="#N/A"/>
    <s v=""/>
    <e v="#N/A"/>
    <s v=""/>
    <s v=""/>
    <e v="#N/A"/>
    <e v="#DIV/0!"/>
    <e v="#N/A"/>
    <e v="#DIV/0!"/>
    <e v="#N/A"/>
    <e v="#DIV/0!"/>
    <e v="#DIV/0!"/>
    <e v="#DIV/0!"/>
    <e v="#DIV/0!"/>
    <e v="#DIV/0!"/>
    <e v="#DIV/0!"/>
    <e v="#DIV/0!"/>
    <e v="#DIV/0!"/>
    <e v="#DIV/0!"/>
    <e v="#N/A"/>
    <e v="#DIV/0!"/>
    <e v="#DIV/0!"/>
    <e v="#N/A"/>
    <e v="#N/A"/>
    <e v="#N/A"/>
    <e v="#N/A"/>
    <e v="#N/A"/>
    <e v="#N/A"/>
    <n v="28152000"/>
    <e v="#N/A"/>
    <e v="#N/A"/>
    <e v="#N/A"/>
    <e v="#N/A"/>
    <e v="#N/A"/>
    <e v="#N/A"/>
    <e v="#N/A"/>
    <e v="#N/A"/>
    <e v="#N/A"/>
    <e v="#N/A"/>
    <e v="#N/A"/>
    <e v="#N/A"/>
    <e v="#DIV/0!"/>
  </r>
  <r>
    <m/>
    <m/>
    <m/>
    <m/>
    <m/>
    <s v="CAT 19"/>
    <m/>
    <x v="80"/>
    <s v=""/>
    <m/>
    <m/>
    <m/>
    <m/>
    <n v="0"/>
    <m/>
    <e v="#N/A"/>
    <x v="18"/>
    <x v="5"/>
    <x v="4"/>
    <e v="#N/A"/>
    <e v="#DIV/0!"/>
    <e v="#DIV/0!"/>
    <n v="0"/>
    <e v="#DIV/0!"/>
    <e v="#DIV/0!"/>
    <e v="#DIV/0!"/>
    <e v="#DIV/0!"/>
    <e v="#DIV/0!"/>
    <m/>
    <m/>
    <m/>
    <e v="#DIV/0!"/>
    <m/>
    <m/>
    <e v="#DIV/0!"/>
    <m/>
    <e v="#DIV/0!"/>
    <m/>
    <m/>
    <m/>
    <m/>
    <m/>
    <m/>
    <m/>
    <s v=""/>
    <m/>
    <e v="#DIV/0!"/>
    <m/>
    <e v="#DIV/0!"/>
    <m/>
    <m/>
    <m/>
    <m/>
    <m/>
    <m/>
    <m/>
    <m/>
    <m/>
    <m/>
    <m/>
    <m/>
    <s v=""/>
    <s v=""/>
    <e v="#N/A"/>
    <e v="#DIV/0!"/>
    <e v="#N/A"/>
    <e v="#DIV/0!"/>
    <e v="#N/A"/>
    <e v="#DIV/0!"/>
    <n v="29830000"/>
    <e v="#DIV/0!"/>
    <n v="31509000"/>
    <e v="#DIV/0!"/>
    <n v="32625000"/>
    <e v="#DIV/0!"/>
    <n v="40700000"/>
    <e v="#DIV/0!"/>
    <n v="42241000"/>
    <e v="#DIV/0!"/>
    <n v="43378000"/>
    <e v="#DIV/0!"/>
    <n v="34589235.127380766"/>
    <n v="0"/>
    <n v="54229000"/>
    <e v="#DIV/0!"/>
    <n v="58349000"/>
    <e v="#DIV/0!"/>
    <n v="65336000"/>
    <e v="#DIV/0!"/>
    <e v="#N/A"/>
    <e v="#N/A"/>
    <s v=""/>
    <e v="#N/A"/>
    <s v=""/>
    <e v="#N/A"/>
    <s v=""/>
    <s v=""/>
    <e v="#N/A"/>
    <e v="#DIV/0!"/>
    <e v="#N/A"/>
    <e v="#DIV/0!"/>
    <e v="#N/A"/>
    <e v="#DIV/0!"/>
    <e v="#DIV/0!"/>
    <e v="#DIV/0!"/>
    <e v="#DIV/0!"/>
    <e v="#DIV/0!"/>
    <e v="#DIV/0!"/>
    <e v="#DIV/0!"/>
    <e v="#DIV/0!"/>
    <e v="#DIV/0!"/>
    <e v="#N/A"/>
    <e v="#DIV/0!"/>
    <e v="#DIV/0!"/>
    <e v="#N/A"/>
    <e v="#N/A"/>
    <e v="#N/A"/>
    <e v="#N/A"/>
    <e v="#N/A"/>
    <e v="#N/A"/>
    <n v="43377000"/>
    <e v="#N/A"/>
    <e v="#N/A"/>
    <e v="#N/A"/>
    <e v="#N/A"/>
    <e v="#N/A"/>
    <e v="#N/A"/>
    <e v="#N/A"/>
    <e v="#N/A"/>
    <e v="#N/A"/>
    <e v="#N/A"/>
    <e v="#N/A"/>
    <e v="#N/A"/>
    <e v="#DIV/0!"/>
  </r>
  <r>
    <m/>
    <m/>
    <m/>
    <m/>
    <m/>
    <s v="CAT 21"/>
    <m/>
    <x v="80"/>
    <s v=""/>
    <m/>
    <m/>
    <m/>
    <m/>
    <n v="0"/>
    <m/>
    <e v="#N/A"/>
    <x v="19"/>
    <x v="5"/>
    <x v="4"/>
    <e v="#N/A"/>
    <e v="#DIV/0!"/>
    <e v="#DIV/0!"/>
    <n v="0"/>
    <e v="#DIV/0!"/>
    <e v="#DIV/0!"/>
    <e v="#DIV/0!"/>
    <e v="#DIV/0!"/>
    <e v="#DIV/0!"/>
    <m/>
    <m/>
    <m/>
    <e v="#DIV/0!"/>
    <m/>
    <m/>
    <e v="#DIV/0!"/>
    <m/>
    <e v="#DIV/0!"/>
    <m/>
    <m/>
    <m/>
    <m/>
    <m/>
    <m/>
    <m/>
    <s v=""/>
    <m/>
    <e v="#DIV/0!"/>
    <m/>
    <e v="#DIV/0!"/>
    <m/>
    <m/>
    <m/>
    <m/>
    <m/>
    <m/>
    <m/>
    <m/>
    <m/>
    <m/>
    <m/>
    <m/>
    <s v=""/>
    <s v=""/>
    <e v="#N/A"/>
    <e v="#DIV/0!"/>
    <e v="#N/A"/>
    <e v="#DIV/0!"/>
    <e v="#N/A"/>
    <e v="#DIV/0!"/>
    <n v="41906000"/>
    <e v="#DIV/0!"/>
    <n v="44325000"/>
    <e v="#DIV/0!"/>
    <n v="45853000"/>
    <e v="#DIV/0!"/>
    <n v="59429000"/>
    <e v="#DIV/0!"/>
    <n v="61928000"/>
    <e v="#DIV/0!"/>
    <n v="63588000"/>
    <e v="#DIV/0!"/>
    <n v="50506232.294474483"/>
    <n v="0"/>
    <n v="82430000"/>
    <e v="#DIV/0!"/>
    <n v="89237000"/>
    <e v="#DIV/0!"/>
    <n v="101219000"/>
    <e v="#DIV/0!"/>
    <e v="#N/A"/>
    <e v="#N/A"/>
    <s v=""/>
    <e v="#N/A"/>
    <s v=""/>
    <e v="#N/A"/>
    <s v=""/>
    <s v=""/>
    <e v="#N/A"/>
    <e v="#DIV/0!"/>
    <e v="#N/A"/>
    <e v="#DIV/0!"/>
    <e v="#N/A"/>
    <e v="#DIV/0!"/>
    <e v="#DIV/0!"/>
    <e v="#DIV/0!"/>
    <e v="#DIV/0!"/>
    <e v="#DIV/0!"/>
    <e v="#DIV/0!"/>
    <e v="#DIV/0!"/>
    <e v="#DIV/0!"/>
    <e v="#DIV/0!"/>
    <e v="#N/A"/>
    <e v="#DIV/0!"/>
    <e v="#DIV/0!"/>
    <e v="#N/A"/>
    <e v="#N/A"/>
    <e v="#N/A"/>
    <e v="#N/A"/>
    <e v="#N/A"/>
    <e v="#N/A"/>
    <n v="63587000"/>
    <e v="#N/A"/>
    <e v="#N/A"/>
    <e v="#N/A"/>
    <e v="#N/A"/>
    <e v="#N/A"/>
    <e v="#N/A"/>
    <e v="#N/A"/>
    <e v="#N/A"/>
    <e v="#N/A"/>
    <e v="#N/A"/>
    <e v="#N/A"/>
    <e v="#N/A"/>
    <e v="#DIV/0!"/>
  </r>
  <r>
    <m/>
    <m/>
    <m/>
    <m/>
    <m/>
    <s v="CAT 22"/>
    <m/>
    <x v="80"/>
    <s v=""/>
    <m/>
    <m/>
    <m/>
    <m/>
    <n v="0"/>
    <m/>
    <e v="#N/A"/>
    <x v="20"/>
    <x v="5"/>
    <x v="4"/>
    <e v="#N/A"/>
    <e v="#DIV/0!"/>
    <e v="#DIV/0!"/>
    <n v="0"/>
    <e v="#DIV/0!"/>
    <e v="#DIV/0!"/>
    <e v="#DIV/0!"/>
    <e v="#DIV/0!"/>
    <e v="#DIV/0!"/>
    <m/>
    <m/>
    <m/>
    <e v="#DIV/0!"/>
    <m/>
    <m/>
    <e v="#DIV/0!"/>
    <m/>
    <e v="#DIV/0!"/>
    <m/>
    <m/>
    <m/>
    <m/>
    <m/>
    <m/>
    <m/>
    <s v=""/>
    <m/>
    <e v="#DIV/0!"/>
    <m/>
    <e v="#DIV/0!"/>
    <m/>
    <m/>
    <m/>
    <m/>
    <m/>
    <m/>
    <m/>
    <m/>
    <m/>
    <m/>
    <m/>
    <m/>
    <s v=""/>
    <s v=""/>
    <e v="#N/A"/>
    <e v="#DIV/0!"/>
    <e v="#N/A"/>
    <e v="#DIV/0!"/>
    <e v="#N/A"/>
    <e v="#DIV/0!"/>
    <n v="49321000"/>
    <e v="#DIV/0!"/>
    <n v="52193000"/>
    <e v="#DIV/0!"/>
    <n v="53974000"/>
    <e v="#DIV/0!"/>
    <n v="70927000"/>
    <e v="#DIV/0!"/>
    <n v="74014000"/>
    <e v="#DIV/0!"/>
    <n v="75996000"/>
    <e v="#DIV/0!"/>
    <n v="60277903.682548784"/>
    <n v="0"/>
    <n v="99744000"/>
    <e v="#DIV/0!"/>
    <n v="108201000"/>
    <e v="#DIV/0!"/>
    <n v="123248000"/>
    <e v="#DIV/0!"/>
    <e v="#N/A"/>
    <e v="#N/A"/>
    <s v=""/>
    <e v="#N/A"/>
    <s v=""/>
    <e v="#N/A"/>
    <s v=""/>
    <s v=""/>
    <e v="#N/A"/>
    <e v="#DIV/0!"/>
    <e v="#N/A"/>
    <e v="#DIV/0!"/>
    <e v="#N/A"/>
    <e v="#DIV/0!"/>
    <e v="#DIV/0!"/>
    <e v="#DIV/0!"/>
    <e v="#DIV/0!"/>
    <e v="#DIV/0!"/>
    <e v="#DIV/0!"/>
    <e v="#DIV/0!"/>
    <e v="#DIV/0!"/>
    <e v="#DIV/0!"/>
    <e v="#N/A"/>
    <e v="#DIV/0!"/>
    <e v="#DIV/0!"/>
    <e v="#N/A"/>
    <e v="#N/A"/>
    <e v="#N/A"/>
    <e v="#N/A"/>
    <e v="#N/A"/>
    <e v="#N/A"/>
    <n v="75995000"/>
    <e v="#N/A"/>
    <e v="#N/A"/>
    <e v="#N/A"/>
    <e v="#N/A"/>
    <e v="#N/A"/>
    <e v="#N/A"/>
    <e v="#N/A"/>
    <e v="#N/A"/>
    <e v="#N/A"/>
    <e v="#N/A"/>
    <e v="#N/A"/>
    <e v="#N/A"/>
    <e v="#DIV/0!"/>
  </r>
  <r>
    <m/>
    <m/>
    <m/>
    <m/>
    <m/>
    <s v="CAT 23"/>
    <m/>
    <x v="80"/>
    <s v=""/>
    <m/>
    <m/>
    <m/>
    <m/>
    <n v="0"/>
    <m/>
    <e v="#N/A"/>
    <x v="21"/>
    <x v="5"/>
    <x v="4"/>
    <e v="#N/A"/>
    <e v="#DIV/0!"/>
    <e v="#DIV/0!"/>
    <n v="0"/>
    <e v="#DIV/0!"/>
    <e v="#DIV/0!"/>
    <e v="#DIV/0!"/>
    <e v="#DIV/0!"/>
    <e v="#DIV/0!"/>
    <m/>
    <m/>
    <m/>
    <e v="#DIV/0!"/>
    <m/>
    <m/>
    <e v="#DIV/0!"/>
    <m/>
    <e v="#DIV/0!"/>
    <m/>
    <m/>
    <m/>
    <m/>
    <m/>
    <m/>
    <m/>
    <s v=""/>
    <m/>
    <e v="#DIV/0!"/>
    <m/>
    <e v="#DIV/0!"/>
    <m/>
    <m/>
    <m/>
    <m/>
    <m/>
    <m/>
    <m/>
    <m/>
    <m/>
    <m/>
    <m/>
    <m/>
    <s v=""/>
    <s v=""/>
    <e v="#N/A"/>
    <e v="#DIV/0!"/>
    <e v="#N/A"/>
    <e v="#DIV/0!"/>
    <e v="#N/A"/>
    <e v="#DIV/0!"/>
    <n v="57868000"/>
    <e v="#DIV/0!"/>
    <n v="61264000"/>
    <e v="#DIV/0!"/>
    <n v="63336000"/>
    <e v="#DIV/0!"/>
    <n v="84183000"/>
    <e v="#DIV/0!"/>
    <n v="87948000"/>
    <e v="#DIV/0!"/>
    <n v="90300000"/>
    <e v="#DIV/0!"/>
    <n v="71543626.062120274"/>
    <n v="0"/>
    <n v="119704000"/>
    <e v="#DIV/0!"/>
    <n v="130064000"/>
    <e v="#DIV/0!"/>
    <n v="148645000"/>
    <e v="#DIV/0!"/>
    <e v="#N/A"/>
    <e v="#N/A"/>
    <s v=""/>
    <e v="#N/A"/>
    <s v=""/>
    <e v="#N/A"/>
    <s v=""/>
    <s v=""/>
    <e v="#N/A"/>
    <e v="#DIV/0!"/>
    <e v="#N/A"/>
    <e v="#DIV/0!"/>
    <e v="#N/A"/>
    <e v="#DIV/0!"/>
    <e v="#DIV/0!"/>
    <e v="#DIV/0!"/>
    <e v="#DIV/0!"/>
    <e v="#DIV/0!"/>
    <e v="#DIV/0!"/>
    <e v="#DIV/0!"/>
    <e v="#DIV/0!"/>
    <e v="#DIV/0!"/>
    <e v="#N/A"/>
    <e v="#DIV/0!"/>
    <e v="#DIV/0!"/>
    <e v="#N/A"/>
    <e v="#N/A"/>
    <e v="#N/A"/>
    <e v="#N/A"/>
    <e v="#N/A"/>
    <e v="#N/A"/>
    <n v="90299000"/>
    <e v="#N/A"/>
    <e v="#N/A"/>
    <e v="#N/A"/>
    <e v="#N/A"/>
    <e v="#N/A"/>
    <e v="#N/A"/>
    <e v="#N/A"/>
    <e v="#N/A"/>
    <e v="#N/A"/>
    <e v="#N/A"/>
    <e v="#N/A"/>
    <e v="#N/A"/>
    <e v="#DIV/0!"/>
  </r>
  <r>
    <m/>
    <m/>
    <m/>
    <m/>
    <m/>
    <s v="CAT 24"/>
    <m/>
    <x v="80"/>
    <s v=""/>
    <m/>
    <m/>
    <m/>
    <m/>
    <n v="0"/>
    <m/>
    <e v="#N/A"/>
    <x v="22"/>
    <x v="5"/>
    <x v="4"/>
    <e v="#N/A"/>
    <e v="#DIV/0!"/>
    <e v="#DIV/0!"/>
    <n v="0"/>
    <e v="#DIV/0!"/>
    <e v="#DIV/0!"/>
    <e v="#DIV/0!"/>
    <e v="#DIV/0!"/>
    <e v="#DIV/0!"/>
    <m/>
    <m/>
    <m/>
    <e v="#DIV/0!"/>
    <m/>
    <m/>
    <e v="#DIV/0!"/>
    <m/>
    <e v="#DIV/0!"/>
    <m/>
    <m/>
    <m/>
    <m/>
    <m/>
    <m/>
    <m/>
    <s v=""/>
    <m/>
    <e v="#DIV/0!"/>
    <m/>
    <e v="#DIV/0!"/>
    <m/>
    <m/>
    <m/>
    <m/>
    <m/>
    <m/>
    <m/>
    <m/>
    <m/>
    <m/>
    <m/>
    <m/>
    <s v=""/>
    <s v=""/>
    <e v="#N/A"/>
    <e v="#DIV/0!"/>
    <e v="#N/A"/>
    <e v="#DIV/0!"/>
    <e v="#N/A"/>
    <e v="#DIV/0!"/>
    <n v="67678000"/>
    <e v="#DIV/0!"/>
    <n v="71674000"/>
    <e v="#DIV/0!"/>
    <n v="74082000"/>
    <e v="#DIV/0!"/>
    <n v="99397000"/>
    <e v="#DIV/0!"/>
    <n v="103940000"/>
    <e v="#DIV/0!"/>
    <n v="106717000"/>
    <e v="#DIV/0!"/>
    <n v="84473371.104576558"/>
    <n v="0"/>
    <n v="142613000"/>
    <e v="#DIV/0!"/>
    <n v="155156000"/>
    <e v="#DIV/0!"/>
    <n v="177794000"/>
    <e v="#DIV/0!"/>
    <e v="#N/A"/>
    <e v="#N/A"/>
    <s v=""/>
    <e v="#N/A"/>
    <s v=""/>
    <e v="#N/A"/>
    <s v=""/>
    <s v=""/>
    <e v="#N/A"/>
    <e v="#DIV/0!"/>
    <e v="#N/A"/>
    <e v="#DIV/0!"/>
    <e v="#N/A"/>
    <e v="#DIV/0!"/>
    <e v="#DIV/0!"/>
    <e v="#DIV/0!"/>
    <e v="#DIV/0!"/>
    <e v="#DIV/0!"/>
    <e v="#DIV/0!"/>
    <e v="#DIV/0!"/>
    <e v="#DIV/0!"/>
    <e v="#DIV/0!"/>
    <e v="#N/A"/>
    <e v="#DIV/0!"/>
    <e v="#DIV/0!"/>
    <e v="#N/A"/>
    <e v="#N/A"/>
    <e v="#N/A"/>
    <e v="#N/A"/>
    <e v="#N/A"/>
    <e v="#N/A"/>
    <n v="106716000"/>
    <e v="#N/A"/>
    <e v="#N/A"/>
    <e v="#N/A"/>
    <e v="#N/A"/>
    <e v="#N/A"/>
    <e v="#N/A"/>
    <e v="#N/A"/>
    <e v="#N/A"/>
    <e v="#N/A"/>
    <e v="#N/A"/>
    <e v="#N/A"/>
    <e v="#N/A"/>
    <e v="#DIV/0!"/>
  </r>
  <r>
    <m/>
    <m/>
    <m/>
    <m/>
    <m/>
    <s v="CAT 25"/>
    <m/>
    <x v="80"/>
    <s v=""/>
    <m/>
    <m/>
    <m/>
    <m/>
    <n v="0"/>
    <m/>
    <e v="#N/A"/>
    <x v="23"/>
    <x v="5"/>
    <x v="4"/>
    <e v="#N/A"/>
    <e v="#DIV/0!"/>
    <e v="#DIV/0!"/>
    <n v="0"/>
    <e v="#DIV/0!"/>
    <e v="#DIV/0!"/>
    <e v="#DIV/0!"/>
    <e v="#DIV/0!"/>
    <e v="#DIV/0!"/>
    <m/>
    <m/>
    <m/>
    <e v="#DIV/0!"/>
    <m/>
    <m/>
    <e v="#DIV/0!"/>
    <m/>
    <e v="#DIV/0!"/>
    <m/>
    <m/>
    <m/>
    <m/>
    <m/>
    <m/>
    <m/>
    <s v=""/>
    <m/>
    <e v="#DIV/0!"/>
    <m/>
    <e v="#DIV/0!"/>
    <m/>
    <m/>
    <m/>
    <m/>
    <m/>
    <m/>
    <m/>
    <m/>
    <m/>
    <m/>
    <m/>
    <m/>
    <s v=""/>
    <s v=""/>
    <e v="#N/A"/>
    <e v="#DIV/0!"/>
    <e v="#N/A"/>
    <e v="#DIV/0!"/>
    <e v="#N/A"/>
    <e v="#DIV/0!"/>
    <n v="78945000"/>
    <e v="#DIV/0!"/>
    <n v="83631000"/>
    <e v="#DIV/0!"/>
    <n v="86423000"/>
    <e v="#DIV/0!"/>
    <n v="116871000"/>
    <e v="#DIV/0!"/>
    <n v="122308000"/>
    <e v="#DIV/0!"/>
    <n v="125572000"/>
    <e v="#DIV/0!"/>
    <n v="99323796.033712953"/>
    <n v="0"/>
    <n v="168924000"/>
    <e v="#DIV/0!"/>
    <n v="183974000"/>
    <e v="#DIV/0!"/>
    <n v="211271000"/>
    <e v="#DIV/0!"/>
    <e v="#N/A"/>
    <e v="#N/A"/>
    <s v=""/>
    <e v="#N/A"/>
    <s v=""/>
    <e v="#N/A"/>
    <s v=""/>
    <s v=""/>
    <e v="#N/A"/>
    <e v="#DIV/0!"/>
    <e v="#N/A"/>
    <e v="#DIV/0!"/>
    <e v="#N/A"/>
    <e v="#DIV/0!"/>
    <e v="#DIV/0!"/>
    <e v="#DIV/0!"/>
    <e v="#DIV/0!"/>
    <e v="#DIV/0!"/>
    <e v="#DIV/0!"/>
    <e v="#DIV/0!"/>
    <e v="#DIV/0!"/>
    <e v="#DIV/0!"/>
    <e v="#N/A"/>
    <e v="#DIV/0!"/>
    <e v="#DIV/0!"/>
    <e v="#N/A"/>
    <e v="#N/A"/>
    <e v="#N/A"/>
    <e v="#N/A"/>
    <e v="#N/A"/>
    <e v="#N/A"/>
    <n v="125571000"/>
    <e v="#N/A"/>
    <e v="#N/A"/>
    <e v="#N/A"/>
    <e v="#N/A"/>
    <e v="#N/A"/>
    <e v="#N/A"/>
    <e v="#N/A"/>
    <e v="#N/A"/>
    <e v="#N/A"/>
    <e v="#N/A"/>
    <e v="#N/A"/>
    <e v="#N/A"/>
    <e v="#DIV/0!"/>
  </r>
  <r>
    <m/>
    <m/>
    <m/>
    <m/>
    <m/>
    <s v="GERENTE GENERAL"/>
    <m/>
    <x v="81"/>
    <s v="Gerencia General"/>
    <m/>
    <m/>
    <m/>
    <m/>
    <n v="0"/>
    <m/>
    <n v="1344"/>
    <x v="24"/>
    <x v="6"/>
    <x v="2"/>
    <n v="1331"/>
    <n v="28165949.790000003"/>
    <n v="20944137.665000003"/>
    <n v="0"/>
    <n v="38526000"/>
    <n v="38526000"/>
    <n v="28165949.790000003"/>
    <n v="49110087.455000006"/>
    <n v="49110087.455000006"/>
    <n v="14.12"/>
    <n v="230"/>
    <n v="4.3499999999999997E-2"/>
    <n v="23937000"/>
    <n v="23937000"/>
    <m/>
    <n v="0"/>
    <m/>
    <n v="0"/>
    <m/>
    <m/>
    <m/>
    <m/>
    <m/>
    <n v="14589000"/>
    <m/>
    <n v="0"/>
    <m/>
    <n v="3210500"/>
    <m/>
    <n v="0"/>
    <m/>
    <m/>
    <n v="0"/>
    <m/>
    <m/>
    <m/>
    <m/>
    <m/>
    <m/>
    <m/>
    <m/>
    <m/>
    <n v="0.42647323086507016"/>
    <n v="0"/>
    <n v="45494354.997246265"/>
    <n v="0.61910867384986257"/>
    <n v="51691425.311316341"/>
    <n v="0.95006255213954749"/>
    <n v="52069765.358640566"/>
    <n v="0.94315937697711505"/>
    <n v="35463000"/>
    <n v="0.79423483038660014"/>
    <n v="37487000"/>
    <n v="1.3100564850481502"/>
    <n v="38796000"/>
    <n v="1.2658544039333954"/>
    <n v="49437000"/>
    <n v="0.56973420292493482"/>
    <n v="51425000"/>
    <n v="0.9549846855614974"/>
    <n v="52806000"/>
    <n v="0.93000960979812908"/>
    <n v="42014447.591948964"/>
    <n v="0.569732588953209"/>
    <n v="67385000"/>
    <n v="0.4179854535875937"/>
    <n v="72758000"/>
    <n v="0.67497852407982639"/>
    <n v="82075000"/>
    <n v="0.59835622851050874"/>
    <n v="43082000"/>
    <n v="36053424.080736533"/>
    <n v="0.66393139099344578"/>
    <n v="64624000"/>
    <n v="50694000"/>
    <n v="42422862.334999993"/>
    <s v=""/>
    <n v="76040000"/>
    <n v="42422862.334999993"/>
    <n v="0.66393327181891593"/>
    <n v="63367000"/>
    <n v="0.77501045425852577"/>
    <n v="63367000"/>
    <n v="0.77501045425852577"/>
    <n v="35587500"/>
    <n v="3024937.5"/>
    <n v="4270500"/>
    <n v="1548056.25"/>
    <n v="3202875"/>
    <n v="12046368.75"/>
    <n v="61156456.205000006"/>
    <n v="35587500"/>
    <n v="3024937.5"/>
    <n v="4270500"/>
    <n v="1548056.25"/>
    <n v="3202875"/>
    <n v="12046368.75"/>
    <n v="75413368.75"/>
    <n v="14256912.544999994"/>
    <n v="14256912.544999994"/>
    <n v="0"/>
    <n v="52805000"/>
    <n v="41655812.286912456"/>
    <n v="62483718.430368677"/>
    <n v="43082379.603399433"/>
    <n v="50693600"/>
    <n v="50693600"/>
    <n v="50693600"/>
    <n v="50693600"/>
    <n v="64623569.405099146"/>
    <n v="76040400"/>
    <n v="76040400"/>
    <n v="76040400"/>
    <n v="76040400"/>
    <n v="0"/>
  </r>
  <r>
    <m/>
    <m/>
    <m/>
    <m/>
    <m/>
    <s v="cat 3"/>
    <m/>
    <x v="80"/>
    <s v=""/>
    <m/>
    <m/>
    <m/>
    <m/>
    <n v="0"/>
    <m/>
    <e v="#N/A"/>
    <x v="25"/>
    <x v="5"/>
    <x v="4"/>
    <e v="#N/A"/>
    <e v="#DIV/0!"/>
    <e v="#DIV/0!"/>
    <n v="0"/>
    <e v="#DIV/0!"/>
    <e v="#DIV/0!"/>
    <e v="#DIV/0!"/>
    <e v="#DIV/0!"/>
    <e v="#DIV/0!"/>
    <m/>
    <m/>
    <m/>
    <e v="#DIV/0!"/>
    <m/>
    <m/>
    <e v="#DIV/0!"/>
    <m/>
    <e v="#DIV/0!"/>
    <m/>
    <m/>
    <m/>
    <m/>
    <m/>
    <m/>
    <m/>
    <s v=""/>
    <m/>
    <e v="#DIV/0!"/>
    <m/>
    <e v="#DIV/0!"/>
    <m/>
    <m/>
    <m/>
    <m/>
    <m/>
    <m/>
    <m/>
    <m/>
    <m/>
    <m/>
    <m/>
    <m/>
    <s v=""/>
    <s v=""/>
    <e v="#N/A"/>
    <e v="#DIV/0!"/>
    <e v="#N/A"/>
    <e v="#DIV/0!"/>
    <e v="#N/A"/>
    <e v="#DIV/0!"/>
    <e v="#N/A"/>
    <e v="#DIV/0!"/>
    <e v="#N/A"/>
    <e v="#DIV/0!"/>
    <e v="#N/A"/>
    <e v="#DIV/0!"/>
    <e v="#N/A"/>
    <e v="#DIV/0!"/>
    <e v="#N/A"/>
    <e v="#DIV/0!"/>
    <e v="#N/A"/>
    <e v="#DIV/0!"/>
    <e v="#N/A"/>
    <e v="#N/A"/>
    <e v="#N/A"/>
    <e v="#DIV/0!"/>
    <e v="#N/A"/>
    <e v="#DIV/0!"/>
    <e v="#N/A"/>
    <e v="#DIV/0!"/>
    <e v="#N/A"/>
    <e v="#N/A"/>
    <s v=""/>
    <e v="#N/A"/>
    <s v=""/>
    <e v="#N/A"/>
    <s v=""/>
    <s v=""/>
    <e v="#N/A"/>
    <e v="#DIV/0!"/>
    <e v="#N/A"/>
    <e v="#DIV/0!"/>
    <e v="#N/A"/>
    <e v="#DIV/0!"/>
    <e v="#DIV/0!"/>
    <e v="#DIV/0!"/>
    <e v="#DIV/0!"/>
    <e v="#DIV/0!"/>
    <e v="#DIV/0!"/>
    <e v="#DIV/0!"/>
    <e v="#DIV/0!"/>
    <e v="#DIV/0!"/>
    <e v="#N/A"/>
    <e v="#DIV/0!"/>
    <e v="#DIV/0!"/>
    <e v="#N/A"/>
    <e v="#N/A"/>
    <e v="#N/A"/>
    <e v="#N/A"/>
    <e v="#N/A"/>
    <e v="#N/A"/>
    <e v="#N/A"/>
    <e v="#N/A"/>
    <e v="#N/A"/>
    <e v="#N/A"/>
    <e v="#N/A"/>
    <e v="#N/A"/>
    <e v="#N/A"/>
    <e v="#N/A"/>
    <e v="#N/A"/>
    <e v="#N/A"/>
    <e v="#N/A"/>
    <e v="#N/A"/>
    <e v="#N/A"/>
    <e v="#DIV/0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300-000000000000}" name="TablaDinámica1" cacheId="113" applyNumberFormats="0" applyBorderFormats="0" applyFontFormats="0" applyPatternFormats="0" applyAlignmentFormats="0" applyWidthHeightFormats="1" dataCaption="Valores" updatedVersion="8" minRefreshableVersion="3" showDrill="0" useAutoFormatting="1" rowGrandTotals="0" colGrandTotals="0" itemPrintTitles="1" mergeItem="1" createdVersion="6" indent="0" compact="0" compactData="0" multipleFieldFilters="0">
  <location ref="B7:P99" firstHeaderRow="0" firstDataRow="1" firstDataCol="3"/>
  <pivotFields count="138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293">
        <item m="1" x="116"/>
        <item m="1" x="984"/>
        <item m="1" x="1111"/>
        <item m="1" x="404"/>
        <item m="1" x="1270"/>
        <item m="1" x="275"/>
        <item m="1" x="1279"/>
        <item m="1" x="122"/>
        <item m="1" x="877"/>
        <item m="1" x="1183"/>
        <item m="1" x="779"/>
        <item m="1" x="596"/>
        <item m="1" x="200"/>
        <item m="1" x="1125"/>
        <item m="1" x="179"/>
        <item m="1" x="102"/>
        <item m="1" x="591"/>
        <item m="1" x="1235"/>
        <item m="1" x="366"/>
        <item m="1" x="837"/>
        <item m="1" x="723"/>
        <item m="1" x="423"/>
        <item m="1" x="635"/>
        <item m="1" x="270"/>
        <item m="1" x="551"/>
        <item m="1" x="1083"/>
        <item m="1" x="400"/>
        <item m="1" x="780"/>
        <item m="1" x="1128"/>
        <item m="1" x="1040"/>
        <item m="1" x="203"/>
        <item m="1" x="846"/>
        <item m="1" x="1131"/>
        <item m="1" x="751"/>
        <item m="1" x="681"/>
        <item m="1" x="743"/>
        <item m="1" x="867"/>
        <item m="1" x="845"/>
        <item m="1" x="1222"/>
        <item m="1" x="766"/>
        <item m="1" x="706"/>
        <item m="1" x="945"/>
        <item m="1" x="628"/>
        <item m="1" x="575"/>
        <item m="1" x="1141"/>
        <item m="1" x="662"/>
        <item m="1" x="370"/>
        <item m="1" x="818"/>
        <item m="1" x="124"/>
        <item m="1" x="545"/>
        <item m="1" x="912"/>
        <item m="1" x="849"/>
        <item m="1" x="616"/>
        <item m="1" x="950"/>
        <item m="1" x="1096"/>
        <item m="1" x="354"/>
        <item m="1" x="994"/>
        <item m="1" x="749"/>
        <item m="1" x="913"/>
        <item m="1" x="525"/>
        <item m="1" x="175"/>
        <item m="1" x="528"/>
        <item m="1" x="511"/>
        <item m="1" x="713"/>
        <item m="1" x="1058"/>
        <item m="1" x="959"/>
        <item m="1" x="240"/>
        <item m="1" x="1247"/>
        <item m="1" x="269"/>
        <item m="1" x="752"/>
        <item m="1" x="765"/>
        <item m="1" x="639"/>
        <item m="1" x="351"/>
        <item m="1" x="406"/>
        <item m="1" x="890"/>
        <item m="1" x="524"/>
        <item m="1" x="1140"/>
        <item m="1" x="424"/>
        <item m="1" x="629"/>
        <item m="1" x="1065"/>
        <item m="1" x="615"/>
        <item m="1" x="1041"/>
        <item m="1" x="481"/>
        <item m="1" x="1047"/>
        <item m="1" x="264"/>
        <item m="1" x="683"/>
        <item m="1" x="1122"/>
        <item m="1" x="502"/>
        <item m="1" x="844"/>
        <item m="1" x="236"/>
        <item m="1" x="310"/>
        <item m="1" x="661"/>
        <item m="1" x="196"/>
        <item m="1" x="996"/>
        <item m="1" x="1012"/>
        <item m="1" x="720"/>
        <item m="1" x="1211"/>
        <item m="1" x="1192"/>
        <item m="1" x="298"/>
        <item m="1" x="139"/>
        <item m="1" x="569"/>
        <item m="1" x="167"/>
        <item m="1" x="834"/>
        <item m="1" x="960"/>
        <item m="1" x="797"/>
        <item m="1" x="903"/>
        <item m="1" x="223"/>
        <item m="1" x="197"/>
        <item m="1" x="405"/>
        <item m="1" x="735"/>
        <item m="1" x="194"/>
        <item m="1" x="514"/>
        <item m="1" x="92"/>
        <item m="1" x="930"/>
        <item m="1" x="160"/>
        <item m="1" x="188"/>
        <item m="1" x="871"/>
        <item m="1" x="641"/>
        <item m="1" x="1034"/>
        <item m="1" x="678"/>
        <item m="1" x="935"/>
        <item m="1" x="597"/>
        <item m="1" x="1053"/>
        <item m="1" x="827"/>
        <item m="1" x="655"/>
        <item m="1" x="714"/>
        <item m="1" x="1224"/>
        <item m="1" x="942"/>
        <item m="1" x="430"/>
        <item m="1" x="180"/>
        <item m="1" x="667"/>
        <item m="1" x="1130"/>
        <item m="1" x="221"/>
        <item m="1" x="550"/>
        <item m="1" x="309"/>
        <item m="1" x="660"/>
        <item m="1" x="981"/>
        <item m="1" x="1091"/>
        <item m="1" x="1182"/>
        <item m="1" x="826"/>
        <item m="1" x="429"/>
        <item m="1" x="910"/>
        <item m="1" x="636"/>
        <item m="1" x="626"/>
        <item m="1" x="452"/>
        <item m="1" x="856"/>
        <item m="1" x="408"/>
        <item m="1" x="390"/>
        <item m="1" x="1275"/>
        <item m="1" x="243"/>
        <item m="1" x="711"/>
        <item m="1" x="1203"/>
        <item m="1" x="320"/>
        <item m="1" x="647"/>
        <item m="1" x="120"/>
        <item m="1" x="111"/>
        <item m="1" x="375"/>
        <item m="1" x="893"/>
        <item m="1" x="169"/>
        <item m="1" x="1263"/>
        <item m="1" x="1030"/>
        <item m="1" x="622"/>
        <item m="1" x="787"/>
        <item m="1" x="1208"/>
        <item m="1" x="291"/>
        <item m="1" x="1257"/>
        <item m="1" x="303"/>
        <item m="1" x="880"/>
        <item m="1" x="939"/>
        <item m="1" x="372"/>
        <item m="1" x="544"/>
        <item m="1" x="234"/>
        <item m="1" x="686"/>
        <item m="1" x="951"/>
        <item m="1" x="543"/>
        <item m="1" x="972"/>
        <item m="1" x="565"/>
        <item m="1" x="83"/>
        <item m="1" x="600"/>
        <item m="1" x="519"/>
        <item m="1" x="739"/>
        <item m="1" x="473"/>
        <item m="1" x="649"/>
        <item m="1" x="1059"/>
        <item m="1" x="861"/>
        <item m="1" x="343"/>
        <item m="1" x="542"/>
        <item m="1" x="750"/>
        <item x="73"/>
        <item m="1" x="946"/>
        <item m="1" x="131"/>
        <item m="1" x="206"/>
        <item m="1" x="359"/>
        <item m="1" x="718"/>
        <item m="1" x="1288"/>
        <item m="1" x="1109"/>
        <item m="1" x="1080"/>
        <item m="1" x="1285"/>
        <item m="1" x="1238"/>
        <item m="1" x="327"/>
        <item m="1" x="791"/>
        <item m="1" x="1082"/>
        <item m="1" x="457"/>
        <item m="1" x="895"/>
        <item m="1" x="564"/>
        <item m="1" x="1000"/>
        <item m="1" x="1147"/>
        <item x="72"/>
        <item m="1" x="703"/>
        <item m="1" x="1234"/>
        <item m="1" x="1171"/>
        <item m="1" x="966"/>
        <item m="1" x="1170"/>
        <item m="1" x="536"/>
        <item m="1" x="96"/>
        <item m="1" x="235"/>
        <item m="1" x="875"/>
        <item m="1" x="777"/>
        <item m="1" x="923"/>
        <item m="1" x="614"/>
        <item m="1" x="952"/>
        <item m="1" x="971"/>
        <item m="1" x="1277"/>
        <item m="1" x="503"/>
        <item m="1" x="386"/>
        <item m="1" x="610"/>
        <item m="1" x="1218"/>
        <item m="1" x="93"/>
        <item m="1" x="1209"/>
        <item m="1" x="108"/>
        <item m="1" x="821"/>
        <item m="1" x="580"/>
        <item m="1" x="584"/>
        <item m="1" x="921"/>
        <item m="1" x="282"/>
        <item m="1" x="365"/>
        <item m="1" x="892"/>
        <item m="1" x="216"/>
        <item m="1" x="784"/>
        <item m="1" x="876"/>
        <item m="1" x="1009"/>
        <item m="1" x="943"/>
        <item m="1" x="978"/>
        <item m="1" x="358"/>
        <item m="1" x="645"/>
        <item m="1" x="1117"/>
        <item m="1" x="267"/>
        <item m="1" x="98"/>
        <item m="1" x="88"/>
        <item m="1" x="254"/>
        <item m="1" x="906"/>
        <item m="1" x="486"/>
        <item m="1" x="1204"/>
        <item m="1" x="1036"/>
        <item m="1" x="441"/>
        <item m="1" x="494"/>
        <item m="1" x="453"/>
        <item m="1" x="1014"/>
        <item m="1" x="840"/>
        <item m="1" x="294"/>
        <item m="1" x="809"/>
        <item m="1" x="586"/>
        <item m="1" x="1071"/>
        <item m="1" x="278"/>
        <item m="1" x="328"/>
        <item m="1" x="313"/>
        <item m="1" x="926"/>
        <item m="1" x="376"/>
        <item m="1" x="395"/>
        <item m="1" x="245"/>
        <item m="1" x="118"/>
        <item m="1" x="963"/>
        <item m="1" x="333"/>
        <item x="50"/>
        <item m="1" x="587"/>
        <item m="1" x="248"/>
        <item m="1" x="982"/>
        <item m="1" x="756"/>
        <item m="1" x="908"/>
        <item m="1" x="806"/>
        <item m="1" x="728"/>
        <item m="1" x="919"/>
        <item m="1" x="803"/>
        <item m="1" x="1212"/>
        <item m="1" x="432"/>
        <item m="1" x="271"/>
        <item m="1" x="956"/>
        <item m="1" x="467"/>
        <item m="1" x="606"/>
        <item m="1" x="1025"/>
        <item m="1" x="402"/>
        <item m="1" x="247"/>
        <item m="1" x="288"/>
        <item m="1" x="664"/>
        <item m="1" x="769"/>
        <item m="1" x="975"/>
        <item m="1" x="1015"/>
        <item m="1" x="94"/>
        <item m="1" x="1110"/>
        <item m="1" x="924"/>
        <item m="1" x="156"/>
        <item m="1" x="744"/>
        <item m="1" x="652"/>
        <item m="1" x="1114"/>
        <item m="1" x="209"/>
        <item m="1" x="204"/>
        <item m="1" x="133"/>
        <item m="1" x="1197"/>
        <item m="1" x="361"/>
        <item m="1" x="186"/>
        <item x="47"/>
        <item m="1" x="241"/>
        <item m="1" x="1151"/>
        <item m="1" x="1233"/>
        <item m="1" x="533"/>
        <item m="1" x="504"/>
        <item m="1" x="1018"/>
        <item m="1" x="1217"/>
        <item x="45"/>
        <item m="1" x="1226"/>
        <item m="1" x="477"/>
        <item m="1" x="183"/>
        <item m="1" x="1107"/>
        <item m="1" x="506"/>
        <item m="1" x="522"/>
        <item m="1" x="879"/>
        <item m="1" x="1281"/>
        <item m="1" x="700"/>
        <item m="1" x="100"/>
        <item m="1" x="1227"/>
        <item m="1" x="515"/>
        <item m="1" x="1175"/>
        <item m="1" x="228"/>
        <item m="1" x="1136"/>
        <item m="1" x="480"/>
        <item m="1" x="887"/>
        <item m="1" x="202"/>
        <item m="1" x="356"/>
        <item m="1" x="1072"/>
        <item m="1" x="767"/>
        <item m="1" x="820"/>
        <item x="21"/>
        <item m="1" x="872"/>
        <item m="1" x="99"/>
        <item m="1" x="646"/>
        <item m="1" x="969"/>
        <item m="1" x="148"/>
        <item m="1" x="239"/>
        <item m="1" x="563"/>
        <item m="1" x="857"/>
        <item m="1" x="764"/>
        <item m="1" x="380"/>
        <item m="1" x="1138"/>
        <item m="1" x="487"/>
        <item m="1" x="974"/>
        <item m="1" x="407"/>
        <item m="1" x="808"/>
        <item m="1" x="461"/>
        <item m="1" x="992"/>
        <item m="1" x="523"/>
        <item m="1" x="401"/>
        <item m="1" x="1200"/>
        <item m="1" x="1243"/>
        <item m="1" x="899"/>
        <item x="29"/>
        <item m="1" x="458"/>
        <item m="1" x="438"/>
        <item m="1" x="1048"/>
        <item m="1" x="1272"/>
        <item m="1" x="459"/>
        <item m="1" x="1068"/>
        <item m="1" x="1137"/>
        <item m="1" x="1145"/>
        <item m="1" x="378"/>
        <item m="1" x="460"/>
        <item m="1" x="754"/>
        <item m="1" x="181"/>
        <item m="1" x="411"/>
        <item m="1" x="620"/>
        <item m="1" x="321"/>
        <item m="1" x="1002"/>
        <item m="1" x="781"/>
        <item m="1" x="944"/>
        <item m="1" x="722"/>
        <item m="1" x="388"/>
        <item m="1" x="1253"/>
        <item m="1" x="393"/>
        <item m="1" x="1067"/>
        <item m="1" x="733"/>
        <item m="1" x="1156"/>
        <item m="1" x="862"/>
        <item m="1" x="995"/>
        <item m="1" x="1289"/>
        <item m="1" x="734"/>
        <item m="1" x="297"/>
        <item m="1" x="716"/>
        <item m="1" x="112"/>
        <item m="1" x="1124"/>
        <item m="1" x="1260"/>
        <item m="1" x="560"/>
        <item m="1" x="381"/>
        <item m="1" x="757"/>
        <item m="1" x="251"/>
        <item m="1" x="1056"/>
        <item m="1" x="1229"/>
        <item m="1" x="128"/>
        <item m="1" x="238"/>
        <item m="1" x="555"/>
        <item m="1" x="1199"/>
        <item m="1" x="948"/>
        <item m="1" x="193"/>
        <item m="1" x="1273"/>
        <item m="1" x="1092"/>
        <item m="1" x="1150"/>
        <item m="1" x="1029"/>
        <item m="1" x="349"/>
        <item m="1" x="1157"/>
        <item m="1" x="822"/>
        <item m="1" x="745"/>
        <item m="1" x="478"/>
        <item m="1" x="1021"/>
        <item m="1" x="322"/>
        <item m="1" x="731"/>
        <item m="1" x="1202"/>
        <item m="1" x="363"/>
        <item m="1" x="773"/>
        <item m="1" x="416"/>
        <item m="1" x="1163"/>
        <item m="1" x="296"/>
        <item m="1" x="938"/>
        <item m="1" x="185"/>
        <item m="1" x="755"/>
        <item m="1" x="318"/>
        <item m="1" x="782"/>
        <item m="1" x="253"/>
        <item m="1" x="440"/>
        <item m="1" x="1076"/>
        <item m="1" x="492"/>
        <item m="1" x="904"/>
        <item m="1" x="613"/>
        <item m="1" x="759"/>
        <item m="1" x="1066"/>
        <item m="1" x="350"/>
        <item m="1" x="1099"/>
        <item m="1" x="266"/>
        <item m="1" x="680"/>
        <item m="1" x="695"/>
        <item m="1" x="670"/>
        <item x="12"/>
        <item m="1" x="881"/>
        <item m="1" x="804"/>
        <item m="1" x="1220"/>
        <item m="1" x="922"/>
        <item m="1" x="598"/>
        <item m="1" x="594"/>
        <item m="1" x="1086"/>
        <item m="1" x="1013"/>
        <item m="1" x="1094"/>
        <item m="1" x="979"/>
        <item m="1" x="707"/>
        <item m="1" x="468"/>
        <item m="1" x="936"/>
        <item m="1" x="962"/>
        <item m="1" x="1039"/>
        <item m="1" x="250"/>
        <item m="1" x="675"/>
        <item m="1" x="1031"/>
        <item m="1" x="335"/>
        <item m="1" x="212"/>
        <item m="1" x="748"/>
        <item m="1" x="281"/>
        <item m="1" x="199"/>
        <item m="1" x="967"/>
        <item m="1" x="604"/>
        <item m="1" x="539"/>
        <item m="1" x="231"/>
        <item m="1" x="839"/>
        <item m="1" x="1112"/>
        <item m="1" x="213"/>
        <item m="1" x="418"/>
        <item m="1" x="410"/>
        <item m="1" x="428"/>
        <item m="1" x="828"/>
        <item m="1" x="451"/>
        <item m="1" x="532"/>
        <item m="1" x="567"/>
        <item m="1" x="762"/>
        <item m="1" x="1264"/>
        <item m="1" x="976"/>
        <item m="1" x="677"/>
        <item m="1" x="1180"/>
        <item m="1" x="987"/>
        <item m="1" x="177"/>
        <item m="1" x="558"/>
        <item m="1" x="585"/>
        <item m="1" x="191"/>
        <item m="1" x="1116"/>
        <item m="1" x="852"/>
        <item m="1" x="854"/>
        <item m="1" x="364"/>
        <item m="1" x="1174"/>
        <item m="1" x="771"/>
        <item m="1" x="1259"/>
        <item m="1" x="520"/>
        <item m="1" x="847"/>
        <item m="1" x="442"/>
        <item m="1" x="483"/>
        <item m="1" x="838"/>
        <item m="1" x="841"/>
        <item m="1" x="491"/>
        <item m="1" x="119"/>
        <item m="1" x="482"/>
        <item m="1" x="447"/>
        <item m="1" x="1070"/>
        <item m="1" x="1090"/>
        <item m="1" x="1265"/>
        <item m="1" x="819"/>
        <item m="1" x="87"/>
        <item m="1" x="574"/>
        <item m="1" x="285"/>
        <item m="1" x="422"/>
        <item m="1" x="176"/>
        <item m="1" x="465"/>
        <item m="1" x="592"/>
        <item m="1" x="961"/>
        <item m="1" x="163"/>
        <item m="1" x="830"/>
        <item m="1" x="1005"/>
        <item m="1" x="666"/>
        <item m="1" x="851"/>
        <item m="1" x="798"/>
        <item m="1" x="669"/>
        <item m="1" x="476"/>
        <item m="1" x="86"/>
        <item m="1" x="1126"/>
        <item m="1" x="229"/>
        <item m="1" x="495"/>
        <item m="1" x="300"/>
        <item m="1" x="889"/>
        <item m="1" x="1102"/>
        <item m="1" x="142"/>
        <item m="1" x="621"/>
        <item m="1" x="178"/>
        <item m="1" x="109"/>
        <item m="1" x="500"/>
        <item m="1" x="795"/>
        <item m="1" x="1050"/>
        <item m="1" x="1127"/>
        <item m="1" x="490"/>
        <item m="1" x="657"/>
        <item m="1" x="934"/>
        <item m="1" x="633"/>
        <item m="1" x="1169"/>
        <item m="1" x="537"/>
        <item m="1" x="259"/>
        <item m="1" x="865"/>
        <item m="1" x="136"/>
        <item m="1" x="682"/>
        <item m="1" x="1097"/>
        <item m="1" x="712"/>
        <item m="1" x="878"/>
        <item m="1" x="688"/>
        <item m="1" x="1134"/>
        <item m="1" x="1079"/>
        <item m="1" x="985"/>
        <item m="1" x="1168"/>
        <item m="1" x="605"/>
        <item m="1" x="1017"/>
        <item m="1" x="107"/>
        <item m="1" x="137"/>
        <item m="1" x="389"/>
        <item m="1" x="117"/>
        <item m="1" x="1178"/>
        <item m="1" x="729"/>
        <item m="1" x="1042"/>
        <item m="1" x="631"/>
        <item m="1" x="1161"/>
        <item m="1" x="1158"/>
        <item m="1" x="379"/>
        <item m="1" x="1206"/>
        <item m="1" x="499"/>
        <item m="1" x="455"/>
        <item m="1" x="1120"/>
        <item m="1" x="226"/>
        <item m="1" x="207"/>
        <item m="1" x="1019"/>
        <item m="1" x="988"/>
        <item m="1" x="277"/>
        <item m="1" x="427"/>
        <item m="1" x="1240"/>
        <item m="1" x="1261"/>
        <item m="1" x="886"/>
        <item m="1" x="1093"/>
        <item m="1" x="836"/>
        <item m="1" x="330"/>
        <item m="1" x="1198"/>
        <item m="1" x="776"/>
        <item m="1" x="531"/>
        <item m="1" x="396"/>
        <item m="1" x="1105"/>
        <item m="1" x="590"/>
        <item m="1" x="249"/>
        <item m="1" x="1153"/>
        <item m="1" x="650"/>
        <item m="1" x="1060"/>
        <item m="1" x="702"/>
        <item m="1" x="214"/>
        <item m="1" x="848"/>
        <item m="1" x="397"/>
        <item m="1" x="201"/>
        <item m="1" x="286"/>
        <item m="1" x="509"/>
        <item m="1" x="746"/>
        <item m="1" x="518"/>
        <item m="1" x="101"/>
        <item m="1" x="730"/>
        <item m="1" x="576"/>
        <item m="1" x="353"/>
        <item m="1" x="232"/>
        <item m="1" x="1139"/>
        <item m="1" x="816"/>
        <item m="1" x="346"/>
        <item m="1" x="507"/>
        <item m="1" x="150"/>
        <item m="1" x="345"/>
        <item m="1" x="113"/>
        <item m="1" x="740"/>
        <item m="1" x="671"/>
        <item m="1" x="344"/>
        <item m="1" x="165"/>
        <item m="1" x="114"/>
        <item m="1" x="676"/>
        <item m="1" x="469"/>
        <item m="1" x="283"/>
        <item m="1" x="115"/>
        <item m="1" x="125"/>
        <item m="1" x="126"/>
        <item m="1" x="470"/>
        <item m="1" x="883"/>
        <item m="1" x="697"/>
        <item m="1" x="301"/>
        <item m="1" x="527"/>
        <item m="1" x="609"/>
        <item m="1" x="547"/>
        <item m="1" x="1268"/>
        <item m="1" x="292"/>
        <item m="1" x="1046"/>
        <item m="1" x="684"/>
        <item m="1" x="384"/>
        <item m="1" x="1282"/>
        <item m="1" x="986"/>
        <item m="1" x="84"/>
        <item m="1" x="488"/>
        <item m="1" x="145"/>
        <item m="1" x="394"/>
        <item m="1" x="611"/>
        <item m="1" x="736"/>
        <item m="1" x="1219"/>
        <item m="1" x="579"/>
        <item m="1" x="1073"/>
        <item m="1" x="1119"/>
        <item m="1" x="311"/>
        <item m="1" x="997"/>
        <item m="1" x="685"/>
        <item m="1" x="1242"/>
        <item m="1" x="701"/>
        <item m="1" x="1239"/>
        <item m="1" x="512"/>
        <item m="1" x="726"/>
        <item m="1" x="153"/>
        <item m="1" x="572"/>
        <item m="1" x="485"/>
        <item m="1" x="998"/>
        <item m="1" x="673"/>
        <item m="1" x="1230"/>
        <item m="1" x="811"/>
        <item x="80"/>
        <item m="1" x="553"/>
        <item m="1" x="184"/>
        <item m="1" x="444"/>
        <item m="1" x="489"/>
        <item m="1" x="1249"/>
        <item m="1" x="1215"/>
        <item x="79"/>
        <item m="1" x="293"/>
        <item m="1" x="97"/>
        <item m="1" x="593"/>
        <item m="1" x="833"/>
        <item m="1" x="1188"/>
        <item m="1" x="1146"/>
        <item m="1" x="690"/>
        <item m="1" x="446"/>
        <item m="1" x="219"/>
        <item m="1" x="888"/>
        <item m="1" x="1216"/>
        <item m="1" x="624"/>
        <item m="1" x="276"/>
        <item m="1" x="1089"/>
        <item m="1" x="1186"/>
        <item m="1" x="371"/>
        <item m="1" x="399"/>
        <item m="1" x="823"/>
        <item m="1" x="554"/>
        <item m="1" x="1006"/>
        <item m="1" x="928"/>
        <item m="1" x="717"/>
        <item m="1" x="123"/>
        <item m="1" x="339"/>
        <item m="1" x="842"/>
        <item m="1" x="530"/>
        <item m="1" x="1291"/>
        <item m="1" x="257"/>
        <item m="1" x="601"/>
        <item m="1" x="341"/>
        <item m="1" x="474"/>
        <item m="1" x="815"/>
        <item m="1" x="383"/>
        <item m="1" x="947"/>
        <item m="1" x="1237"/>
        <item m="1" x="1051"/>
        <item m="1" x="858"/>
        <item m="1" x="357"/>
        <item m="1" x="1007"/>
        <item m="1" x="342"/>
        <item m="1" x="1108"/>
        <item m="1" x="775"/>
        <item m="1" x="917"/>
        <item m="1" x="1271"/>
        <item m="1" x="121"/>
        <item m="1" x="864"/>
        <item m="1" x="1057"/>
        <item m="1" x="891"/>
        <item m="1" x="242"/>
        <item m="1" x="983"/>
        <item m="1" x="941"/>
        <item m="1" x="1267"/>
        <item m="1" x="448"/>
        <item m="1" x="307"/>
        <item m="1" x="456"/>
        <item m="1" x="768"/>
        <item m="1" x="155"/>
        <item m="1" x="1043"/>
        <item m="1" x="831"/>
        <item m="1" x="1274"/>
        <item m="1" x="225"/>
        <item m="1" x="668"/>
        <item m="1" x="287"/>
        <item m="1" x="920"/>
        <item m="1" x="618"/>
        <item m="1" x="535"/>
        <item m="1" x="1196"/>
        <item m="1" x="496"/>
        <item m="1" x="1228"/>
        <item m="1" x="991"/>
        <item m="1" x="990"/>
        <item m="1" x="466"/>
        <item m="1" x="1207"/>
        <item m="1" x="1077"/>
        <item m="1" x="1154"/>
        <item m="1" x="873"/>
        <item m="1" x="103"/>
        <item m="1" x="373"/>
        <item m="1" x="643"/>
        <item m="1" x="1262"/>
        <item m="1" x="658"/>
        <item m="1" x="513"/>
        <item m="1" x="1052"/>
        <item m="1" x="246"/>
        <item m="1" x="637"/>
        <item m="1" x="415"/>
        <item m="1" x="463"/>
        <item m="1" x="805"/>
        <item m="1" x="1221"/>
        <item m="1" x="760"/>
        <item m="1" x="1190"/>
        <item m="1" x="529"/>
        <item m="1" x="316"/>
        <item m="1" x="964"/>
        <item m="1" x="1165"/>
        <item m="1" x="325"/>
        <item m="1" x="1084"/>
        <item m="1" x="391"/>
        <item m="1" x="192"/>
        <item m="1" x="224"/>
        <item m="1" x="783"/>
        <item m="1" x="437"/>
        <item m="1" x="659"/>
        <item m="1" x="1223"/>
        <item m="1" x="256"/>
        <item m="1" x="1035"/>
        <item m="1" x="252"/>
        <item m="1" x="1185"/>
        <item m="1" x="1001"/>
        <item m="1" x="302"/>
        <item m="1" x="954"/>
        <item m="1" x="144"/>
        <item m="1" x="792"/>
        <item m="1" x="362"/>
        <item m="1" x="1250"/>
        <item m="1" x="603"/>
        <item m="1" x="508"/>
        <item m="1" x="337"/>
        <item m="1" x="154"/>
        <item m="1" x="392"/>
        <item m="1" x="790"/>
        <item m="1" x="855"/>
        <item m="1" x="159"/>
        <item m="1" x="602"/>
        <item m="1" x="419"/>
        <item m="1" x="1063"/>
        <item m="1" x="562"/>
        <item m="1" x="810"/>
        <item m="1" x="382"/>
        <item m="1" x="187"/>
        <item m="1" x="170"/>
        <item m="1" x="258"/>
        <item m="1" x="1236"/>
        <item m="1" x="435"/>
        <item m="1" x="916"/>
        <item m="1" x="1252"/>
        <item m="1" x="747"/>
        <item m="1" x="812"/>
        <item m="1" x="980"/>
        <item m="1" x="454"/>
        <item m="1" x="1144"/>
        <item m="1" x="955"/>
        <item m="1" x="273"/>
        <item m="1" x="1132"/>
        <item m="1" x="663"/>
        <item m="1" x="324"/>
        <item m="1" x="1022"/>
        <item m="1" x="549"/>
        <item m="1" x="909"/>
        <item m="1" x="949"/>
        <item m="1" x="843"/>
        <item m="1" x="334"/>
        <item m="1" x="1225"/>
        <item m="1" x="526"/>
        <item m="1" x="866"/>
        <item m="1" x="725"/>
        <item m="1" x="426"/>
        <item m="1" x="95"/>
        <item m="1" x="534"/>
        <item m="1" x="1283"/>
        <item m="1" x="129"/>
        <item m="1" x="1189"/>
        <item m="1" x="168"/>
        <item m="1" x="218"/>
        <item m="1" x="817"/>
        <item m="1" x="869"/>
        <item m="1" x="336"/>
        <item m="1" x="1193"/>
        <item m="1" x="230"/>
        <item m="1" x="449"/>
        <item m="1" x="1184"/>
        <item m="1" x="1095"/>
        <item m="1" x="896"/>
        <item m="1" x="1101"/>
        <item m="1" x="1028"/>
        <item m="1" x="182"/>
        <item m="1" x="788"/>
        <item m="1" x="210"/>
        <item m="1" x="901"/>
        <item m="1" x="143"/>
        <item m="1" x="1027"/>
        <item m="1" x="552"/>
        <item x="44"/>
        <item m="1" x="409"/>
        <item m="1" x="999"/>
        <item m="1" x="295"/>
        <item m="1" x="91"/>
        <item m="1" x="498"/>
        <item m="1" x="541"/>
        <item m="1" x="763"/>
        <item m="1" x="1266"/>
        <item m="1" x="355"/>
        <item m="1" x="369"/>
        <item m="1" x="727"/>
        <item m="1" x="648"/>
        <item m="1" x="993"/>
        <item m="1" x="1003"/>
        <item m="1" x="173"/>
        <item m="1" x="1023"/>
        <item m="1" x="413"/>
        <item m="1" x="931"/>
        <item m="1" x="709"/>
        <item m="1" x="897"/>
        <item m="1" x="1010"/>
        <item m="1" x="914"/>
        <item m="1" x="1104"/>
        <item m="1" x="149"/>
        <item m="1" x="398"/>
        <item m="1" x="1232"/>
        <item m="1" x="244"/>
        <item m="1" x="284"/>
        <item m="1" x="933"/>
        <item m="1" x="710"/>
        <item m="1" x="612"/>
        <item m="1" x="290"/>
        <item m="1" x="608"/>
        <item m="1" x="1194"/>
        <item m="1" x="874"/>
        <item m="1" x="599"/>
        <item m="1" x="174"/>
        <item m="1" x="894"/>
        <item m="1" x="742"/>
        <item m="1" x="412"/>
        <item m="1" x="581"/>
        <item m="1" x="517"/>
        <item m="1" x="957"/>
        <item m="1" x="1085"/>
        <item m="1" x="227"/>
        <item m="1" x="1278"/>
        <item m="1" x="1160"/>
        <item m="1" x="274"/>
        <item m="1" x="403"/>
        <item m="1" x="147"/>
        <item m="1" x="1210"/>
        <item m="1" x="800"/>
        <item m="1" x="689"/>
        <item m="1" x="146"/>
        <item m="1" x="634"/>
        <item m="1" x="260"/>
        <item m="1" x="860"/>
        <item m="1" x="1020"/>
        <item m="1" x="1148"/>
        <item m="1" x="674"/>
        <item m="1" x="814"/>
        <item m="1" x="1074"/>
        <item m="1" x="696"/>
        <item m="1" x="794"/>
        <item m="1" x="479"/>
        <item m="1" x="813"/>
        <item m="1" x="1284"/>
        <item m="1" x="272"/>
        <item m="1" x="691"/>
        <item m="1" x="732"/>
        <item m="1" x="568"/>
        <item m="1" x="1172"/>
        <item m="1" x="1129"/>
        <item m="1" x="692"/>
        <item m="1" x="189"/>
        <item x="28"/>
        <item m="1" x="1038"/>
        <item m="1" x="85"/>
        <item m="1" x="138"/>
        <item m="1" x="546"/>
        <item m="1" x="940"/>
        <item m="1" x="323"/>
        <item m="1" x="638"/>
        <item m="1" x="1167"/>
        <item m="1" x="308"/>
        <item m="1" x="233"/>
        <item m="1" x="557"/>
        <item m="1" x="665"/>
        <item m="1" x="331"/>
        <item m="1" x="110"/>
        <item m="1" x="1245"/>
        <item m="1" x="770"/>
        <item m="1" x="1037"/>
        <item m="1" x="420"/>
        <item m="1" x="352"/>
        <item m="1" x="918"/>
        <item m="1" x="261"/>
        <item m="1" x="1024"/>
        <item m="1" x="220"/>
        <item x="16"/>
        <item m="1" x="1098"/>
        <item m="1" x="786"/>
        <item m="1" x="577"/>
        <item m="1" x="433"/>
        <item m="1" x="1026"/>
        <item m="1" x="1205"/>
        <item m="1" x="1135"/>
        <item m="1" x="268"/>
        <item m="1" x="570"/>
        <item m="1" x="374"/>
        <item m="1" x="853"/>
        <item m="1" x="1054"/>
        <item m="1" x="583"/>
        <item m="1" x="471"/>
        <item m="1" x="778"/>
        <item m="1" x="1044"/>
        <item m="1" x="859"/>
        <item m="1" x="152"/>
        <item m="1" x="484"/>
        <item m="1" x="1033"/>
        <item m="1" x="699"/>
        <item m="1" x="870"/>
        <item m="1" x="802"/>
        <item m="1" x="1064"/>
        <item m="1" x="280"/>
        <item m="1" x="589"/>
        <item m="1" x="164"/>
        <item m="1" x="1008"/>
        <item m="1" x="679"/>
        <item m="1" x="761"/>
        <item m="1" x="462"/>
        <item m="1" x="561"/>
        <item m="1" x="1113"/>
        <item m="1" x="195"/>
        <item m="1" x="929"/>
        <item m="1" x="1187"/>
        <item m="1" x="925"/>
        <item m="1" x="1276"/>
        <item m="1" x="1269"/>
        <item m="1" x="1081"/>
        <item m="1" x="1255"/>
        <item m="1" x="687"/>
        <item m="1" x="799"/>
        <item m="1" x="868"/>
        <item m="1" x="510"/>
        <item m="1" x="708"/>
        <item m="1" x="493"/>
        <item m="1" x="900"/>
        <item m="1" x="1055"/>
        <item m="1" x="1062"/>
        <item m="1" x="1045"/>
        <item m="1" x="1213"/>
        <item m="1" x="721"/>
        <item m="1" x="360"/>
        <item m="1" x="1149"/>
        <item m="1" x="705"/>
        <item m="1" x="434"/>
        <item m="1" x="304"/>
        <item m="1" x="863"/>
        <item m="1" x="927"/>
        <item m="1" x="368"/>
        <item m="1" x="472"/>
        <item m="1" x="724"/>
        <item m="1" x="263"/>
        <item m="1" x="262"/>
        <item m="1" x="644"/>
        <item m="1" x="1088"/>
        <item m="1" x="279"/>
        <item m="1" x="989"/>
        <item m="1" x="656"/>
        <item m="1" x="538"/>
        <item x="24"/>
        <item m="1" x="1201"/>
        <item m="1" x="627"/>
        <item m="1" x="559"/>
        <item m="1" x="623"/>
        <item m="1" x="436"/>
        <item m="1" x="1292"/>
        <item m="1" x="385"/>
        <item m="1" x="127"/>
        <item m="1" x="1115"/>
        <item m="1" x="829"/>
        <item m="1" x="772"/>
        <item m="1" x="617"/>
        <item m="1" x="850"/>
        <item m="1" x="607"/>
        <item m="1" x="1164"/>
        <item m="1" x="640"/>
        <item m="1" x="317"/>
        <item m="1" x="595"/>
        <item m="1" x="630"/>
        <item m="1" x="89"/>
        <item m="1" x="1159"/>
        <item m="1" x="497"/>
        <item m="1" x="1241"/>
        <item m="1" x="265"/>
        <item m="1" x="141"/>
        <item m="1" x="915"/>
        <item m="1" x="1142"/>
        <item m="1" x="973"/>
        <item m="1" x="1061"/>
        <item m="1" x="654"/>
        <item m="1" x="130"/>
        <item m="1" x="642"/>
        <item m="1" x="932"/>
        <item m="1" x="825"/>
        <item m="1" x="1176"/>
        <item m="1" x="140"/>
        <item m="1" x="885"/>
        <item m="1" x="977"/>
        <item m="1" x="582"/>
        <item m="1" x="1106"/>
        <item m="1" x="651"/>
        <item m="1" x="625"/>
        <item m="1" x="1004"/>
        <item m="1" x="104"/>
        <item m="1" x="450"/>
        <item m="1" x="704"/>
        <item m="1" x="1162"/>
        <item m="1" x="1016"/>
        <item m="1" x="715"/>
        <item m="1" x="1246"/>
        <item m="1" x="958"/>
        <item m="1" x="882"/>
        <item m="1" x="588"/>
        <item m="1" x="632"/>
        <item m="1" x="905"/>
        <item m="1" x="1155"/>
        <item m="1" x="1166"/>
        <item m="1" x="1258"/>
        <item m="1" x="1087"/>
        <item m="1" x="1254"/>
        <item m="1" x="314"/>
        <item m="1" x="367"/>
        <item m="1" x="171"/>
        <item m="1" x="573"/>
        <item m="1" x="1181"/>
        <item m="1" x="1290"/>
        <item m="1" x="208"/>
        <item m="1" x="1195"/>
        <item m="1" x="741"/>
        <item m="1" x="619"/>
        <item m="1" x="475"/>
        <item m="1" x="289"/>
        <item m="1" x="753"/>
        <item m="1" x="937"/>
        <item m="1" x="329"/>
        <item m="1" x="785"/>
        <item m="1" x="1133"/>
        <item m="1" x="1286"/>
        <item m="1" x="672"/>
        <item m="1" x="796"/>
        <item m="1" x="445"/>
        <item m="1" x="1214"/>
        <item m="1" x="698"/>
        <item m="1" x="319"/>
        <item m="1" x="1251"/>
        <item m="1" x="516"/>
        <item m="1" x="158"/>
        <item m="1" x="1069"/>
        <item m="1" x="884"/>
        <item m="1" x="315"/>
        <item m="1" x="1173"/>
        <item x="14"/>
        <item m="1" x="217"/>
        <item m="1" x="1121"/>
        <item m="1" x="911"/>
        <item m="1" x="694"/>
        <item m="1" x="807"/>
        <item m="1" x="172"/>
        <item m="1" x="1032"/>
        <item m="1" x="965"/>
        <item m="1" x="132"/>
        <item m="1" x="215"/>
        <item m="1" x="719"/>
        <item m="1" x="1100"/>
        <item m="1" x="738"/>
        <item m="1" x="161"/>
        <item m="1" x="653"/>
        <item m="1" x="758"/>
        <item m="1" x="1075"/>
        <item m="1" x="443"/>
        <item m="1" x="1011"/>
        <item m="1" x="898"/>
        <item m="1" x="1231"/>
        <item m="1" x="1118"/>
        <item m="1" x="578"/>
        <item m="1" x="1280"/>
        <item m="1" x="832"/>
        <item m="1" x="556"/>
        <item m="1" x="431"/>
        <item m="1" x="1244"/>
        <item m="1" x="1287"/>
        <item m="1" x="299"/>
        <item m="1" x="151"/>
        <item m="1" x="1256"/>
        <item m="1" x="824"/>
        <item m="1" x="162"/>
        <item m="1" x="1152"/>
        <item m="1" x="135"/>
        <item m="1" x="421"/>
        <item m="1" x="306"/>
        <item m="1" x="387"/>
        <item m="1" x="1143"/>
        <item m="1" x="338"/>
        <item m="1" x="305"/>
        <item m="1" x="1103"/>
        <item m="1" x="1123"/>
        <item m="1" x="801"/>
        <item m="1" x="326"/>
        <item m="1" x="1177"/>
        <item m="1" x="211"/>
        <item m="1" x="521"/>
        <item m="1" x="134"/>
        <item m="1" x="1191"/>
        <item m="1" x="157"/>
        <item m="1" x="566"/>
        <item m="1" x="793"/>
        <item m="1" x="902"/>
        <item m="1" x="505"/>
        <item m="1" x="414"/>
        <item m="1" x="789"/>
        <item m="1" x="425"/>
        <item m="1" x="205"/>
        <item m="1" x="970"/>
        <item m="1" x="237"/>
        <item m="1" x="198"/>
        <item m="1" x="255"/>
        <item m="1" x="540"/>
        <item m="1" x="693"/>
        <item m="1" x="571"/>
        <item m="1" x="332"/>
        <item m="1" x="348"/>
        <item m="1" x="377"/>
        <item m="1" x="340"/>
        <item m="1" x="907"/>
        <item m="1" x="1049"/>
        <item m="1" x="417"/>
        <item m="1" x="347"/>
        <item m="1" x="464"/>
        <item m="1" x="106"/>
        <item m="1" x="105"/>
        <item m="1" x="501"/>
        <item m="1" x="312"/>
        <item m="1" x="548"/>
        <item m="1" x="1179"/>
        <item m="1" x="166"/>
        <item m="1" x="1078"/>
        <item m="1" x="953"/>
        <item m="1" x="835"/>
        <item m="1" x="774"/>
        <item m="1" x="1248"/>
        <item m="1" x="190"/>
        <item m="1" x="968"/>
        <item m="1" x="222"/>
        <item m="1" x="90"/>
        <item m="1" x="737"/>
        <item m="1" x="4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5"/>
        <item x="17"/>
        <item x="18"/>
        <item x="19"/>
        <item x="20"/>
        <item x="22"/>
        <item x="23"/>
        <item x="25"/>
        <item x="26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6"/>
        <item x="48"/>
        <item x="49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4"/>
        <item x="75"/>
        <item x="76"/>
        <item x="77"/>
        <item m="1" x="82"/>
        <item x="78"/>
        <item x="8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38" outline="0" showAll="0" defaultSubtotal="0"/>
    <pivotField name="Cat" axis="axisRow" compact="0" outline="0" showAll="0" sortType="descending" defaultSubtotal="0">
      <items count="26">
        <item x="25"/>
        <item x="23"/>
        <item x="22"/>
        <item x="21"/>
        <item x="20"/>
        <item x="19"/>
        <item x="24"/>
        <item x="18"/>
        <item x="13"/>
        <item x="17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  <item x="15"/>
        <item x="16"/>
      </items>
    </pivotField>
    <pivotField compact="0" outline="0" showAll="0" defaultSubtotal="0">
      <items count="7">
        <item x="6"/>
        <item x="4"/>
        <item x="3"/>
        <item x="0"/>
        <item x="1"/>
        <item x="2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2"/>
        <item x="1"/>
        <item x="3"/>
        <item x="0"/>
        <item x="4"/>
        <item m="1" x="5"/>
      </items>
    </pivotField>
    <pivotField compact="0" numFmtId="38" outline="0" showAll="0" defaultSubtotal="0"/>
    <pivotField compact="0" outline="0" showAll="0" defaultSubtotal="0"/>
    <pivotField compact="0" outline="0" showAll="0" defaultSubtotal="0"/>
    <pivotField compact="0" numFmtId="38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3" outline="0" showAll="0" defaultSubtotal="0"/>
    <pivotField compact="0" outline="0" showAll="0" defaultSubtotal="0"/>
    <pivotField compact="0" numFmtId="177" outline="0" showAll="0" defaultSubtotal="0"/>
    <pivotField compact="0" numFmtId="3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3" outline="0" showAll="0" defaultSubtotal="0"/>
    <pivotField compact="0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9" outline="0" showAll="0" defaultSubtotal="0"/>
    <pivotField compact="0" outline="0" showAll="0" defaultSubtotal="0"/>
    <pivotField compact="0" numFmtId="10" outline="0" showAll="0" defaultSubtotal="0"/>
    <pivotField compact="0" numFmtId="38" outline="0" showAll="0" defaultSubtotal="0"/>
    <pivotField compact="0" numFmtId="10" outline="0" showAll="0" defaultSubtotal="0"/>
    <pivotField compact="0" numFmtId="38" outline="0" showAll="0" defaultSubtotal="0"/>
    <pivotField compact="0" outline="0" showAll="0" defaultSubtotal="0"/>
    <pivotField compact="0" numFmtId="38" outline="0" showAll="0" defaultSubtotal="0"/>
    <pivotField compact="0" numFmtId="10" outline="0" showAll="0" defaultSubtotal="0"/>
    <pivotField compact="0" numFmtId="38" outline="0" showAll="0" defaultSubtotal="0"/>
    <pivotField compact="0" numFmtId="10" outline="0" showAll="0" defaultSubtotal="0"/>
    <pivotField compact="0" numFmtId="38" outline="0" showAll="0" defaultSubtotal="0"/>
    <pivotField compact="0" numFmtId="10" outline="0" showAll="0" defaultSubtotal="0"/>
    <pivotField dataField="1" compact="0" numFmtId="38" outline="0" showAll="0" defaultSubtotal="0"/>
    <pivotField dataField="1" compact="0" numFmtId="10" outline="0" showAll="0" defaultSubtotal="0"/>
    <pivotField dataField="1" compact="0" numFmtId="38" outline="0" showAll="0" defaultSubtotal="0"/>
    <pivotField dataField="1" compact="0" numFmtId="10" outline="0" showAll="0" defaultSubtotal="0"/>
    <pivotField dataField="1" compact="0" numFmtId="38" outline="0" showAll="0" defaultSubtotal="0"/>
    <pivotField dataField="1" compact="0" numFmtId="10" outline="0" showAll="0" defaultSubtotal="0"/>
    <pivotField dataField="1" compact="0" outline="0" subtotalTop="0" showAll="0" defaultSubtotal="0"/>
    <pivotField dataField="1" compact="0" numFmtId="10" outline="0" subtotalTop="0" showAll="0" defaultSubtotal="0"/>
    <pivotField compact="0" numFmtId="38" outline="0" showAll="0" defaultSubtotal="0"/>
    <pivotField compact="0" numFmtId="10" outline="0" showAll="0" defaultSubtotal="0"/>
    <pivotField compact="0" numFmtId="38" outline="0" showAll="0" defaultSubtotal="0"/>
    <pivotField compact="0" numFmtId="10" outline="0" showAll="0" defaultSubtotal="0"/>
    <pivotField compact="0" numFmtId="38" outline="0" showAll="0" defaultSubtotal="0"/>
    <pivotField compact="0" numFmtId="10" outline="0" showAll="0" defaultSubtotal="0"/>
    <pivotField compact="0" numFmtId="38" outline="0" showAll="0" defaultSubtotal="0"/>
    <pivotField compact="0" numFmtId="38" outline="0" showAll="0" defaultSubtotal="0"/>
    <pivotField compact="0" outline="0" showAll="0" defaultSubtotal="0"/>
    <pivotField compact="0" numFmtId="38" outline="0" showAll="0" defaultSubtotal="0"/>
    <pivotField compact="0" numFmtId="38" outline="0" showAll="0" defaultSubtotal="0"/>
    <pivotField compact="0" numFmtId="38" outline="0" showAll="0" defaultSubtotal="0"/>
    <pivotField compact="0" outline="0" showAll="0" defaultSubtotal="0"/>
    <pivotField compact="0" numFmtId="38" outline="0" showAll="0" defaultSubtotal="0"/>
    <pivotField compact="0" numFmtId="38" outline="0" showAll="0" defaultSubtotal="0"/>
    <pivotField compact="0" numFmtId="10" outline="0" showAll="0" defaultSubtotal="0"/>
    <pivotField compact="0" numFmtId="38" outline="0" showAll="0" defaultSubtotal="0"/>
    <pivotField compact="0" numFmtId="10" outline="0" showAll="0" defaultSubtotal="0"/>
    <pivotField compact="0" numFmtId="38" outline="0" showAll="0" defaultSubtotal="0"/>
    <pivotField compact="0" numFmtId="10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" outline="0" showAll="0" defaultSubtotal="0"/>
    <pivotField compact="0" numFmtId="38" outline="0" showAll="0" defaultSubtotal="0"/>
    <pivotField compact="0" numFmtId="38" outline="0" showAll="0" defaultSubtotal="0"/>
    <pivotField compact="0" numFmtId="38" outline="0" showAll="0" defaultSubtotal="0"/>
    <pivotField compact="0" numFmtId="38" outline="0" showAll="0" defaultSubtotal="0"/>
    <pivotField compact="0" numFmtId="38" outline="0" showAll="0" defaultSubtotal="0"/>
    <pivotField compact="0" numFmtId="38" outline="0" showAll="0" defaultSubtotal="0"/>
    <pivotField compact="0" numFmtId="38" outline="0" showAll="0" defaultSubtotal="0"/>
    <pivotField compact="0" numFmtId="38" outline="0" showAll="0" defaultSubtotal="0"/>
    <pivotField compact="0" numFmtId="38" outline="0" showAll="0" defaultSubtotal="0"/>
    <pivotField compact="0" numFmtId="38" outline="0" showAll="0" defaultSubtotal="0"/>
    <pivotField compact="0" numFmtId="3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16"/>
    <field x="7"/>
    <field x="18"/>
  </rowFields>
  <rowItems count="92">
    <i>
      <x/>
      <x v="676"/>
      <x v="4"/>
    </i>
    <i>
      <x v="1"/>
      <x v="676"/>
      <x v="4"/>
    </i>
    <i>
      <x v="2"/>
      <x v="676"/>
      <x v="4"/>
    </i>
    <i>
      <x v="3"/>
      <x v="676"/>
      <x v="4"/>
    </i>
    <i>
      <x v="4"/>
      <x v="676"/>
      <x v="4"/>
    </i>
    <i>
      <x v="5"/>
      <x v="676"/>
      <x v="4"/>
    </i>
    <i>
      <x v="6"/>
      <x v="1292"/>
      <x/>
    </i>
    <i>
      <x v="7"/>
      <x v="676"/>
      <x v="4"/>
    </i>
    <i>
      <x v="8"/>
      <x v="683"/>
      <x/>
    </i>
    <i r="1">
      <x v="1291"/>
      <x/>
    </i>
    <i>
      <x v="9"/>
      <x v="676"/>
      <x v="4"/>
    </i>
    <i>
      <x v="10"/>
      <x v="1289"/>
      <x v="2"/>
    </i>
    <i>
      <x v="11"/>
      <x v="188"/>
      <x v="2"/>
    </i>
    <i r="1">
      <x v="207"/>
      <x v="2"/>
    </i>
    <i r="1">
      <x v="1284"/>
      <x/>
    </i>
    <i r="1">
      <x v="1285"/>
      <x/>
    </i>
    <i r="1">
      <x v="1286"/>
      <x v="2"/>
    </i>
    <i r="1">
      <x v="1287"/>
      <x/>
    </i>
    <i r="1">
      <x v="1288"/>
      <x v="2"/>
    </i>
    <i>
      <x v="12"/>
      <x v="1276"/>
      <x v="2"/>
    </i>
    <i r="1">
      <x v="1277"/>
      <x v="2"/>
    </i>
    <i r="1">
      <x v="1278"/>
      <x/>
    </i>
    <i r="1">
      <x v="1279"/>
      <x v="2"/>
    </i>
    <i r="1">
      <x v="1280"/>
      <x v="3"/>
    </i>
    <i r="1">
      <x v="1281"/>
      <x v="2"/>
    </i>
    <i r="1">
      <x v="1282"/>
      <x v="3"/>
    </i>
    <i r="1">
      <x v="1283"/>
      <x/>
    </i>
    <i>
      <x v="13"/>
      <x v="1272"/>
      <x v="1"/>
    </i>
    <i r="1">
      <x v="1273"/>
      <x v="1"/>
    </i>
    <i r="1">
      <x v="1274"/>
      <x v="2"/>
    </i>
    <i r="1">
      <x v="1275"/>
      <x/>
    </i>
    <i>
      <x v="14"/>
      <x v="273"/>
      <x v="1"/>
    </i>
    <i r="1">
      <x v="310"/>
      <x/>
    </i>
    <i r="1">
      <x v="1263"/>
      <x v="2"/>
    </i>
    <i r="1">
      <x v="1264"/>
      <x v="3"/>
    </i>
    <i r="1">
      <x v="1265"/>
      <x v="3"/>
    </i>
    <i r="1">
      <x v="1266"/>
      <x v="3"/>
    </i>
    <i r="1">
      <x v="1267"/>
      <x/>
    </i>
    <i r="1">
      <x v="1268"/>
      <x v="1"/>
    </i>
    <i r="1">
      <x v="1269"/>
      <x/>
    </i>
    <i r="1">
      <x v="1270"/>
      <x/>
    </i>
    <i r="1">
      <x v="1271"/>
      <x v="3"/>
    </i>
    <i>
      <x v="15"/>
      <x v="318"/>
      <x v="1"/>
    </i>
    <i r="1">
      <x v="866"/>
      <x v="1"/>
    </i>
    <i r="1">
      <x v="1253"/>
      <x v="3"/>
    </i>
    <i r="1">
      <x v="1254"/>
      <x v="1"/>
    </i>
    <i r="1">
      <x v="1255"/>
      <x v="1"/>
    </i>
    <i r="1">
      <x v="1256"/>
      <x v="3"/>
    </i>
    <i r="1">
      <x v="1257"/>
      <x v="1"/>
    </i>
    <i r="1">
      <x v="1258"/>
      <x/>
    </i>
    <i r="1">
      <x v="1259"/>
      <x/>
    </i>
    <i r="1">
      <x v="1260"/>
      <x v="1"/>
    </i>
    <i r="1">
      <x v="1261"/>
      <x v="3"/>
    </i>
    <i r="1">
      <x v="1262"/>
      <x v="3"/>
    </i>
    <i>
      <x v="16"/>
      <x v="1251"/>
      <x v="2"/>
    </i>
    <i r="1">
      <x v="1252"/>
      <x v="1"/>
    </i>
    <i>
      <x v="17"/>
      <x v="1247"/>
      <x v="3"/>
    </i>
    <i r="1">
      <x v="1248"/>
      <x v="3"/>
    </i>
    <i r="1">
      <x v="1249"/>
      <x/>
    </i>
    <i r="1">
      <x v="1250"/>
      <x v="3"/>
    </i>
    <i>
      <x v="18"/>
      <x v="341"/>
      <x v="3"/>
    </i>
    <i r="1">
      <x v="364"/>
      <x v="3"/>
    </i>
    <i r="1">
      <x v="1038"/>
      <x v="3"/>
    </i>
    <i r="1">
      <x v="1242"/>
      <x v="1"/>
    </i>
    <i r="1">
      <x v="1243"/>
      <x v="3"/>
    </i>
    <i r="1">
      <x v="1244"/>
      <x v="3"/>
    </i>
    <i r="1">
      <x v="1245"/>
      <x v="3"/>
    </i>
    <i r="1">
      <x v="1246"/>
      <x v="3"/>
    </i>
    <i>
      <x v="19"/>
      <x v="448"/>
      <x v="3"/>
    </i>
    <i r="1">
      <x v="942"/>
      <x v="1"/>
    </i>
    <i r="1">
      <x v="966"/>
      <x v="3"/>
    </i>
    <i r="1">
      <x v="1130"/>
      <x v="3"/>
    </i>
    <i r="1">
      <x v="1232"/>
      <x v="3"/>
    </i>
    <i r="1">
      <x v="1233"/>
      <x v="3"/>
    </i>
    <i r="1">
      <x v="1234"/>
      <x v="3"/>
    </i>
    <i r="1">
      <x v="1235"/>
      <x v="3"/>
    </i>
    <i r="1">
      <x v="1236"/>
      <x v="3"/>
    </i>
    <i r="1">
      <x v="1237"/>
      <x v="3"/>
    </i>
    <i r="1">
      <x v="1238"/>
      <x v="3"/>
    </i>
    <i r="1">
      <x v="1239"/>
      <x v="3"/>
    </i>
    <i r="1">
      <x v="1240"/>
      <x v="3"/>
    </i>
    <i r="1">
      <x v="1241"/>
      <x v="3"/>
    </i>
    <i>
      <x v="20"/>
      <x v="1228"/>
      <x v="1"/>
    </i>
    <i r="1">
      <x v="1229"/>
      <x v="3"/>
    </i>
    <i r="1">
      <x v="1230"/>
      <x v="1"/>
    </i>
    <i r="1">
      <x v="1231"/>
      <x v="3"/>
    </i>
    <i>
      <x v="21"/>
      <x v="1227"/>
      <x v="3"/>
    </i>
    <i>
      <x v="22"/>
      <x v="1225"/>
      <x v="3"/>
    </i>
    <i r="1">
      <x v="1226"/>
      <x v="3"/>
    </i>
    <i>
      <x v="23"/>
      <x v="676"/>
      <x v="4"/>
    </i>
    <i>
      <x v="24"/>
      <x v="676"/>
      <x v="4"/>
    </i>
    <i>
      <x v="25"/>
      <x v="676"/>
      <x v="4"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Promedio de Básico Actual" fld="32" subtotal="average" baseField="18" baseItem="0"/>
    <dataField name="Promedio de Salario Basico Md" fld="81" subtotal="average" baseField="18" baseItem="2"/>
    <dataField name="Pos. Basico" fld="82" subtotal="average" baseField="18" baseItem="2" numFmtId="10"/>
    <dataField name="Garantizado Actual" fld="25" subtotal="average" baseField="16" baseItem="0" numFmtId="183"/>
    <dataField name="Garantizado Md" fld="75" subtotal="average" baseField="16" baseItem="0" numFmtId="183"/>
    <dataField name="Pos. G" fld="76" subtotal="average" baseField="16" baseItem="0" numFmtId="9"/>
    <dataField name="Garantizado + Variable Actual" fld="26" subtotal="average" baseField="16" baseItem="0" numFmtId="37"/>
    <dataField name="Garantizado + Variable Md" fld="77" subtotal="average" baseField="16" baseItem="0" numFmtId="37"/>
    <dataField name="Pos. G+V" fld="78" subtotal="average" baseField="16" baseItem="0" numFmtId="9"/>
    <dataField name="Compensación Total Actual" fld="27" subtotal="average" baseField="16" baseItem="0" numFmtId="37"/>
    <dataField name="Compensación Total Md" fld="79" subtotal="average" baseField="16" baseItem="0" numFmtId="37"/>
    <dataField name="Pos. CT" fld="80" subtotal="average" baseField="16" baseItem="0" numFmtId="9"/>
  </dataFields>
  <formats count="1476">
    <format dxfId="3659">
      <pivotArea outline="0" collapsedLevelsAreSubtotals="1" fieldPosition="0"/>
    </format>
    <format dxfId="3658">
      <pivotArea outline="0" collapsedLevelsAreSubtotals="1" fieldPosition="0"/>
    </format>
    <format dxfId="3657">
      <pivotArea dataOnly="0" labelOnly="1" outline="0" fieldPosition="0">
        <references count="1">
          <reference field="16" count="0"/>
        </references>
      </pivotArea>
    </format>
    <format dxfId="3656">
      <pivotArea dataOnly="0" labelOnly="1" outline="0" fieldPosition="0">
        <references count="3">
          <reference field="7" count="1" selected="0">
            <x v="78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655">
      <pivotArea dataOnly="0" labelOnly="1" outline="0" fieldPosition="0">
        <references count="3">
          <reference field="7" count="1" selected="0">
            <x v="79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654">
      <pivotArea dataOnly="0" labelOnly="1" outline="0" fieldPosition="0">
        <references count="3">
          <reference field="7" count="1" selected="0">
            <x v="162"/>
          </reference>
          <reference field="16" count="1" selected="0">
            <x v="4"/>
          </reference>
          <reference field="18" count="1">
            <x v="0"/>
          </reference>
        </references>
      </pivotArea>
    </format>
    <format dxfId="3653">
      <pivotArea dataOnly="0" labelOnly="1" outline="0" fieldPosition="0">
        <references count="3">
          <reference field="7" count="1" selected="0">
            <x v="103"/>
          </reference>
          <reference field="16" count="1" selected="0">
            <x v="8"/>
          </reference>
          <reference field="18" count="1">
            <x v="0"/>
          </reference>
        </references>
      </pivotArea>
    </format>
    <format dxfId="3652">
      <pivotArea dataOnly="0" labelOnly="1" outline="0" fieldPosition="0">
        <references count="3">
          <reference field="7" count="1" selected="0">
            <x v="109"/>
          </reference>
          <reference field="16" count="1" selected="0">
            <x v="9"/>
          </reference>
          <reference field="18" count="1">
            <x v="0"/>
          </reference>
        </references>
      </pivotArea>
    </format>
    <format dxfId="3651">
      <pivotArea dataOnly="0" labelOnly="1" outline="0" fieldPosition="0">
        <references count="3">
          <reference field="7" count="1" selected="0">
            <x v="110"/>
          </reference>
          <reference field="16" count="1" selected="0">
            <x v="9"/>
          </reference>
          <reference field="18" count="1">
            <x v="1"/>
          </reference>
        </references>
      </pivotArea>
    </format>
    <format dxfId="3650">
      <pivotArea dataOnly="0" labelOnly="1" outline="0" fieldPosition="0">
        <references count="3">
          <reference field="7" count="1" selected="0">
            <x v="174"/>
          </reference>
          <reference field="16" count="1" selected="0">
            <x v="9"/>
          </reference>
          <reference field="18" count="1">
            <x v="1"/>
          </reference>
        </references>
      </pivotArea>
    </format>
    <format dxfId="3649">
      <pivotArea dataOnly="0" labelOnly="1" outline="0" fieldPosition="0">
        <references count="3">
          <reference field="7" count="1" selected="0">
            <x v="107"/>
          </reference>
          <reference field="16" count="1" selected="0">
            <x v="10"/>
          </reference>
          <reference field="18" count="1">
            <x v="0"/>
          </reference>
        </references>
      </pivotArea>
    </format>
    <format dxfId="3648">
      <pivotArea dataOnly="0" labelOnly="1" outline="0" fieldPosition="0">
        <references count="3">
          <reference field="7" count="1" selected="0">
            <x v="108"/>
          </reference>
          <reference field="16" count="1" selected="0">
            <x v="10"/>
          </reference>
          <reference field="18" count="1">
            <x v="1"/>
          </reference>
        </references>
      </pivotArea>
    </format>
    <format dxfId="3647">
      <pivotArea dataOnly="0" labelOnly="1" outline="0" fieldPosition="0">
        <references count="3">
          <reference field="7" count="1" selected="0">
            <x v="112"/>
          </reference>
          <reference field="16" count="1" selected="0">
            <x v="10"/>
          </reference>
          <reference field="18" count="1">
            <x v="2"/>
          </reference>
        </references>
      </pivotArea>
    </format>
    <format dxfId="3646">
      <pivotArea dataOnly="0" labelOnly="1" outline="0" fieldPosition="0">
        <references count="3">
          <reference field="7" count="1" selected="0">
            <x v="104"/>
          </reference>
          <reference field="16" count="1" selected="0">
            <x v="11"/>
          </reference>
          <reference field="18" count="1">
            <x v="3"/>
          </reference>
        </references>
      </pivotArea>
    </format>
    <format dxfId="3645">
      <pivotArea dataOnly="0" labelOnly="1" outline="0" fieldPosition="0">
        <references count="3">
          <reference field="7" count="1" selected="0">
            <x v="111"/>
          </reference>
          <reference field="16" count="1" selected="0">
            <x v="11"/>
          </reference>
          <reference field="18" count="1">
            <x v="3"/>
          </reference>
        </references>
      </pivotArea>
    </format>
    <format dxfId="3644">
      <pivotArea dataOnly="0" labelOnly="1" outline="0" fieldPosition="0">
        <references count="3">
          <reference field="7" count="1" selected="0">
            <x v="163"/>
          </reference>
          <reference field="16" count="1" selected="0">
            <x v="11"/>
          </reference>
          <reference field="18" count="1">
            <x v="3"/>
          </reference>
        </references>
      </pivotArea>
    </format>
    <format dxfId="3643">
      <pivotArea dataOnly="0" labelOnly="1" outline="0" fieldPosition="0">
        <references count="3">
          <reference field="7" count="1" selected="0">
            <x v="105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3642">
      <pivotArea dataOnly="0" labelOnly="1" outline="0" fieldPosition="0">
        <references count="3">
          <reference field="7" count="1" selected="0">
            <x v="106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3641">
      <pivotArea dataOnly="0" labelOnly="1" outline="0" fieldPosition="0">
        <references count="3">
          <reference field="7" count="1" selected="0">
            <x v="118"/>
          </reference>
          <reference field="16" count="1" selected="0">
            <x v="12"/>
          </reference>
          <reference field="18" count="1">
            <x v="0"/>
          </reference>
        </references>
      </pivotArea>
    </format>
    <format dxfId="3640">
      <pivotArea dataOnly="0" labelOnly="1" outline="0" fieldPosition="0">
        <references count="3">
          <reference field="7" count="1" selected="0">
            <x v="123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3639">
      <pivotArea dataOnly="0" labelOnly="1" outline="0" fieldPosition="0">
        <references count="3">
          <reference field="7" count="1" selected="0">
            <x v="129"/>
          </reference>
          <reference field="16" count="1" selected="0">
            <x v="12"/>
          </reference>
          <reference field="18" count="1">
            <x v="0"/>
          </reference>
        </references>
      </pivotArea>
    </format>
    <format dxfId="3638">
      <pivotArea dataOnly="0" labelOnly="1" outline="0" fieldPosition="0">
        <references count="3">
          <reference field="7" count="1" selected="0">
            <x v="140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3637">
      <pivotArea dataOnly="0" labelOnly="1" outline="0" fieldPosition="0">
        <references count="3">
          <reference field="7" count="1" selected="0">
            <x v="176"/>
          </reference>
          <reference field="16" count="1" selected="0">
            <x v="12"/>
          </reference>
          <reference field="18" count="1">
            <x v="1"/>
          </reference>
        </references>
      </pivotArea>
    </format>
    <format dxfId="3636">
      <pivotArea dataOnly="0" labelOnly="1" outline="0" fieldPosition="0">
        <references count="3">
          <reference field="7" count="1" selected="0">
            <x v="125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3635">
      <pivotArea dataOnly="0" labelOnly="1" outline="0" fieldPosition="0">
        <references count="3">
          <reference field="7" count="1" selected="0">
            <x v="130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3634">
      <pivotArea dataOnly="0" labelOnly="1" outline="0" fieldPosition="0">
        <references count="3">
          <reference field="7" count="1" selected="0">
            <x v="133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3633">
      <pivotArea dataOnly="0" labelOnly="1" outline="0" fieldPosition="0">
        <references count="3">
          <reference field="7" count="1" selected="0">
            <x v="135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3632">
      <pivotArea dataOnly="0" labelOnly="1" outline="0" fieldPosition="0">
        <references count="3">
          <reference field="7" count="1" selected="0">
            <x v="141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3631">
      <pivotArea dataOnly="0" labelOnly="1" outline="0" fieldPosition="0">
        <references count="3">
          <reference field="7" count="1" selected="0">
            <x v="144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3630">
      <pivotArea dataOnly="0" labelOnly="1" outline="0" fieldPosition="0">
        <references count="3">
          <reference field="7" count="1" selected="0">
            <x v="145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3629">
      <pivotArea dataOnly="0" labelOnly="1" outline="0" fieldPosition="0">
        <references count="3">
          <reference field="7" count="1" selected="0">
            <x v="146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3628">
      <pivotArea dataOnly="0" labelOnly="1" outline="0" fieldPosition="0">
        <references count="3">
          <reference field="7" count="1" selected="0">
            <x v="147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3627">
      <pivotArea dataOnly="0" labelOnly="1" outline="0" fieldPosition="0">
        <references count="3">
          <reference field="7" count="1" selected="0">
            <x v="59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3626">
      <pivotArea dataOnly="0" labelOnly="1" outline="0" fieldPosition="0">
        <references count="3">
          <reference field="7" count="1" selected="0">
            <x v="67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3625">
      <pivotArea dataOnly="0" labelOnly="1" outline="0" fieldPosition="0">
        <references count="3">
          <reference field="7" count="1" selected="0">
            <x v="80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3624">
      <pivotArea dataOnly="0" labelOnly="1" outline="0" fieldPosition="0">
        <references count="3">
          <reference field="7" count="1" selected="0">
            <x v="117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3623">
      <pivotArea dataOnly="0" labelOnly="1" outline="0" fieldPosition="0">
        <references count="3">
          <reference field="7" count="1" selected="0">
            <x v="122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3622">
      <pivotArea dataOnly="0" labelOnly="1" outline="0" fieldPosition="0">
        <references count="3">
          <reference field="7" count="1" selected="0">
            <x v="127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3621">
      <pivotArea dataOnly="0" labelOnly="1" outline="0" fieldPosition="0">
        <references count="3">
          <reference field="7" count="1" selected="0">
            <x v="131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3620">
      <pivotArea dataOnly="0" labelOnly="1" outline="0" fieldPosition="0">
        <references count="3">
          <reference field="7" count="1" selected="0">
            <x v="132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3619">
      <pivotArea dataOnly="0" labelOnly="1" outline="0" fieldPosition="0">
        <references count="3">
          <reference field="7" count="1" selected="0">
            <x v="138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3618">
      <pivotArea dataOnly="0" labelOnly="1" outline="0" fieldPosition="0">
        <references count="3">
          <reference field="7" count="1" selected="0">
            <x v="139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3617">
      <pivotArea dataOnly="0" labelOnly="1" outline="0" fieldPosition="0">
        <references count="3">
          <reference field="7" count="1" selected="0">
            <x v="142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3616">
      <pivotArea dataOnly="0" labelOnly="1" outline="0" fieldPosition="0">
        <references count="3">
          <reference field="7" count="1" selected="0">
            <x v="143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3615">
      <pivotArea dataOnly="0" labelOnly="1" outline="0" fieldPosition="0">
        <references count="3">
          <reference field="7" count="1" selected="0">
            <x v="54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3614">
      <pivotArea dataOnly="0" labelOnly="1" outline="0" fieldPosition="0">
        <references count="3">
          <reference field="7" count="1" selected="0">
            <x v="62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613">
      <pivotArea dataOnly="0" labelOnly="1" outline="0" fieldPosition="0">
        <references count="3">
          <reference field="7" count="1" selected="0">
            <x v="68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612">
      <pivotArea dataOnly="0" labelOnly="1" outline="0" fieldPosition="0">
        <references count="3">
          <reference field="7" count="1" selected="0">
            <x v="69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611">
      <pivotArea dataOnly="0" labelOnly="1" outline="0" fieldPosition="0">
        <references count="3">
          <reference field="7" count="1" selected="0">
            <x v="72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610">
      <pivotArea dataOnly="0" labelOnly="1" outline="0" fieldPosition="0">
        <references count="3">
          <reference field="7" count="1" selected="0">
            <x v="73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609">
      <pivotArea dataOnly="0" labelOnly="1" outline="0" fieldPosition="0">
        <references count="3">
          <reference field="7" count="1" selected="0">
            <x v="74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608">
      <pivotArea dataOnly="0" labelOnly="1" outline="0" fieldPosition="0">
        <references count="3">
          <reference field="7" count="1" selected="0">
            <x v="75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607">
      <pivotArea dataOnly="0" labelOnly="1" outline="0" fieldPosition="0">
        <references count="3">
          <reference field="7" count="1" selected="0">
            <x v="77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3606">
      <pivotArea dataOnly="0" labelOnly="1" outline="0" fieldPosition="0">
        <references count="3">
          <reference field="7" count="1" selected="0">
            <x v="83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605">
      <pivotArea dataOnly="0" labelOnly="1" outline="0" fieldPosition="0">
        <references count="3">
          <reference field="7" count="1" selected="0">
            <x v="84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604">
      <pivotArea dataOnly="0" labelOnly="1" outline="0" fieldPosition="0">
        <references count="3">
          <reference field="7" count="1" selected="0">
            <x v="90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3603">
      <pivotArea dataOnly="0" labelOnly="1" outline="0" fieldPosition="0">
        <references count="3">
          <reference field="7" count="1" selected="0">
            <x v="91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3602">
      <pivotArea dataOnly="0" labelOnly="1" outline="0" fieldPosition="0">
        <references count="3">
          <reference field="7" count="1" selected="0">
            <x v="92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3601">
      <pivotArea dataOnly="0" labelOnly="1" outline="0" fieldPosition="0">
        <references count="3">
          <reference field="7" count="1" selected="0">
            <x v="95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600">
      <pivotArea dataOnly="0" labelOnly="1" outline="0" fieldPosition="0">
        <references count="3">
          <reference field="7" count="1" selected="0">
            <x v="96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599">
      <pivotArea dataOnly="0" labelOnly="1" outline="0" fieldPosition="0">
        <references count="3">
          <reference field="7" count="1" selected="0">
            <x v="98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598">
      <pivotArea dataOnly="0" labelOnly="1" outline="0" fieldPosition="0">
        <references count="3">
          <reference field="7" count="1" selected="0">
            <x v="100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3597">
      <pivotArea dataOnly="0" labelOnly="1" outline="0" fieldPosition="0">
        <references count="3">
          <reference field="7" count="1" selected="0">
            <x v="119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596">
      <pivotArea dataOnly="0" labelOnly="1" outline="0" fieldPosition="0">
        <references count="3">
          <reference field="7" count="1" selected="0">
            <x v="121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595">
      <pivotArea dataOnly="0" labelOnly="1" outline="0" fieldPosition="0">
        <references count="3">
          <reference field="7" count="1" selected="0">
            <x v="128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3594">
      <pivotArea dataOnly="0" labelOnly="1" outline="0" fieldPosition="0">
        <references count="3">
          <reference field="7" count="1" selected="0">
            <x v="134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593">
      <pivotArea dataOnly="0" labelOnly="1" outline="0" fieldPosition="0">
        <references count="3">
          <reference field="7" count="1" selected="0">
            <x v="5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592">
      <pivotArea dataOnly="0" labelOnly="1" outline="0" fieldPosition="0">
        <references count="3">
          <reference field="7" count="1" selected="0">
            <x v="11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591">
      <pivotArea dataOnly="0" labelOnly="1" outline="0" fieldPosition="0">
        <references count="3">
          <reference field="7" count="1" selected="0">
            <x v="30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590">
      <pivotArea dataOnly="0" labelOnly="1" outline="0" fieldPosition="0">
        <references count="3">
          <reference field="7" count="1" selected="0">
            <x v="56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3589">
      <pivotArea dataOnly="0" labelOnly="1" outline="0" fieldPosition="0">
        <references count="3">
          <reference field="7" count="1" selected="0">
            <x v="58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3588">
      <pivotArea dataOnly="0" labelOnly="1" outline="0" fieldPosition="0">
        <references count="3">
          <reference field="7" count="1" selected="0">
            <x v="63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587">
      <pivotArea dataOnly="0" labelOnly="1" outline="0" fieldPosition="0">
        <references count="3">
          <reference field="7" count="1" selected="0">
            <x v="65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3586">
      <pivotArea dataOnly="0" labelOnly="1" outline="0" fieldPosition="0">
        <references count="3">
          <reference field="7" count="1" selected="0">
            <x v="70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3585">
      <pivotArea dataOnly="0" labelOnly="1" outline="0" fieldPosition="0">
        <references count="3">
          <reference field="7" count="1" selected="0">
            <x v="76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584">
      <pivotArea dataOnly="0" labelOnly="1" outline="0" fieldPosition="0">
        <references count="3">
          <reference field="7" count="1" selected="0">
            <x v="78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583">
      <pivotArea dataOnly="0" labelOnly="1" outline="0" fieldPosition="0">
        <references count="3">
          <reference field="7" count="1" selected="0">
            <x v="79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582">
      <pivotArea dataOnly="0" labelOnly="1" outline="0" fieldPosition="0">
        <references count="3">
          <reference field="7" count="1" selected="0">
            <x v="81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3581">
      <pivotArea dataOnly="0" labelOnly="1" outline="0" fieldPosition="0">
        <references count="3">
          <reference field="7" count="1" selected="0">
            <x v="82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580">
      <pivotArea dataOnly="0" labelOnly="1" outline="0" fieldPosition="0">
        <references count="3">
          <reference field="7" count="1" selected="0">
            <x v="85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3579">
      <pivotArea dataOnly="0" labelOnly="1" outline="0" fieldPosition="0">
        <references count="3">
          <reference field="7" count="1" selected="0">
            <x v="86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578">
      <pivotArea dataOnly="0" labelOnly="1" outline="0" fieldPosition="0">
        <references count="3">
          <reference field="7" count="1" selected="0">
            <x v="88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3577">
      <pivotArea dataOnly="0" labelOnly="1" outline="0" fieldPosition="0">
        <references count="3">
          <reference field="7" count="1" selected="0">
            <x v="89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576">
      <pivotArea dataOnly="0" labelOnly="1" outline="0" fieldPosition="0">
        <references count="3">
          <reference field="7" count="1" selected="0">
            <x v="94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3575">
      <pivotArea dataOnly="0" labelOnly="1" outline="0" fieldPosition="0">
        <references count="3">
          <reference field="7" count="1" selected="0">
            <x v="97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574">
      <pivotArea dataOnly="0" labelOnly="1" outline="0" fieldPosition="0">
        <references count="3">
          <reference field="7" count="1" selected="0">
            <x v="99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3573">
      <pivotArea dataOnly="0" labelOnly="1" outline="0" fieldPosition="0">
        <references count="3">
          <reference field="7" count="1" selected="0">
            <x v="101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3572">
      <pivotArea dataOnly="0" labelOnly="1" outline="0" fieldPosition="0">
        <references count="3">
          <reference field="7" count="1" selected="0">
            <x v="113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571">
      <pivotArea dataOnly="0" labelOnly="1" outline="0" fieldPosition="0">
        <references count="3">
          <reference field="7" count="1" selected="0">
            <x v="120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570">
      <pivotArea dataOnly="0" labelOnly="1" outline="0" fieldPosition="0">
        <references count="3">
          <reference field="7" count="1" selected="0">
            <x v="124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569">
      <pivotArea dataOnly="0" labelOnly="1" outline="0" fieldPosition="0">
        <references count="3">
          <reference field="7" count="1" selected="0">
            <x v="126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568">
      <pivotArea dataOnly="0" labelOnly="1" outline="0" fieldPosition="0">
        <references count="3">
          <reference field="7" count="1" selected="0">
            <x v="136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567">
      <pivotArea dataOnly="0" labelOnly="1" outline="0" fieldPosition="0">
        <references count="3">
          <reference field="7" count="1" selected="0">
            <x v="137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566">
      <pivotArea dataOnly="0" labelOnly="1" outline="0" fieldPosition="0">
        <references count="3">
          <reference field="7" count="1" selected="0">
            <x v="153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3565">
      <pivotArea dataOnly="0" labelOnly="1" outline="0" fieldPosition="0">
        <references count="3">
          <reference field="7" count="1" selected="0">
            <x v="0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564">
      <pivotArea dataOnly="0" labelOnly="1" outline="0" fieldPosition="0">
        <references count="3">
          <reference field="7" count="1" selected="0">
            <x v="2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563">
      <pivotArea dataOnly="0" labelOnly="1" outline="0" fieldPosition="0">
        <references count="3">
          <reference field="7" count="1" selected="0">
            <x v="12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562">
      <pivotArea dataOnly="0" labelOnly="1" outline="0" fieldPosition="0">
        <references count="3">
          <reference field="7" count="1" selected="0">
            <x v="13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561">
      <pivotArea dataOnly="0" labelOnly="1" outline="0" fieldPosition="0">
        <references count="3">
          <reference field="7" count="1" selected="0">
            <x v="18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560">
      <pivotArea dataOnly="0" labelOnly="1" outline="0" fieldPosition="0">
        <references count="3">
          <reference field="7" count="1" selected="0">
            <x v="24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559">
      <pivotArea dataOnly="0" labelOnly="1" outline="0" fieldPosition="0">
        <references count="3">
          <reference field="7" count="1" selected="0">
            <x v="29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558">
      <pivotArea dataOnly="0" labelOnly="1" outline="0" fieldPosition="0">
        <references count="3">
          <reference field="7" count="1" selected="0">
            <x v="50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557">
      <pivotArea dataOnly="0" labelOnly="1" outline="0" fieldPosition="0">
        <references count="3">
          <reference field="7" count="1" selected="0">
            <x v="55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556">
      <pivotArea dataOnly="0" labelOnly="1" outline="0" fieldPosition="0">
        <references count="3">
          <reference field="7" count="1" selected="0">
            <x v="60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555">
      <pivotArea dataOnly="0" labelOnly="1" outline="0" fieldPosition="0">
        <references count="3">
          <reference field="7" count="1" selected="0">
            <x v="64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554">
      <pivotArea dataOnly="0" labelOnly="1" outline="0" fieldPosition="0">
        <references count="3">
          <reference field="7" count="1" selected="0">
            <x v="66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553">
      <pivotArea dataOnly="0" labelOnly="1" outline="0" fieldPosition="0">
        <references count="3">
          <reference field="7" count="1" selected="0">
            <x v="71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552">
      <pivotArea dataOnly="0" labelOnly="1" outline="0" fieldPosition="0">
        <references count="3">
          <reference field="7" count="1" selected="0">
            <x v="93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551">
      <pivotArea dataOnly="0" labelOnly="1" outline="0" fieldPosition="0">
        <references count="3">
          <reference field="7" count="1" selected="0">
            <x v="166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550">
      <pivotArea dataOnly="0" labelOnly="1" outline="0" fieldPosition="0">
        <references count="3">
          <reference field="7" count="1" selected="0">
            <x v="167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549">
      <pivotArea dataOnly="0" labelOnly="1" outline="0" fieldPosition="0">
        <references count="3">
          <reference field="7" count="1" selected="0">
            <x v="1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48">
      <pivotArea dataOnly="0" labelOnly="1" outline="0" fieldPosition="0">
        <references count="3">
          <reference field="7" count="1" selected="0">
            <x v="3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547">
      <pivotArea dataOnly="0" labelOnly="1" outline="0" fieldPosition="0">
        <references count="3">
          <reference field="7" count="1" selected="0">
            <x v="6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46">
      <pivotArea dataOnly="0" labelOnly="1" outline="0" fieldPosition="0">
        <references count="3">
          <reference field="7" count="1" selected="0">
            <x v="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45">
      <pivotArea dataOnly="0" labelOnly="1" outline="0" fieldPosition="0">
        <references count="3">
          <reference field="7" count="1" selected="0">
            <x v="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44">
      <pivotArea dataOnly="0" labelOnly="1" outline="0" fieldPosition="0">
        <references count="3">
          <reference field="7" count="1" selected="0">
            <x v="9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43">
      <pivotArea dataOnly="0" labelOnly="1" outline="0" fieldPosition="0">
        <references count="3">
          <reference field="7" count="1" selected="0">
            <x v="10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42">
      <pivotArea dataOnly="0" labelOnly="1" outline="0" fieldPosition="0">
        <references count="3">
          <reference field="7" count="1" selected="0">
            <x v="15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41">
      <pivotArea dataOnly="0" labelOnly="1" outline="0" fieldPosition="0">
        <references count="3">
          <reference field="7" count="1" selected="0">
            <x v="16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40">
      <pivotArea dataOnly="0" labelOnly="1" outline="0" fieldPosition="0">
        <references count="3">
          <reference field="7" count="1" selected="0">
            <x v="1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39">
      <pivotArea dataOnly="0" labelOnly="1" outline="0" fieldPosition="0">
        <references count="3">
          <reference field="7" count="1" selected="0">
            <x v="19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38">
      <pivotArea dataOnly="0" labelOnly="1" outline="0" fieldPosition="0">
        <references count="3">
          <reference field="7" count="1" selected="0">
            <x v="20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37">
      <pivotArea dataOnly="0" labelOnly="1" outline="0" fieldPosition="0">
        <references count="3">
          <reference field="7" count="1" selected="0">
            <x v="21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36">
      <pivotArea dataOnly="0" labelOnly="1" outline="0" fieldPosition="0">
        <references count="3">
          <reference field="7" count="1" selected="0">
            <x v="22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535">
      <pivotArea dataOnly="0" labelOnly="1" outline="0" fieldPosition="0">
        <references count="3">
          <reference field="7" count="1" selected="0">
            <x v="23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34">
      <pivotArea dataOnly="0" labelOnly="1" outline="0" fieldPosition="0">
        <references count="3">
          <reference field="7" count="1" selected="0">
            <x v="25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33">
      <pivotArea dataOnly="0" labelOnly="1" outline="0" fieldPosition="0">
        <references count="3">
          <reference field="7" count="1" selected="0">
            <x v="26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32">
      <pivotArea dataOnly="0" labelOnly="1" outline="0" fieldPosition="0">
        <references count="3">
          <reference field="7" count="1" selected="0">
            <x v="2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31">
      <pivotArea dataOnly="0" labelOnly="1" outline="0" fieldPosition="0">
        <references count="3">
          <reference field="7" count="1" selected="0">
            <x v="2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30">
      <pivotArea dataOnly="0" labelOnly="1" outline="0" fieldPosition="0">
        <references count="3">
          <reference field="7" count="1" selected="0">
            <x v="31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529">
      <pivotArea dataOnly="0" labelOnly="1" outline="0" fieldPosition="0">
        <references count="3">
          <reference field="7" count="1" selected="0">
            <x v="61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28">
      <pivotArea dataOnly="0" labelOnly="1" outline="0" fieldPosition="0">
        <references count="3">
          <reference field="7" count="1" selected="0">
            <x v="8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27">
      <pivotArea dataOnly="0" labelOnly="1" outline="0" fieldPosition="0">
        <references count="3">
          <reference field="7" count="1" selected="0">
            <x v="154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26">
      <pivotArea dataOnly="0" labelOnly="1" outline="0" fieldPosition="0">
        <references count="3">
          <reference field="7" count="1" selected="0">
            <x v="165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25">
      <pivotArea dataOnly="0" labelOnly="1" outline="0" fieldPosition="0">
        <references count="3">
          <reference field="7" count="1" selected="0">
            <x v="16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24">
      <pivotArea dataOnly="0" labelOnly="1" outline="0" fieldPosition="0">
        <references count="3">
          <reference field="7" count="1" selected="0">
            <x v="169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23">
      <pivotArea dataOnly="0" labelOnly="1" outline="0" fieldPosition="0">
        <references count="3">
          <reference field="7" count="1" selected="0">
            <x v="4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522">
      <pivotArea dataOnly="0" labelOnly="1" outline="0" fieldPosition="0">
        <references count="3">
          <reference field="7" count="1" selected="0">
            <x v="14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521">
      <pivotArea dataOnly="0" labelOnly="1" outline="0" fieldPosition="0">
        <references count="3">
          <reference field="7" count="1" selected="0">
            <x v="33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520">
      <pivotArea dataOnly="0" labelOnly="1" outline="0" fieldPosition="0">
        <references count="3">
          <reference field="7" count="1" selected="0">
            <x v="57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519">
      <pivotArea dataOnly="0" labelOnly="1" outline="0" fieldPosition="0">
        <references count="3">
          <reference field="7" count="1" selected="0">
            <x v="114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518">
      <pivotArea dataOnly="0" labelOnly="1" outline="0" fieldPosition="0">
        <references count="3">
          <reference field="7" count="1" selected="0">
            <x v="115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517">
      <pivotArea dataOnly="0" labelOnly="1" outline="0" fieldPosition="0">
        <references count="3">
          <reference field="7" count="1" selected="0">
            <x v="116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516">
      <pivotArea dataOnly="0" labelOnly="1" outline="0" fieldPosition="0">
        <references count="3">
          <reference field="7" count="1" selected="0">
            <x v="160"/>
          </reference>
          <reference field="16" count="1" selected="0">
            <x v="19"/>
          </reference>
          <reference field="18" count="1">
            <x v="2"/>
          </reference>
        </references>
      </pivotArea>
    </format>
    <format dxfId="3515">
      <pivotArea dataOnly="0" labelOnly="1" outline="0" fieldPosition="0">
        <references count="3">
          <reference field="7" count="1" selected="0">
            <x v="170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514">
      <pivotArea dataOnly="0" labelOnly="1" outline="0" fieldPosition="0">
        <references count="3">
          <reference field="7" count="1" selected="0">
            <x v="3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513">
      <pivotArea dataOnly="0" labelOnly="1" outline="0" fieldPosition="0">
        <references count="3">
          <reference field="7" count="1" selected="0">
            <x v="35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512">
      <pivotArea dataOnly="0" labelOnly="1" outline="0" fieldPosition="0">
        <references count="3">
          <reference field="7" count="1" selected="0">
            <x v="37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511">
      <pivotArea dataOnly="0" labelOnly="1" outline="0" fieldPosition="0">
        <references count="3">
          <reference field="7" count="1" selected="0">
            <x v="38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510">
      <pivotArea dataOnly="0" labelOnly="1" outline="0" fieldPosition="0">
        <references count="3">
          <reference field="7" count="1" selected="0">
            <x v="39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509">
      <pivotArea dataOnly="0" labelOnly="1" outline="0" fieldPosition="0">
        <references count="3">
          <reference field="7" count="1" selected="0">
            <x v="40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508">
      <pivotArea dataOnly="0" labelOnly="1" outline="0" fieldPosition="0">
        <references count="3">
          <reference field="7" count="1" selected="0">
            <x v="4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507">
      <pivotArea dataOnly="0" labelOnly="1" outline="0" fieldPosition="0">
        <references count="3">
          <reference field="7" count="1" selected="0">
            <x v="43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506">
      <pivotArea dataOnly="0" labelOnly="1" outline="0" fieldPosition="0">
        <references count="3">
          <reference field="7" count="1" selected="0">
            <x v="45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505">
      <pivotArea dataOnly="0" labelOnly="1" outline="0" fieldPosition="0">
        <references count="3">
          <reference field="7" count="1" selected="0">
            <x v="46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504">
      <pivotArea dataOnly="0" labelOnly="1" outline="0" fieldPosition="0">
        <references count="3">
          <reference field="7" count="1" selected="0">
            <x v="47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503">
      <pivotArea dataOnly="0" labelOnly="1" outline="0" fieldPosition="0">
        <references count="3">
          <reference field="7" count="1" selected="0">
            <x v="49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502">
      <pivotArea dataOnly="0" labelOnly="1" outline="0" fieldPosition="0">
        <references count="3">
          <reference field="7" count="1" selected="0">
            <x v="53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3501">
      <pivotArea dataOnly="0" labelOnly="1" outline="0" fieldPosition="0">
        <references count="3">
          <reference field="7" count="1" selected="0">
            <x v="158"/>
          </reference>
          <reference field="16" count="1" selected="0">
            <x v="20"/>
          </reference>
          <reference field="18" count="1">
            <x v="2"/>
          </reference>
        </references>
      </pivotArea>
    </format>
    <format dxfId="3500">
      <pivotArea dataOnly="0" labelOnly="1" outline="0" fieldPosition="0">
        <references count="3">
          <reference field="7" count="1" selected="0">
            <x v="159"/>
          </reference>
          <reference field="16" count="1" selected="0">
            <x v="20"/>
          </reference>
          <reference field="18" count="1">
            <x v="2"/>
          </reference>
        </references>
      </pivotArea>
    </format>
    <format dxfId="3499">
      <pivotArea dataOnly="0" labelOnly="1" outline="0" fieldPosition="0">
        <references count="3">
          <reference field="7" count="1" selected="0">
            <x v="164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3498">
      <pivotArea dataOnly="0" labelOnly="1" outline="0" fieldPosition="0">
        <references count="3">
          <reference field="7" count="1" selected="0">
            <x v="171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497">
      <pivotArea dataOnly="0" labelOnly="1" outline="0" fieldPosition="0">
        <references count="3">
          <reference field="7" count="1" selected="0">
            <x v="17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496">
      <pivotArea dataOnly="0" labelOnly="1" outline="0" fieldPosition="0">
        <references count="3">
          <reference field="7" count="1" selected="0">
            <x v="173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3495">
      <pivotArea dataOnly="0" labelOnly="1" outline="0" fieldPosition="0">
        <references count="3">
          <reference field="7" count="1" selected="0">
            <x v="34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494">
      <pivotArea dataOnly="0" labelOnly="1" outline="0" fieldPosition="0">
        <references count="3">
          <reference field="7" count="1" selected="0">
            <x v="36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493">
      <pivotArea dataOnly="0" labelOnly="1" outline="0" fieldPosition="0">
        <references count="3">
          <reference field="7" count="1" selected="0">
            <x v="41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492">
      <pivotArea dataOnly="0" labelOnly="1" outline="0" fieldPosition="0">
        <references count="3">
          <reference field="7" count="1" selected="0">
            <x v="44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491">
      <pivotArea dataOnly="0" labelOnly="1" outline="0" fieldPosition="0">
        <references count="3">
          <reference field="7" count="1" selected="0">
            <x v="52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490">
      <pivotArea dataOnly="0" labelOnly="1" outline="0" fieldPosition="0">
        <references count="3">
          <reference field="7" count="1" selected="0">
            <x v="102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489">
      <pivotArea dataOnly="0" labelOnly="1" outline="0" fieldPosition="0">
        <references count="3">
          <reference field="7" count="1" selected="0">
            <x v="149"/>
          </reference>
          <reference field="16" count="1" selected="0">
            <x v="21"/>
          </reference>
          <reference field="18" count="1">
            <x v="2"/>
          </reference>
        </references>
      </pivotArea>
    </format>
    <format dxfId="3488">
      <pivotArea dataOnly="0" labelOnly="1" outline="0" fieldPosition="0">
        <references count="3">
          <reference field="7" count="1" selected="0">
            <x v="150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487">
      <pivotArea dataOnly="0" labelOnly="1" outline="0" fieldPosition="0">
        <references count="3">
          <reference field="7" count="1" selected="0">
            <x v="15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486">
      <pivotArea dataOnly="0" labelOnly="1" outline="0" fieldPosition="0">
        <references count="3">
          <reference field="7" count="1" selected="0">
            <x v="156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485">
      <pivotArea dataOnly="0" labelOnly="1" outline="0" fieldPosition="0">
        <references count="3">
          <reference field="7" count="1" selected="0">
            <x v="157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484">
      <pivotArea dataOnly="0" labelOnly="1" outline="0" fieldPosition="0">
        <references count="3">
          <reference field="7" count="1" selected="0">
            <x v="51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3483">
      <pivotArea dataOnly="0" labelOnly="1" outline="0" fieldPosition="0">
        <references count="3">
          <reference field="7" count="1" selected="0">
            <x v="151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3482">
      <pivotArea dataOnly="0" labelOnly="1" outline="0" fieldPosition="0">
        <references count="3">
          <reference field="7" count="1" selected="0">
            <x v="161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3481">
      <pivotArea dataOnly="0" labelOnly="1" outline="0" fieldPosition="0">
        <references count="3">
          <reference field="7" count="1" selected="0">
            <x v="175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3480">
      <pivotArea dataOnly="0" labelOnly="1" outline="0" fieldPosition="0">
        <references count="3">
          <reference field="7" count="1" selected="0">
            <x v="148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3479">
      <pivotArea dataOnly="0" labelOnly="1" outline="0" fieldPosition="0">
        <references count="3">
          <reference field="7" count="1" selected="0">
            <x v="152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3478">
      <pivotArea dataOnly="0" labelOnly="1" outline="0" fieldPosition="0">
        <references count="3">
          <reference field="7" count="1" selected="0">
            <x v="48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3477">
      <pivotArea field="16" type="button" dataOnly="0" labelOnly="1" outline="0" axis="axisRow" fieldPosition="0"/>
    </format>
    <format dxfId="3476">
      <pivotArea field="7" type="button" dataOnly="0" labelOnly="1" outline="0" axis="axisRow" fieldPosition="1"/>
    </format>
    <format dxfId="3475">
      <pivotArea field="18" type="button" dataOnly="0" labelOnly="1" outline="0" axis="axisRow" fieldPosition="2"/>
    </format>
    <format dxfId="3474">
      <pivotArea dataOnly="0" labelOnly="1" outline="0" fieldPosition="0">
        <references count="1">
          <reference field="4294967294" count="6">
            <x v="3"/>
            <x v="4"/>
            <x v="6"/>
            <x v="7"/>
            <x v="9"/>
            <x v="10"/>
          </reference>
        </references>
      </pivotArea>
    </format>
    <format dxfId="3473">
      <pivotArea field="16" type="button" dataOnly="0" labelOnly="1" outline="0" axis="axisRow" fieldPosition="0"/>
    </format>
    <format dxfId="3472">
      <pivotArea field="7" type="button" dataOnly="0" labelOnly="1" outline="0" axis="axisRow" fieldPosition="1"/>
    </format>
    <format dxfId="3471">
      <pivotArea field="18" type="button" dataOnly="0" labelOnly="1" outline="0" axis="axisRow" fieldPosition="2"/>
    </format>
    <format dxfId="3470">
      <pivotArea dataOnly="0" labelOnly="1" outline="0" fieldPosition="0">
        <references count="1">
          <reference field="4294967294" count="6">
            <x v="3"/>
            <x v="4"/>
            <x v="6"/>
            <x v="7"/>
            <x v="9"/>
            <x v="10"/>
          </reference>
        </references>
      </pivotArea>
    </format>
    <format dxfId="3469">
      <pivotArea field="16" type="button" dataOnly="0" labelOnly="1" outline="0" axis="axisRow" fieldPosition="0"/>
    </format>
    <format dxfId="3468">
      <pivotArea dataOnly="0" labelOnly="1" outline="0" fieldPosition="0">
        <references count="1">
          <reference field="4294967294" count="6">
            <x v="3"/>
            <x v="4"/>
            <x v="6"/>
            <x v="7"/>
            <x v="9"/>
            <x v="10"/>
          </reference>
        </references>
      </pivotArea>
    </format>
    <format dxfId="3467">
      <pivotArea outline="0" fieldPosition="0">
        <references count="1">
          <reference field="4294967294" count="1" selected="0">
            <x v="5"/>
          </reference>
        </references>
      </pivotArea>
    </format>
    <format dxfId="3466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3465">
      <pivotArea outline="0" fieldPosition="0">
        <references count="1">
          <reference field="4294967294" count="1" selected="0">
            <x v="8"/>
          </reference>
        </references>
      </pivotArea>
    </format>
    <format dxfId="3464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3463">
      <pivotArea outline="0" fieldPosition="0">
        <references count="1">
          <reference field="4294967294" count="1" selected="0">
            <x v="8"/>
          </reference>
        </references>
      </pivotArea>
    </format>
    <format dxfId="3462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3461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3460">
      <pivotArea outline="0" fieldPosition="0">
        <references count="1">
          <reference field="4294967294" count="1" selected="0">
            <x v="5"/>
          </reference>
        </references>
      </pivotArea>
    </format>
    <format dxfId="3459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3458">
      <pivotArea outline="0" fieldPosition="0">
        <references count="1">
          <reference field="4294967294" count="1" selected="0">
            <x v="8"/>
          </reference>
        </references>
      </pivotArea>
    </format>
    <format dxfId="3457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3456">
      <pivotArea outline="0" fieldPosition="0">
        <references count="1">
          <reference field="4294967294" count="1" selected="0">
            <x v="11"/>
          </reference>
        </references>
      </pivotArea>
    </format>
    <format dxfId="3455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3454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3453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3452">
      <pivotArea outline="0" fieldPosition="0">
        <references count="1">
          <reference field="4294967294" count="1" selected="0">
            <x v="11"/>
          </reference>
        </references>
      </pivotArea>
    </format>
    <format dxfId="3451">
      <pivotArea outline="0" fieldPosition="0">
        <references count="3">
          <reference field="7" count="2" selected="0">
            <x v="485"/>
            <x v="486"/>
          </reference>
          <reference field="16" count="1" selected="0">
            <x v="9"/>
          </reference>
          <reference field="18" count="1" selected="0">
            <x v="0"/>
          </reference>
        </references>
      </pivotArea>
    </format>
    <format dxfId="3450">
      <pivotArea dataOnly="0" labelOnly="1" outline="0" fieldPosition="0">
        <references count="2">
          <reference field="7" count="2">
            <x v="485"/>
            <x v="486"/>
          </reference>
          <reference field="16" count="1" selected="0">
            <x v="9"/>
          </reference>
        </references>
      </pivotArea>
    </format>
    <format dxfId="3449">
      <pivotArea dataOnly="0" labelOnly="1" outline="0" fieldPosition="0">
        <references count="3">
          <reference field="7" count="1" selected="0">
            <x v="485"/>
          </reference>
          <reference field="16" count="1" selected="0">
            <x v="9"/>
          </reference>
          <reference field="18" count="1">
            <x v="0"/>
          </reference>
        </references>
      </pivotArea>
    </format>
    <format dxfId="3448">
      <pivotArea dataOnly="0" labelOnly="1" outline="0" fieldPosition="0">
        <references count="3">
          <reference field="7" count="1" selected="0">
            <x v="486"/>
          </reference>
          <reference field="16" count="1" selected="0">
            <x v="9"/>
          </reference>
          <reference field="18" count="1">
            <x v="0"/>
          </reference>
        </references>
      </pivotArea>
    </format>
    <format dxfId="3447">
      <pivotArea outline="0" fieldPosition="0">
        <references count="3">
          <reference field="7" count="2" selected="0">
            <x v="487"/>
            <x v="489"/>
          </reference>
          <reference field="16" count="1" selected="0">
            <x v="11"/>
          </reference>
          <reference field="18" count="2" selected="0">
            <x v="0"/>
            <x v="3"/>
          </reference>
        </references>
      </pivotArea>
    </format>
    <format dxfId="3446">
      <pivotArea dataOnly="0" labelOnly="1" outline="0" fieldPosition="0">
        <references count="2">
          <reference field="7" count="2">
            <x v="487"/>
            <x v="489"/>
          </reference>
          <reference field="16" count="1" selected="0">
            <x v="11"/>
          </reference>
        </references>
      </pivotArea>
    </format>
    <format dxfId="3445">
      <pivotArea dataOnly="0" labelOnly="1" outline="0" fieldPosition="0">
        <references count="3">
          <reference field="7" count="1" selected="0">
            <x v="487"/>
          </reference>
          <reference field="16" count="1" selected="0">
            <x v="11"/>
          </reference>
          <reference field="18" count="1">
            <x v="0"/>
          </reference>
        </references>
      </pivotArea>
    </format>
    <format dxfId="3444">
      <pivotArea dataOnly="0" labelOnly="1" outline="0" fieldPosition="0">
        <references count="3">
          <reference field="7" count="1" selected="0">
            <x v="489"/>
          </reference>
          <reference field="16" count="1" selected="0">
            <x v="11"/>
          </reference>
          <reference field="18" count="1">
            <x v="3"/>
          </reference>
        </references>
      </pivotArea>
    </format>
    <format dxfId="3443">
      <pivotArea outline="0" fieldPosition="0">
        <references count="3">
          <reference field="7" count="6" selected="0">
            <x v="197"/>
            <x v="491"/>
            <x v="493"/>
            <x v="494"/>
            <x v="495"/>
            <x v="501"/>
          </reference>
          <reference field="16" count="1" selected="0">
            <x v="13"/>
          </reference>
          <reference field="18" count="3" selected="0">
            <x v="0"/>
            <x v="2"/>
            <x v="3"/>
          </reference>
        </references>
      </pivotArea>
    </format>
    <format dxfId="3442">
      <pivotArea dataOnly="0" labelOnly="1" outline="0" fieldPosition="0">
        <references count="2">
          <reference field="7" count="6">
            <x v="197"/>
            <x v="491"/>
            <x v="493"/>
            <x v="494"/>
            <x v="495"/>
            <x v="501"/>
          </reference>
          <reference field="16" count="1" selected="0">
            <x v="13"/>
          </reference>
        </references>
      </pivotArea>
    </format>
    <format dxfId="3441">
      <pivotArea dataOnly="0" labelOnly="1" outline="0" fieldPosition="0">
        <references count="3">
          <reference field="7" count="1" selected="0">
            <x v="197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3440">
      <pivotArea dataOnly="0" labelOnly="1" outline="0" fieldPosition="0">
        <references count="3">
          <reference field="7" count="1" selected="0">
            <x v="491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3439">
      <pivotArea dataOnly="0" labelOnly="1" outline="0" fieldPosition="0">
        <references count="3">
          <reference field="7" count="1" selected="0">
            <x v="493"/>
          </reference>
          <reference field="16" count="1" selected="0">
            <x v="13"/>
          </reference>
          <reference field="18" count="1">
            <x v="0"/>
          </reference>
        </references>
      </pivotArea>
    </format>
    <format dxfId="3438">
      <pivotArea dataOnly="0" labelOnly="1" outline="0" fieldPosition="0">
        <references count="3">
          <reference field="7" count="1" selected="0">
            <x v="494"/>
          </reference>
          <reference field="16" count="1" selected="0">
            <x v="13"/>
          </reference>
          <reference field="18" count="1">
            <x v="0"/>
          </reference>
        </references>
      </pivotArea>
    </format>
    <format dxfId="3437">
      <pivotArea dataOnly="0" labelOnly="1" outline="0" fieldPosition="0">
        <references count="3">
          <reference field="7" count="1" selected="0">
            <x v="495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3436">
      <pivotArea dataOnly="0" labelOnly="1" outline="0" fieldPosition="0">
        <references count="3">
          <reference field="7" count="1" selected="0">
            <x v="501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3435">
      <pivotArea outline="0" fieldPosition="0">
        <references count="3">
          <reference field="7" count="2" selected="0">
            <x v="509"/>
            <x v="510"/>
          </reference>
          <reference field="16" count="1" selected="0">
            <x v="15"/>
          </reference>
          <reference field="18" count="2" selected="0">
            <x v="2"/>
            <x v="3"/>
          </reference>
        </references>
      </pivotArea>
    </format>
    <format dxfId="3434">
      <pivotArea dataOnly="0" labelOnly="1" outline="0" fieldPosition="0">
        <references count="2">
          <reference field="7" count="2">
            <x v="509"/>
            <x v="510"/>
          </reference>
          <reference field="16" count="1" selected="0">
            <x v="15"/>
          </reference>
        </references>
      </pivotArea>
    </format>
    <format dxfId="3433">
      <pivotArea dataOnly="0" labelOnly="1" outline="0" fieldPosition="0">
        <references count="3">
          <reference field="7" count="1" selected="0">
            <x v="509"/>
          </reference>
          <reference field="16" count="1" selected="0">
            <x v="15"/>
          </reference>
          <reference field="18" count="1">
            <x v="2"/>
          </reference>
        </references>
      </pivotArea>
    </format>
    <format dxfId="3432">
      <pivotArea dataOnly="0" labelOnly="1" outline="0" fieldPosition="0">
        <references count="3">
          <reference field="7" count="1" selected="0">
            <x v="510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431">
      <pivotArea outline="0" fieldPosition="0">
        <references count="3">
          <reference field="7" count="7" selected="0">
            <x v="514"/>
            <x v="515"/>
            <x v="516"/>
            <x v="517"/>
            <x v="518"/>
            <x v="519"/>
            <x v="520"/>
          </reference>
          <reference field="16" count="1" selected="0">
            <x v="17"/>
          </reference>
          <reference field="18" count="0" selected="0"/>
        </references>
      </pivotArea>
    </format>
    <format dxfId="3430">
      <pivotArea dataOnly="0" labelOnly="1" outline="0" fieldPosition="0">
        <references count="2">
          <reference field="7" count="7">
            <x v="514"/>
            <x v="515"/>
            <x v="516"/>
            <x v="517"/>
            <x v="518"/>
            <x v="519"/>
            <x v="520"/>
          </reference>
          <reference field="16" count="1" selected="0">
            <x v="17"/>
          </reference>
        </references>
      </pivotArea>
    </format>
    <format dxfId="3429">
      <pivotArea dataOnly="0" labelOnly="1" outline="0" fieldPosition="0">
        <references count="3">
          <reference field="7" count="1" selected="0">
            <x v="514"/>
          </reference>
          <reference field="16" count="1" selected="0">
            <x v="17"/>
          </reference>
          <reference field="18" count="1">
            <x v="0"/>
          </reference>
        </references>
      </pivotArea>
    </format>
    <format dxfId="3428">
      <pivotArea dataOnly="0" labelOnly="1" outline="0" fieldPosition="0">
        <references count="3">
          <reference field="7" count="1" selected="0">
            <x v="515"/>
          </reference>
          <reference field="16" count="1" selected="0">
            <x v="17"/>
          </reference>
          <reference field="18" count="1">
            <x v="0"/>
          </reference>
        </references>
      </pivotArea>
    </format>
    <format dxfId="3427">
      <pivotArea dataOnly="0" labelOnly="1" outline="0" fieldPosition="0">
        <references count="3">
          <reference field="7" count="1" selected="0">
            <x v="516"/>
          </reference>
          <reference field="16" count="1" selected="0">
            <x v="17"/>
          </reference>
          <reference field="18" count="1">
            <x v="2"/>
          </reference>
        </references>
      </pivotArea>
    </format>
    <format dxfId="3426">
      <pivotArea dataOnly="0" labelOnly="1" outline="0" fieldPosition="0">
        <references count="3">
          <reference field="7" count="1" selected="0">
            <x v="517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425">
      <pivotArea dataOnly="0" labelOnly="1" outline="0" fieldPosition="0">
        <references count="3">
          <reference field="7" count="1" selected="0">
            <x v="518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424">
      <pivotArea dataOnly="0" labelOnly="1" outline="0" fieldPosition="0">
        <references count="3">
          <reference field="7" count="1" selected="0">
            <x v="519"/>
          </reference>
          <reference field="16" count="1" selected="0">
            <x v="17"/>
          </reference>
          <reference field="18" count="1">
            <x v="0"/>
          </reference>
        </references>
      </pivotArea>
    </format>
    <format dxfId="3423">
      <pivotArea dataOnly="0" labelOnly="1" outline="0" fieldPosition="0">
        <references count="3">
          <reference field="7" count="1" selected="0">
            <x v="520"/>
          </reference>
          <reference field="16" count="1" selected="0">
            <x v="17"/>
          </reference>
          <reference field="18" count="1">
            <x v="2"/>
          </reference>
        </references>
      </pivotArea>
    </format>
    <format dxfId="3422">
      <pivotArea outline="0" fieldPosition="0">
        <references count="3">
          <reference field="7" count="13" selected="0"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</reference>
          <reference field="16" count="1" selected="0">
            <x v="19"/>
          </reference>
          <reference field="18" count="2" selected="0">
            <x v="1"/>
            <x v="3"/>
          </reference>
        </references>
      </pivotArea>
    </format>
    <format dxfId="3421">
      <pivotArea dataOnly="0" labelOnly="1" outline="0" fieldPosition="0">
        <references count="2">
          <reference field="7" count="13"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</reference>
          <reference field="16" count="1" selected="0">
            <x v="19"/>
          </reference>
        </references>
      </pivotArea>
    </format>
    <format dxfId="3420">
      <pivotArea dataOnly="0" labelOnly="1" outline="0" fieldPosition="0">
        <references count="3">
          <reference field="7" count="1" selected="0">
            <x v="531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419">
      <pivotArea dataOnly="0" labelOnly="1" outline="0" fieldPosition="0">
        <references count="3">
          <reference field="7" count="1" selected="0">
            <x v="532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418">
      <pivotArea dataOnly="0" labelOnly="1" outline="0" fieldPosition="0">
        <references count="3">
          <reference field="7" count="1" selected="0">
            <x v="533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417">
      <pivotArea dataOnly="0" labelOnly="1" outline="0" fieldPosition="0">
        <references count="3">
          <reference field="7" count="1" selected="0">
            <x v="534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416">
      <pivotArea dataOnly="0" labelOnly="1" outline="0" fieldPosition="0">
        <references count="3">
          <reference field="7" count="1" selected="0">
            <x v="53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415">
      <pivotArea dataOnly="0" labelOnly="1" outline="0" fieldPosition="0">
        <references count="3">
          <reference field="7" count="1" selected="0">
            <x v="536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414">
      <pivotArea dataOnly="0" labelOnly="1" outline="0" fieldPosition="0">
        <references count="3">
          <reference field="7" count="1" selected="0">
            <x v="537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413">
      <pivotArea dataOnly="0" labelOnly="1" outline="0" fieldPosition="0">
        <references count="3">
          <reference field="7" count="1" selected="0">
            <x v="538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412">
      <pivotArea dataOnly="0" labelOnly="1" outline="0" fieldPosition="0">
        <references count="3">
          <reference field="7" count="1" selected="0">
            <x v="539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411">
      <pivotArea dataOnly="0" labelOnly="1" outline="0" fieldPosition="0">
        <references count="3">
          <reference field="7" count="1" selected="0">
            <x v="540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410">
      <pivotArea dataOnly="0" labelOnly="1" outline="0" fieldPosition="0">
        <references count="3">
          <reference field="7" count="1" selected="0">
            <x v="541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409">
      <pivotArea dataOnly="0" labelOnly="1" outline="0" fieldPosition="0">
        <references count="3">
          <reference field="7" count="1" selected="0">
            <x v="542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408">
      <pivotArea dataOnly="0" labelOnly="1" outline="0" fieldPosition="0">
        <references count="3">
          <reference field="7" count="1" selected="0">
            <x v="543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407">
      <pivotArea outline="0" fieldPosition="0">
        <references count="3">
          <reference field="7" count="11" selected="0">
            <x v="35"/>
            <x v="549"/>
            <x v="550"/>
            <x v="551"/>
            <x v="552"/>
            <x v="553"/>
            <x v="554"/>
            <x v="555"/>
            <x v="556"/>
            <x v="557"/>
            <x v="558"/>
          </reference>
          <reference field="16" count="1" selected="0">
            <x v="21"/>
          </reference>
          <reference field="18" count="2" selected="0">
            <x v="1"/>
            <x v="3"/>
          </reference>
        </references>
      </pivotArea>
    </format>
    <format dxfId="3406">
      <pivotArea dataOnly="0" labelOnly="1" outline="0" fieldPosition="0">
        <references count="2">
          <reference field="7" count="11">
            <x v="35"/>
            <x v="549"/>
            <x v="550"/>
            <x v="551"/>
            <x v="552"/>
            <x v="553"/>
            <x v="554"/>
            <x v="555"/>
            <x v="556"/>
            <x v="557"/>
            <x v="558"/>
          </reference>
          <reference field="16" count="1" selected="0">
            <x v="21"/>
          </reference>
        </references>
      </pivotArea>
    </format>
    <format dxfId="3405">
      <pivotArea dataOnly="0" labelOnly="1" outline="0" fieldPosition="0">
        <references count="3">
          <reference field="7" count="1" selected="0">
            <x v="3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404">
      <pivotArea dataOnly="0" labelOnly="1" outline="0" fieldPosition="0">
        <references count="3">
          <reference field="7" count="1" selected="0">
            <x v="549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403">
      <pivotArea dataOnly="0" labelOnly="1" outline="0" fieldPosition="0">
        <references count="3">
          <reference field="7" count="1" selected="0">
            <x v="550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402">
      <pivotArea dataOnly="0" labelOnly="1" outline="0" fieldPosition="0">
        <references count="3">
          <reference field="7" count="1" selected="0">
            <x v="551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401">
      <pivotArea dataOnly="0" labelOnly="1" outline="0" fieldPosition="0">
        <references count="3">
          <reference field="7" count="1" selected="0">
            <x v="552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400">
      <pivotArea dataOnly="0" labelOnly="1" outline="0" fieldPosition="0">
        <references count="3">
          <reference field="7" count="1" selected="0">
            <x v="553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399">
      <pivotArea dataOnly="0" labelOnly="1" outline="0" fieldPosition="0">
        <references count="3">
          <reference field="7" count="1" selected="0">
            <x v="554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398">
      <pivotArea dataOnly="0" labelOnly="1" outline="0" fieldPosition="0">
        <references count="3">
          <reference field="7" count="1" selected="0">
            <x v="555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397">
      <pivotArea dataOnly="0" labelOnly="1" outline="0" fieldPosition="0">
        <references count="3">
          <reference field="7" count="1" selected="0">
            <x v="556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396">
      <pivotArea dataOnly="0" labelOnly="1" outline="0" fieldPosition="0">
        <references count="3">
          <reference field="7" count="1" selected="0">
            <x v="557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395">
      <pivotArea dataOnly="0" labelOnly="1" outline="0" fieldPosition="0">
        <references count="3">
          <reference field="7" count="1" selected="0">
            <x v="558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394">
      <pivotArea outline="0" fieldPosition="0">
        <references count="3">
          <reference field="7" count="1" selected="0">
            <x v="564"/>
          </reference>
          <reference field="16" count="1" selected="0">
            <x v="23"/>
          </reference>
          <reference field="18" count="1" selected="0">
            <x v="1"/>
          </reference>
        </references>
      </pivotArea>
    </format>
    <format dxfId="3393">
      <pivotArea dataOnly="0" labelOnly="1" outline="0" fieldPosition="0">
        <references count="2">
          <reference field="7" count="1">
            <x v="564"/>
          </reference>
          <reference field="16" count="1" selected="0">
            <x v="23"/>
          </reference>
        </references>
      </pivotArea>
    </format>
    <format dxfId="3392">
      <pivotArea dataOnly="0" labelOnly="1" outline="0" fieldPosition="0">
        <references count="3">
          <reference field="7" count="1" selected="0">
            <x v="564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3391">
      <pivotArea field="18" type="button" dataOnly="0" labelOnly="1" outline="0" axis="axisRow" fieldPosition="2"/>
    </format>
    <format dxfId="3390">
      <pivotArea dataOnly="0" labelOnly="1" outline="0" fieldPosition="0">
        <references count="2">
          <reference field="7" count="1">
            <x v="177"/>
          </reference>
          <reference field="16" count="1" selected="0">
            <x v="5"/>
          </reference>
        </references>
      </pivotArea>
    </format>
    <format dxfId="3389">
      <pivotArea dataOnly="0" labelOnly="1" outline="0" fieldPosition="0">
        <references count="2">
          <reference field="7" count="2">
            <x v="485"/>
            <x v="486"/>
          </reference>
          <reference field="16" count="1" selected="0">
            <x v="9"/>
          </reference>
        </references>
      </pivotArea>
    </format>
    <format dxfId="3388">
      <pivotArea dataOnly="0" labelOnly="1" outline="0" fieldPosition="0">
        <references count="2">
          <reference field="7" count="1">
            <x v="182"/>
          </reference>
          <reference field="16" count="1" selected="0">
            <x v="10"/>
          </reference>
        </references>
      </pivotArea>
    </format>
    <format dxfId="3387">
      <pivotArea dataOnly="0" labelOnly="1" outline="0" fieldPosition="0">
        <references count="2">
          <reference field="7" count="2">
            <x v="487"/>
            <x v="489"/>
          </reference>
          <reference field="16" count="1" selected="0">
            <x v="11"/>
          </reference>
        </references>
      </pivotArea>
    </format>
    <format dxfId="3386">
      <pivotArea dataOnly="0" labelOnly="1" outline="0" fieldPosition="0">
        <references count="2">
          <reference field="7" count="3">
            <x v="488"/>
            <x v="490"/>
            <x v="492"/>
          </reference>
          <reference field="16" count="1" selected="0">
            <x v="12"/>
          </reference>
        </references>
      </pivotArea>
    </format>
    <format dxfId="3385">
      <pivotArea dataOnly="0" labelOnly="1" outline="0" fieldPosition="0">
        <references count="2">
          <reference field="7" count="6">
            <x v="197"/>
            <x v="491"/>
            <x v="493"/>
            <x v="494"/>
            <x v="495"/>
            <x v="501"/>
          </reference>
          <reference field="16" count="1" selected="0">
            <x v="13"/>
          </reference>
        </references>
      </pivotArea>
    </format>
    <format dxfId="3384">
      <pivotArea dataOnly="0" labelOnly="1" outline="0" fieldPosition="0">
        <references count="2">
          <reference field="7" count="12">
            <x v="496"/>
            <x v="497"/>
            <x v="498"/>
            <x v="499"/>
            <x v="500"/>
            <x v="502"/>
            <x v="503"/>
            <x v="504"/>
            <x v="505"/>
            <x v="506"/>
            <x v="507"/>
            <x v="508"/>
          </reference>
          <reference field="16" count="1" selected="0">
            <x v="14"/>
          </reference>
        </references>
      </pivotArea>
    </format>
    <format dxfId="3383">
      <pivotArea dataOnly="0" labelOnly="1" outline="0" fieldPosition="0">
        <references count="2">
          <reference field="7" count="2">
            <x v="509"/>
            <x v="510"/>
          </reference>
          <reference field="16" count="1" selected="0">
            <x v="15"/>
          </reference>
        </references>
      </pivotArea>
    </format>
    <format dxfId="3382">
      <pivotArea dataOnly="0" labelOnly="1" outline="0" fieldPosition="0">
        <references count="2">
          <reference field="7" count="3">
            <x v="511"/>
            <x v="512"/>
            <x v="513"/>
          </reference>
          <reference field="16" count="1" selected="0">
            <x v="16"/>
          </reference>
        </references>
      </pivotArea>
    </format>
    <format dxfId="3381">
      <pivotArea dataOnly="0" labelOnly="1" outline="0" fieldPosition="0">
        <references count="2">
          <reference field="7" count="7">
            <x v="514"/>
            <x v="515"/>
            <x v="516"/>
            <x v="517"/>
            <x v="518"/>
            <x v="519"/>
            <x v="520"/>
          </reference>
          <reference field="16" count="1" selected="0">
            <x v="17"/>
          </reference>
        </references>
      </pivotArea>
    </format>
    <format dxfId="3380">
      <pivotArea dataOnly="0" labelOnly="1" outline="0" fieldPosition="0">
        <references count="2">
          <reference field="7" count="11">
            <x v="173"/>
            <x v="521"/>
            <x v="522"/>
            <x v="523"/>
            <x v="524"/>
            <x v="525"/>
            <x v="526"/>
            <x v="527"/>
            <x v="528"/>
            <x v="529"/>
            <x v="530"/>
          </reference>
          <reference field="16" count="1" selected="0">
            <x v="18"/>
          </reference>
        </references>
      </pivotArea>
    </format>
    <format dxfId="3379">
      <pivotArea dataOnly="0" labelOnly="1" outline="0" fieldPosition="0">
        <references count="2">
          <reference field="7" count="13"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</reference>
          <reference field="16" count="1" selected="0">
            <x v="19"/>
          </reference>
        </references>
      </pivotArea>
    </format>
    <format dxfId="3378">
      <pivotArea dataOnly="0" labelOnly="1" outline="0" fieldPosition="0">
        <references count="2">
          <reference field="7" count="5">
            <x v="544"/>
            <x v="545"/>
            <x v="546"/>
            <x v="547"/>
            <x v="548"/>
          </reference>
          <reference field="16" count="1" selected="0">
            <x v="20"/>
          </reference>
        </references>
      </pivotArea>
    </format>
    <format dxfId="3377">
      <pivotArea dataOnly="0" labelOnly="1" outline="0" fieldPosition="0">
        <references count="2">
          <reference field="7" count="11">
            <x v="35"/>
            <x v="549"/>
            <x v="550"/>
            <x v="551"/>
            <x v="552"/>
            <x v="553"/>
            <x v="554"/>
            <x v="555"/>
            <x v="556"/>
            <x v="557"/>
            <x v="558"/>
          </reference>
          <reference field="16" count="1" selected="0">
            <x v="21"/>
          </reference>
        </references>
      </pivotArea>
    </format>
    <format dxfId="3376">
      <pivotArea dataOnly="0" labelOnly="1" outline="0" fieldPosition="0">
        <references count="2">
          <reference field="7" count="6">
            <x v="51"/>
            <x v="559"/>
            <x v="560"/>
            <x v="561"/>
            <x v="562"/>
            <x v="563"/>
          </reference>
          <reference field="16" count="1" selected="0">
            <x v="22"/>
          </reference>
        </references>
      </pivotArea>
    </format>
    <format dxfId="3375">
      <pivotArea dataOnly="0" labelOnly="1" outline="0" fieldPosition="0">
        <references count="2">
          <reference field="7" count="1">
            <x v="564"/>
          </reference>
          <reference field="16" count="1" selected="0">
            <x v="23"/>
          </reference>
        </references>
      </pivotArea>
    </format>
    <format dxfId="3374">
      <pivotArea dataOnly="0" labelOnly="1" outline="0" fieldPosition="0">
        <references count="2">
          <reference field="7" count="1">
            <x v="565"/>
          </reference>
          <reference field="16" count="1" selected="0">
            <x v="24"/>
          </reference>
        </references>
      </pivotArea>
    </format>
    <format dxfId="3373">
      <pivotArea dataOnly="0" labelOnly="1" outline="0" fieldPosition="0">
        <references count="3">
          <reference field="7" count="1" selected="0">
            <x v="177"/>
          </reference>
          <reference field="16" count="1" selected="0">
            <x v="5"/>
          </reference>
          <reference field="18" count="1">
            <x v="0"/>
          </reference>
        </references>
      </pivotArea>
    </format>
    <format dxfId="3372">
      <pivotArea dataOnly="0" labelOnly="1" outline="0" fieldPosition="0">
        <references count="3">
          <reference field="7" count="1" selected="0">
            <x v="485"/>
          </reference>
          <reference field="16" count="1" selected="0">
            <x v="9"/>
          </reference>
          <reference field="18" count="1">
            <x v="0"/>
          </reference>
        </references>
      </pivotArea>
    </format>
    <format dxfId="3371">
      <pivotArea dataOnly="0" labelOnly="1" outline="0" fieldPosition="0">
        <references count="3">
          <reference field="7" count="1" selected="0">
            <x v="486"/>
          </reference>
          <reference field="16" count="1" selected="0">
            <x v="9"/>
          </reference>
          <reference field="18" count="1">
            <x v="0"/>
          </reference>
        </references>
      </pivotArea>
    </format>
    <format dxfId="3370">
      <pivotArea dataOnly="0" labelOnly="1" outline="0" fieldPosition="0">
        <references count="3">
          <reference field="7" count="1" selected="0">
            <x v="182"/>
          </reference>
          <reference field="16" count="1" selected="0">
            <x v="10"/>
          </reference>
          <reference field="18" count="1">
            <x v="3"/>
          </reference>
        </references>
      </pivotArea>
    </format>
    <format dxfId="3369">
      <pivotArea dataOnly="0" labelOnly="1" outline="0" fieldPosition="0">
        <references count="3">
          <reference field="7" count="1" selected="0">
            <x v="487"/>
          </reference>
          <reference field="16" count="1" selected="0">
            <x v="11"/>
          </reference>
          <reference field="18" count="1">
            <x v="0"/>
          </reference>
        </references>
      </pivotArea>
    </format>
    <format dxfId="3368">
      <pivotArea dataOnly="0" labelOnly="1" outline="0" fieldPosition="0">
        <references count="3">
          <reference field="7" count="1" selected="0">
            <x v="489"/>
          </reference>
          <reference field="16" count="1" selected="0">
            <x v="11"/>
          </reference>
          <reference field="18" count="1">
            <x v="3"/>
          </reference>
        </references>
      </pivotArea>
    </format>
    <format dxfId="3367">
      <pivotArea dataOnly="0" labelOnly="1" outline="0" fieldPosition="0">
        <references count="3">
          <reference field="7" count="1" selected="0">
            <x v="488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3366">
      <pivotArea dataOnly="0" labelOnly="1" outline="0" fieldPosition="0">
        <references count="3">
          <reference field="7" count="1" selected="0">
            <x v="490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3365">
      <pivotArea dataOnly="0" labelOnly="1" outline="0" fieldPosition="0">
        <references count="3">
          <reference field="7" count="1" selected="0">
            <x v="492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3364">
      <pivotArea dataOnly="0" labelOnly="1" outline="0" fieldPosition="0">
        <references count="3">
          <reference field="7" count="1" selected="0">
            <x v="197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3363">
      <pivotArea dataOnly="0" labelOnly="1" outline="0" fieldPosition="0">
        <references count="3">
          <reference field="7" count="1" selected="0">
            <x v="491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3362">
      <pivotArea dataOnly="0" labelOnly="1" outline="0" fieldPosition="0">
        <references count="3">
          <reference field="7" count="1" selected="0">
            <x v="493"/>
          </reference>
          <reference field="16" count="1" selected="0">
            <x v="13"/>
          </reference>
          <reference field="18" count="1">
            <x v="0"/>
          </reference>
        </references>
      </pivotArea>
    </format>
    <format dxfId="3361">
      <pivotArea dataOnly="0" labelOnly="1" outline="0" fieldPosition="0">
        <references count="3">
          <reference field="7" count="1" selected="0">
            <x v="494"/>
          </reference>
          <reference field="16" count="1" selected="0">
            <x v="13"/>
          </reference>
          <reference field="18" count="1">
            <x v="0"/>
          </reference>
        </references>
      </pivotArea>
    </format>
    <format dxfId="3360">
      <pivotArea dataOnly="0" labelOnly="1" outline="0" fieldPosition="0">
        <references count="3">
          <reference field="7" count="1" selected="0">
            <x v="495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3359">
      <pivotArea dataOnly="0" labelOnly="1" outline="0" fieldPosition="0">
        <references count="3">
          <reference field="7" count="1" selected="0">
            <x v="501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3358">
      <pivotArea dataOnly="0" labelOnly="1" outline="0" fieldPosition="0">
        <references count="3">
          <reference field="7" count="1" selected="0">
            <x v="496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3357">
      <pivotArea dataOnly="0" labelOnly="1" outline="0" fieldPosition="0">
        <references count="3">
          <reference field="7" count="1" selected="0">
            <x v="497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356">
      <pivotArea dataOnly="0" labelOnly="1" outline="0" fieldPosition="0">
        <references count="3">
          <reference field="7" count="1" selected="0">
            <x v="498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355">
      <pivotArea dataOnly="0" labelOnly="1" outline="0" fieldPosition="0">
        <references count="3">
          <reference field="7" count="1" selected="0">
            <x v="499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354">
      <pivotArea dataOnly="0" labelOnly="1" outline="0" fieldPosition="0">
        <references count="3">
          <reference field="7" count="1" selected="0">
            <x v="500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3353">
      <pivotArea dataOnly="0" labelOnly="1" outline="0" fieldPosition="0">
        <references count="3">
          <reference field="7" count="1" selected="0">
            <x v="502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3352">
      <pivotArea dataOnly="0" labelOnly="1" outline="0" fieldPosition="0">
        <references count="3">
          <reference field="7" count="1" selected="0">
            <x v="503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351">
      <pivotArea dataOnly="0" labelOnly="1" outline="0" fieldPosition="0">
        <references count="3">
          <reference field="7" count="1" selected="0">
            <x v="504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350">
      <pivotArea dataOnly="0" labelOnly="1" outline="0" fieldPosition="0">
        <references count="3">
          <reference field="7" count="1" selected="0">
            <x v="505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349">
      <pivotArea dataOnly="0" labelOnly="1" outline="0" fieldPosition="0">
        <references count="3">
          <reference field="7" count="1" selected="0">
            <x v="506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348">
      <pivotArea dataOnly="0" labelOnly="1" outline="0" fieldPosition="0">
        <references count="3">
          <reference field="7" count="1" selected="0">
            <x v="507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347">
      <pivotArea dataOnly="0" labelOnly="1" outline="0" fieldPosition="0">
        <references count="3">
          <reference field="7" count="1" selected="0">
            <x v="508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346">
      <pivotArea dataOnly="0" labelOnly="1" outline="0" fieldPosition="0">
        <references count="3">
          <reference field="7" count="1" selected="0">
            <x v="509"/>
          </reference>
          <reference field="16" count="1" selected="0">
            <x v="15"/>
          </reference>
          <reference field="18" count="1">
            <x v="2"/>
          </reference>
        </references>
      </pivotArea>
    </format>
    <format dxfId="3345">
      <pivotArea dataOnly="0" labelOnly="1" outline="0" fieldPosition="0">
        <references count="3">
          <reference field="7" count="1" selected="0">
            <x v="510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344">
      <pivotArea dataOnly="0" labelOnly="1" outline="0" fieldPosition="0">
        <references count="3">
          <reference field="7" count="1" selected="0">
            <x v="511"/>
          </reference>
          <reference field="16" count="1" selected="0">
            <x v="16"/>
          </reference>
          <reference field="18" count="1">
            <x v="0"/>
          </reference>
        </references>
      </pivotArea>
    </format>
    <format dxfId="3343">
      <pivotArea dataOnly="0" labelOnly="1" outline="0" fieldPosition="0">
        <references count="3">
          <reference field="7" count="1" selected="0">
            <x v="512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342">
      <pivotArea dataOnly="0" labelOnly="1" outline="0" fieldPosition="0">
        <references count="3">
          <reference field="7" count="1" selected="0">
            <x v="513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341">
      <pivotArea dataOnly="0" labelOnly="1" outline="0" fieldPosition="0">
        <references count="3">
          <reference field="7" count="1" selected="0">
            <x v="514"/>
          </reference>
          <reference field="16" count="1" selected="0">
            <x v="17"/>
          </reference>
          <reference field="18" count="1">
            <x v="0"/>
          </reference>
        </references>
      </pivotArea>
    </format>
    <format dxfId="3340">
      <pivotArea dataOnly="0" labelOnly="1" outline="0" fieldPosition="0">
        <references count="3">
          <reference field="7" count="1" selected="0">
            <x v="515"/>
          </reference>
          <reference field="16" count="1" selected="0">
            <x v="17"/>
          </reference>
          <reference field="18" count="1">
            <x v="0"/>
          </reference>
        </references>
      </pivotArea>
    </format>
    <format dxfId="3339">
      <pivotArea dataOnly="0" labelOnly="1" outline="0" fieldPosition="0">
        <references count="3">
          <reference field="7" count="1" selected="0">
            <x v="516"/>
          </reference>
          <reference field="16" count="1" selected="0">
            <x v="17"/>
          </reference>
          <reference field="18" count="1">
            <x v="2"/>
          </reference>
        </references>
      </pivotArea>
    </format>
    <format dxfId="3338">
      <pivotArea dataOnly="0" labelOnly="1" outline="0" fieldPosition="0">
        <references count="3">
          <reference field="7" count="1" selected="0">
            <x v="517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337">
      <pivotArea dataOnly="0" labelOnly="1" outline="0" fieldPosition="0">
        <references count="3">
          <reference field="7" count="1" selected="0">
            <x v="518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336">
      <pivotArea dataOnly="0" labelOnly="1" outline="0" fieldPosition="0">
        <references count="3">
          <reference field="7" count="1" selected="0">
            <x v="519"/>
          </reference>
          <reference field="16" count="1" selected="0">
            <x v="17"/>
          </reference>
          <reference field="18" count="1">
            <x v="0"/>
          </reference>
        </references>
      </pivotArea>
    </format>
    <format dxfId="3335">
      <pivotArea dataOnly="0" labelOnly="1" outline="0" fieldPosition="0">
        <references count="3">
          <reference field="7" count="1" selected="0">
            <x v="520"/>
          </reference>
          <reference field="16" count="1" selected="0">
            <x v="17"/>
          </reference>
          <reference field="18" count="1">
            <x v="2"/>
          </reference>
        </references>
      </pivotArea>
    </format>
    <format dxfId="3334">
      <pivotArea dataOnly="0" labelOnly="1" outline="0" fieldPosition="0">
        <references count="3">
          <reference field="7" count="1" selected="0">
            <x v="173"/>
          </reference>
          <reference field="16" count="1" selected="0">
            <x v="18"/>
          </reference>
          <reference field="18" count="1">
            <x v="2"/>
          </reference>
        </references>
      </pivotArea>
    </format>
    <format dxfId="3333">
      <pivotArea dataOnly="0" labelOnly="1" outline="0" fieldPosition="0">
        <references count="3">
          <reference field="7" count="1" selected="0">
            <x v="521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332">
      <pivotArea dataOnly="0" labelOnly="1" outline="0" fieldPosition="0">
        <references count="3">
          <reference field="7" count="1" selected="0">
            <x v="522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331">
      <pivotArea dataOnly="0" labelOnly="1" outline="0" fieldPosition="0">
        <references count="3">
          <reference field="7" count="1" selected="0">
            <x v="523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330">
      <pivotArea dataOnly="0" labelOnly="1" outline="0" fieldPosition="0">
        <references count="3">
          <reference field="7" count="1" selected="0">
            <x v="524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329">
      <pivotArea dataOnly="0" labelOnly="1" outline="0" fieldPosition="0">
        <references count="3">
          <reference field="7" count="1" selected="0">
            <x v="525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328">
      <pivotArea dataOnly="0" labelOnly="1" outline="0" fieldPosition="0">
        <references count="3">
          <reference field="7" count="1" selected="0">
            <x v="526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327">
      <pivotArea dataOnly="0" labelOnly="1" outline="0" fieldPosition="0">
        <references count="3">
          <reference field="7" count="1" selected="0">
            <x v="52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326">
      <pivotArea dataOnly="0" labelOnly="1" outline="0" fieldPosition="0">
        <references count="3">
          <reference field="7" count="1" selected="0">
            <x v="528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325">
      <pivotArea dataOnly="0" labelOnly="1" outline="0" fieldPosition="0">
        <references count="3">
          <reference field="7" count="1" selected="0">
            <x v="529"/>
          </reference>
          <reference field="16" count="1" selected="0">
            <x v="18"/>
          </reference>
          <reference field="18" count="1">
            <x v="2"/>
          </reference>
        </references>
      </pivotArea>
    </format>
    <format dxfId="3324">
      <pivotArea dataOnly="0" labelOnly="1" outline="0" fieldPosition="0">
        <references count="3">
          <reference field="7" count="1" selected="0">
            <x v="530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323">
      <pivotArea dataOnly="0" labelOnly="1" outline="0" fieldPosition="0">
        <references count="3">
          <reference field="7" count="1" selected="0">
            <x v="531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322">
      <pivotArea dataOnly="0" labelOnly="1" outline="0" fieldPosition="0">
        <references count="3">
          <reference field="7" count="1" selected="0">
            <x v="532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321">
      <pivotArea dataOnly="0" labelOnly="1" outline="0" fieldPosition="0">
        <references count="3">
          <reference field="7" count="1" selected="0">
            <x v="533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320">
      <pivotArea dataOnly="0" labelOnly="1" outline="0" fieldPosition="0">
        <references count="3">
          <reference field="7" count="1" selected="0">
            <x v="534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319">
      <pivotArea dataOnly="0" labelOnly="1" outline="0" fieldPosition="0">
        <references count="3">
          <reference field="7" count="1" selected="0">
            <x v="53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318">
      <pivotArea dataOnly="0" labelOnly="1" outline="0" fieldPosition="0">
        <references count="3">
          <reference field="7" count="1" selected="0">
            <x v="536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317">
      <pivotArea dataOnly="0" labelOnly="1" outline="0" fieldPosition="0">
        <references count="3">
          <reference field="7" count="1" selected="0">
            <x v="537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316">
      <pivotArea dataOnly="0" labelOnly="1" outline="0" fieldPosition="0">
        <references count="3">
          <reference field="7" count="1" selected="0">
            <x v="538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315">
      <pivotArea dataOnly="0" labelOnly="1" outline="0" fieldPosition="0">
        <references count="3">
          <reference field="7" count="1" selected="0">
            <x v="539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314">
      <pivotArea dataOnly="0" labelOnly="1" outline="0" fieldPosition="0">
        <references count="3">
          <reference field="7" count="1" selected="0">
            <x v="540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313">
      <pivotArea dataOnly="0" labelOnly="1" outline="0" fieldPosition="0">
        <references count="3">
          <reference field="7" count="1" selected="0">
            <x v="541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312">
      <pivotArea dataOnly="0" labelOnly="1" outline="0" fieldPosition="0">
        <references count="3">
          <reference field="7" count="1" selected="0">
            <x v="542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311">
      <pivotArea dataOnly="0" labelOnly="1" outline="0" fieldPosition="0">
        <references count="3">
          <reference field="7" count="1" selected="0">
            <x v="543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310">
      <pivotArea dataOnly="0" labelOnly="1" outline="0" fieldPosition="0">
        <references count="3">
          <reference field="7" count="1" selected="0">
            <x v="544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3309">
      <pivotArea dataOnly="0" labelOnly="1" outline="0" fieldPosition="0">
        <references count="3">
          <reference field="7" count="1" selected="0">
            <x v="545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308">
      <pivotArea dataOnly="0" labelOnly="1" outline="0" fieldPosition="0">
        <references count="3">
          <reference field="7" count="1" selected="0">
            <x v="546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307">
      <pivotArea dataOnly="0" labelOnly="1" outline="0" fieldPosition="0">
        <references count="3">
          <reference field="7" count="1" selected="0">
            <x v="547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306">
      <pivotArea dataOnly="0" labelOnly="1" outline="0" fieldPosition="0">
        <references count="3">
          <reference field="7" count="1" selected="0">
            <x v="548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305">
      <pivotArea dataOnly="0" labelOnly="1" outline="0" fieldPosition="0">
        <references count="3">
          <reference field="7" count="1" selected="0">
            <x v="3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304">
      <pivotArea dataOnly="0" labelOnly="1" outline="0" fieldPosition="0">
        <references count="3">
          <reference field="7" count="1" selected="0">
            <x v="549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303">
      <pivotArea dataOnly="0" labelOnly="1" outline="0" fieldPosition="0">
        <references count="3">
          <reference field="7" count="1" selected="0">
            <x v="550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302">
      <pivotArea dataOnly="0" labelOnly="1" outline="0" fieldPosition="0">
        <references count="3">
          <reference field="7" count="1" selected="0">
            <x v="551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301">
      <pivotArea dataOnly="0" labelOnly="1" outline="0" fieldPosition="0">
        <references count="3">
          <reference field="7" count="1" selected="0">
            <x v="552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300">
      <pivotArea dataOnly="0" labelOnly="1" outline="0" fieldPosition="0">
        <references count="3">
          <reference field="7" count="1" selected="0">
            <x v="553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299">
      <pivotArea dataOnly="0" labelOnly="1" outline="0" fieldPosition="0">
        <references count="3">
          <reference field="7" count="1" selected="0">
            <x v="554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298">
      <pivotArea dataOnly="0" labelOnly="1" outline="0" fieldPosition="0">
        <references count="3">
          <reference field="7" count="1" selected="0">
            <x v="555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297">
      <pivotArea dataOnly="0" labelOnly="1" outline="0" fieldPosition="0">
        <references count="3">
          <reference field="7" count="1" selected="0">
            <x v="556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296">
      <pivotArea dataOnly="0" labelOnly="1" outline="0" fieldPosition="0">
        <references count="3">
          <reference field="7" count="1" selected="0">
            <x v="557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295">
      <pivotArea dataOnly="0" labelOnly="1" outline="0" fieldPosition="0">
        <references count="3">
          <reference field="7" count="1" selected="0">
            <x v="558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294">
      <pivotArea dataOnly="0" labelOnly="1" outline="0" fieldPosition="0">
        <references count="3">
          <reference field="7" count="1" selected="0">
            <x v="51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3293">
      <pivotArea dataOnly="0" labelOnly="1" outline="0" fieldPosition="0">
        <references count="3">
          <reference field="7" count="1" selected="0">
            <x v="559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3292">
      <pivotArea dataOnly="0" labelOnly="1" outline="0" fieldPosition="0">
        <references count="3">
          <reference field="7" count="1" selected="0">
            <x v="560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3291">
      <pivotArea dataOnly="0" labelOnly="1" outline="0" fieldPosition="0">
        <references count="3">
          <reference field="7" count="1" selected="0">
            <x v="561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3290">
      <pivotArea dataOnly="0" labelOnly="1" outline="0" fieldPosition="0">
        <references count="3">
          <reference field="7" count="1" selected="0">
            <x v="562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3289">
      <pivotArea dataOnly="0" labelOnly="1" outline="0" fieldPosition="0">
        <references count="3">
          <reference field="7" count="1" selected="0">
            <x v="563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3288">
      <pivotArea dataOnly="0" labelOnly="1" outline="0" fieldPosition="0">
        <references count="3">
          <reference field="7" count="1" selected="0">
            <x v="564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3287">
      <pivotArea dataOnly="0" labelOnly="1" outline="0" fieldPosition="0">
        <references count="3">
          <reference field="7" count="1" selected="0">
            <x v="565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3286">
      <pivotArea dataOnly="0" labelOnly="1" outline="0" fieldPosition="0">
        <references count="3">
          <reference field="7" count="1" selected="0">
            <x v="177"/>
          </reference>
          <reference field="16" count="1" selected="0">
            <x v="5"/>
          </reference>
          <reference field="18" count="1">
            <x v="0"/>
          </reference>
        </references>
      </pivotArea>
    </format>
    <format dxfId="3285">
      <pivotArea dataOnly="0" labelOnly="1" outline="0" fieldPosition="0">
        <references count="3">
          <reference field="7" count="1" selected="0">
            <x v="485"/>
          </reference>
          <reference field="16" count="1" selected="0">
            <x v="9"/>
          </reference>
          <reference field="18" count="1">
            <x v="0"/>
          </reference>
        </references>
      </pivotArea>
    </format>
    <format dxfId="3284">
      <pivotArea dataOnly="0" labelOnly="1" outline="0" fieldPosition="0">
        <references count="3">
          <reference field="7" count="1" selected="0">
            <x v="486"/>
          </reference>
          <reference field="16" count="1" selected="0">
            <x v="9"/>
          </reference>
          <reference field="18" count="1">
            <x v="0"/>
          </reference>
        </references>
      </pivotArea>
    </format>
    <format dxfId="3283">
      <pivotArea dataOnly="0" labelOnly="1" outline="0" fieldPosition="0">
        <references count="3">
          <reference field="7" count="1" selected="0">
            <x v="487"/>
          </reference>
          <reference field="16" count="1" selected="0">
            <x v="11"/>
          </reference>
          <reference field="18" count="1">
            <x v="0"/>
          </reference>
        </references>
      </pivotArea>
    </format>
    <format dxfId="3282">
      <pivotArea dataOnly="0" labelOnly="1" outline="0" fieldPosition="0">
        <references count="3">
          <reference field="7" count="1" selected="0">
            <x v="493"/>
          </reference>
          <reference field="16" count="1" selected="0">
            <x v="13"/>
          </reference>
          <reference field="18" count="1">
            <x v="0"/>
          </reference>
        </references>
      </pivotArea>
    </format>
    <format dxfId="3281">
      <pivotArea dataOnly="0" labelOnly="1" outline="0" fieldPosition="0">
        <references count="3">
          <reference field="7" count="1" selected="0">
            <x v="494"/>
          </reference>
          <reference field="16" count="1" selected="0">
            <x v="13"/>
          </reference>
          <reference field="18" count="1">
            <x v="0"/>
          </reference>
        </references>
      </pivotArea>
    </format>
    <format dxfId="3280">
      <pivotArea dataOnly="0" labelOnly="1" outline="0" fieldPosition="0">
        <references count="3">
          <reference field="7" count="1" selected="0">
            <x v="497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279">
      <pivotArea dataOnly="0" labelOnly="1" outline="0" fieldPosition="0">
        <references count="3">
          <reference field="7" count="1" selected="0">
            <x v="498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278">
      <pivotArea dataOnly="0" labelOnly="1" outline="0" fieldPosition="0">
        <references count="3">
          <reference field="7" count="1" selected="0">
            <x v="499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277">
      <pivotArea dataOnly="0" labelOnly="1" outline="0" fieldPosition="0">
        <references count="3">
          <reference field="7" count="1" selected="0">
            <x v="503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276">
      <pivotArea dataOnly="0" labelOnly="1" outline="0" fieldPosition="0">
        <references count="3">
          <reference field="7" count="1" selected="0">
            <x v="504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275">
      <pivotArea dataOnly="0" labelOnly="1" outline="0" fieldPosition="0">
        <references count="3">
          <reference field="7" count="1" selected="0">
            <x v="505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274">
      <pivotArea dataOnly="0" labelOnly="1" outline="0" fieldPosition="0">
        <references count="3">
          <reference field="7" count="1" selected="0">
            <x v="506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273">
      <pivotArea dataOnly="0" labelOnly="1" outline="0" fieldPosition="0">
        <references count="3">
          <reference field="7" count="1" selected="0">
            <x v="507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272">
      <pivotArea dataOnly="0" labelOnly="1" outline="0" fieldPosition="0">
        <references count="3">
          <reference field="7" count="1" selected="0">
            <x v="508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271">
      <pivotArea dataOnly="0" labelOnly="1" outline="0" fieldPosition="0">
        <references count="3">
          <reference field="7" count="1" selected="0">
            <x v="511"/>
          </reference>
          <reference field="16" count="1" selected="0">
            <x v="16"/>
          </reference>
          <reference field="18" count="1">
            <x v="0"/>
          </reference>
        </references>
      </pivotArea>
    </format>
    <format dxfId="3270">
      <pivotArea dataOnly="0" labelOnly="1" outline="0" fieldPosition="0">
        <references count="3">
          <reference field="7" count="1" selected="0">
            <x v="514"/>
          </reference>
          <reference field="16" count="1" selected="0">
            <x v="17"/>
          </reference>
          <reference field="18" count="1">
            <x v="0"/>
          </reference>
        </references>
      </pivotArea>
    </format>
    <format dxfId="3269">
      <pivotArea dataOnly="0" labelOnly="1" outline="0" fieldPosition="0">
        <references count="3">
          <reference field="7" count="1" selected="0">
            <x v="515"/>
          </reference>
          <reference field="16" count="1" selected="0">
            <x v="17"/>
          </reference>
          <reference field="18" count="1">
            <x v="0"/>
          </reference>
        </references>
      </pivotArea>
    </format>
    <format dxfId="3268">
      <pivotArea dataOnly="0" labelOnly="1" outline="0" fieldPosition="0">
        <references count="3">
          <reference field="7" count="1" selected="0">
            <x v="519"/>
          </reference>
          <reference field="16" count="1" selected="0">
            <x v="17"/>
          </reference>
          <reference field="18" count="1">
            <x v="0"/>
          </reference>
        </references>
      </pivotArea>
    </format>
    <format dxfId="3267">
      <pivotArea dataOnly="0" labelOnly="1" outline="0" fieldPosition="0">
        <references count="1">
          <reference field="18" count="0"/>
        </references>
      </pivotArea>
    </format>
    <format dxfId="3266">
      <pivotArea dataOnly="0" labelOnly="1" outline="0" fieldPosition="0">
        <references count="3">
          <reference field="7" count="1" selected="0">
            <x v="514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265">
      <pivotArea dataOnly="0" labelOnly="1" outline="0" fieldPosition="0">
        <references count="3">
          <reference field="7" count="1" selected="0">
            <x v="515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264">
      <pivotArea dataOnly="0" labelOnly="1" outline="0" fieldPosition="0">
        <references count="3">
          <reference field="7" count="1" selected="0">
            <x v="519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263">
      <pivotArea dataOnly="0" labelOnly="1" outline="0" fieldPosition="0">
        <references count="3">
          <reference field="7" count="1" selected="0">
            <x v="177"/>
          </reference>
          <reference field="16" count="1" selected="0">
            <x v="5"/>
          </reference>
          <reference field="18" count="1">
            <x v="0"/>
          </reference>
        </references>
      </pivotArea>
    </format>
    <format dxfId="3262">
      <pivotArea dataOnly="0" labelOnly="1" outline="0" fieldPosition="0">
        <references count="3">
          <reference field="7" count="1" selected="0">
            <x v="485"/>
          </reference>
          <reference field="16" count="1" selected="0">
            <x v="9"/>
          </reference>
          <reference field="18" count="1">
            <x v="0"/>
          </reference>
        </references>
      </pivotArea>
    </format>
    <format dxfId="3261">
      <pivotArea dataOnly="0" labelOnly="1" outline="0" fieldPosition="0">
        <references count="3">
          <reference field="7" count="1" selected="0">
            <x v="486"/>
          </reference>
          <reference field="16" count="1" selected="0">
            <x v="9"/>
          </reference>
          <reference field="18" count="1">
            <x v="0"/>
          </reference>
        </references>
      </pivotArea>
    </format>
    <format dxfId="3260">
      <pivotArea dataOnly="0" labelOnly="1" outline="0" fieldPosition="0">
        <references count="3">
          <reference field="7" count="1" selected="0">
            <x v="493"/>
          </reference>
          <reference field="16" count="1" selected="0">
            <x v="13"/>
          </reference>
          <reference field="18" count="1">
            <x v="0"/>
          </reference>
        </references>
      </pivotArea>
    </format>
    <format dxfId="3259">
      <pivotArea dataOnly="0" labelOnly="1" outline="0" fieldPosition="0">
        <references count="3">
          <reference field="7" count="1" selected="0">
            <x v="494"/>
          </reference>
          <reference field="16" count="1" selected="0">
            <x v="13"/>
          </reference>
          <reference field="18" count="1">
            <x v="0"/>
          </reference>
        </references>
      </pivotArea>
    </format>
    <format dxfId="3258">
      <pivotArea dataOnly="0" labelOnly="1" outline="0" fieldPosition="0">
        <references count="3">
          <reference field="7" count="1" selected="0">
            <x v="497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257">
      <pivotArea dataOnly="0" labelOnly="1" outline="0" fieldPosition="0">
        <references count="3">
          <reference field="7" count="1" selected="0">
            <x v="498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256">
      <pivotArea dataOnly="0" labelOnly="1" outline="0" fieldPosition="0">
        <references count="3">
          <reference field="7" count="1" selected="0">
            <x v="499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255">
      <pivotArea dataOnly="0" labelOnly="1" outline="0" fieldPosition="0">
        <references count="3">
          <reference field="7" count="1" selected="0">
            <x v="182"/>
          </reference>
          <reference field="16" count="1" selected="0">
            <x v="10"/>
          </reference>
          <reference field="18" count="1">
            <x v="3"/>
          </reference>
        </references>
      </pivotArea>
    </format>
    <format dxfId="3254">
      <pivotArea dataOnly="0" labelOnly="1" outline="0" fieldPosition="0">
        <references count="3">
          <reference field="7" count="1" selected="0">
            <x v="182"/>
          </reference>
          <reference field="16" count="1" selected="0">
            <x v="10"/>
          </reference>
          <reference field="18" count="1">
            <x v="3"/>
          </reference>
        </references>
      </pivotArea>
    </format>
    <format dxfId="3253">
      <pivotArea dataOnly="0" labelOnly="1" outline="0" fieldPosition="0">
        <references count="3">
          <reference field="7" count="1" selected="0">
            <x v="489"/>
          </reference>
          <reference field="16" count="1" selected="0">
            <x v="11"/>
          </reference>
          <reference field="18" count="1">
            <x v="3"/>
          </reference>
        </references>
      </pivotArea>
    </format>
    <format dxfId="3252">
      <pivotArea dataOnly="0" labelOnly="1" outline="0" fieldPosition="0">
        <references count="3">
          <reference field="7" count="1" selected="0">
            <x v="489"/>
          </reference>
          <reference field="16" count="1" selected="0">
            <x v="11"/>
          </reference>
          <reference field="18" count="1">
            <x v="3"/>
          </reference>
        </references>
      </pivotArea>
    </format>
    <format dxfId="3251">
      <pivotArea dataOnly="0" labelOnly="1" outline="0" fieldPosition="0">
        <references count="3">
          <reference field="7" count="1" selected="0">
            <x v="492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3250">
      <pivotArea dataOnly="0" labelOnly="1" outline="0" fieldPosition="0">
        <references count="3">
          <reference field="7" count="1" selected="0">
            <x v="492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3249">
      <pivotArea dataOnly="0" labelOnly="1" outline="0" fieldPosition="0">
        <references count="3">
          <reference field="7" count="1" selected="0">
            <x v="197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3248">
      <pivotArea dataOnly="0" labelOnly="1" outline="0" fieldPosition="0">
        <references count="3">
          <reference field="7" count="1" selected="0">
            <x v="197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3247">
      <pivotArea dataOnly="0" labelOnly="1" outline="0" fieldPosition="0">
        <references count="3">
          <reference field="7" count="1" selected="0">
            <x v="501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3246">
      <pivotArea dataOnly="0" labelOnly="1" outline="0" fieldPosition="0">
        <references count="3">
          <reference field="7" count="1" selected="0">
            <x v="501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3245">
      <pivotArea dataOnly="0" labelOnly="1" outline="0" fieldPosition="0">
        <references count="3">
          <reference field="7" count="1" selected="0">
            <x v="500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3244">
      <pivotArea dataOnly="0" labelOnly="1" outline="0" fieldPosition="0">
        <references count="3">
          <reference field="7" count="1" selected="0">
            <x v="500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3243">
      <pivotArea dataOnly="0" labelOnly="1" outline="0" fieldPosition="0">
        <references count="3">
          <reference field="7" count="1" selected="0">
            <x v="510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242">
      <pivotArea dataOnly="0" labelOnly="1" outline="0" fieldPosition="0">
        <references count="3">
          <reference field="7" count="1" selected="0">
            <x v="510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241">
      <pivotArea dataOnly="0" labelOnly="1" outline="0" fieldPosition="0">
        <references count="3">
          <reference field="7" count="1" selected="0">
            <x v="512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240">
      <pivotArea dataOnly="0" labelOnly="1" outline="0" fieldPosition="0">
        <references count="3">
          <reference field="7" count="1" selected="0">
            <x v="513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239">
      <pivotArea dataOnly="0" labelOnly="1" outline="0" fieldPosition="0">
        <references count="3">
          <reference field="7" count="1" selected="0">
            <x v="512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238">
      <pivotArea dataOnly="0" labelOnly="1" outline="0" fieldPosition="0">
        <references count="3">
          <reference field="7" count="1" selected="0">
            <x v="513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3237">
      <pivotArea dataOnly="0" labelOnly="1" outline="0" fieldPosition="0">
        <references count="3">
          <reference field="7" count="1" selected="0">
            <x v="518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236">
      <pivotArea dataOnly="0" labelOnly="1" outline="0" fieldPosition="0">
        <references count="3">
          <reference field="7" count="1" selected="0">
            <x v="518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235">
      <pivotArea dataOnly="0" labelOnly="1" outline="0" fieldPosition="0">
        <references count="3">
          <reference field="7" count="1" selected="0">
            <x v="522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234">
      <pivotArea dataOnly="0" labelOnly="1" outline="0" fieldPosition="0">
        <references count="3">
          <reference field="7" count="1" selected="0">
            <x v="522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233">
      <pivotArea dataOnly="0" labelOnly="1" outline="0" fieldPosition="0">
        <references count="3">
          <reference field="7" count="1" selected="0">
            <x v="524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232">
      <pivotArea dataOnly="0" labelOnly="1" outline="0" fieldPosition="0">
        <references count="3">
          <reference field="7" count="1" selected="0">
            <x v="525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231">
      <pivotArea dataOnly="0" labelOnly="1" outline="0" fieldPosition="0">
        <references count="3">
          <reference field="7" count="1" selected="0">
            <x v="524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230">
      <pivotArea dataOnly="0" labelOnly="1" outline="0" fieldPosition="0">
        <references count="3">
          <reference field="7" count="1" selected="0">
            <x v="525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229">
      <pivotArea dataOnly="0" labelOnly="1" outline="0" fieldPosition="0">
        <references count="3">
          <reference field="7" count="1" selected="0">
            <x v="52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228">
      <pivotArea dataOnly="0" labelOnly="1" outline="0" fieldPosition="0">
        <references count="3">
          <reference field="7" count="1" selected="0">
            <x v="52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227">
      <pivotArea dataOnly="0" labelOnly="1" outline="0" fieldPosition="0">
        <references count="3">
          <reference field="7" count="1" selected="0">
            <x v="530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226">
      <pivotArea dataOnly="0" labelOnly="1" outline="0" fieldPosition="0">
        <references count="3">
          <reference field="7" count="1" selected="0">
            <x v="530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225">
      <pivotArea dataOnly="0" labelOnly="1" outline="0" fieldPosition="0">
        <references count="3">
          <reference field="7" count="1" selected="0">
            <x v="532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224">
      <pivotArea dataOnly="0" labelOnly="1" outline="0" fieldPosition="0">
        <references count="3">
          <reference field="7" count="1" selected="0">
            <x v="533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223">
      <pivotArea dataOnly="0" labelOnly="1" outline="0" fieldPosition="0">
        <references count="3">
          <reference field="7" count="1" selected="0">
            <x v="534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222">
      <pivotArea dataOnly="0" labelOnly="1" outline="0" fieldPosition="0">
        <references count="3">
          <reference field="7" count="1" selected="0">
            <x v="53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221">
      <pivotArea dataOnly="0" labelOnly="1" outline="0" fieldPosition="0">
        <references count="3">
          <reference field="7" count="1" selected="0">
            <x v="532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220">
      <pivotArea dataOnly="0" labelOnly="1" outline="0" fieldPosition="0">
        <references count="3">
          <reference field="7" count="1" selected="0">
            <x v="533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219">
      <pivotArea dataOnly="0" labelOnly="1" outline="0" fieldPosition="0">
        <references count="3">
          <reference field="7" count="1" selected="0">
            <x v="534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218">
      <pivotArea dataOnly="0" labelOnly="1" outline="0" fieldPosition="0">
        <references count="3">
          <reference field="7" count="1" selected="0">
            <x v="53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217">
      <pivotArea dataOnly="0" labelOnly="1" outline="0" fieldPosition="0">
        <references count="3">
          <reference field="7" count="1" selected="0">
            <x v="538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216">
      <pivotArea dataOnly="0" labelOnly="1" outline="0" fieldPosition="0">
        <references count="3">
          <reference field="7" count="1" selected="0">
            <x v="539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215">
      <pivotArea dataOnly="0" labelOnly="1" outline="0" fieldPosition="0">
        <references count="3">
          <reference field="7" count="1" selected="0">
            <x v="538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214">
      <pivotArea dataOnly="0" labelOnly="1" outline="0" fieldPosition="0">
        <references count="3">
          <reference field="7" count="1" selected="0">
            <x v="539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213">
      <pivotArea dataOnly="0" labelOnly="1" outline="0" fieldPosition="0">
        <references count="3">
          <reference field="7" count="1" selected="0">
            <x v="542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212">
      <pivotArea dataOnly="0" labelOnly="1" outline="0" fieldPosition="0">
        <references count="3">
          <reference field="7" count="1" selected="0">
            <x v="543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211">
      <pivotArea dataOnly="0" labelOnly="1" outline="0" fieldPosition="0">
        <references count="3">
          <reference field="7" count="1" selected="0">
            <x v="542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210">
      <pivotArea dataOnly="0" labelOnly="1" outline="0" fieldPosition="0">
        <references count="3">
          <reference field="7" count="1" selected="0">
            <x v="543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209">
      <pivotArea dataOnly="0" labelOnly="1" outline="0" fieldPosition="0">
        <references count="3">
          <reference field="7" count="1" selected="0">
            <x v="545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208">
      <pivotArea dataOnly="0" labelOnly="1" outline="0" fieldPosition="0">
        <references count="3">
          <reference field="7" count="1" selected="0">
            <x v="546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207">
      <pivotArea dataOnly="0" labelOnly="1" outline="0" fieldPosition="0">
        <references count="3">
          <reference field="7" count="1" selected="0">
            <x v="547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206">
      <pivotArea dataOnly="0" labelOnly="1" outline="0" fieldPosition="0">
        <references count="3">
          <reference field="7" count="1" selected="0">
            <x v="548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205">
      <pivotArea dataOnly="0" labelOnly="1" outline="0" fieldPosition="0">
        <references count="3">
          <reference field="7" count="1" selected="0">
            <x v="3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204">
      <pivotArea dataOnly="0" labelOnly="1" outline="0" fieldPosition="0">
        <references count="3">
          <reference field="7" count="1" selected="0">
            <x v="545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203">
      <pivotArea dataOnly="0" labelOnly="1" outline="0" fieldPosition="0">
        <references count="3">
          <reference field="7" count="1" selected="0">
            <x v="546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202">
      <pivotArea dataOnly="0" labelOnly="1" outline="0" fieldPosition="0">
        <references count="3">
          <reference field="7" count="1" selected="0">
            <x v="547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201">
      <pivotArea dataOnly="0" labelOnly="1" outline="0" fieldPosition="0">
        <references count="3">
          <reference field="7" count="1" selected="0">
            <x v="548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200">
      <pivotArea dataOnly="0" labelOnly="1" outline="0" fieldPosition="0">
        <references count="3">
          <reference field="7" count="1" selected="0">
            <x v="3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199">
      <pivotArea dataOnly="0" labelOnly="1" outline="0" fieldPosition="0">
        <references count="3">
          <reference field="7" count="1" selected="0">
            <x v="551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198">
      <pivotArea dataOnly="0" labelOnly="1" outline="0" fieldPosition="0">
        <references count="3">
          <reference field="7" count="1" selected="0">
            <x v="552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197">
      <pivotArea dataOnly="0" labelOnly="1" outline="0" fieldPosition="0">
        <references count="3">
          <reference field="7" count="1" selected="0">
            <x v="553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196">
      <pivotArea dataOnly="0" labelOnly="1" outline="0" fieldPosition="0">
        <references count="3">
          <reference field="7" count="1" selected="0">
            <x v="551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195">
      <pivotArea dataOnly="0" labelOnly="1" outline="0" fieldPosition="0">
        <references count="3">
          <reference field="7" count="1" selected="0">
            <x v="552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194">
      <pivotArea dataOnly="0" labelOnly="1" outline="0" fieldPosition="0">
        <references count="3">
          <reference field="7" count="1" selected="0">
            <x v="553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193">
      <pivotArea dataOnly="0" labelOnly="1" outline="0" fieldPosition="0">
        <references count="3">
          <reference field="7" count="1" selected="0">
            <x v="556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192">
      <pivotArea dataOnly="0" labelOnly="1" outline="0" fieldPosition="0">
        <references count="3">
          <reference field="7" count="1" selected="0">
            <x v="557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191">
      <pivotArea dataOnly="0" labelOnly="1" outline="0" fieldPosition="0">
        <references count="3">
          <reference field="7" count="1" selected="0">
            <x v="556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190">
      <pivotArea dataOnly="0" labelOnly="1" outline="0" fieldPosition="0">
        <references count="3">
          <reference field="7" count="1" selected="0">
            <x v="557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189">
      <pivotArea dataOnly="0" labelOnly="1" outline="0" fieldPosition="0">
        <references count="3">
          <reference field="7" count="1" selected="0">
            <x v="559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3188">
      <pivotArea dataOnly="0" labelOnly="1" outline="0" fieldPosition="0">
        <references count="3">
          <reference field="7" count="1" selected="0">
            <x v="559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3187">
      <pivotArea dataOnly="0" labelOnly="1" outline="0" fieldPosition="0">
        <references count="3">
          <reference field="7" count="1" selected="0">
            <x v="565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3186">
      <pivotArea dataOnly="0" labelOnly="1" outline="0" fieldPosition="0">
        <references count="3">
          <reference field="7" count="1" selected="0">
            <x v="565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3185">
      <pivotArea dataOnly="0" labelOnly="1" outline="0" fieldPosition="0">
        <references count="3">
          <reference field="7" count="1" selected="0">
            <x v="487"/>
          </reference>
          <reference field="16" count="1" selected="0">
            <x v="11"/>
          </reference>
          <reference field="18" count="1">
            <x v="1"/>
          </reference>
        </references>
      </pivotArea>
    </format>
    <format dxfId="3184">
      <pivotArea dataOnly="0" labelOnly="1" outline="0" fieldPosition="0">
        <references count="3">
          <reference field="7" count="1" selected="0">
            <x v="487"/>
          </reference>
          <reference field="16" count="1" selected="0">
            <x v="11"/>
          </reference>
          <reference field="18" count="1">
            <x v="1"/>
          </reference>
        </references>
      </pivotArea>
    </format>
    <format dxfId="3183">
      <pivotArea dataOnly="0" labelOnly="1" outline="0" fieldPosition="0">
        <references count="3">
          <reference field="7" count="1" selected="0">
            <x v="496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3182">
      <pivotArea dataOnly="0" labelOnly="1" outline="0" fieldPosition="0">
        <references count="3">
          <reference field="7" count="1" selected="0">
            <x v="496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3181">
      <pivotArea dataOnly="0" labelOnly="1" outline="0" fieldPosition="0">
        <references count="3">
          <reference field="7" count="1" selected="0">
            <x v="511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3180">
      <pivotArea dataOnly="0" labelOnly="1" outline="0" fieldPosition="0">
        <references count="3">
          <reference field="7" count="1" selected="0">
            <x v="511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3179">
      <pivotArea dataOnly="0" labelOnly="1" outline="0" fieldPosition="0">
        <references count="3">
          <reference field="7" count="1" selected="0">
            <x v="514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178">
      <pivotArea dataOnly="0" labelOnly="1" outline="0" fieldPosition="0">
        <references count="3">
          <reference field="7" count="1" selected="0">
            <x v="515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177">
      <pivotArea dataOnly="0" labelOnly="1" outline="0" fieldPosition="0">
        <references count="3">
          <reference field="7" count="1" selected="0">
            <x v="514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176">
      <pivotArea dataOnly="0" labelOnly="1" outline="0" fieldPosition="0">
        <references count="3">
          <reference field="7" count="1" selected="0">
            <x v="515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175">
      <pivotArea dataOnly="0" labelOnly="1" outline="0" fieldPosition="0">
        <references count="3">
          <reference field="7" count="1" selected="0">
            <x v="517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174">
      <pivotArea dataOnly="0" labelOnly="1" outline="0" fieldPosition="0">
        <references count="3">
          <reference field="7" count="1" selected="0">
            <x v="517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173">
      <pivotArea dataOnly="0" labelOnly="1" outline="0" fieldPosition="0">
        <references count="3">
          <reference field="7" count="1" selected="0">
            <x v="519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172">
      <pivotArea dataOnly="0" labelOnly="1" outline="0" fieldPosition="0">
        <references count="3">
          <reference field="7" count="1" selected="0">
            <x v="519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171">
      <pivotArea dataOnly="0" labelOnly="1" outline="0" fieldPosition="0">
        <references count="3">
          <reference field="7" count="1" selected="0">
            <x v="521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170">
      <pivotArea dataOnly="0" labelOnly="1" outline="0" fieldPosition="0">
        <references count="3">
          <reference field="7" count="1" selected="0">
            <x v="521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169">
      <pivotArea dataOnly="0" labelOnly="1" outline="0" fieldPosition="0">
        <references count="3">
          <reference field="7" count="1" selected="0">
            <x v="523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168">
      <pivotArea dataOnly="0" labelOnly="1" outline="0" fieldPosition="0">
        <references count="3">
          <reference field="7" count="1" selected="0">
            <x v="523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167">
      <pivotArea dataOnly="0" labelOnly="1" outline="0" fieldPosition="0">
        <references count="3">
          <reference field="7" count="1" selected="0">
            <x v="526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166">
      <pivotArea dataOnly="0" labelOnly="1" outline="0" fieldPosition="0">
        <references count="3">
          <reference field="7" count="1" selected="0">
            <x v="526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165">
      <pivotArea dataOnly="0" labelOnly="1" outline="0" fieldPosition="0">
        <references count="3">
          <reference field="7" count="1" selected="0">
            <x v="528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164">
      <pivotArea dataOnly="0" labelOnly="1" outline="0" fieldPosition="0">
        <references count="3">
          <reference field="7" count="1" selected="0">
            <x v="528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163">
      <pivotArea dataOnly="0" labelOnly="1" outline="0" fieldPosition="0">
        <references count="3">
          <reference field="7" count="1" selected="0">
            <x v="531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162">
      <pivotArea dataOnly="0" labelOnly="1" outline="0" fieldPosition="0">
        <references count="3">
          <reference field="7" count="1" selected="0">
            <x v="531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161">
      <pivotArea dataOnly="0" labelOnly="1" outline="0" fieldPosition="0">
        <references count="3">
          <reference field="7" count="1" selected="0">
            <x v="536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160">
      <pivotArea dataOnly="0" labelOnly="1" outline="0" fieldPosition="0">
        <references count="3">
          <reference field="7" count="1" selected="0">
            <x v="537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159">
      <pivotArea dataOnly="0" labelOnly="1" outline="0" fieldPosition="0">
        <references count="3">
          <reference field="7" count="1" selected="0">
            <x v="536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158">
      <pivotArea dataOnly="0" labelOnly="1" outline="0" fieldPosition="0">
        <references count="3">
          <reference field="7" count="1" selected="0">
            <x v="537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157">
      <pivotArea dataOnly="0" labelOnly="1" outline="0" fieldPosition="0">
        <references count="3">
          <reference field="7" count="1" selected="0">
            <x v="540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156">
      <pivotArea dataOnly="0" labelOnly="1" outline="0" fieldPosition="0">
        <references count="3">
          <reference field="7" count="1" selected="0">
            <x v="541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155">
      <pivotArea dataOnly="0" labelOnly="1" outline="0" fieldPosition="0">
        <references count="3">
          <reference field="7" count="1" selected="0">
            <x v="540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154">
      <pivotArea dataOnly="0" labelOnly="1" outline="0" fieldPosition="0">
        <references count="3">
          <reference field="7" count="1" selected="0">
            <x v="541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153">
      <pivotArea dataOnly="0" labelOnly="1" outline="0" fieldPosition="0">
        <references count="3">
          <reference field="7" count="1" selected="0">
            <x v="544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3152">
      <pivotArea dataOnly="0" labelOnly="1" outline="0" fieldPosition="0">
        <references count="3">
          <reference field="7" count="1" selected="0">
            <x v="544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3151">
      <pivotArea dataOnly="0" labelOnly="1" outline="0" fieldPosition="0">
        <references count="3">
          <reference field="7" count="1" selected="0">
            <x v="549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150">
      <pivotArea dataOnly="0" labelOnly="1" outline="0" fieldPosition="0">
        <references count="3">
          <reference field="7" count="1" selected="0">
            <x v="550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149">
      <pivotArea dataOnly="0" labelOnly="1" outline="0" fieldPosition="0">
        <references count="3">
          <reference field="7" count="1" selected="0">
            <x v="549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148">
      <pivotArea dataOnly="0" labelOnly="1" outline="0" fieldPosition="0">
        <references count="3">
          <reference field="7" count="1" selected="0">
            <x v="550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147">
      <pivotArea dataOnly="0" labelOnly="1" outline="0" fieldPosition="0">
        <references count="3">
          <reference field="7" count="1" selected="0">
            <x v="554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146">
      <pivotArea dataOnly="0" labelOnly="1" outline="0" fieldPosition="0">
        <references count="3">
          <reference field="7" count="1" selected="0">
            <x v="555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145">
      <pivotArea dataOnly="0" labelOnly="1" outline="0" fieldPosition="0">
        <references count="3">
          <reference field="7" count="1" selected="0">
            <x v="554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144">
      <pivotArea dataOnly="0" labelOnly="1" outline="0" fieldPosition="0">
        <references count="3">
          <reference field="7" count="1" selected="0">
            <x v="555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143">
      <pivotArea dataOnly="0" labelOnly="1" outline="0" fieldPosition="0">
        <references count="3">
          <reference field="7" count="1" selected="0">
            <x v="558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142">
      <pivotArea dataOnly="0" labelOnly="1" outline="0" fieldPosition="0">
        <references count="3">
          <reference field="7" count="1" selected="0">
            <x v="51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3141">
      <pivotArea dataOnly="0" labelOnly="1" outline="0" fieldPosition="0">
        <references count="3">
          <reference field="7" count="1" selected="0">
            <x v="558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140">
      <pivotArea dataOnly="0" labelOnly="1" outline="0" fieldPosition="0">
        <references count="3">
          <reference field="7" count="1" selected="0">
            <x v="51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3139">
      <pivotArea dataOnly="0" labelOnly="1" outline="0" fieldPosition="0">
        <references count="3">
          <reference field="7" count="1" selected="0">
            <x v="560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3138">
      <pivotArea dataOnly="0" labelOnly="1" outline="0" fieldPosition="0">
        <references count="3">
          <reference field="7" count="1" selected="0">
            <x v="561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3137">
      <pivotArea dataOnly="0" labelOnly="1" outline="0" fieldPosition="0">
        <references count="3">
          <reference field="7" count="1" selected="0">
            <x v="562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3136">
      <pivotArea dataOnly="0" labelOnly="1" outline="0" fieldPosition="0">
        <references count="3">
          <reference field="7" count="1" selected="0">
            <x v="563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3135">
      <pivotArea dataOnly="0" labelOnly="1" outline="0" fieldPosition="0">
        <references count="3">
          <reference field="7" count="1" selected="0">
            <x v="560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3134">
      <pivotArea dataOnly="0" labelOnly="1" outline="0" fieldPosition="0">
        <references count="3">
          <reference field="7" count="1" selected="0">
            <x v="561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3133">
      <pivotArea dataOnly="0" labelOnly="1" outline="0" fieldPosition="0">
        <references count="3">
          <reference field="7" count="1" selected="0">
            <x v="562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3132">
      <pivotArea dataOnly="0" labelOnly="1" outline="0" fieldPosition="0">
        <references count="3">
          <reference field="7" count="1" selected="0">
            <x v="563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3131">
      <pivotArea dataOnly="0" labelOnly="1" outline="0" fieldPosition="0">
        <references count="3">
          <reference field="7" count="1" selected="0">
            <x v="564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3130">
      <pivotArea dataOnly="0" labelOnly="1" outline="0" fieldPosition="0">
        <references count="3">
          <reference field="7" count="1" selected="0">
            <x v="564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3129">
      <pivotArea dataOnly="0" labelOnly="1" outline="0" fieldPosition="0">
        <references count="3">
          <reference field="7" count="1" selected="0">
            <x v="488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3128">
      <pivotArea dataOnly="0" labelOnly="1" outline="0" fieldPosition="0">
        <references count="3">
          <reference field="7" count="1" selected="0">
            <x v="490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3127">
      <pivotArea dataOnly="0" labelOnly="1" outline="0" fieldPosition="0">
        <references count="3">
          <reference field="7" count="1" selected="0">
            <x v="488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3126">
      <pivotArea dataOnly="0" labelOnly="1" outline="0" fieldPosition="0">
        <references count="3">
          <reference field="7" count="1" selected="0">
            <x v="490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3125">
      <pivotArea dataOnly="0" labelOnly="1" outline="0" fieldPosition="0">
        <references count="3">
          <reference field="7" count="1" selected="0">
            <x v="491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3124">
      <pivotArea dataOnly="0" labelOnly="1" outline="0" fieldPosition="0">
        <references count="3">
          <reference field="7" count="1" selected="0">
            <x v="491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3123">
      <pivotArea dataOnly="0" labelOnly="1" outline="0" fieldPosition="0">
        <references count="3">
          <reference field="7" count="1" selected="0">
            <x v="495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3122">
      <pivotArea dataOnly="0" labelOnly="1" outline="0" fieldPosition="0">
        <references count="3">
          <reference field="7" count="1" selected="0">
            <x v="495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3121">
      <pivotArea dataOnly="0" labelOnly="1" outline="0" fieldPosition="0">
        <references count="3">
          <reference field="7" count="1" selected="0">
            <x v="509"/>
          </reference>
          <reference field="16" count="1" selected="0">
            <x v="15"/>
          </reference>
          <reference field="18" count="1">
            <x v="2"/>
          </reference>
        </references>
      </pivotArea>
    </format>
    <format dxfId="3120">
      <pivotArea dataOnly="0" labelOnly="1" outline="0" fieldPosition="0">
        <references count="3">
          <reference field="7" count="1" selected="0">
            <x v="509"/>
          </reference>
          <reference field="16" count="1" selected="0">
            <x v="15"/>
          </reference>
          <reference field="18" count="1">
            <x v="2"/>
          </reference>
        </references>
      </pivotArea>
    </format>
    <format dxfId="3119">
      <pivotArea dataOnly="0" labelOnly="1" outline="0" fieldPosition="0">
        <references count="3">
          <reference field="7" count="1" selected="0">
            <x v="516"/>
          </reference>
          <reference field="16" count="1" selected="0">
            <x v="17"/>
          </reference>
          <reference field="18" count="1">
            <x v="2"/>
          </reference>
        </references>
      </pivotArea>
    </format>
    <format dxfId="3118">
      <pivotArea dataOnly="0" labelOnly="1" outline="0" fieldPosition="0">
        <references count="3">
          <reference field="7" count="1" selected="0">
            <x v="516"/>
          </reference>
          <reference field="16" count="1" selected="0">
            <x v="17"/>
          </reference>
          <reference field="18" count="1">
            <x v="2"/>
          </reference>
        </references>
      </pivotArea>
    </format>
    <format dxfId="3117">
      <pivotArea dataOnly="0" labelOnly="1" outline="0" fieldPosition="0">
        <references count="3">
          <reference field="7" count="1" selected="0">
            <x v="520"/>
          </reference>
          <reference field="16" count="1" selected="0">
            <x v="17"/>
          </reference>
          <reference field="18" count="1">
            <x v="2"/>
          </reference>
        </references>
      </pivotArea>
    </format>
    <format dxfId="3116">
      <pivotArea dataOnly="0" labelOnly="1" outline="0" fieldPosition="0">
        <references count="3">
          <reference field="7" count="1" selected="0">
            <x v="173"/>
          </reference>
          <reference field="16" count="1" selected="0">
            <x v="18"/>
          </reference>
          <reference field="18" count="1">
            <x v="2"/>
          </reference>
        </references>
      </pivotArea>
    </format>
    <format dxfId="3115">
      <pivotArea dataOnly="0" labelOnly="1" outline="0" fieldPosition="0">
        <references count="3">
          <reference field="7" count="1" selected="0">
            <x v="520"/>
          </reference>
          <reference field="16" count="1" selected="0">
            <x v="17"/>
          </reference>
          <reference field="18" count="1">
            <x v="2"/>
          </reference>
        </references>
      </pivotArea>
    </format>
    <format dxfId="3114">
      <pivotArea dataOnly="0" labelOnly="1" outline="0" fieldPosition="0">
        <references count="3">
          <reference field="7" count="1" selected="0">
            <x v="173"/>
          </reference>
          <reference field="16" count="1" selected="0">
            <x v="18"/>
          </reference>
          <reference field="18" count="1">
            <x v="2"/>
          </reference>
        </references>
      </pivotArea>
    </format>
    <format dxfId="3113">
      <pivotArea dataOnly="0" labelOnly="1" outline="0" fieldPosition="0">
        <references count="3">
          <reference field="7" count="1" selected="0">
            <x v="529"/>
          </reference>
          <reference field="16" count="1" selected="0">
            <x v="18"/>
          </reference>
          <reference field="18" count="1">
            <x v="2"/>
          </reference>
        </references>
      </pivotArea>
    </format>
    <format dxfId="3112">
      <pivotArea dataOnly="0" labelOnly="1" outline="0" fieldPosition="0">
        <references count="3">
          <reference field="7" count="1" selected="0">
            <x v="529"/>
          </reference>
          <reference field="16" count="1" selected="0">
            <x v="18"/>
          </reference>
          <reference field="18" count="1">
            <x v="2"/>
          </reference>
        </references>
      </pivotArea>
    </format>
    <format dxfId="3111">
      <pivotArea dataOnly="0" labelOnly="1" outline="0" fieldPosition="0">
        <references count="3">
          <reference field="7" count="1" selected="0">
            <x v="502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3110">
      <pivotArea dataOnly="0" labelOnly="1" outline="0" fieldPosition="0">
        <references count="3">
          <reference field="7" count="1" selected="0">
            <x v="502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3109">
      <pivotArea dataOnly="0" labelOnly="1" outline="0" fieldPosition="0">
        <references count="3">
          <reference field="7" count="1" selected="0">
            <x v="503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108">
      <pivotArea dataOnly="0" labelOnly="1" outline="0" fieldPosition="0">
        <references count="3">
          <reference field="7" count="1" selected="0">
            <x v="504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107">
      <pivotArea dataOnly="0" labelOnly="1" outline="0" fieldPosition="0">
        <references count="3">
          <reference field="7" count="1" selected="0">
            <x v="505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106">
      <pivotArea dataOnly="0" labelOnly="1" outline="0" fieldPosition="0">
        <references count="3">
          <reference field="7" count="1" selected="0">
            <x v="506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105">
      <pivotArea dataOnly="0" labelOnly="1" outline="0" fieldPosition="0">
        <references count="3">
          <reference field="7" count="1" selected="0">
            <x v="507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104">
      <pivotArea dataOnly="0" labelOnly="1" outline="0" fieldPosition="0">
        <references count="3">
          <reference field="7" count="1" selected="0">
            <x v="508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3103">
      <pivotArea dataOnly="0" labelOnly="1" outline="0" fieldPosition="0">
        <references count="1">
          <reference field="16" count="0"/>
        </references>
      </pivotArea>
    </format>
    <format dxfId="3102">
      <pivotArea field="7" type="button" dataOnly="0" labelOnly="1" outline="0" axis="axisRow" fieldPosition="1"/>
    </format>
    <format dxfId="3101">
      <pivotArea dataOnly="0" labelOnly="1" outline="0" fieldPosition="0">
        <references count="2">
          <reference field="7" count="1">
            <x v="177"/>
          </reference>
          <reference field="16" count="1" selected="0">
            <x v="6"/>
          </reference>
        </references>
      </pivotArea>
    </format>
    <format dxfId="3100">
      <pivotArea dataOnly="0" labelOnly="1" outline="0" fieldPosition="0">
        <references count="2">
          <reference field="7" count="1">
            <x v="176"/>
          </reference>
          <reference field="16" count="1" selected="0">
            <x v="9"/>
          </reference>
        </references>
      </pivotArea>
    </format>
    <format dxfId="3099">
      <pivotArea dataOnly="0" labelOnly="1" outline="0" fieldPosition="0">
        <references count="2">
          <reference field="7" count="3">
            <x v="878"/>
            <x v="879"/>
            <x v="880"/>
          </reference>
          <reference field="16" count="1" selected="0">
            <x v="10"/>
          </reference>
        </references>
      </pivotArea>
    </format>
    <format dxfId="3098">
      <pivotArea dataOnly="0" labelOnly="1" outline="0" fieldPosition="0">
        <references count="2">
          <reference field="7" count="2">
            <x v="876"/>
            <x v="877"/>
          </reference>
          <reference field="16" count="1" selected="0">
            <x v="11"/>
          </reference>
        </references>
      </pivotArea>
    </format>
    <format dxfId="3097">
      <pivotArea dataOnly="0" labelOnly="1" outline="0" fieldPosition="0">
        <references count="2">
          <reference field="7" count="3">
            <x v="874"/>
            <x v="875"/>
            <x v="881"/>
          </reference>
          <reference field="16" count="1" selected="0">
            <x v="12"/>
          </reference>
        </references>
      </pivotArea>
    </format>
    <format dxfId="3096">
      <pivotArea dataOnly="0" labelOnly="1" outline="0" fieldPosition="0">
        <references count="2">
          <reference field="7" count="4">
            <x v="270"/>
            <x v="871"/>
            <x v="872"/>
            <x v="873"/>
          </reference>
          <reference field="16" count="1" selected="0">
            <x v="13"/>
          </reference>
        </references>
      </pivotArea>
    </format>
    <format dxfId="3095">
      <pivotArea dataOnly="0" labelOnly="1" outline="0" fieldPosition="0">
        <references count="2">
          <reference field="7" count="4">
            <x v="867"/>
            <x v="868"/>
            <x v="869"/>
            <x v="870"/>
          </reference>
          <reference field="16" count="1" selected="0">
            <x v="14"/>
          </reference>
        </references>
      </pivotArea>
    </format>
    <format dxfId="3094">
      <pivotArea dataOnly="0" labelOnly="1" outline="0" fieldPosition="0">
        <references count="2">
          <reference field="7" count="2">
            <x v="865"/>
            <x v="866"/>
          </reference>
          <reference field="16" count="1" selected="0">
            <x v="15"/>
          </reference>
        </references>
      </pivotArea>
    </format>
    <format dxfId="3093">
      <pivotArea dataOnly="0" labelOnly="1" outline="0" fieldPosition="0">
        <references count="2">
          <reference field="7" count="9">
            <x v="341"/>
            <x v="649"/>
            <x v="860"/>
            <x v="861"/>
            <x v="862"/>
            <x v="863"/>
            <x v="864"/>
            <x v="883"/>
            <x v="884"/>
          </reference>
          <reference field="16" count="1" selected="0">
            <x v="16"/>
          </reference>
        </references>
      </pivotArea>
    </format>
    <format dxfId="3092">
      <pivotArea dataOnly="0" labelOnly="1" outline="0" fieldPosition="0">
        <references count="2">
          <reference field="7" count="2">
            <x v="859"/>
            <x v="882"/>
          </reference>
          <reference field="16" count="1" selected="0">
            <x v="17"/>
          </reference>
        </references>
      </pivotArea>
    </format>
    <format dxfId="3091">
      <pivotArea dataOnly="0" labelOnly="1" outline="0" fieldPosition="0">
        <references count="2">
          <reference field="7" count="1">
            <x v="858"/>
          </reference>
          <reference field="16" count="1" selected="0">
            <x v="18"/>
          </reference>
        </references>
      </pivotArea>
    </format>
    <format dxfId="3090">
      <pivotArea dataOnly="0" labelOnly="1" outline="0" fieldPosition="0">
        <references count="2">
          <reference field="7" count="8">
            <x v="365"/>
            <x v="788"/>
            <x v="852"/>
            <x v="853"/>
            <x v="854"/>
            <x v="855"/>
            <x v="856"/>
            <x v="857"/>
          </reference>
          <reference field="16" count="1" selected="0">
            <x v="19"/>
          </reference>
        </references>
      </pivotArea>
    </format>
    <format dxfId="3089">
      <pivotArea dataOnly="0" labelOnly="1" outline="0" fieldPosition="0">
        <references count="2">
          <reference field="7" count="1">
            <x v="851"/>
          </reference>
          <reference field="16" count="1" selected="0">
            <x v="20"/>
          </reference>
        </references>
      </pivotArea>
    </format>
    <format dxfId="3088">
      <pivotArea dataOnly="0" labelOnly="1" outline="0" fieldPosition="0">
        <references count="2">
          <reference field="7" count="4">
            <x v="51"/>
            <x v="458"/>
            <x v="849"/>
            <x v="850"/>
          </reference>
          <reference field="16" count="1" selected="0">
            <x v="21"/>
          </reference>
        </references>
      </pivotArea>
    </format>
    <format dxfId="3087">
      <pivotArea dataOnly="0" labelOnly="1" outline="0" fieldPosition="0">
        <references count="2">
          <reference field="7" count="2">
            <x v="847"/>
            <x v="848"/>
          </reference>
          <reference field="16" count="1" selected="0">
            <x v="22"/>
          </reference>
        </references>
      </pivotArea>
    </format>
    <format dxfId="3086">
      <pivotArea dataOnly="0" labelOnly="1" outline="0" fieldPosition="0">
        <references count="2">
          <reference field="7" count="4">
            <x v="151"/>
            <x v="614"/>
            <x v="845"/>
            <x v="846"/>
          </reference>
          <reference field="16" count="1" selected="0">
            <x v="23"/>
          </reference>
        </references>
      </pivotArea>
    </format>
    <format dxfId="3085">
      <pivotArea dataOnly="0" labelOnly="1" outline="0" fieldPosition="0">
        <references count="2">
          <reference field="7" count="1">
            <x v="611"/>
          </reference>
          <reference field="16" count="1" selected="0">
            <x v="24"/>
          </reference>
        </references>
      </pivotArea>
    </format>
    <format dxfId="3084">
      <pivotArea dataOnly="0" labelOnly="1" outline="0" fieldPosition="0">
        <references count="2">
          <reference field="7" count="2">
            <x v="843"/>
            <x v="844"/>
          </reference>
          <reference field="16" count="1" selected="0">
            <x v="25"/>
          </reference>
        </references>
      </pivotArea>
    </format>
    <format dxfId="3083">
      <pivotArea field="16" type="button" dataOnly="0" labelOnly="1" outline="0" axis="axisRow" fieldPosition="0"/>
    </format>
    <format dxfId="3082">
      <pivotArea field="7" type="button" dataOnly="0" labelOnly="1" outline="0" axis="axisRow" fieldPosition="1"/>
    </format>
    <format dxfId="3081">
      <pivotArea field="18" type="button" dataOnly="0" labelOnly="1" outline="0" axis="axisRow" fieldPosition="2"/>
    </format>
    <format dxfId="3080">
      <pivotArea dataOnly="0" labelOnly="1" outline="0" fieldPosition="0">
        <references count="1">
          <reference field="4294967294" count="9"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3079">
      <pivotArea field="16" type="button" dataOnly="0" labelOnly="1" outline="0" axis="axisRow" fieldPosition="0"/>
    </format>
    <format dxfId="3078">
      <pivotArea field="7" type="button" dataOnly="0" labelOnly="1" outline="0" axis="axisRow" fieldPosition="1"/>
    </format>
    <format dxfId="3077">
      <pivotArea field="18" type="button" dataOnly="0" labelOnly="1" outline="0" axis="axisRow" fieldPosition="2"/>
    </format>
    <format dxfId="3076">
      <pivotArea dataOnly="0" labelOnly="1" outline="0" fieldPosition="0">
        <references count="1">
          <reference field="4294967294" count="9"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3075">
      <pivotArea type="all" dataOnly="0" outline="0" fieldPosition="0"/>
    </format>
    <format dxfId="3074">
      <pivotArea outline="0" collapsedLevelsAreSubtotals="1" fieldPosition="0"/>
    </format>
    <format dxfId="3073">
      <pivotArea field="16" type="button" dataOnly="0" labelOnly="1" outline="0" axis="axisRow" fieldPosition="0"/>
    </format>
    <format dxfId="3072">
      <pivotArea field="7" type="button" dataOnly="0" labelOnly="1" outline="0" axis="axisRow" fieldPosition="1"/>
    </format>
    <format dxfId="3071">
      <pivotArea field="18" type="button" dataOnly="0" labelOnly="1" outline="0" axis="axisRow" fieldPosition="2"/>
    </format>
    <format dxfId="3070">
      <pivotArea dataOnly="0" labelOnly="1" outline="0" fieldPosition="0">
        <references count="1">
          <reference field="16" count="0"/>
        </references>
      </pivotArea>
    </format>
    <format dxfId="3069">
      <pivotArea dataOnly="0" labelOnly="1" outline="0" fieldPosition="0">
        <references count="2">
          <reference field="7" count="1">
            <x v="423"/>
          </reference>
          <reference field="16" count="1" selected="0">
            <x v="8"/>
          </reference>
        </references>
      </pivotArea>
    </format>
    <format dxfId="3068">
      <pivotArea dataOnly="0" labelOnly="1" outline="0" fieldPosition="0">
        <references count="2">
          <reference field="7" count="1">
            <x v="1173"/>
          </reference>
          <reference field="16" count="1" selected="0">
            <x v="10"/>
          </reference>
        </references>
      </pivotArea>
    </format>
    <format dxfId="3067">
      <pivotArea dataOnly="0" labelOnly="1" outline="0" fieldPosition="0">
        <references count="2">
          <reference field="7" count="2">
            <x v="176"/>
            <x v="1172"/>
          </reference>
          <reference field="16" count="1" selected="0">
            <x v="11"/>
          </reference>
        </references>
      </pivotArea>
    </format>
    <format dxfId="3066">
      <pivotArea dataOnly="0" labelOnly="1" outline="0" fieldPosition="0">
        <references count="2">
          <reference field="7" count="1">
            <x v="1171"/>
          </reference>
          <reference field="16" count="1" selected="0">
            <x v="12"/>
          </reference>
        </references>
      </pivotArea>
    </format>
    <format dxfId="3065">
      <pivotArea dataOnly="0" labelOnly="1" outline="0" fieldPosition="0">
        <references count="2">
          <reference field="7" count="8">
            <x v="1049"/>
            <x v="1164"/>
            <x v="1165"/>
            <x v="1166"/>
            <x v="1167"/>
            <x v="1168"/>
            <x v="1169"/>
            <x v="1170"/>
          </reference>
          <reference field="16" count="1" selected="0">
            <x v="13"/>
          </reference>
        </references>
      </pivotArea>
    </format>
    <format dxfId="3064">
      <pivotArea dataOnly="0" labelOnly="1" outline="0" fieldPosition="0">
        <references count="2">
          <reference field="7" count="8">
            <x v="646"/>
            <x v="867"/>
            <x v="1158"/>
            <x v="1159"/>
            <x v="1160"/>
            <x v="1161"/>
            <x v="1162"/>
            <x v="1163"/>
          </reference>
          <reference field="16" count="1" selected="0">
            <x v="14"/>
          </reference>
        </references>
      </pivotArea>
    </format>
    <format dxfId="3063">
      <pivotArea dataOnly="0" labelOnly="1" outline="0" fieldPosition="0">
        <references count="2">
          <reference field="7" count="6">
            <x v="1152"/>
            <x v="1153"/>
            <x v="1154"/>
            <x v="1155"/>
            <x v="1156"/>
            <x v="1157"/>
          </reference>
          <reference field="16" count="1" selected="0">
            <x v="15"/>
          </reference>
        </references>
      </pivotArea>
    </format>
    <format dxfId="3062">
      <pivotArea dataOnly="0" labelOnly="1" outline="0" fieldPosition="0">
        <references count="2">
          <reference field="7" count="1">
            <x v="1151"/>
          </reference>
          <reference field="16" count="1" selected="0">
            <x v="16"/>
          </reference>
        </references>
      </pivotArea>
    </format>
    <format dxfId="3061">
      <pivotArea dataOnly="0" labelOnly="1" outline="0" fieldPosition="0">
        <references count="2">
          <reference field="7" count="7">
            <x v="1144"/>
            <x v="1145"/>
            <x v="1146"/>
            <x v="1147"/>
            <x v="1148"/>
            <x v="1149"/>
            <x v="1150"/>
          </reference>
          <reference field="16" count="1" selected="0">
            <x v="17"/>
          </reference>
        </references>
      </pivotArea>
    </format>
    <format dxfId="3060">
      <pivotArea dataOnly="0" labelOnly="1" outline="0" fieldPosition="0">
        <references count="2">
          <reference field="7" count="24">
            <x v="12"/>
            <x v="347"/>
            <x v="354"/>
            <x v="365"/>
            <x v="378"/>
            <x v="448"/>
            <x v="667"/>
            <x v="1110"/>
            <x v="1127"/>
            <x v="1128"/>
            <x v="1129"/>
            <x v="1130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</reference>
          <reference field="16" count="1" selected="0">
            <x v="18"/>
          </reference>
        </references>
      </pivotArea>
    </format>
    <format dxfId="3059">
      <pivotArea dataOnly="0" labelOnly="1" outline="0" fieldPosition="0">
        <references count="2">
          <reference field="7" count="15">
            <x v="49"/>
            <x v="358"/>
            <x v="1109"/>
            <x v="1114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</reference>
          <reference field="16" count="1" selected="0">
            <x v="19"/>
          </reference>
        </references>
      </pivotArea>
    </format>
    <format dxfId="3058">
      <pivotArea dataOnly="0" labelOnly="1" outline="0" fieldPosition="0">
        <references count="2">
          <reference field="7" count="11">
            <x v="394"/>
            <x v="1097"/>
            <x v="1102"/>
            <x v="1104"/>
            <x v="1106"/>
            <x v="1108"/>
            <x v="1111"/>
            <x v="1112"/>
            <x v="1113"/>
            <x v="1115"/>
            <x v="1131"/>
          </reference>
          <reference field="16" count="1" selected="0">
            <x v="20"/>
          </reference>
        </references>
      </pivotArea>
    </format>
    <format dxfId="3057">
      <pivotArea dataOnly="0" labelOnly="1" outline="0" fieldPosition="0">
        <references count="2">
          <reference field="7" count="11">
            <x v="404"/>
            <x v="413"/>
            <x v="458"/>
            <x v="465"/>
            <x v="1078"/>
            <x v="1098"/>
            <x v="1099"/>
            <x v="1100"/>
            <x v="1101"/>
            <x v="1105"/>
            <x v="1107"/>
          </reference>
          <reference field="16" count="1" selected="0">
            <x v="21"/>
          </reference>
        </references>
      </pivotArea>
    </format>
    <format dxfId="3056">
      <pivotArea dataOnly="0" labelOnly="1" outline="0" fieldPosition="0">
        <references count="2">
          <reference field="7" count="3">
            <x v="1095"/>
            <x v="1096"/>
            <x v="1103"/>
          </reference>
          <reference field="16" count="1" selected="0">
            <x v="22"/>
          </reference>
        </references>
      </pivotArea>
    </format>
    <format dxfId="3055">
      <pivotArea dataOnly="0" labelOnly="1" outline="0" fieldPosition="0">
        <references count="2">
          <reference field="7" count="1">
            <x v="151"/>
          </reference>
          <reference field="16" count="1" selected="0">
            <x v="23"/>
          </reference>
        </references>
      </pivotArea>
    </format>
    <format dxfId="3054">
      <pivotArea dataOnly="0" labelOnly="1" outline="0" fieldPosition="0">
        <references count="2">
          <reference field="7" count="1">
            <x v="1094"/>
          </reference>
          <reference field="16" count="1" selected="0">
            <x v="24"/>
          </reference>
        </references>
      </pivotArea>
    </format>
    <format dxfId="3053">
      <pivotArea dataOnly="0" labelOnly="1" outline="0" fieldPosition="0">
        <references count="3">
          <reference field="7" count="1" selected="0">
            <x v="423"/>
          </reference>
          <reference field="16" count="1" selected="0">
            <x v="8"/>
          </reference>
          <reference field="18" count="1">
            <x v="2"/>
          </reference>
        </references>
      </pivotArea>
    </format>
    <format dxfId="3052">
      <pivotArea dataOnly="0" labelOnly="1" outline="0" fieldPosition="0">
        <references count="3">
          <reference field="7" count="1" selected="0">
            <x v="1173"/>
          </reference>
          <reference field="16" count="1" selected="0">
            <x v="10"/>
          </reference>
          <reference field="18" count="1">
            <x v="2"/>
          </reference>
        </references>
      </pivotArea>
    </format>
    <format dxfId="3051">
      <pivotArea dataOnly="0" labelOnly="1" outline="0" fieldPosition="0">
        <references count="3">
          <reference field="7" count="1" selected="0">
            <x v="176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3050">
      <pivotArea dataOnly="0" labelOnly="1" outline="0" fieldPosition="0">
        <references count="3">
          <reference field="7" count="1" selected="0">
            <x v="1172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3049">
      <pivotArea dataOnly="0" labelOnly="1" outline="0" fieldPosition="0">
        <references count="3">
          <reference field="7" count="1" selected="0">
            <x v="1171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3048">
      <pivotArea dataOnly="0" labelOnly="1" outline="0" fieldPosition="0">
        <references count="3">
          <reference field="7" count="1" selected="0">
            <x v="1049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3047">
      <pivotArea dataOnly="0" labelOnly="1" outline="0" fieldPosition="0">
        <references count="3">
          <reference field="7" count="1" selected="0">
            <x v="1164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3046">
      <pivotArea dataOnly="0" labelOnly="1" outline="0" fieldPosition="0">
        <references count="3">
          <reference field="7" count="1" selected="0">
            <x v="1165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3045">
      <pivotArea dataOnly="0" labelOnly="1" outline="0" fieldPosition="0">
        <references count="3">
          <reference field="7" count="1" selected="0">
            <x v="1166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3044">
      <pivotArea dataOnly="0" labelOnly="1" outline="0" fieldPosition="0">
        <references count="3">
          <reference field="7" count="1" selected="0">
            <x v="1167"/>
          </reference>
          <reference field="16" count="1" selected="0">
            <x v="13"/>
          </reference>
          <reference field="18" count="1">
            <x v="0"/>
          </reference>
        </references>
      </pivotArea>
    </format>
    <format dxfId="3043">
      <pivotArea dataOnly="0" labelOnly="1" outline="0" fieldPosition="0">
        <references count="3">
          <reference field="7" count="1" selected="0">
            <x v="1168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3042">
      <pivotArea dataOnly="0" labelOnly="1" outline="0" fieldPosition="0">
        <references count="3">
          <reference field="7" count="1" selected="0">
            <x v="1169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3041">
      <pivotArea dataOnly="0" labelOnly="1" outline="0" fieldPosition="0">
        <references count="3">
          <reference field="7" count="1" selected="0">
            <x v="1170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3040">
      <pivotArea dataOnly="0" labelOnly="1" outline="0" fieldPosition="0">
        <references count="3">
          <reference field="7" count="1" selected="0">
            <x v="646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3039">
      <pivotArea dataOnly="0" labelOnly="1" outline="0" fieldPosition="0">
        <references count="3">
          <reference field="7" count="1" selected="0">
            <x v="867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3038">
      <pivotArea dataOnly="0" labelOnly="1" outline="0" fieldPosition="0">
        <references count="3">
          <reference field="7" count="1" selected="0">
            <x v="1158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3037">
      <pivotArea dataOnly="0" labelOnly="1" outline="0" fieldPosition="0">
        <references count="3">
          <reference field="7" count="1" selected="0">
            <x v="1159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3036">
      <pivotArea dataOnly="0" labelOnly="1" outline="0" fieldPosition="0">
        <references count="3">
          <reference field="7" count="1" selected="0">
            <x v="1160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3035">
      <pivotArea dataOnly="0" labelOnly="1" outline="0" fieldPosition="0">
        <references count="3">
          <reference field="7" count="1" selected="0">
            <x v="1161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3034">
      <pivotArea dataOnly="0" labelOnly="1" outline="0" fieldPosition="0">
        <references count="3">
          <reference field="7" count="1" selected="0">
            <x v="1162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3033">
      <pivotArea dataOnly="0" labelOnly="1" outline="0" fieldPosition="0">
        <references count="3">
          <reference field="7" count="1" selected="0">
            <x v="1163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3032">
      <pivotArea dataOnly="0" labelOnly="1" outline="0" fieldPosition="0">
        <references count="3">
          <reference field="7" count="1" selected="0">
            <x v="1152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031">
      <pivotArea dataOnly="0" labelOnly="1" outline="0" fieldPosition="0">
        <references count="3">
          <reference field="7" count="1" selected="0">
            <x v="1153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3030">
      <pivotArea dataOnly="0" labelOnly="1" outline="0" fieldPosition="0">
        <references count="3">
          <reference field="7" count="1" selected="0">
            <x v="1154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029">
      <pivotArea dataOnly="0" labelOnly="1" outline="0" fieldPosition="0">
        <references count="3">
          <reference field="7" count="1" selected="0">
            <x v="1155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028">
      <pivotArea dataOnly="0" labelOnly="1" outline="0" fieldPosition="0">
        <references count="3">
          <reference field="7" count="1" selected="0">
            <x v="1156"/>
          </reference>
          <reference field="16" count="1" selected="0">
            <x v="15"/>
          </reference>
          <reference field="18" count="1">
            <x v="2"/>
          </reference>
        </references>
      </pivotArea>
    </format>
    <format dxfId="3027">
      <pivotArea dataOnly="0" labelOnly="1" outline="0" fieldPosition="0">
        <references count="3">
          <reference field="7" count="1" selected="0">
            <x v="1157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3026">
      <pivotArea dataOnly="0" labelOnly="1" outline="0" fieldPosition="0">
        <references count="3">
          <reference field="7" count="1" selected="0">
            <x v="1151"/>
          </reference>
          <reference field="16" count="1" selected="0">
            <x v="16"/>
          </reference>
          <reference field="18" count="1">
            <x v="2"/>
          </reference>
        </references>
      </pivotArea>
    </format>
    <format dxfId="3025">
      <pivotArea dataOnly="0" labelOnly="1" outline="0" fieldPosition="0">
        <references count="3">
          <reference field="7" count="1" selected="0">
            <x v="1144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024">
      <pivotArea dataOnly="0" labelOnly="1" outline="0" fieldPosition="0">
        <references count="3">
          <reference field="7" count="1" selected="0">
            <x v="1145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023">
      <pivotArea dataOnly="0" labelOnly="1" outline="0" fieldPosition="0">
        <references count="3">
          <reference field="7" count="1" selected="0">
            <x v="1146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022">
      <pivotArea dataOnly="0" labelOnly="1" outline="0" fieldPosition="0">
        <references count="3">
          <reference field="7" count="1" selected="0">
            <x v="1147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021">
      <pivotArea dataOnly="0" labelOnly="1" outline="0" fieldPosition="0">
        <references count="3">
          <reference field="7" count="1" selected="0">
            <x v="1148"/>
          </reference>
          <reference field="16" count="1" selected="0">
            <x v="17"/>
          </reference>
          <reference field="18" count="1">
            <x v="2"/>
          </reference>
        </references>
      </pivotArea>
    </format>
    <format dxfId="3020">
      <pivotArea dataOnly="0" labelOnly="1" outline="0" fieldPosition="0">
        <references count="3">
          <reference field="7" count="1" selected="0">
            <x v="1149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019">
      <pivotArea dataOnly="0" labelOnly="1" outline="0" fieldPosition="0">
        <references count="3">
          <reference field="7" count="1" selected="0">
            <x v="1150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018">
      <pivotArea dataOnly="0" labelOnly="1" outline="0" fieldPosition="0">
        <references count="3">
          <reference field="7" count="1" selected="0">
            <x v="12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017">
      <pivotArea dataOnly="0" labelOnly="1" outline="0" fieldPosition="0">
        <references count="3">
          <reference field="7" count="1" selected="0">
            <x v="34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016">
      <pivotArea dataOnly="0" labelOnly="1" outline="0" fieldPosition="0">
        <references count="3">
          <reference field="7" count="1" selected="0">
            <x v="354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015">
      <pivotArea dataOnly="0" labelOnly="1" outline="0" fieldPosition="0">
        <references count="3">
          <reference field="7" count="1" selected="0">
            <x v="365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014">
      <pivotArea dataOnly="0" labelOnly="1" outline="0" fieldPosition="0">
        <references count="3">
          <reference field="7" count="1" selected="0">
            <x v="378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013">
      <pivotArea dataOnly="0" labelOnly="1" outline="0" fieldPosition="0">
        <references count="3">
          <reference field="7" count="1" selected="0">
            <x v="44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012">
      <pivotArea dataOnly="0" labelOnly="1" outline="0" fieldPosition="0">
        <references count="3">
          <reference field="7" count="1" selected="0">
            <x v="667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011">
      <pivotArea dataOnly="0" labelOnly="1" outline="0" fieldPosition="0">
        <references count="3">
          <reference field="7" count="1" selected="0">
            <x v="1110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010">
      <pivotArea dataOnly="0" labelOnly="1" outline="0" fieldPosition="0">
        <references count="3">
          <reference field="7" count="1" selected="0">
            <x v="112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009">
      <pivotArea dataOnly="0" labelOnly="1" outline="0" fieldPosition="0">
        <references count="3">
          <reference field="7" count="1" selected="0">
            <x v="1128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008">
      <pivotArea dataOnly="0" labelOnly="1" outline="0" fieldPosition="0">
        <references count="3">
          <reference field="7" count="1" selected="0">
            <x v="1129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007">
      <pivotArea dataOnly="0" labelOnly="1" outline="0" fieldPosition="0">
        <references count="3">
          <reference field="7" count="1" selected="0">
            <x v="1130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006">
      <pivotArea dataOnly="0" labelOnly="1" outline="0" fieldPosition="0">
        <references count="3">
          <reference field="7" count="1" selected="0">
            <x v="1132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005">
      <pivotArea dataOnly="0" labelOnly="1" outline="0" fieldPosition="0">
        <references count="3">
          <reference field="7" count="1" selected="0">
            <x v="1133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004">
      <pivotArea dataOnly="0" labelOnly="1" outline="0" fieldPosition="0">
        <references count="3">
          <reference field="7" count="1" selected="0">
            <x v="1134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003">
      <pivotArea dataOnly="0" labelOnly="1" outline="0" fieldPosition="0">
        <references count="3">
          <reference field="7" count="1" selected="0">
            <x v="1135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002">
      <pivotArea dataOnly="0" labelOnly="1" outline="0" fieldPosition="0">
        <references count="3">
          <reference field="7" count="1" selected="0">
            <x v="1136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001">
      <pivotArea dataOnly="0" labelOnly="1" outline="0" fieldPosition="0">
        <references count="3">
          <reference field="7" count="1" selected="0">
            <x v="1137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000">
      <pivotArea dataOnly="0" labelOnly="1" outline="0" fieldPosition="0">
        <references count="3">
          <reference field="7" count="1" selected="0">
            <x v="113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999">
      <pivotArea dataOnly="0" labelOnly="1" outline="0" fieldPosition="0">
        <references count="3">
          <reference field="7" count="1" selected="0">
            <x v="1139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998">
      <pivotArea dataOnly="0" labelOnly="1" outline="0" fieldPosition="0">
        <references count="3">
          <reference field="7" count="1" selected="0">
            <x v="1140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997">
      <pivotArea dataOnly="0" labelOnly="1" outline="0" fieldPosition="0">
        <references count="3">
          <reference field="7" count="1" selected="0">
            <x v="1141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996">
      <pivotArea dataOnly="0" labelOnly="1" outline="0" fieldPosition="0">
        <references count="3">
          <reference field="7" count="1" selected="0">
            <x v="1142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995">
      <pivotArea dataOnly="0" labelOnly="1" outline="0" fieldPosition="0">
        <references count="3">
          <reference field="7" count="1" selected="0">
            <x v="1143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994">
      <pivotArea dataOnly="0" labelOnly="1" outline="0" fieldPosition="0">
        <references count="3">
          <reference field="7" count="1" selected="0">
            <x v="4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993">
      <pivotArea dataOnly="0" labelOnly="1" outline="0" fieldPosition="0">
        <references count="3">
          <reference field="7" count="1" selected="0">
            <x v="35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992">
      <pivotArea dataOnly="0" labelOnly="1" outline="0" fieldPosition="0">
        <references count="3">
          <reference field="7" count="1" selected="0">
            <x v="110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991">
      <pivotArea dataOnly="0" labelOnly="1" outline="0" fieldPosition="0">
        <references count="3">
          <reference field="7" count="1" selected="0">
            <x v="1114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990">
      <pivotArea dataOnly="0" labelOnly="1" outline="0" fieldPosition="0">
        <references count="3">
          <reference field="7" count="1" selected="0">
            <x v="1116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989">
      <pivotArea dataOnly="0" labelOnly="1" outline="0" fieldPosition="0">
        <references count="3">
          <reference field="7" count="1" selected="0">
            <x v="1117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988">
      <pivotArea dataOnly="0" labelOnly="1" outline="0" fieldPosition="0">
        <references count="3">
          <reference field="7" count="1" selected="0">
            <x v="111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987">
      <pivotArea dataOnly="0" labelOnly="1" outline="0" fieldPosition="0">
        <references count="3">
          <reference field="7" count="1" selected="0">
            <x v="111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986">
      <pivotArea dataOnly="0" labelOnly="1" outline="0" fieldPosition="0">
        <references count="3">
          <reference field="7" count="1" selected="0">
            <x v="1120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985">
      <pivotArea dataOnly="0" labelOnly="1" outline="0" fieldPosition="0">
        <references count="3">
          <reference field="7" count="1" selected="0">
            <x v="1121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984">
      <pivotArea dataOnly="0" labelOnly="1" outline="0" fieldPosition="0">
        <references count="3">
          <reference field="7" count="1" selected="0">
            <x v="1122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983">
      <pivotArea dataOnly="0" labelOnly="1" outline="0" fieldPosition="0">
        <references count="3">
          <reference field="7" count="1" selected="0">
            <x v="1123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982">
      <pivotArea dataOnly="0" labelOnly="1" outline="0" fieldPosition="0">
        <references count="3">
          <reference field="7" count="1" selected="0">
            <x v="1124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981">
      <pivotArea dataOnly="0" labelOnly="1" outline="0" fieldPosition="0">
        <references count="3">
          <reference field="7" count="1" selected="0">
            <x v="112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980">
      <pivotArea dataOnly="0" labelOnly="1" outline="0" fieldPosition="0">
        <references count="3">
          <reference field="7" count="1" selected="0">
            <x v="1126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979">
      <pivotArea dataOnly="0" labelOnly="1" outline="0" fieldPosition="0">
        <references count="3">
          <reference field="7" count="1" selected="0">
            <x v="394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978">
      <pivotArea dataOnly="0" labelOnly="1" outline="0" fieldPosition="0">
        <references count="3">
          <reference field="7" count="1" selected="0">
            <x v="1097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977">
      <pivotArea dataOnly="0" labelOnly="1" outline="0" fieldPosition="0">
        <references count="3">
          <reference field="7" count="1" selected="0">
            <x v="1102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976">
      <pivotArea dataOnly="0" labelOnly="1" outline="0" fieldPosition="0">
        <references count="3">
          <reference field="7" count="1" selected="0">
            <x v="1104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975">
      <pivotArea dataOnly="0" labelOnly="1" outline="0" fieldPosition="0">
        <references count="3">
          <reference field="7" count="1" selected="0">
            <x v="1106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974">
      <pivotArea dataOnly="0" labelOnly="1" outline="0" fieldPosition="0">
        <references count="3">
          <reference field="7" count="1" selected="0">
            <x v="1108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973">
      <pivotArea dataOnly="0" labelOnly="1" outline="0" fieldPosition="0">
        <references count="3">
          <reference field="7" count="1" selected="0">
            <x v="1111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972">
      <pivotArea dataOnly="0" labelOnly="1" outline="0" fieldPosition="0">
        <references count="3">
          <reference field="7" count="1" selected="0">
            <x v="111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971">
      <pivotArea dataOnly="0" labelOnly="1" outline="0" fieldPosition="0">
        <references count="3">
          <reference field="7" count="1" selected="0">
            <x v="1113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970">
      <pivotArea dataOnly="0" labelOnly="1" outline="0" fieldPosition="0">
        <references count="3">
          <reference field="7" count="1" selected="0">
            <x v="1115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969">
      <pivotArea dataOnly="0" labelOnly="1" outline="0" fieldPosition="0">
        <references count="3">
          <reference field="7" count="1" selected="0">
            <x v="1131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968">
      <pivotArea dataOnly="0" labelOnly="1" outline="0" fieldPosition="0">
        <references count="3">
          <reference field="7" count="1" selected="0">
            <x v="404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967">
      <pivotArea dataOnly="0" labelOnly="1" outline="0" fieldPosition="0">
        <references count="3">
          <reference field="7" count="1" selected="0">
            <x v="413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966">
      <pivotArea dataOnly="0" labelOnly="1" outline="0" fieldPosition="0">
        <references count="3">
          <reference field="7" count="1" selected="0">
            <x v="45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965">
      <pivotArea dataOnly="0" labelOnly="1" outline="0" fieldPosition="0">
        <references count="3">
          <reference field="7" count="1" selected="0">
            <x v="46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964">
      <pivotArea dataOnly="0" labelOnly="1" outline="0" fieldPosition="0">
        <references count="3">
          <reference field="7" count="1" selected="0">
            <x v="107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963">
      <pivotArea dataOnly="0" labelOnly="1" outline="0" fieldPosition="0">
        <references count="3">
          <reference field="7" count="1" selected="0">
            <x v="109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962">
      <pivotArea dataOnly="0" labelOnly="1" outline="0" fieldPosition="0">
        <references count="3">
          <reference field="7" count="1" selected="0">
            <x v="1099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961">
      <pivotArea dataOnly="0" labelOnly="1" outline="0" fieldPosition="0">
        <references count="3">
          <reference field="7" count="1" selected="0">
            <x v="1100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960">
      <pivotArea dataOnly="0" labelOnly="1" outline="0" fieldPosition="0">
        <references count="3">
          <reference field="7" count="1" selected="0">
            <x v="1101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2959">
      <pivotArea dataOnly="0" labelOnly="1" outline="0" fieldPosition="0">
        <references count="3">
          <reference field="7" count="1" selected="0">
            <x v="110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958">
      <pivotArea dataOnly="0" labelOnly="1" outline="0" fieldPosition="0">
        <references count="3">
          <reference field="7" count="1" selected="0">
            <x v="1107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957">
      <pivotArea dataOnly="0" labelOnly="1" outline="0" fieldPosition="0">
        <references count="3">
          <reference field="7" count="1" selected="0">
            <x v="1095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956">
      <pivotArea dataOnly="0" labelOnly="1" outline="0" fieldPosition="0">
        <references count="3">
          <reference field="7" count="1" selected="0">
            <x v="1096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955">
      <pivotArea dataOnly="0" labelOnly="1" outline="0" fieldPosition="0">
        <references count="3">
          <reference field="7" count="1" selected="0">
            <x v="1103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954">
      <pivotArea dataOnly="0" labelOnly="1" outline="0" fieldPosition="0">
        <references count="3">
          <reference field="7" count="1" selected="0">
            <x v="151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2953">
      <pivotArea dataOnly="0" labelOnly="1" outline="0" fieldPosition="0">
        <references count="3">
          <reference field="7" count="1" selected="0">
            <x v="1094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2952">
      <pivotArea dataOnly="0" labelOnly="1" outline="0" fieldPosition="0">
        <references count="1">
          <reference field="4294967294" count="9"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951">
      <pivotArea outline="0" collapsedLevelsAreSubtotals="1" fieldPosition="0"/>
    </format>
    <format dxfId="2950">
      <pivotArea dataOnly="0" labelOnly="1" outline="0" fieldPosition="0">
        <references count="1">
          <reference field="16" count="0"/>
        </references>
      </pivotArea>
    </format>
    <format dxfId="2949">
      <pivotArea dataOnly="0" labelOnly="1" outline="0" fieldPosition="0">
        <references count="2">
          <reference field="7" count="1">
            <x v="423"/>
          </reference>
          <reference field="16" count="1" selected="0">
            <x v="8"/>
          </reference>
        </references>
      </pivotArea>
    </format>
    <format dxfId="2948">
      <pivotArea dataOnly="0" labelOnly="1" outline="0" fieldPosition="0">
        <references count="2">
          <reference field="7" count="1">
            <x v="1173"/>
          </reference>
          <reference field="16" count="1" selected="0">
            <x v="10"/>
          </reference>
        </references>
      </pivotArea>
    </format>
    <format dxfId="2947">
      <pivotArea dataOnly="0" labelOnly="1" outline="0" fieldPosition="0">
        <references count="2">
          <reference field="7" count="2">
            <x v="176"/>
            <x v="1172"/>
          </reference>
          <reference field="16" count="1" selected="0">
            <x v="11"/>
          </reference>
        </references>
      </pivotArea>
    </format>
    <format dxfId="2946">
      <pivotArea dataOnly="0" labelOnly="1" outline="0" fieldPosition="0">
        <references count="2">
          <reference field="7" count="1">
            <x v="1171"/>
          </reference>
          <reference field="16" count="1" selected="0">
            <x v="12"/>
          </reference>
        </references>
      </pivotArea>
    </format>
    <format dxfId="2945">
      <pivotArea dataOnly="0" labelOnly="1" outline="0" fieldPosition="0">
        <references count="2">
          <reference field="7" count="8">
            <x v="1049"/>
            <x v="1164"/>
            <x v="1165"/>
            <x v="1166"/>
            <x v="1167"/>
            <x v="1168"/>
            <x v="1169"/>
            <x v="1170"/>
          </reference>
          <reference field="16" count="1" selected="0">
            <x v="13"/>
          </reference>
        </references>
      </pivotArea>
    </format>
    <format dxfId="2944">
      <pivotArea dataOnly="0" labelOnly="1" outline="0" fieldPosition="0">
        <references count="2">
          <reference field="7" count="8">
            <x v="646"/>
            <x v="867"/>
            <x v="1158"/>
            <x v="1159"/>
            <x v="1160"/>
            <x v="1161"/>
            <x v="1162"/>
            <x v="1163"/>
          </reference>
          <reference field="16" count="1" selected="0">
            <x v="14"/>
          </reference>
        </references>
      </pivotArea>
    </format>
    <format dxfId="2943">
      <pivotArea dataOnly="0" labelOnly="1" outline="0" fieldPosition="0">
        <references count="2">
          <reference field="7" count="6">
            <x v="1152"/>
            <x v="1153"/>
            <x v="1154"/>
            <x v="1155"/>
            <x v="1156"/>
            <x v="1157"/>
          </reference>
          <reference field="16" count="1" selected="0">
            <x v="15"/>
          </reference>
        </references>
      </pivotArea>
    </format>
    <format dxfId="2942">
      <pivotArea dataOnly="0" labelOnly="1" outline="0" fieldPosition="0">
        <references count="2">
          <reference field="7" count="1">
            <x v="1151"/>
          </reference>
          <reference field="16" count="1" selected="0">
            <x v="16"/>
          </reference>
        </references>
      </pivotArea>
    </format>
    <format dxfId="2941">
      <pivotArea dataOnly="0" labelOnly="1" outline="0" fieldPosition="0">
        <references count="2">
          <reference field="7" count="7">
            <x v="1144"/>
            <x v="1145"/>
            <x v="1146"/>
            <x v="1147"/>
            <x v="1148"/>
            <x v="1149"/>
            <x v="1150"/>
          </reference>
          <reference field="16" count="1" selected="0">
            <x v="17"/>
          </reference>
        </references>
      </pivotArea>
    </format>
    <format dxfId="2940">
      <pivotArea dataOnly="0" labelOnly="1" outline="0" fieldPosition="0">
        <references count="2">
          <reference field="7" count="24">
            <x v="12"/>
            <x v="347"/>
            <x v="354"/>
            <x v="365"/>
            <x v="378"/>
            <x v="448"/>
            <x v="667"/>
            <x v="1110"/>
            <x v="1127"/>
            <x v="1128"/>
            <x v="1129"/>
            <x v="1130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</reference>
          <reference field="16" count="1" selected="0">
            <x v="18"/>
          </reference>
        </references>
      </pivotArea>
    </format>
    <format dxfId="2939">
      <pivotArea dataOnly="0" labelOnly="1" outline="0" fieldPosition="0">
        <references count="2">
          <reference field="7" count="15">
            <x v="49"/>
            <x v="358"/>
            <x v="1109"/>
            <x v="1114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</reference>
          <reference field="16" count="1" selected="0">
            <x v="19"/>
          </reference>
        </references>
      </pivotArea>
    </format>
    <format dxfId="2938">
      <pivotArea dataOnly="0" labelOnly="1" outline="0" fieldPosition="0">
        <references count="2">
          <reference field="7" count="11">
            <x v="394"/>
            <x v="1097"/>
            <x v="1102"/>
            <x v="1104"/>
            <x v="1106"/>
            <x v="1108"/>
            <x v="1111"/>
            <x v="1112"/>
            <x v="1113"/>
            <x v="1115"/>
            <x v="1131"/>
          </reference>
          <reference field="16" count="1" selected="0">
            <x v="20"/>
          </reference>
        </references>
      </pivotArea>
    </format>
    <format dxfId="2937">
      <pivotArea dataOnly="0" labelOnly="1" outline="0" fieldPosition="0">
        <references count="2">
          <reference field="7" count="11">
            <x v="404"/>
            <x v="413"/>
            <x v="458"/>
            <x v="465"/>
            <x v="1078"/>
            <x v="1098"/>
            <x v="1099"/>
            <x v="1100"/>
            <x v="1101"/>
            <x v="1105"/>
            <x v="1107"/>
          </reference>
          <reference field="16" count="1" selected="0">
            <x v="21"/>
          </reference>
        </references>
      </pivotArea>
    </format>
    <format dxfId="2936">
      <pivotArea dataOnly="0" labelOnly="1" outline="0" fieldPosition="0">
        <references count="2">
          <reference field="7" count="3">
            <x v="1095"/>
            <x v="1096"/>
            <x v="1103"/>
          </reference>
          <reference field="16" count="1" selected="0">
            <x v="22"/>
          </reference>
        </references>
      </pivotArea>
    </format>
    <format dxfId="2935">
      <pivotArea dataOnly="0" labelOnly="1" outline="0" fieldPosition="0">
        <references count="2">
          <reference field="7" count="1">
            <x v="151"/>
          </reference>
          <reference field="16" count="1" selected="0">
            <x v="23"/>
          </reference>
        </references>
      </pivotArea>
    </format>
    <format dxfId="2934">
      <pivotArea dataOnly="0" labelOnly="1" outline="0" fieldPosition="0">
        <references count="2">
          <reference field="7" count="1">
            <x v="1094"/>
          </reference>
          <reference field="16" count="1" selected="0">
            <x v="24"/>
          </reference>
        </references>
      </pivotArea>
    </format>
    <format dxfId="2933">
      <pivotArea dataOnly="0" labelOnly="1" outline="0" fieldPosition="0">
        <references count="3">
          <reference field="7" count="1" selected="0">
            <x v="423"/>
          </reference>
          <reference field="16" count="1" selected="0">
            <x v="8"/>
          </reference>
          <reference field="18" count="1">
            <x v="2"/>
          </reference>
        </references>
      </pivotArea>
    </format>
    <format dxfId="2932">
      <pivotArea dataOnly="0" labelOnly="1" outline="0" fieldPosition="0">
        <references count="3">
          <reference field="7" count="1" selected="0">
            <x v="1173"/>
          </reference>
          <reference field="16" count="1" selected="0">
            <x v="10"/>
          </reference>
          <reference field="18" count="1">
            <x v="2"/>
          </reference>
        </references>
      </pivotArea>
    </format>
    <format dxfId="2931">
      <pivotArea dataOnly="0" labelOnly="1" outline="0" fieldPosition="0">
        <references count="3">
          <reference field="7" count="1" selected="0">
            <x v="176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2930">
      <pivotArea dataOnly="0" labelOnly="1" outline="0" fieldPosition="0">
        <references count="3">
          <reference field="7" count="1" selected="0">
            <x v="1172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2929">
      <pivotArea dataOnly="0" labelOnly="1" outline="0" fieldPosition="0">
        <references count="3">
          <reference field="7" count="1" selected="0">
            <x v="1171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2928">
      <pivotArea dataOnly="0" labelOnly="1" outline="0" fieldPosition="0">
        <references count="3">
          <reference field="7" count="1" selected="0">
            <x v="1049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2927">
      <pivotArea dataOnly="0" labelOnly="1" outline="0" fieldPosition="0">
        <references count="3">
          <reference field="7" count="1" selected="0">
            <x v="1164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2926">
      <pivotArea dataOnly="0" labelOnly="1" outline="0" fieldPosition="0">
        <references count="3">
          <reference field="7" count="1" selected="0">
            <x v="1165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2925">
      <pivotArea dataOnly="0" labelOnly="1" outline="0" fieldPosition="0">
        <references count="3">
          <reference field="7" count="1" selected="0">
            <x v="1166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2924">
      <pivotArea dataOnly="0" labelOnly="1" outline="0" fieldPosition="0">
        <references count="3">
          <reference field="7" count="1" selected="0">
            <x v="1167"/>
          </reference>
          <reference field="16" count="1" selected="0">
            <x v="13"/>
          </reference>
          <reference field="18" count="1">
            <x v="0"/>
          </reference>
        </references>
      </pivotArea>
    </format>
    <format dxfId="2923">
      <pivotArea dataOnly="0" labelOnly="1" outline="0" fieldPosition="0">
        <references count="3">
          <reference field="7" count="1" selected="0">
            <x v="1168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2922">
      <pivotArea dataOnly="0" labelOnly="1" outline="0" fieldPosition="0">
        <references count="3">
          <reference field="7" count="1" selected="0">
            <x v="1169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2921">
      <pivotArea dataOnly="0" labelOnly="1" outline="0" fieldPosition="0">
        <references count="3">
          <reference field="7" count="1" selected="0">
            <x v="1170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2920">
      <pivotArea dataOnly="0" labelOnly="1" outline="0" fieldPosition="0">
        <references count="3">
          <reference field="7" count="1" selected="0">
            <x v="646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2919">
      <pivotArea dataOnly="0" labelOnly="1" outline="0" fieldPosition="0">
        <references count="3">
          <reference field="7" count="1" selected="0">
            <x v="867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2918">
      <pivotArea dataOnly="0" labelOnly="1" outline="0" fieldPosition="0">
        <references count="3">
          <reference field="7" count="1" selected="0">
            <x v="1158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2917">
      <pivotArea dataOnly="0" labelOnly="1" outline="0" fieldPosition="0">
        <references count="3">
          <reference field="7" count="1" selected="0">
            <x v="1159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2916">
      <pivotArea dataOnly="0" labelOnly="1" outline="0" fieldPosition="0">
        <references count="3">
          <reference field="7" count="1" selected="0">
            <x v="1160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2915">
      <pivotArea dataOnly="0" labelOnly="1" outline="0" fieldPosition="0">
        <references count="3">
          <reference field="7" count="1" selected="0">
            <x v="1161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2914">
      <pivotArea dataOnly="0" labelOnly="1" outline="0" fieldPosition="0">
        <references count="3">
          <reference field="7" count="1" selected="0">
            <x v="1162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2913">
      <pivotArea dataOnly="0" labelOnly="1" outline="0" fieldPosition="0">
        <references count="3">
          <reference field="7" count="1" selected="0">
            <x v="1163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2912">
      <pivotArea dataOnly="0" labelOnly="1" outline="0" fieldPosition="0">
        <references count="3">
          <reference field="7" count="1" selected="0">
            <x v="1152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2911">
      <pivotArea dataOnly="0" labelOnly="1" outline="0" fieldPosition="0">
        <references count="3">
          <reference field="7" count="1" selected="0">
            <x v="1153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2910">
      <pivotArea dataOnly="0" labelOnly="1" outline="0" fieldPosition="0">
        <references count="3">
          <reference field="7" count="1" selected="0">
            <x v="1154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2909">
      <pivotArea dataOnly="0" labelOnly="1" outline="0" fieldPosition="0">
        <references count="3">
          <reference field="7" count="1" selected="0">
            <x v="1155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2908">
      <pivotArea dataOnly="0" labelOnly="1" outline="0" fieldPosition="0">
        <references count="3">
          <reference field="7" count="1" selected="0">
            <x v="1156"/>
          </reference>
          <reference field="16" count="1" selected="0">
            <x v="15"/>
          </reference>
          <reference field="18" count="1">
            <x v="2"/>
          </reference>
        </references>
      </pivotArea>
    </format>
    <format dxfId="2907">
      <pivotArea dataOnly="0" labelOnly="1" outline="0" fieldPosition="0">
        <references count="3">
          <reference field="7" count="1" selected="0">
            <x v="1157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2906">
      <pivotArea dataOnly="0" labelOnly="1" outline="0" fieldPosition="0">
        <references count="3">
          <reference field="7" count="1" selected="0">
            <x v="1151"/>
          </reference>
          <reference field="16" count="1" selected="0">
            <x v="16"/>
          </reference>
          <reference field="18" count="1">
            <x v="2"/>
          </reference>
        </references>
      </pivotArea>
    </format>
    <format dxfId="2905">
      <pivotArea dataOnly="0" labelOnly="1" outline="0" fieldPosition="0">
        <references count="3">
          <reference field="7" count="1" selected="0">
            <x v="1144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904">
      <pivotArea dataOnly="0" labelOnly="1" outline="0" fieldPosition="0">
        <references count="3">
          <reference field="7" count="1" selected="0">
            <x v="1145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2903">
      <pivotArea dataOnly="0" labelOnly="1" outline="0" fieldPosition="0">
        <references count="3">
          <reference field="7" count="1" selected="0">
            <x v="1146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2902">
      <pivotArea dataOnly="0" labelOnly="1" outline="0" fieldPosition="0">
        <references count="3">
          <reference field="7" count="1" selected="0">
            <x v="1147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2901">
      <pivotArea dataOnly="0" labelOnly="1" outline="0" fieldPosition="0">
        <references count="3">
          <reference field="7" count="1" selected="0">
            <x v="1148"/>
          </reference>
          <reference field="16" count="1" selected="0">
            <x v="17"/>
          </reference>
          <reference field="18" count="1">
            <x v="2"/>
          </reference>
        </references>
      </pivotArea>
    </format>
    <format dxfId="2900">
      <pivotArea dataOnly="0" labelOnly="1" outline="0" fieldPosition="0">
        <references count="3">
          <reference field="7" count="1" selected="0">
            <x v="1149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899">
      <pivotArea dataOnly="0" labelOnly="1" outline="0" fieldPosition="0">
        <references count="3">
          <reference field="7" count="1" selected="0">
            <x v="1150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2898">
      <pivotArea dataOnly="0" labelOnly="1" outline="0" fieldPosition="0">
        <references count="3">
          <reference field="7" count="1" selected="0">
            <x v="12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897">
      <pivotArea dataOnly="0" labelOnly="1" outline="0" fieldPosition="0">
        <references count="3">
          <reference field="7" count="1" selected="0">
            <x v="34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896">
      <pivotArea dataOnly="0" labelOnly="1" outline="0" fieldPosition="0">
        <references count="3">
          <reference field="7" count="1" selected="0">
            <x v="354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895">
      <pivotArea dataOnly="0" labelOnly="1" outline="0" fieldPosition="0">
        <references count="3">
          <reference field="7" count="1" selected="0">
            <x v="365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894">
      <pivotArea dataOnly="0" labelOnly="1" outline="0" fieldPosition="0">
        <references count="3">
          <reference field="7" count="1" selected="0">
            <x v="378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893">
      <pivotArea dataOnly="0" labelOnly="1" outline="0" fieldPosition="0">
        <references count="3">
          <reference field="7" count="1" selected="0">
            <x v="44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892">
      <pivotArea dataOnly="0" labelOnly="1" outline="0" fieldPosition="0">
        <references count="3">
          <reference field="7" count="1" selected="0">
            <x v="667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891">
      <pivotArea dataOnly="0" labelOnly="1" outline="0" fieldPosition="0">
        <references count="3">
          <reference field="7" count="1" selected="0">
            <x v="1110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890">
      <pivotArea dataOnly="0" labelOnly="1" outline="0" fieldPosition="0">
        <references count="3">
          <reference field="7" count="1" selected="0">
            <x v="112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889">
      <pivotArea dataOnly="0" labelOnly="1" outline="0" fieldPosition="0">
        <references count="3">
          <reference field="7" count="1" selected="0">
            <x v="1128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888">
      <pivotArea dataOnly="0" labelOnly="1" outline="0" fieldPosition="0">
        <references count="3">
          <reference field="7" count="1" selected="0">
            <x v="1129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887">
      <pivotArea dataOnly="0" labelOnly="1" outline="0" fieldPosition="0">
        <references count="3">
          <reference field="7" count="1" selected="0">
            <x v="1130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886">
      <pivotArea dataOnly="0" labelOnly="1" outline="0" fieldPosition="0">
        <references count="3">
          <reference field="7" count="1" selected="0">
            <x v="1132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885">
      <pivotArea dataOnly="0" labelOnly="1" outline="0" fieldPosition="0">
        <references count="3">
          <reference field="7" count="1" selected="0">
            <x v="1133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884">
      <pivotArea dataOnly="0" labelOnly="1" outline="0" fieldPosition="0">
        <references count="3">
          <reference field="7" count="1" selected="0">
            <x v="1134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883">
      <pivotArea dataOnly="0" labelOnly="1" outline="0" fieldPosition="0">
        <references count="3">
          <reference field="7" count="1" selected="0">
            <x v="1135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882">
      <pivotArea dataOnly="0" labelOnly="1" outline="0" fieldPosition="0">
        <references count="3">
          <reference field="7" count="1" selected="0">
            <x v="1136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881">
      <pivotArea dataOnly="0" labelOnly="1" outline="0" fieldPosition="0">
        <references count="3">
          <reference field="7" count="1" selected="0">
            <x v="1137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880">
      <pivotArea dataOnly="0" labelOnly="1" outline="0" fieldPosition="0">
        <references count="3">
          <reference field="7" count="1" selected="0">
            <x v="113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879">
      <pivotArea dataOnly="0" labelOnly="1" outline="0" fieldPosition="0">
        <references count="3">
          <reference field="7" count="1" selected="0">
            <x v="1139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878">
      <pivotArea dataOnly="0" labelOnly="1" outline="0" fieldPosition="0">
        <references count="3">
          <reference field="7" count="1" selected="0">
            <x v="1140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877">
      <pivotArea dataOnly="0" labelOnly="1" outline="0" fieldPosition="0">
        <references count="3">
          <reference field="7" count="1" selected="0">
            <x v="1141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876">
      <pivotArea dataOnly="0" labelOnly="1" outline="0" fieldPosition="0">
        <references count="3">
          <reference field="7" count="1" selected="0">
            <x v="1142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875">
      <pivotArea dataOnly="0" labelOnly="1" outline="0" fieldPosition="0">
        <references count="3">
          <reference field="7" count="1" selected="0">
            <x v="1143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874">
      <pivotArea dataOnly="0" labelOnly="1" outline="0" fieldPosition="0">
        <references count="3">
          <reference field="7" count="1" selected="0">
            <x v="4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873">
      <pivotArea dataOnly="0" labelOnly="1" outline="0" fieldPosition="0">
        <references count="3">
          <reference field="7" count="1" selected="0">
            <x v="35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872">
      <pivotArea dataOnly="0" labelOnly="1" outline="0" fieldPosition="0">
        <references count="3">
          <reference field="7" count="1" selected="0">
            <x v="110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871">
      <pivotArea dataOnly="0" labelOnly="1" outline="0" fieldPosition="0">
        <references count="3">
          <reference field="7" count="1" selected="0">
            <x v="1114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870">
      <pivotArea dataOnly="0" labelOnly="1" outline="0" fieldPosition="0">
        <references count="3">
          <reference field="7" count="1" selected="0">
            <x v="1116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869">
      <pivotArea dataOnly="0" labelOnly="1" outline="0" fieldPosition="0">
        <references count="3">
          <reference field="7" count="1" selected="0">
            <x v="1117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868">
      <pivotArea dataOnly="0" labelOnly="1" outline="0" fieldPosition="0">
        <references count="3">
          <reference field="7" count="1" selected="0">
            <x v="111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867">
      <pivotArea dataOnly="0" labelOnly="1" outline="0" fieldPosition="0">
        <references count="3">
          <reference field="7" count="1" selected="0">
            <x v="111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866">
      <pivotArea dataOnly="0" labelOnly="1" outline="0" fieldPosition="0">
        <references count="3">
          <reference field="7" count="1" selected="0">
            <x v="1120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865">
      <pivotArea dataOnly="0" labelOnly="1" outline="0" fieldPosition="0">
        <references count="3">
          <reference field="7" count="1" selected="0">
            <x v="1121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864">
      <pivotArea dataOnly="0" labelOnly="1" outline="0" fieldPosition="0">
        <references count="3">
          <reference field="7" count="1" selected="0">
            <x v="1122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863">
      <pivotArea dataOnly="0" labelOnly="1" outline="0" fieldPosition="0">
        <references count="3">
          <reference field="7" count="1" selected="0">
            <x v="1123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862">
      <pivotArea dataOnly="0" labelOnly="1" outline="0" fieldPosition="0">
        <references count="3">
          <reference field="7" count="1" selected="0">
            <x v="1124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861">
      <pivotArea dataOnly="0" labelOnly="1" outline="0" fieldPosition="0">
        <references count="3">
          <reference field="7" count="1" selected="0">
            <x v="112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860">
      <pivotArea dataOnly="0" labelOnly="1" outline="0" fieldPosition="0">
        <references count="3">
          <reference field="7" count="1" selected="0">
            <x v="1126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859">
      <pivotArea dataOnly="0" labelOnly="1" outline="0" fieldPosition="0">
        <references count="3">
          <reference field="7" count="1" selected="0">
            <x v="394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858">
      <pivotArea dataOnly="0" labelOnly="1" outline="0" fieldPosition="0">
        <references count="3">
          <reference field="7" count="1" selected="0">
            <x v="1097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857">
      <pivotArea dataOnly="0" labelOnly="1" outline="0" fieldPosition="0">
        <references count="3">
          <reference field="7" count="1" selected="0">
            <x v="1102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856">
      <pivotArea dataOnly="0" labelOnly="1" outline="0" fieldPosition="0">
        <references count="3">
          <reference field="7" count="1" selected="0">
            <x v="1104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855">
      <pivotArea dataOnly="0" labelOnly="1" outline="0" fieldPosition="0">
        <references count="3">
          <reference field="7" count="1" selected="0">
            <x v="1106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854">
      <pivotArea dataOnly="0" labelOnly="1" outline="0" fieldPosition="0">
        <references count="3">
          <reference field="7" count="1" selected="0">
            <x v="1108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853">
      <pivotArea dataOnly="0" labelOnly="1" outline="0" fieldPosition="0">
        <references count="3">
          <reference field="7" count="1" selected="0">
            <x v="1111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852">
      <pivotArea dataOnly="0" labelOnly="1" outline="0" fieldPosition="0">
        <references count="3">
          <reference field="7" count="1" selected="0">
            <x v="111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851">
      <pivotArea dataOnly="0" labelOnly="1" outline="0" fieldPosition="0">
        <references count="3">
          <reference field="7" count="1" selected="0">
            <x v="1113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850">
      <pivotArea dataOnly="0" labelOnly="1" outline="0" fieldPosition="0">
        <references count="3">
          <reference field="7" count="1" selected="0">
            <x v="1115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849">
      <pivotArea dataOnly="0" labelOnly="1" outline="0" fieldPosition="0">
        <references count="3">
          <reference field="7" count="1" selected="0">
            <x v="1131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848">
      <pivotArea dataOnly="0" labelOnly="1" outline="0" fieldPosition="0">
        <references count="3">
          <reference field="7" count="1" selected="0">
            <x v="404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847">
      <pivotArea dataOnly="0" labelOnly="1" outline="0" fieldPosition="0">
        <references count="3">
          <reference field="7" count="1" selected="0">
            <x v="413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846">
      <pivotArea dataOnly="0" labelOnly="1" outline="0" fieldPosition="0">
        <references count="3">
          <reference field="7" count="1" selected="0">
            <x v="45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845">
      <pivotArea dataOnly="0" labelOnly="1" outline="0" fieldPosition="0">
        <references count="3">
          <reference field="7" count="1" selected="0">
            <x v="46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844">
      <pivotArea dataOnly="0" labelOnly="1" outline="0" fieldPosition="0">
        <references count="3">
          <reference field="7" count="1" selected="0">
            <x v="107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843">
      <pivotArea dataOnly="0" labelOnly="1" outline="0" fieldPosition="0">
        <references count="3">
          <reference field="7" count="1" selected="0">
            <x v="109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842">
      <pivotArea dataOnly="0" labelOnly="1" outline="0" fieldPosition="0">
        <references count="3">
          <reference field="7" count="1" selected="0">
            <x v="1099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841">
      <pivotArea dataOnly="0" labelOnly="1" outline="0" fieldPosition="0">
        <references count="3">
          <reference field="7" count="1" selected="0">
            <x v="1100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840">
      <pivotArea dataOnly="0" labelOnly="1" outline="0" fieldPosition="0">
        <references count="3">
          <reference field="7" count="1" selected="0">
            <x v="1101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2839">
      <pivotArea dataOnly="0" labelOnly="1" outline="0" fieldPosition="0">
        <references count="3">
          <reference field="7" count="1" selected="0">
            <x v="110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838">
      <pivotArea dataOnly="0" labelOnly="1" outline="0" fieldPosition="0">
        <references count="3">
          <reference field="7" count="1" selected="0">
            <x v="1107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837">
      <pivotArea dataOnly="0" labelOnly="1" outline="0" fieldPosition="0">
        <references count="3">
          <reference field="7" count="1" selected="0">
            <x v="1095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836">
      <pivotArea dataOnly="0" labelOnly="1" outline="0" fieldPosition="0">
        <references count="3">
          <reference field="7" count="1" selected="0">
            <x v="1096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835">
      <pivotArea dataOnly="0" labelOnly="1" outline="0" fieldPosition="0">
        <references count="3">
          <reference field="7" count="1" selected="0">
            <x v="1103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834">
      <pivotArea dataOnly="0" labelOnly="1" outline="0" fieldPosition="0">
        <references count="3">
          <reference field="7" count="1" selected="0">
            <x v="151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2833">
      <pivotArea dataOnly="0" labelOnly="1" outline="0" fieldPosition="0">
        <references count="3">
          <reference field="7" count="1" selected="0">
            <x v="1094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2832">
      <pivotArea field="16" type="button" dataOnly="0" labelOnly="1" outline="0" axis="axisRow" fieldPosition="0"/>
    </format>
    <format dxfId="2831">
      <pivotArea field="7" type="button" dataOnly="0" labelOnly="1" outline="0" axis="axisRow" fieldPosition="1"/>
    </format>
    <format dxfId="2830">
      <pivotArea field="18" type="button" dataOnly="0" labelOnly="1" outline="0" axis="axisRow" fieldPosition="2"/>
    </format>
    <format dxfId="2829">
      <pivotArea dataOnly="0" labelOnly="1" outline="0" fieldPosition="0">
        <references count="1">
          <reference field="4294967294" count="9"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828">
      <pivotArea type="all" dataOnly="0" outline="0" fieldPosition="0"/>
    </format>
    <format dxfId="2827">
      <pivotArea outline="0" collapsedLevelsAreSubtotals="1" fieldPosition="0"/>
    </format>
    <format dxfId="2826">
      <pivotArea field="16" type="button" dataOnly="0" labelOnly="1" outline="0" axis="axisRow" fieldPosition="0"/>
    </format>
    <format dxfId="2825">
      <pivotArea field="7" type="button" dataOnly="0" labelOnly="1" outline="0" axis="axisRow" fieldPosition="1"/>
    </format>
    <format dxfId="2824">
      <pivotArea field="18" type="button" dataOnly="0" labelOnly="1" outline="0" axis="axisRow" fieldPosition="2"/>
    </format>
    <format dxfId="2823">
      <pivotArea dataOnly="0" labelOnly="1" outline="0" fieldPosition="0">
        <references count="1">
          <reference field="16" count="0"/>
        </references>
      </pivotArea>
    </format>
    <format dxfId="2822">
      <pivotArea dataOnly="0" labelOnly="1" outline="0" fieldPosition="0">
        <references count="2">
          <reference field="7" count="1">
            <x v="423"/>
          </reference>
          <reference field="16" count="1" selected="0">
            <x v="8"/>
          </reference>
        </references>
      </pivotArea>
    </format>
    <format dxfId="2821">
      <pivotArea dataOnly="0" labelOnly="1" outline="0" fieldPosition="0">
        <references count="2">
          <reference field="7" count="1">
            <x v="1173"/>
          </reference>
          <reference field="16" count="1" selected="0">
            <x v="10"/>
          </reference>
        </references>
      </pivotArea>
    </format>
    <format dxfId="2820">
      <pivotArea dataOnly="0" labelOnly="1" outline="0" fieldPosition="0">
        <references count="2">
          <reference field="7" count="2">
            <x v="176"/>
            <x v="1172"/>
          </reference>
          <reference field="16" count="1" selected="0">
            <x v="11"/>
          </reference>
        </references>
      </pivotArea>
    </format>
    <format dxfId="2819">
      <pivotArea dataOnly="0" labelOnly="1" outline="0" fieldPosition="0">
        <references count="2">
          <reference field="7" count="1">
            <x v="1171"/>
          </reference>
          <reference field="16" count="1" selected="0">
            <x v="12"/>
          </reference>
        </references>
      </pivotArea>
    </format>
    <format dxfId="2818">
      <pivotArea dataOnly="0" labelOnly="1" outline="0" fieldPosition="0">
        <references count="2">
          <reference field="7" count="8">
            <x v="1049"/>
            <x v="1164"/>
            <x v="1165"/>
            <x v="1166"/>
            <x v="1167"/>
            <x v="1168"/>
            <x v="1169"/>
            <x v="1170"/>
          </reference>
          <reference field="16" count="1" selected="0">
            <x v="13"/>
          </reference>
        </references>
      </pivotArea>
    </format>
    <format dxfId="2817">
      <pivotArea dataOnly="0" labelOnly="1" outline="0" fieldPosition="0">
        <references count="2">
          <reference field="7" count="8">
            <x v="646"/>
            <x v="867"/>
            <x v="1158"/>
            <x v="1159"/>
            <x v="1160"/>
            <x v="1161"/>
            <x v="1162"/>
            <x v="1163"/>
          </reference>
          <reference field="16" count="1" selected="0">
            <x v="14"/>
          </reference>
        </references>
      </pivotArea>
    </format>
    <format dxfId="2816">
      <pivotArea dataOnly="0" labelOnly="1" outline="0" fieldPosition="0">
        <references count="2">
          <reference field="7" count="6">
            <x v="1152"/>
            <x v="1153"/>
            <x v="1154"/>
            <x v="1155"/>
            <x v="1156"/>
            <x v="1157"/>
          </reference>
          <reference field="16" count="1" selected="0">
            <x v="15"/>
          </reference>
        </references>
      </pivotArea>
    </format>
    <format dxfId="2815">
      <pivotArea dataOnly="0" labelOnly="1" outline="0" fieldPosition="0">
        <references count="2">
          <reference field="7" count="1">
            <x v="1151"/>
          </reference>
          <reference field="16" count="1" selected="0">
            <x v="16"/>
          </reference>
        </references>
      </pivotArea>
    </format>
    <format dxfId="2814">
      <pivotArea dataOnly="0" labelOnly="1" outline="0" fieldPosition="0">
        <references count="2">
          <reference field="7" count="7">
            <x v="1144"/>
            <x v="1145"/>
            <x v="1146"/>
            <x v="1147"/>
            <x v="1148"/>
            <x v="1149"/>
            <x v="1150"/>
          </reference>
          <reference field="16" count="1" selected="0">
            <x v="17"/>
          </reference>
        </references>
      </pivotArea>
    </format>
    <format dxfId="2813">
      <pivotArea dataOnly="0" labelOnly="1" outline="0" fieldPosition="0">
        <references count="2">
          <reference field="7" count="24">
            <x v="12"/>
            <x v="347"/>
            <x v="354"/>
            <x v="365"/>
            <x v="378"/>
            <x v="448"/>
            <x v="667"/>
            <x v="1110"/>
            <x v="1127"/>
            <x v="1128"/>
            <x v="1129"/>
            <x v="1130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</reference>
          <reference field="16" count="1" selected="0">
            <x v="18"/>
          </reference>
        </references>
      </pivotArea>
    </format>
    <format dxfId="2812">
      <pivotArea dataOnly="0" labelOnly="1" outline="0" fieldPosition="0">
        <references count="2">
          <reference field="7" count="15">
            <x v="49"/>
            <x v="358"/>
            <x v="1109"/>
            <x v="1114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</reference>
          <reference field="16" count="1" selected="0">
            <x v="19"/>
          </reference>
        </references>
      </pivotArea>
    </format>
    <format dxfId="2811">
      <pivotArea dataOnly="0" labelOnly="1" outline="0" fieldPosition="0">
        <references count="2">
          <reference field="7" count="11">
            <x v="394"/>
            <x v="1097"/>
            <x v="1102"/>
            <x v="1104"/>
            <x v="1106"/>
            <x v="1108"/>
            <x v="1111"/>
            <x v="1112"/>
            <x v="1113"/>
            <x v="1115"/>
            <x v="1131"/>
          </reference>
          <reference field="16" count="1" selected="0">
            <x v="20"/>
          </reference>
        </references>
      </pivotArea>
    </format>
    <format dxfId="2810">
      <pivotArea dataOnly="0" labelOnly="1" outline="0" fieldPosition="0">
        <references count="2">
          <reference field="7" count="11">
            <x v="404"/>
            <x v="413"/>
            <x v="458"/>
            <x v="465"/>
            <x v="1078"/>
            <x v="1098"/>
            <x v="1099"/>
            <x v="1100"/>
            <x v="1101"/>
            <x v="1105"/>
            <x v="1107"/>
          </reference>
          <reference field="16" count="1" selected="0">
            <x v="21"/>
          </reference>
        </references>
      </pivotArea>
    </format>
    <format dxfId="2809">
      <pivotArea dataOnly="0" labelOnly="1" outline="0" fieldPosition="0">
        <references count="2">
          <reference field="7" count="3">
            <x v="1095"/>
            <x v="1096"/>
            <x v="1103"/>
          </reference>
          <reference field="16" count="1" selected="0">
            <x v="22"/>
          </reference>
        </references>
      </pivotArea>
    </format>
    <format dxfId="2808">
      <pivotArea dataOnly="0" labelOnly="1" outline="0" fieldPosition="0">
        <references count="2">
          <reference field="7" count="1">
            <x v="151"/>
          </reference>
          <reference field="16" count="1" selected="0">
            <x v="23"/>
          </reference>
        </references>
      </pivotArea>
    </format>
    <format dxfId="2807">
      <pivotArea dataOnly="0" labelOnly="1" outline="0" fieldPosition="0">
        <references count="2">
          <reference field="7" count="1">
            <x v="1094"/>
          </reference>
          <reference field="16" count="1" selected="0">
            <x v="24"/>
          </reference>
        </references>
      </pivotArea>
    </format>
    <format dxfId="2806">
      <pivotArea dataOnly="0" labelOnly="1" outline="0" fieldPosition="0">
        <references count="3">
          <reference field="7" count="1" selected="0">
            <x v="423"/>
          </reference>
          <reference field="16" count="1" selected="0">
            <x v="8"/>
          </reference>
          <reference field="18" count="1">
            <x v="2"/>
          </reference>
        </references>
      </pivotArea>
    </format>
    <format dxfId="2805">
      <pivotArea dataOnly="0" labelOnly="1" outline="0" fieldPosition="0">
        <references count="3">
          <reference field="7" count="1" selected="0">
            <x v="1173"/>
          </reference>
          <reference field="16" count="1" selected="0">
            <x v="10"/>
          </reference>
          <reference field="18" count="1">
            <x v="2"/>
          </reference>
        </references>
      </pivotArea>
    </format>
    <format dxfId="2804">
      <pivotArea dataOnly="0" labelOnly="1" outline="0" fieldPosition="0">
        <references count="3">
          <reference field="7" count="1" selected="0">
            <x v="176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2803">
      <pivotArea dataOnly="0" labelOnly="1" outline="0" fieldPosition="0">
        <references count="3">
          <reference field="7" count="1" selected="0">
            <x v="1172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2802">
      <pivotArea dataOnly="0" labelOnly="1" outline="0" fieldPosition="0">
        <references count="3">
          <reference field="7" count="1" selected="0">
            <x v="1171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2801">
      <pivotArea dataOnly="0" labelOnly="1" outline="0" fieldPosition="0">
        <references count="3">
          <reference field="7" count="1" selected="0">
            <x v="1049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2800">
      <pivotArea dataOnly="0" labelOnly="1" outline="0" fieldPosition="0">
        <references count="3">
          <reference field="7" count="1" selected="0">
            <x v="1164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2799">
      <pivotArea dataOnly="0" labelOnly="1" outline="0" fieldPosition="0">
        <references count="3">
          <reference field="7" count="1" selected="0">
            <x v="1165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2798">
      <pivotArea dataOnly="0" labelOnly="1" outline="0" fieldPosition="0">
        <references count="3">
          <reference field="7" count="1" selected="0">
            <x v="1166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2797">
      <pivotArea dataOnly="0" labelOnly="1" outline="0" fieldPosition="0">
        <references count="3">
          <reference field="7" count="1" selected="0">
            <x v="1167"/>
          </reference>
          <reference field="16" count="1" selected="0">
            <x v="13"/>
          </reference>
          <reference field="18" count="1">
            <x v="0"/>
          </reference>
        </references>
      </pivotArea>
    </format>
    <format dxfId="2796">
      <pivotArea dataOnly="0" labelOnly="1" outline="0" fieldPosition="0">
        <references count="3">
          <reference field="7" count="1" selected="0">
            <x v="1168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2795">
      <pivotArea dataOnly="0" labelOnly="1" outline="0" fieldPosition="0">
        <references count="3">
          <reference field="7" count="1" selected="0">
            <x v="1169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2794">
      <pivotArea dataOnly="0" labelOnly="1" outline="0" fieldPosition="0">
        <references count="3">
          <reference field="7" count="1" selected="0">
            <x v="1170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2793">
      <pivotArea dataOnly="0" labelOnly="1" outline="0" fieldPosition="0">
        <references count="3">
          <reference field="7" count="1" selected="0">
            <x v="646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2792">
      <pivotArea dataOnly="0" labelOnly="1" outline="0" fieldPosition="0">
        <references count="3">
          <reference field="7" count="1" selected="0">
            <x v="867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2791">
      <pivotArea dataOnly="0" labelOnly="1" outline="0" fieldPosition="0">
        <references count="3">
          <reference field="7" count="1" selected="0">
            <x v="1158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2790">
      <pivotArea dataOnly="0" labelOnly="1" outline="0" fieldPosition="0">
        <references count="3">
          <reference field="7" count="1" selected="0">
            <x v="1159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2789">
      <pivotArea dataOnly="0" labelOnly="1" outline="0" fieldPosition="0">
        <references count="3">
          <reference field="7" count="1" selected="0">
            <x v="1160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2788">
      <pivotArea dataOnly="0" labelOnly="1" outline="0" fieldPosition="0">
        <references count="3">
          <reference field="7" count="1" selected="0">
            <x v="1161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2787">
      <pivotArea dataOnly="0" labelOnly="1" outline="0" fieldPosition="0">
        <references count="3">
          <reference field="7" count="1" selected="0">
            <x v="1162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2786">
      <pivotArea dataOnly="0" labelOnly="1" outline="0" fieldPosition="0">
        <references count="3">
          <reference field="7" count="1" selected="0">
            <x v="1163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2785">
      <pivotArea dataOnly="0" labelOnly="1" outline="0" fieldPosition="0">
        <references count="3">
          <reference field="7" count="1" selected="0">
            <x v="1152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2784">
      <pivotArea dataOnly="0" labelOnly="1" outline="0" fieldPosition="0">
        <references count="3">
          <reference field="7" count="1" selected="0">
            <x v="1153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2783">
      <pivotArea dataOnly="0" labelOnly="1" outline="0" fieldPosition="0">
        <references count="3">
          <reference field="7" count="1" selected="0">
            <x v="1154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2782">
      <pivotArea dataOnly="0" labelOnly="1" outline="0" fieldPosition="0">
        <references count="3">
          <reference field="7" count="1" selected="0">
            <x v="1155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2781">
      <pivotArea dataOnly="0" labelOnly="1" outline="0" fieldPosition="0">
        <references count="3">
          <reference field="7" count="1" selected="0">
            <x v="1156"/>
          </reference>
          <reference field="16" count="1" selected="0">
            <x v="15"/>
          </reference>
          <reference field="18" count="1">
            <x v="2"/>
          </reference>
        </references>
      </pivotArea>
    </format>
    <format dxfId="2780">
      <pivotArea dataOnly="0" labelOnly="1" outline="0" fieldPosition="0">
        <references count="3">
          <reference field="7" count="1" selected="0">
            <x v="1157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2779">
      <pivotArea dataOnly="0" labelOnly="1" outline="0" fieldPosition="0">
        <references count="3">
          <reference field="7" count="1" selected="0">
            <x v="1151"/>
          </reference>
          <reference field="16" count="1" selected="0">
            <x v="16"/>
          </reference>
          <reference field="18" count="1">
            <x v="2"/>
          </reference>
        </references>
      </pivotArea>
    </format>
    <format dxfId="2778">
      <pivotArea dataOnly="0" labelOnly="1" outline="0" fieldPosition="0">
        <references count="3">
          <reference field="7" count="1" selected="0">
            <x v="1144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777">
      <pivotArea dataOnly="0" labelOnly="1" outline="0" fieldPosition="0">
        <references count="3">
          <reference field="7" count="1" selected="0">
            <x v="1145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2776">
      <pivotArea dataOnly="0" labelOnly="1" outline="0" fieldPosition="0">
        <references count="3">
          <reference field="7" count="1" selected="0">
            <x v="1146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2775">
      <pivotArea dataOnly="0" labelOnly="1" outline="0" fieldPosition="0">
        <references count="3">
          <reference field="7" count="1" selected="0">
            <x v="1147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2774">
      <pivotArea dataOnly="0" labelOnly="1" outline="0" fieldPosition="0">
        <references count="3">
          <reference field="7" count="1" selected="0">
            <x v="1148"/>
          </reference>
          <reference field="16" count="1" selected="0">
            <x v="17"/>
          </reference>
          <reference field="18" count="1">
            <x v="2"/>
          </reference>
        </references>
      </pivotArea>
    </format>
    <format dxfId="2773">
      <pivotArea dataOnly="0" labelOnly="1" outline="0" fieldPosition="0">
        <references count="3">
          <reference field="7" count="1" selected="0">
            <x v="1149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772">
      <pivotArea dataOnly="0" labelOnly="1" outline="0" fieldPosition="0">
        <references count="3">
          <reference field="7" count="1" selected="0">
            <x v="1150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2771">
      <pivotArea dataOnly="0" labelOnly="1" outline="0" fieldPosition="0">
        <references count="3">
          <reference field="7" count="1" selected="0">
            <x v="12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770">
      <pivotArea dataOnly="0" labelOnly="1" outline="0" fieldPosition="0">
        <references count="3">
          <reference field="7" count="1" selected="0">
            <x v="34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769">
      <pivotArea dataOnly="0" labelOnly="1" outline="0" fieldPosition="0">
        <references count="3">
          <reference field="7" count="1" selected="0">
            <x v="354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768">
      <pivotArea dataOnly="0" labelOnly="1" outline="0" fieldPosition="0">
        <references count="3">
          <reference field="7" count="1" selected="0">
            <x v="365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767">
      <pivotArea dataOnly="0" labelOnly="1" outline="0" fieldPosition="0">
        <references count="3">
          <reference field="7" count="1" selected="0">
            <x v="378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766">
      <pivotArea dataOnly="0" labelOnly="1" outline="0" fieldPosition="0">
        <references count="3">
          <reference field="7" count="1" selected="0">
            <x v="44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765">
      <pivotArea dataOnly="0" labelOnly="1" outline="0" fieldPosition="0">
        <references count="3">
          <reference field="7" count="1" selected="0">
            <x v="667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764">
      <pivotArea dataOnly="0" labelOnly="1" outline="0" fieldPosition="0">
        <references count="3">
          <reference field="7" count="1" selected="0">
            <x v="1110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763">
      <pivotArea dataOnly="0" labelOnly="1" outline="0" fieldPosition="0">
        <references count="3">
          <reference field="7" count="1" selected="0">
            <x v="112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762">
      <pivotArea dataOnly="0" labelOnly="1" outline="0" fieldPosition="0">
        <references count="3">
          <reference field="7" count="1" selected="0">
            <x v="1128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761">
      <pivotArea dataOnly="0" labelOnly="1" outline="0" fieldPosition="0">
        <references count="3">
          <reference field="7" count="1" selected="0">
            <x v="1129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760">
      <pivotArea dataOnly="0" labelOnly="1" outline="0" fieldPosition="0">
        <references count="3">
          <reference field="7" count="1" selected="0">
            <x v="1130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759">
      <pivotArea dataOnly="0" labelOnly="1" outline="0" fieldPosition="0">
        <references count="3">
          <reference field="7" count="1" selected="0">
            <x v="1132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758">
      <pivotArea dataOnly="0" labelOnly="1" outline="0" fieldPosition="0">
        <references count="3">
          <reference field="7" count="1" selected="0">
            <x v="1133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757">
      <pivotArea dataOnly="0" labelOnly="1" outline="0" fieldPosition="0">
        <references count="3">
          <reference field="7" count="1" selected="0">
            <x v="1134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756">
      <pivotArea dataOnly="0" labelOnly="1" outline="0" fieldPosition="0">
        <references count="3">
          <reference field="7" count="1" selected="0">
            <x v="1135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755">
      <pivotArea dataOnly="0" labelOnly="1" outline="0" fieldPosition="0">
        <references count="3">
          <reference field="7" count="1" selected="0">
            <x v="1136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754">
      <pivotArea dataOnly="0" labelOnly="1" outline="0" fieldPosition="0">
        <references count="3">
          <reference field="7" count="1" selected="0">
            <x v="1137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753">
      <pivotArea dataOnly="0" labelOnly="1" outline="0" fieldPosition="0">
        <references count="3">
          <reference field="7" count="1" selected="0">
            <x v="113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752">
      <pivotArea dataOnly="0" labelOnly="1" outline="0" fieldPosition="0">
        <references count="3">
          <reference field="7" count="1" selected="0">
            <x v="1139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751">
      <pivotArea dataOnly="0" labelOnly="1" outline="0" fieldPosition="0">
        <references count="3">
          <reference field="7" count="1" selected="0">
            <x v="1140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750">
      <pivotArea dataOnly="0" labelOnly="1" outline="0" fieldPosition="0">
        <references count="3">
          <reference field="7" count="1" selected="0">
            <x v="1141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749">
      <pivotArea dataOnly="0" labelOnly="1" outline="0" fieldPosition="0">
        <references count="3">
          <reference field="7" count="1" selected="0">
            <x v="1142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748">
      <pivotArea dataOnly="0" labelOnly="1" outline="0" fieldPosition="0">
        <references count="3">
          <reference field="7" count="1" selected="0">
            <x v="1143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747">
      <pivotArea dataOnly="0" labelOnly="1" outline="0" fieldPosition="0">
        <references count="3">
          <reference field="7" count="1" selected="0">
            <x v="4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746">
      <pivotArea dataOnly="0" labelOnly="1" outline="0" fieldPosition="0">
        <references count="3">
          <reference field="7" count="1" selected="0">
            <x v="35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745">
      <pivotArea dataOnly="0" labelOnly="1" outline="0" fieldPosition="0">
        <references count="3">
          <reference field="7" count="1" selected="0">
            <x v="110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744">
      <pivotArea dataOnly="0" labelOnly="1" outline="0" fieldPosition="0">
        <references count="3">
          <reference field="7" count="1" selected="0">
            <x v="1114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743">
      <pivotArea dataOnly="0" labelOnly="1" outline="0" fieldPosition="0">
        <references count="3">
          <reference field="7" count="1" selected="0">
            <x v="1116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742">
      <pivotArea dataOnly="0" labelOnly="1" outline="0" fieldPosition="0">
        <references count="3">
          <reference field="7" count="1" selected="0">
            <x v="1117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741">
      <pivotArea dataOnly="0" labelOnly="1" outline="0" fieldPosition="0">
        <references count="3">
          <reference field="7" count="1" selected="0">
            <x v="111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740">
      <pivotArea dataOnly="0" labelOnly="1" outline="0" fieldPosition="0">
        <references count="3">
          <reference field="7" count="1" selected="0">
            <x v="111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739">
      <pivotArea dataOnly="0" labelOnly="1" outline="0" fieldPosition="0">
        <references count="3">
          <reference field="7" count="1" selected="0">
            <x v="1120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738">
      <pivotArea dataOnly="0" labelOnly="1" outline="0" fieldPosition="0">
        <references count="3">
          <reference field="7" count="1" selected="0">
            <x v="1121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737">
      <pivotArea dataOnly="0" labelOnly="1" outline="0" fieldPosition="0">
        <references count="3">
          <reference field="7" count="1" selected="0">
            <x v="1122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736">
      <pivotArea dataOnly="0" labelOnly="1" outline="0" fieldPosition="0">
        <references count="3">
          <reference field="7" count="1" selected="0">
            <x v="1123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735">
      <pivotArea dataOnly="0" labelOnly="1" outline="0" fieldPosition="0">
        <references count="3">
          <reference field="7" count="1" selected="0">
            <x v="1124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734">
      <pivotArea dataOnly="0" labelOnly="1" outline="0" fieldPosition="0">
        <references count="3">
          <reference field="7" count="1" selected="0">
            <x v="112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733">
      <pivotArea dataOnly="0" labelOnly="1" outline="0" fieldPosition="0">
        <references count="3">
          <reference field="7" count="1" selected="0">
            <x v="1126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732">
      <pivotArea dataOnly="0" labelOnly="1" outline="0" fieldPosition="0">
        <references count="3">
          <reference field="7" count="1" selected="0">
            <x v="394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731">
      <pivotArea dataOnly="0" labelOnly="1" outline="0" fieldPosition="0">
        <references count="3">
          <reference field="7" count="1" selected="0">
            <x v="1097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730">
      <pivotArea dataOnly="0" labelOnly="1" outline="0" fieldPosition="0">
        <references count="3">
          <reference field="7" count="1" selected="0">
            <x v="1102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729">
      <pivotArea dataOnly="0" labelOnly="1" outline="0" fieldPosition="0">
        <references count="3">
          <reference field="7" count="1" selected="0">
            <x v="1104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728">
      <pivotArea dataOnly="0" labelOnly="1" outline="0" fieldPosition="0">
        <references count="3">
          <reference field="7" count="1" selected="0">
            <x v="1106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727">
      <pivotArea dataOnly="0" labelOnly="1" outline="0" fieldPosition="0">
        <references count="3">
          <reference field="7" count="1" selected="0">
            <x v="1108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726">
      <pivotArea dataOnly="0" labelOnly="1" outline="0" fieldPosition="0">
        <references count="3">
          <reference field="7" count="1" selected="0">
            <x v="1111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725">
      <pivotArea dataOnly="0" labelOnly="1" outline="0" fieldPosition="0">
        <references count="3">
          <reference field="7" count="1" selected="0">
            <x v="111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724">
      <pivotArea dataOnly="0" labelOnly="1" outline="0" fieldPosition="0">
        <references count="3">
          <reference field="7" count="1" selected="0">
            <x v="1113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723">
      <pivotArea dataOnly="0" labelOnly="1" outline="0" fieldPosition="0">
        <references count="3">
          <reference field="7" count="1" selected="0">
            <x v="1115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722">
      <pivotArea dataOnly="0" labelOnly="1" outline="0" fieldPosition="0">
        <references count="3">
          <reference field="7" count="1" selected="0">
            <x v="1131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721">
      <pivotArea dataOnly="0" labelOnly="1" outline="0" fieldPosition="0">
        <references count="3">
          <reference field="7" count="1" selected="0">
            <x v="404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720">
      <pivotArea dataOnly="0" labelOnly="1" outline="0" fieldPosition="0">
        <references count="3">
          <reference field="7" count="1" selected="0">
            <x v="413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719">
      <pivotArea dataOnly="0" labelOnly="1" outline="0" fieldPosition="0">
        <references count="3">
          <reference field="7" count="1" selected="0">
            <x v="45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718">
      <pivotArea dataOnly="0" labelOnly="1" outline="0" fieldPosition="0">
        <references count="3">
          <reference field="7" count="1" selected="0">
            <x v="46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717">
      <pivotArea dataOnly="0" labelOnly="1" outline="0" fieldPosition="0">
        <references count="3">
          <reference field="7" count="1" selected="0">
            <x v="107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716">
      <pivotArea dataOnly="0" labelOnly="1" outline="0" fieldPosition="0">
        <references count="3">
          <reference field="7" count="1" selected="0">
            <x v="109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715">
      <pivotArea dataOnly="0" labelOnly="1" outline="0" fieldPosition="0">
        <references count="3">
          <reference field="7" count="1" selected="0">
            <x v="1099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714">
      <pivotArea dataOnly="0" labelOnly="1" outline="0" fieldPosition="0">
        <references count="3">
          <reference field="7" count="1" selected="0">
            <x v="1100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713">
      <pivotArea dataOnly="0" labelOnly="1" outline="0" fieldPosition="0">
        <references count="3">
          <reference field="7" count="1" selected="0">
            <x v="1101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2712">
      <pivotArea dataOnly="0" labelOnly="1" outline="0" fieldPosition="0">
        <references count="3">
          <reference field="7" count="1" selected="0">
            <x v="110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711">
      <pivotArea dataOnly="0" labelOnly="1" outline="0" fieldPosition="0">
        <references count="3">
          <reference field="7" count="1" selected="0">
            <x v="1107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710">
      <pivotArea dataOnly="0" labelOnly="1" outline="0" fieldPosition="0">
        <references count="3">
          <reference field="7" count="1" selected="0">
            <x v="1095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709">
      <pivotArea dataOnly="0" labelOnly="1" outline="0" fieldPosition="0">
        <references count="3">
          <reference field="7" count="1" selected="0">
            <x v="1096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708">
      <pivotArea dataOnly="0" labelOnly="1" outline="0" fieldPosition="0">
        <references count="3">
          <reference field="7" count="1" selected="0">
            <x v="1103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707">
      <pivotArea dataOnly="0" labelOnly="1" outline="0" fieldPosition="0">
        <references count="3">
          <reference field="7" count="1" selected="0">
            <x v="151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2706">
      <pivotArea dataOnly="0" labelOnly="1" outline="0" fieldPosition="0">
        <references count="3">
          <reference field="7" count="1" selected="0">
            <x v="1094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2705">
      <pivotArea dataOnly="0" labelOnly="1" outline="0" fieldPosition="0">
        <references count="1">
          <reference field="4294967294" count="9"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704">
      <pivotArea dataOnly="0" labelOnly="1" outline="0" fieldPosition="0">
        <references count="1">
          <reference field="4294967294" count="9"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703">
      <pivotArea dataOnly="0" labelOnly="1" outline="0" fieldPosition="0">
        <references count="2">
          <reference field="7" count="1">
            <x v="423"/>
          </reference>
          <reference field="16" count="1" selected="0">
            <x v="8"/>
          </reference>
        </references>
      </pivotArea>
    </format>
    <format dxfId="2702">
      <pivotArea dataOnly="0" labelOnly="1" outline="0" fieldPosition="0">
        <references count="2">
          <reference field="7" count="1">
            <x v="1173"/>
          </reference>
          <reference field="16" count="1" selected="0">
            <x v="10"/>
          </reference>
        </references>
      </pivotArea>
    </format>
    <format dxfId="2701">
      <pivotArea dataOnly="0" labelOnly="1" outline="0" fieldPosition="0">
        <references count="2">
          <reference field="7" count="2">
            <x v="176"/>
            <x v="1172"/>
          </reference>
          <reference field="16" count="1" selected="0">
            <x v="11"/>
          </reference>
        </references>
      </pivotArea>
    </format>
    <format dxfId="2700">
      <pivotArea dataOnly="0" labelOnly="1" outline="0" fieldPosition="0">
        <references count="2">
          <reference field="7" count="1">
            <x v="1171"/>
          </reference>
          <reference field="16" count="1" selected="0">
            <x v="12"/>
          </reference>
        </references>
      </pivotArea>
    </format>
    <format dxfId="2699">
      <pivotArea dataOnly="0" labelOnly="1" outline="0" fieldPosition="0">
        <references count="2">
          <reference field="7" count="8">
            <x v="1049"/>
            <x v="1164"/>
            <x v="1165"/>
            <x v="1166"/>
            <x v="1167"/>
            <x v="1168"/>
            <x v="1169"/>
            <x v="1170"/>
          </reference>
          <reference field="16" count="1" selected="0">
            <x v="13"/>
          </reference>
        </references>
      </pivotArea>
    </format>
    <format dxfId="2698">
      <pivotArea dataOnly="0" labelOnly="1" outline="0" fieldPosition="0">
        <references count="2">
          <reference field="7" count="8">
            <x v="646"/>
            <x v="867"/>
            <x v="1158"/>
            <x v="1159"/>
            <x v="1160"/>
            <x v="1161"/>
            <x v="1162"/>
            <x v="1163"/>
          </reference>
          <reference field="16" count="1" selected="0">
            <x v="14"/>
          </reference>
        </references>
      </pivotArea>
    </format>
    <format dxfId="2697">
      <pivotArea dataOnly="0" labelOnly="1" outline="0" fieldPosition="0">
        <references count="2">
          <reference field="7" count="6">
            <x v="1152"/>
            <x v="1153"/>
            <x v="1154"/>
            <x v="1155"/>
            <x v="1156"/>
            <x v="1157"/>
          </reference>
          <reference field="16" count="1" selected="0">
            <x v="15"/>
          </reference>
        </references>
      </pivotArea>
    </format>
    <format dxfId="2696">
      <pivotArea dataOnly="0" labelOnly="1" outline="0" fieldPosition="0">
        <references count="2">
          <reference field="7" count="1">
            <x v="1151"/>
          </reference>
          <reference field="16" count="1" selected="0">
            <x v="16"/>
          </reference>
        </references>
      </pivotArea>
    </format>
    <format dxfId="2695">
      <pivotArea dataOnly="0" labelOnly="1" outline="0" fieldPosition="0">
        <references count="2">
          <reference field="7" count="7">
            <x v="1144"/>
            <x v="1145"/>
            <x v="1146"/>
            <x v="1147"/>
            <x v="1148"/>
            <x v="1149"/>
            <x v="1150"/>
          </reference>
          <reference field="16" count="1" selected="0">
            <x v="17"/>
          </reference>
        </references>
      </pivotArea>
    </format>
    <format dxfId="2694">
      <pivotArea dataOnly="0" labelOnly="1" outline="0" fieldPosition="0">
        <references count="2">
          <reference field="7" count="24">
            <x v="12"/>
            <x v="347"/>
            <x v="354"/>
            <x v="365"/>
            <x v="378"/>
            <x v="448"/>
            <x v="667"/>
            <x v="1110"/>
            <x v="1127"/>
            <x v="1128"/>
            <x v="1129"/>
            <x v="1130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</reference>
          <reference field="16" count="1" selected="0">
            <x v="18"/>
          </reference>
        </references>
      </pivotArea>
    </format>
    <format dxfId="2693">
      <pivotArea dataOnly="0" labelOnly="1" outline="0" fieldPosition="0">
        <references count="2">
          <reference field="7" count="15">
            <x v="49"/>
            <x v="358"/>
            <x v="1109"/>
            <x v="1114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</reference>
          <reference field="16" count="1" selected="0">
            <x v="19"/>
          </reference>
        </references>
      </pivotArea>
    </format>
    <format dxfId="2692">
      <pivotArea dataOnly="0" labelOnly="1" outline="0" fieldPosition="0">
        <references count="2">
          <reference field="7" count="11">
            <x v="394"/>
            <x v="1097"/>
            <x v="1102"/>
            <x v="1104"/>
            <x v="1106"/>
            <x v="1108"/>
            <x v="1111"/>
            <x v="1112"/>
            <x v="1113"/>
            <x v="1115"/>
            <x v="1131"/>
          </reference>
          <reference field="16" count="1" selected="0">
            <x v="20"/>
          </reference>
        </references>
      </pivotArea>
    </format>
    <format dxfId="2691">
      <pivotArea dataOnly="0" labelOnly="1" outline="0" fieldPosition="0">
        <references count="2">
          <reference field="7" count="11">
            <x v="404"/>
            <x v="413"/>
            <x v="458"/>
            <x v="465"/>
            <x v="1078"/>
            <x v="1098"/>
            <x v="1099"/>
            <x v="1100"/>
            <x v="1101"/>
            <x v="1105"/>
            <x v="1107"/>
          </reference>
          <reference field="16" count="1" selected="0">
            <x v="21"/>
          </reference>
        </references>
      </pivotArea>
    </format>
    <format dxfId="2690">
      <pivotArea dataOnly="0" labelOnly="1" outline="0" fieldPosition="0">
        <references count="2">
          <reference field="7" count="3">
            <x v="1095"/>
            <x v="1096"/>
            <x v="1103"/>
          </reference>
          <reference field="16" count="1" selected="0">
            <x v="22"/>
          </reference>
        </references>
      </pivotArea>
    </format>
    <format dxfId="2689">
      <pivotArea dataOnly="0" labelOnly="1" outline="0" fieldPosition="0">
        <references count="2">
          <reference field="7" count="1">
            <x v="151"/>
          </reference>
          <reference field="16" count="1" selected="0">
            <x v="23"/>
          </reference>
        </references>
      </pivotArea>
    </format>
    <format dxfId="2688">
      <pivotArea dataOnly="0" labelOnly="1" outline="0" fieldPosition="0">
        <references count="2">
          <reference field="7" count="1">
            <x v="1094"/>
          </reference>
          <reference field="16" count="1" selected="0">
            <x v="24"/>
          </reference>
        </references>
      </pivotArea>
    </format>
    <format dxfId="2687">
      <pivotArea outline="0" collapsedLevelsAreSubtotals="1" fieldPosition="0"/>
    </format>
    <format dxfId="2686">
      <pivotArea dataOnly="0" labelOnly="1" outline="0" fieldPosition="0">
        <references count="1">
          <reference field="16" count="0"/>
        </references>
      </pivotArea>
    </format>
    <format dxfId="2685">
      <pivotArea dataOnly="0" labelOnly="1" outline="0" fieldPosition="0">
        <references count="2">
          <reference field="7" count="1">
            <x v="177"/>
          </reference>
          <reference field="16" count="1" selected="0">
            <x v="7"/>
          </reference>
        </references>
      </pivotArea>
    </format>
    <format dxfId="2684">
      <pivotArea dataOnly="0" labelOnly="1" outline="0" fieldPosition="0">
        <references count="2">
          <reference field="7" count="4">
            <x v="1221"/>
            <x v="1222"/>
            <x v="1223"/>
            <x v="1224"/>
          </reference>
          <reference field="16" count="1" selected="0">
            <x v="12"/>
          </reference>
        </references>
      </pivotArea>
    </format>
    <format dxfId="2683">
      <pivotArea dataOnly="0" labelOnly="1" outline="0" fieldPosition="0">
        <references count="2">
          <reference field="7" count="5">
            <x v="1216"/>
            <x v="1217"/>
            <x v="1218"/>
            <x v="1219"/>
            <x v="1220"/>
          </reference>
          <reference field="16" count="1" selected="0">
            <x v="14"/>
          </reference>
        </references>
      </pivotArea>
    </format>
    <format dxfId="2682">
      <pivotArea dataOnly="0" labelOnly="1" outline="0" fieldPosition="0">
        <references count="2">
          <reference field="7" count="7">
            <x v="262"/>
            <x v="1210"/>
            <x v="1211"/>
            <x v="1212"/>
            <x v="1213"/>
            <x v="1214"/>
            <x v="1215"/>
          </reference>
          <reference field="16" count="1" selected="0">
            <x v="16"/>
          </reference>
        </references>
      </pivotArea>
    </format>
    <format dxfId="2681">
      <pivotArea dataOnly="0" labelOnly="1" outline="0" fieldPosition="0">
        <references count="2">
          <reference field="7" count="5">
            <x v="318"/>
            <x v="713"/>
            <x v="1207"/>
            <x v="1208"/>
            <x v="1209"/>
          </reference>
          <reference field="16" count="1" selected="0">
            <x v="17"/>
          </reference>
        </references>
      </pivotArea>
    </format>
    <format dxfId="2680">
      <pivotArea dataOnly="0" labelOnly="1" outline="0" fieldPosition="0">
        <references count="2">
          <reference field="7" count="7">
            <x v="23"/>
            <x v="1201"/>
            <x v="1202"/>
            <x v="1203"/>
            <x v="1204"/>
            <x v="1205"/>
            <x v="1206"/>
          </reference>
          <reference field="16" count="1" selected="0">
            <x v="18"/>
          </reference>
        </references>
      </pivotArea>
    </format>
    <format dxfId="2679">
      <pivotArea dataOnly="0" labelOnly="1" outline="0" fieldPosition="0">
        <references count="2">
          <reference field="7" count="8">
            <x v="1058"/>
            <x v="1127"/>
            <x v="1195"/>
            <x v="1196"/>
            <x v="1197"/>
            <x v="1198"/>
            <x v="1199"/>
            <x v="1200"/>
          </reference>
          <reference field="16" count="1" selected="0">
            <x v="19"/>
          </reference>
        </references>
      </pivotArea>
    </format>
    <format dxfId="2678">
      <pivotArea dataOnly="0" labelOnly="1" outline="0" fieldPosition="0">
        <references count="2">
          <reference field="7" count="7">
            <x v="12"/>
            <x v="1130"/>
            <x v="1190"/>
            <x v="1191"/>
            <x v="1192"/>
            <x v="1193"/>
            <x v="1194"/>
          </reference>
          <reference field="16" count="1" selected="0">
            <x v="20"/>
          </reference>
        </references>
      </pivotArea>
    </format>
    <format dxfId="2677">
      <pivotArea dataOnly="0" labelOnly="1" outline="0" fieldPosition="0">
        <references count="2">
          <reference field="7" count="9">
            <x v="413"/>
            <x v="458"/>
            <x v="769"/>
            <x v="785"/>
            <x v="1185"/>
            <x v="1186"/>
            <x v="1187"/>
            <x v="1188"/>
            <x v="1189"/>
          </reference>
          <reference field="16" count="1" selected="0">
            <x v="21"/>
          </reference>
        </references>
      </pivotArea>
    </format>
    <format dxfId="2676">
      <pivotArea dataOnly="0" labelOnly="1" outline="0" fieldPosition="0">
        <references count="2">
          <reference field="7" count="9">
            <x v="151"/>
            <x v="409"/>
            <x v="414"/>
            <x v="465"/>
            <x v="1180"/>
            <x v="1181"/>
            <x v="1182"/>
            <x v="1183"/>
            <x v="1184"/>
          </reference>
          <reference field="16" count="1" selected="0">
            <x v="22"/>
          </reference>
        </references>
      </pivotArea>
    </format>
    <format dxfId="2675">
      <pivotArea dataOnly="0" labelOnly="1" outline="0" fieldPosition="0">
        <references count="2">
          <reference field="7" count="6">
            <x v="1174"/>
            <x v="1175"/>
            <x v="1176"/>
            <x v="1177"/>
            <x v="1178"/>
            <x v="1179"/>
          </reference>
          <reference field="16" count="1" selected="0">
            <x v="23"/>
          </reference>
        </references>
      </pivotArea>
    </format>
    <format dxfId="2674">
      <pivotArea dataOnly="0" labelOnly="1" outline="0" fieldPosition="0">
        <references count="2">
          <reference field="7" count="1">
            <x v="565"/>
          </reference>
          <reference field="16" count="1" selected="0">
            <x v="24"/>
          </reference>
        </references>
      </pivotArea>
    </format>
    <format dxfId="2673">
      <pivotArea dataOnly="0" labelOnly="1" outline="0" fieldPosition="0">
        <references count="3">
          <reference field="7" count="1" selected="0">
            <x v="177"/>
          </reference>
          <reference field="16" count="1" selected="0">
            <x v="7"/>
          </reference>
          <reference field="18" count="1">
            <x v="0"/>
          </reference>
        </references>
      </pivotArea>
    </format>
    <format dxfId="2672">
      <pivotArea dataOnly="0" labelOnly="1" outline="0" fieldPosition="0">
        <references count="3">
          <reference field="7" count="1" selected="0">
            <x v="1221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2671">
      <pivotArea dataOnly="0" labelOnly="1" outline="0" fieldPosition="0">
        <references count="3">
          <reference field="7" count="1" selected="0">
            <x v="1222"/>
          </reference>
          <reference field="16" count="1" selected="0">
            <x v="12"/>
          </reference>
          <reference field="18" count="1">
            <x v="1"/>
          </reference>
        </references>
      </pivotArea>
    </format>
    <format dxfId="2670">
      <pivotArea dataOnly="0" labelOnly="1" outline="0" fieldPosition="0">
        <references count="3">
          <reference field="7" count="1" selected="0">
            <x v="1223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2669">
      <pivotArea dataOnly="0" labelOnly="1" outline="0" fieldPosition="0">
        <references count="3">
          <reference field="7" count="1" selected="0">
            <x v="1224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2668">
      <pivotArea dataOnly="0" labelOnly="1" outline="0" fieldPosition="0">
        <references count="3">
          <reference field="7" count="1" selected="0">
            <x v="1216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2667">
      <pivotArea dataOnly="0" labelOnly="1" outline="0" fieldPosition="0">
        <references count="3">
          <reference field="7" count="1" selected="0">
            <x v="1217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2666">
      <pivotArea dataOnly="0" labelOnly="1" outline="0" fieldPosition="0">
        <references count="3">
          <reference field="7" count="1" selected="0">
            <x v="1218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2665">
      <pivotArea dataOnly="0" labelOnly="1" outline="0" fieldPosition="0">
        <references count="3">
          <reference field="7" count="1" selected="0">
            <x v="1219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2664">
      <pivotArea dataOnly="0" labelOnly="1" outline="0" fieldPosition="0">
        <references count="3">
          <reference field="7" count="1" selected="0">
            <x v="1220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2663">
      <pivotArea dataOnly="0" labelOnly="1" outline="0" fieldPosition="0">
        <references count="3">
          <reference field="7" count="1" selected="0">
            <x v="262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662">
      <pivotArea dataOnly="0" labelOnly="1" outline="0" fieldPosition="0">
        <references count="3">
          <reference field="7" count="1" selected="0">
            <x v="1210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2661">
      <pivotArea dataOnly="0" labelOnly="1" outline="0" fieldPosition="0">
        <references count="3">
          <reference field="7" count="1" selected="0">
            <x v="1211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2660">
      <pivotArea dataOnly="0" labelOnly="1" outline="0" fieldPosition="0">
        <references count="3">
          <reference field="7" count="1" selected="0">
            <x v="1212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659">
      <pivotArea dataOnly="0" labelOnly="1" outline="0" fieldPosition="0">
        <references count="3">
          <reference field="7" count="1" selected="0">
            <x v="1213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658">
      <pivotArea dataOnly="0" labelOnly="1" outline="0" fieldPosition="0">
        <references count="3">
          <reference field="7" count="1" selected="0">
            <x v="1214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657">
      <pivotArea dataOnly="0" labelOnly="1" outline="0" fieldPosition="0">
        <references count="3">
          <reference field="7" count="1" selected="0">
            <x v="1215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656">
      <pivotArea dataOnly="0" labelOnly="1" outline="0" fieldPosition="0">
        <references count="3">
          <reference field="7" count="1" selected="0">
            <x v="318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2655">
      <pivotArea dataOnly="0" labelOnly="1" outline="0" fieldPosition="0">
        <references count="3">
          <reference field="7" count="1" selected="0">
            <x v="713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654">
      <pivotArea dataOnly="0" labelOnly="1" outline="0" fieldPosition="0">
        <references count="3">
          <reference field="7" count="1" selected="0">
            <x v="1207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653">
      <pivotArea dataOnly="0" labelOnly="1" outline="0" fieldPosition="0">
        <references count="3">
          <reference field="7" count="1" selected="0">
            <x v="1208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2652">
      <pivotArea dataOnly="0" labelOnly="1" outline="0" fieldPosition="0">
        <references count="3">
          <reference field="7" count="1" selected="0">
            <x v="1209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651">
      <pivotArea dataOnly="0" labelOnly="1" outline="0" fieldPosition="0">
        <references count="3">
          <reference field="7" count="1" selected="0">
            <x v="23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650">
      <pivotArea dataOnly="0" labelOnly="1" outline="0" fieldPosition="0">
        <references count="3">
          <reference field="7" count="1" selected="0">
            <x v="1201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649">
      <pivotArea dataOnly="0" labelOnly="1" outline="0" fieldPosition="0">
        <references count="3">
          <reference field="7" count="1" selected="0">
            <x v="1202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648">
      <pivotArea dataOnly="0" labelOnly="1" outline="0" fieldPosition="0">
        <references count="3">
          <reference field="7" count="1" selected="0">
            <x v="1203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647">
      <pivotArea dataOnly="0" labelOnly="1" outline="0" fieldPosition="0">
        <references count="3">
          <reference field="7" count="1" selected="0">
            <x v="1204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646">
      <pivotArea dataOnly="0" labelOnly="1" outline="0" fieldPosition="0">
        <references count="3">
          <reference field="7" count="1" selected="0">
            <x v="1205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645">
      <pivotArea dataOnly="0" labelOnly="1" outline="0" fieldPosition="0">
        <references count="3">
          <reference field="7" count="1" selected="0">
            <x v="1206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644">
      <pivotArea dataOnly="0" labelOnly="1" outline="0" fieldPosition="0">
        <references count="3">
          <reference field="7" count="1" selected="0">
            <x v="105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643">
      <pivotArea dataOnly="0" labelOnly="1" outline="0" fieldPosition="0">
        <references count="3">
          <reference field="7" count="1" selected="0">
            <x v="1127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642">
      <pivotArea dataOnly="0" labelOnly="1" outline="0" fieldPosition="0">
        <references count="3">
          <reference field="7" count="1" selected="0">
            <x v="119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641">
      <pivotArea dataOnly="0" labelOnly="1" outline="0" fieldPosition="0">
        <references count="3">
          <reference field="7" count="1" selected="0">
            <x v="1196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640">
      <pivotArea dataOnly="0" labelOnly="1" outline="0" fieldPosition="0">
        <references count="3">
          <reference field="7" count="1" selected="0">
            <x v="1197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639">
      <pivotArea dataOnly="0" labelOnly="1" outline="0" fieldPosition="0">
        <references count="3">
          <reference field="7" count="1" selected="0">
            <x v="1198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638">
      <pivotArea dataOnly="0" labelOnly="1" outline="0" fieldPosition="0">
        <references count="3">
          <reference field="7" count="1" selected="0">
            <x v="119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637">
      <pivotArea dataOnly="0" labelOnly="1" outline="0" fieldPosition="0">
        <references count="3">
          <reference field="7" count="1" selected="0">
            <x v="1200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636">
      <pivotArea dataOnly="0" labelOnly="1" outline="0" fieldPosition="0">
        <references count="3">
          <reference field="7" count="1" selected="0">
            <x v="1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635">
      <pivotArea dataOnly="0" labelOnly="1" outline="0" fieldPosition="0">
        <references count="3">
          <reference field="7" count="1" selected="0">
            <x v="1130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634">
      <pivotArea dataOnly="0" labelOnly="1" outline="0" fieldPosition="0">
        <references count="3">
          <reference field="7" count="1" selected="0">
            <x v="1190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633">
      <pivotArea dataOnly="0" labelOnly="1" outline="0" fieldPosition="0">
        <references count="3">
          <reference field="7" count="1" selected="0">
            <x v="1191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632">
      <pivotArea dataOnly="0" labelOnly="1" outline="0" fieldPosition="0">
        <references count="3">
          <reference field="7" count="1" selected="0">
            <x v="1192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631">
      <pivotArea dataOnly="0" labelOnly="1" outline="0" fieldPosition="0">
        <references count="3">
          <reference field="7" count="1" selected="0">
            <x v="1193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630">
      <pivotArea dataOnly="0" labelOnly="1" outline="0" fieldPosition="0">
        <references count="3">
          <reference field="7" count="1" selected="0">
            <x v="1194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629">
      <pivotArea dataOnly="0" labelOnly="1" outline="0" fieldPosition="0">
        <references count="3">
          <reference field="7" count="1" selected="0">
            <x v="413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2628">
      <pivotArea dataOnly="0" labelOnly="1" outline="0" fieldPosition="0">
        <references count="3">
          <reference field="7" count="1" selected="0">
            <x v="45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627">
      <pivotArea dataOnly="0" labelOnly="1" outline="0" fieldPosition="0">
        <references count="3">
          <reference field="7" count="1" selected="0">
            <x v="769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2626">
      <pivotArea dataOnly="0" labelOnly="1" outline="0" fieldPosition="0">
        <references count="3">
          <reference field="7" count="1" selected="0">
            <x v="78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625">
      <pivotArea dataOnly="0" labelOnly="1" outline="0" fieldPosition="0">
        <references count="3">
          <reference field="7" count="1" selected="0">
            <x v="118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624">
      <pivotArea dataOnly="0" labelOnly="1" outline="0" fieldPosition="0">
        <references count="3">
          <reference field="7" count="1" selected="0">
            <x v="1186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623">
      <pivotArea dataOnly="0" labelOnly="1" outline="0" fieldPosition="0">
        <references count="3">
          <reference field="7" count="1" selected="0">
            <x v="1187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622">
      <pivotArea dataOnly="0" labelOnly="1" outline="0" fieldPosition="0">
        <references count="3">
          <reference field="7" count="1" selected="0">
            <x v="118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621">
      <pivotArea dataOnly="0" labelOnly="1" outline="0" fieldPosition="0">
        <references count="3">
          <reference field="7" count="1" selected="0">
            <x v="1189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620">
      <pivotArea dataOnly="0" labelOnly="1" outline="0" fieldPosition="0">
        <references count="3">
          <reference field="7" count="1" selected="0">
            <x v="151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619">
      <pivotArea dataOnly="0" labelOnly="1" outline="0" fieldPosition="0">
        <references count="3">
          <reference field="7" count="1" selected="0">
            <x v="409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618">
      <pivotArea dataOnly="0" labelOnly="1" outline="0" fieldPosition="0">
        <references count="3">
          <reference field="7" count="1" selected="0">
            <x v="414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617">
      <pivotArea dataOnly="0" labelOnly="1" outline="0" fieldPosition="0">
        <references count="3">
          <reference field="7" count="1" selected="0">
            <x v="465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616">
      <pivotArea dataOnly="0" labelOnly="1" outline="0" fieldPosition="0">
        <references count="3">
          <reference field="7" count="1" selected="0">
            <x v="1180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2615">
      <pivotArea dataOnly="0" labelOnly="1" outline="0" fieldPosition="0">
        <references count="3">
          <reference field="7" count="1" selected="0">
            <x v="1181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2614">
      <pivotArea dataOnly="0" labelOnly="1" outline="0" fieldPosition="0">
        <references count="3">
          <reference field="7" count="1" selected="0">
            <x v="1182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613">
      <pivotArea dataOnly="0" labelOnly="1" outline="0" fieldPosition="0">
        <references count="3">
          <reference field="7" count="1" selected="0">
            <x v="1183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612">
      <pivotArea dataOnly="0" labelOnly="1" outline="0" fieldPosition="0">
        <references count="3">
          <reference field="7" count="1" selected="0">
            <x v="1184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2611">
      <pivotArea dataOnly="0" labelOnly="1" outline="0" fieldPosition="0">
        <references count="3">
          <reference field="7" count="1" selected="0">
            <x v="1174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2610">
      <pivotArea dataOnly="0" labelOnly="1" outline="0" fieldPosition="0">
        <references count="3">
          <reference field="7" count="1" selected="0">
            <x v="1175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2609">
      <pivotArea dataOnly="0" labelOnly="1" outline="0" fieldPosition="0">
        <references count="3">
          <reference field="7" count="1" selected="0">
            <x v="1176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2608">
      <pivotArea dataOnly="0" labelOnly="1" outline="0" fieldPosition="0">
        <references count="3">
          <reference field="7" count="1" selected="0">
            <x v="1177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2607">
      <pivotArea dataOnly="0" labelOnly="1" outline="0" fieldPosition="0">
        <references count="3">
          <reference field="7" count="1" selected="0">
            <x v="1178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2606">
      <pivotArea dataOnly="0" labelOnly="1" outline="0" fieldPosition="0">
        <references count="3">
          <reference field="7" count="1" selected="0">
            <x v="1179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2605">
      <pivotArea dataOnly="0" labelOnly="1" outline="0" fieldPosition="0">
        <references count="3">
          <reference field="7" count="1" selected="0">
            <x v="565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2604">
      <pivotArea dataOnly="0" labelOnly="1" outline="0" fieldPosition="0">
        <references count="3">
          <reference field="7" count="1" selected="0">
            <x v="565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2603">
      <pivotArea type="all" dataOnly="0" outline="0" fieldPosition="0"/>
    </format>
    <format dxfId="2602">
      <pivotArea outline="0" collapsedLevelsAreSubtotals="1" fieldPosition="0"/>
    </format>
    <format dxfId="2601">
      <pivotArea field="16" type="button" dataOnly="0" labelOnly="1" outline="0" axis="axisRow" fieldPosition="0"/>
    </format>
    <format dxfId="2600">
      <pivotArea field="7" type="button" dataOnly="0" labelOnly="1" outline="0" axis="axisRow" fieldPosition="1"/>
    </format>
    <format dxfId="2599">
      <pivotArea field="18" type="button" dataOnly="0" labelOnly="1" outline="0" axis="axisRow" fieldPosition="2"/>
    </format>
    <format dxfId="2598">
      <pivotArea dataOnly="0" labelOnly="1" outline="0" fieldPosition="0">
        <references count="1">
          <reference field="16" count="0"/>
        </references>
      </pivotArea>
    </format>
    <format dxfId="2597">
      <pivotArea dataOnly="0" labelOnly="1" outline="0" fieldPosition="0">
        <references count="2">
          <reference field="7" count="1">
            <x v="177"/>
          </reference>
          <reference field="16" count="1" selected="0">
            <x v="7"/>
          </reference>
        </references>
      </pivotArea>
    </format>
    <format dxfId="2596">
      <pivotArea dataOnly="0" labelOnly="1" outline="0" fieldPosition="0">
        <references count="2">
          <reference field="7" count="4">
            <x v="1221"/>
            <x v="1222"/>
            <x v="1223"/>
            <x v="1224"/>
          </reference>
          <reference field="16" count="1" selected="0">
            <x v="12"/>
          </reference>
        </references>
      </pivotArea>
    </format>
    <format dxfId="2595">
      <pivotArea dataOnly="0" labelOnly="1" outline="0" fieldPosition="0">
        <references count="2">
          <reference field="7" count="5">
            <x v="1216"/>
            <x v="1217"/>
            <x v="1218"/>
            <x v="1219"/>
            <x v="1220"/>
          </reference>
          <reference field="16" count="1" selected="0">
            <x v="14"/>
          </reference>
        </references>
      </pivotArea>
    </format>
    <format dxfId="2594">
      <pivotArea dataOnly="0" labelOnly="1" outline="0" fieldPosition="0">
        <references count="2">
          <reference field="7" count="7">
            <x v="262"/>
            <x v="1210"/>
            <x v="1211"/>
            <x v="1212"/>
            <x v="1213"/>
            <x v="1214"/>
            <x v="1215"/>
          </reference>
          <reference field="16" count="1" selected="0">
            <x v="16"/>
          </reference>
        </references>
      </pivotArea>
    </format>
    <format dxfId="2593">
      <pivotArea dataOnly="0" labelOnly="1" outline="0" fieldPosition="0">
        <references count="2">
          <reference field="7" count="5">
            <x v="318"/>
            <x v="713"/>
            <x v="1207"/>
            <x v="1208"/>
            <x v="1209"/>
          </reference>
          <reference field="16" count="1" selected="0">
            <x v="17"/>
          </reference>
        </references>
      </pivotArea>
    </format>
    <format dxfId="2592">
      <pivotArea dataOnly="0" labelOnly="1" outline="0" fieldPosition="0">
        <references count="2">
          <reference field="7" count="7">
            <x v="23"/>
            <x v="1201"/>
            <x v="1202"/>
            <x v="1203"/>
            <x v="1204"/>
            <x v="1205"/>
            <x v="1206"/>
          </reference>
          <reference field="16" count="1" selected="0">
            <x v="18"/>
          </reference>
        </references>
      </pivotArea>
    </format>
    <format dxfId="2591">
      <pivotArea dataOnly="0" labelOnly="1" outline="0" fieldPosition="0">
        <references count="2">
          <reference field="7" count="8">
            <x v="1058"/>
            <x v="1127"/>
            <x v="1195"/>
            <x v="1196"/>
            <x v="1197"/>
            <x v="1198"/>
            <x v="1199"/>
            <x v="1200"/>
          </reference>
          <reference field="16" count="1" selected="0">
            <x v="19"/>
          </reference>
        </references>
      </pivotArea>
    </format>
    <format dxfId="2590">
      <pivotArea dataOnly="0" labelOnly="1" outline="0" fieldPosition="0">
        <references count="2">
          <reference field="7" count="7">
            <x v="12"/>
            <x v="1130"/>
            <x v="1190"/>
            <x v="1191"/>
            <x v="1192"/>
            <x v="1193"/>
            <x v="1194"/>
          </reference>
          <reference field="16" count="1" selected="0">
            <x v="20"/>
          </reference>
        </references>
      </pivotArea>
    </format>
    <format dxfId="2589">
      <pivotArea dataOnly="0" labelOnly="1" outline="0" fieldPosition="0">
        <references count="2">
          <reference field="7" count="9">
            <x v="413"/>
            <x v="458"/>
            <x v="769"/>
            <x v="785"/>
            <x v="1185"/>
            <x v="1186"/>
            <x v="1187"/>
            <x v="1188"/>
            <x v="1189"/>
          </reference>
          <reference field="16" count="1" selected="0">
            <x v="21"/>
          </reference>
        </references>
      </pivotArea>
    </format>
    <format dxfId="2588">
      <pivotArea dataOnly="0" labelOnly="1" outline="0" fieldPosition="0">
        <references count="2">
          <reference field="7" count="9">
            <x v="151"/>
            <x v="409"/>
            <x v="414"/>
            <x v="465"/>
            <x v="1180"/>
            <x v="1181"/>
            <x v="1182"/>
            <x v="1183"/>
            <x v="1184"/>
          </reference>
          <reference field="16" count="1" selected="0">
            <x v="22"/>
          </reference>
        </references>
      </pivotArea>
    </format>
    <format dxfId="2587">
      <pivotArea dataOnly="0" labelOnly="1" outline="0" fieldPosition="0">
        <references count="2">
          <reference field="7" count="6">
            <x v="1174"/>
            <x v="1175"/>
            <x v="1176"/>
            <x v="1177"/>
            <x v="1178"/>
            <x v="1179"/>
          </reference>
          <reference field="16" count="1" selected="0">
            <x v="23"/>
          </reference>
        </references>
      </pivotArea>
    </format>
    <format dxfId="2586">
      <pivotArea dataOnly="0" labelOnly="1" outline="0" fieldPosition="0">
        <references count="2">
          <reference field="7" count="1">
            <x v="565"/>
          </reference>
          <reference field="16" count="1" selected="0">
            <x v="24"/>
          </reference>
        </references>
      </pivotArea>
    </format>
    <format dxfId="2585">
      <pivotArea dataOnly="0" labelOnly="1" outline="0" fieldPosition="0">
        <references count="3">
          <reference field="7" count="1" selected="0">
            <x v="177"/>
          </reference>
          <reference field="16" count="1" selected="0">
            <x v="7"/>
          </reference>
          <reference field="18" count="1">
            <x v="0"/>
          </reference>
        </references>
      </pivotArea>
    </format>
    <format dxfId="2584">
      <pivotArea dataOnly="0" labelOnly="1" outline="0" fieldPosition="0">
        <references count="3">
          <reference field="7" count="1" selected="0">
            <x v="1221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2583">
      <pivotArea dataOnly="0" labelOnly="1" outline="0" fieldPosition="0">
        <references count="3">
          <reference field="7" count="1" selected="0">
            <x v="1222"/>
          </reference>
          <reference field="16" count="1" selected="0">
            <x v="12"/>
          </reference>
          <reference field="18" count="1">
            <x v="1"/>
          </reference>
        </references>
      </pivotArea>
    </format>
    <format dxfId="2582">
      <pivotArea dataOnly="0" labelOnly="1" outline="0" fieldPosition="0">
        <references count="3">
          <reference field="7" count="1" selected="0">
            <x v="1223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2581">
      <pivotArea dataOnly="0" labelOnly="1" outline="0" fieldPosition="0">
        <references count="3">
          <reference field="7" count="1" selected="0">
            <x v="1224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2580">
      <pivotArea dataOnly="0" labelOnly="1" outline="0" fieldPosition="0">
        <references count="3">
          <reference field="7" count="1" selected="0">
            <x v="1216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2579">
      <pivotArea dataOnly="0" labelOnly="1" outline="0" fieldPosition="0">
        <references count="3">
          <reference field="7" count="1" selected="0">
            <x v="1217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2578">
      <pivotArea dataOnly="0" labelOnly="1" outline="0" fieldPosition="0">
        <references count="3">
          <reference field="7" count="1" selected="0">
            <x v="1218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2577">
      <pivotArea dataOnly="0" labelOnly="1" outline="0" fieldPosition="0">
        <references count="3">
          <reference field="7" count="1" selected="0">
            <x v="1219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2576">
      <pivotArea dataOnly="0" labelOnly="1" outline="0" fieldPosition="0">
        <references count="3">
          <reference field="7" count="1" selected="0">
            <x v="1220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2575">
      <pivotArea dataOnly="0" labelOnly="1" outline="0" fieldPosition="0">
        <references count="3">
          <reference field="7" count="1" selected="0">
            <x v="262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574">
      <pivotArea dataOnly="0" labelOnly="1" outline="0" fieldPosition="0">
        <references count="3">
          <reference field="7" count="1" selected="0">
            <x v="1210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2573">
      <pivotArea dataOnly="0" labelOnly="1" outline="0" fieldPosition="0">
        <references count="3">
          <reference field="7" count="1" selected="0">
            <x v="1211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2572">
      <pivotArea dataOnly="0" labelOnly="1" outline="0" fieldPosition="0">
        <references count="3">
          <reference field="7" count="1" selected="0">
            <x v="1212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571">
      <pivotArea dataOnly="0" labelOnly="1" outline="0" fieldPosition="0">
        <references count="3">
          <reference field="7" count="1" selected="0">
            <x v="1213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570">
      <pivotArea dataOnly="0" labelOnly="1" outline="0" fieldPosition="0">
        <references count="3">
          <reference field="7" count="1" selected="0">
            <x v="1214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569">
      <pivotArea dataOnly="0" labelOnly="1" outline="0" fieldPosition="0">
        <references count="3">
          <reference field="7" count="1" selected="0">
            <x v="1215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568">
      <pivotArea dataOnly="0" labelOnly="1" outline="0" fieldPosition="0">
        <references count="3">
          <reference field="7" count="1" selected="0">
            <x v="318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2567">
      <pivotArea dataOnly="0" labelOnly="1" outline="0" fieldPosition="0">
        <references count="3">
          <reference field="7" count="1" selected="0">
            <x v="713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566">
      <pivotArea dataOnly="0" labelOnly="1" outline="0" fieldPosition="0">
        <references count="3">
          <reference field="7" count="1" selected="0">
            <x v="1207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565">
      <pivotArea dataOnly="0" labelOnly="1" outline="0" fieldPosition="0">
        <references count="3">
          <reference field="7" count="1" selected="0">
            <x v="1208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2564">
      <pivotArea dataOnly="0" labelOnly="1" outline="0" fieldPosition="0">
        <references count="3">
          <reference field="7" count="1" selected="0">
            <x v="1209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563">
      <pivotArea dataOnly="0" labelOnly="1" outline="0" fieldPosition="0">
        <references count="3">
          <reference field="7" count="1" selected="0">
            <x v="23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562">
      <pivotArea dataOnly="0" labelOnly="1" outline="0" fieldPosition="0">
        <references count="3">
          <reference field="7" count="1" selected="0">
            <x v="1201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561">
      <pivotArea dataOnly="0" labelOnly="1" outline="0" fieldPosition="0">
        <references count="3">
          <reference field="7" count="1" selected="0">
            <x v="1202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560">
      <pivotArea dataOnly="0" labelOnly="1" outline="0" fieldPosition="0">
        <references count="3">
          <reference field="7" count="1" selected="0">
            <x v="1203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559">
      <pivotArea dataOnly="0" labelOnly="1" outline="0" fieldPosition="0">
        <references count="3">
          <reference field="7" count="1" selected="0">
            <x v="1204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558">
      <pivotArea dataOnly="0" labelOnly="1" outline="0" fieldPosition="0">
        <references count="3">
          <reference field="7" count="1" selected="0">
            <x v="1205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557">
      <pivotArea dataOnly="0" labelOnly="1" outline="0" fieldPosition="0">
        <references count="3">
          <reference field="7" count="1" selected="0">
            <x v="1206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556">
      <pivotArea dataOnly="0" labelOnly="1" outline="0" fieldPosition="0">
        <references count="3">
          <reference field="7" count="1" selected="0">
            <x v="105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555">
      <pivotArea dataOnly="0" labelOnly="1" outline="0" fieldPosition="0">
        <references count="3">
          <reference field="7" count="1" selected="0">
            <x v="1127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554">
      <pivotArea dataOnly="0" labelOnly="1" outline="0" fieldPosition="0">
        <references count="3">
          <reference field="7" count="1" selected="0">
            <x v="119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553">
      <pivotArea dataOnly="0" labelOnly="1" outline="0" fieldPosition="0">
        <references count="3">
          <reference field="7" count="1" selected="0">
            <x v="1196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552">
      <pivotArea dataOnly="0" labelOnly="1" outline="0" fieldPosition="0">
        <references count="3">
          <reference field="7" count="1" selected="0">
            <x v="1197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551">
      <pivotArea dataOnly="0" labelOnly="1" outline="0" fieldPosition="0">
        <references count="3">
          <reference field="7" count="1" selected="0">
            <x v="1198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550">
      <pivotArea dataOnly="0" labelOnly="1" outline="0" fieldPosition="0">
        <references count="3">
          <reference field="7" count="1" selected="0">
            <x v="119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549">
      <pivotArea dataOnly="0" labelOnly="1" outline="0" fieldPosition="0">
        <references count="3">
          <reference field="7" count="1" selected="0">
            <x v="1200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548">
      <pivotArea dataOnly="0" labelOnly="1" outline="0" fieldPosition="0">
        <references count="3">
          <reference field="7" count="1" selected="0">
            <x v="1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547">
      <pivotArea dataOnly="0" labelOnly="1" outline="0" fieldPosition="0">
        <references count="3">
          <reference field="7" count="1" selected="0">
            <x v="1130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546">
      <pivotArea dataOnly="0" labelOnly="1" outline="0" fieldPosition="0">
        <references count="3">
          <reference field="7" count="1" selected="0">
            <x v="1190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545">
      <pivotArea dataOnly="0" labelOnly="1" outline="0" fieldPosition="0">
        <references count="3">
          <reference field="7" count="1" selected="0">
            <x v="1191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544">
      <pivotArea dataOnly="0" labelOnly="1" outline="0" fieldPosition="0">
        <references count="3">
          <reference field="7" count="1" selected="0">
            <x v="1192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543">
      <pivotArea dataOnly="0" labelOnly="1" outline="0" fieldPosition="0">
        <references count="3">
          <reference field="7" count="1" selected="0">
            <x v="1193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542">
      <pivotArea dataOnly="0" labelOnly="1" outline="0" fieldPosition="0">
        <references count="3">
          <reference field="7" count="1" selected="0">
            <x v="1194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541">
      <pivotArea dataOnly="0" labelOnly="1" outline="0" fieldPosition="0">
        <references count="3">
          <reference field="7" count="1" selected="0">
            <x v="413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2540">
      <pivotArea dataOnly="0" labelOnly="1" outline="0" fieldPosition="0">
        <references count="3">
          <reference field="7" count="1" selected="0">
            <x v="45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539">
      <pivotArea dataOnly="0" labelOnly="1" outline="0" fieldPosition="0">
        <references count="3">
          <reference field="7" count="1" selected="0">
            <x v="769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2538">
      <pivotArea dataOnly="0" labelOnly="1" outline="0" fieldPosition="0">
        <references count="3">
          <reference field="7" count="1" selected="0">
            <x v="78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537">
      <pivotArea dataOnly="0" labelOnly="1" outline="0" fieldPosition="0">
        <references count="3">
          <reference field="7" count="1" selected="0">
            <x v="118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536">
      <pivotArea dataOnly="0" labelOnly="1" outline="0" fieldPosition="0">
        <references count="3">
          <reference field="7" count="1" selected="0">
            <x v="1186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535">
      <pivotArea dataOnly="0" labelOnly="1" outline="0" fieldPosition="0">
        <references count="3">
          <reference field="7" count="1" selected="0">
            <x v="1187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534">
      <pivotArea dataOnly="0" labelOnly="1" outline="0" fieldPosition="0">
        <references count="3">
          <reference field="7" count="1" selected="0">
            <x v="118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533">
      <pivotArea dataOnly="0" labelOnly="1" outline="0" fieldPosition="0">
        <references count="3">
          <reference field="7" count="1" selected="0">
            <x v="1189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532">
      <pivotArea dataOnly="0" labelOnly="1" outline="0" fieldPosition="0">
        <references count="3">
          <reference field="7" count="1" selected="0">
            <x v="151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531">
      <pivotArea dataOnly="0" labelOnly="1" outline="0" fieldPosition="0">
        <references count="3">
          <reference field="7" count="1" selected="0">
            <x v="409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530">
      <pivotArea dataOnly="0" labelOnly="1" outline="0" fieldPosition="0">
        <references count="3">
          <reference field="7" count="1" selected="0">
            <x v="414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529">
      <pivotArea dataOnly="0" labelOnly="1" outline="0" fieldPosition="0">
        <references count="3">
          <reference field="7" count="1" selected="0">
            <x v="465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528">
      <pivotArea dataOnly="0" labelOnly="1" outline="0" fieldPosition="0">
        <references count="3">
          <reference field="7" count="1" selected="0">
            <x v="1180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2527">
      <pivotArea dataOnly="0" labelOnly="1" outline="0" fieldPosition="0">
        <references count="3">
          <reference field="7" count="1" selected="0">
            <x v="1181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2526">
      <pivotArea dataOnly="0" labelOnly="1" outline="0" fieldPosition="0">
        <references count="3">
          <reference field="7" count="1" selected="0">
            <x v="1182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525">
      <pivotArea dataOnly="0" labelOnly="1" outline="0" fieldPosition="0">
        <references count="3">
          <reference field="7" count="1" selected="0">
            <x v="1183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524">
      <pivotArea dataOnly="0" labelOnly="1" outline="0" fieldPosition="0">
        <references count="3">
          <reference field="7" count="1" selected="0">
            <x v="1184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2523">
      <pivotArea dataOnly="0" labelOnly="1" outline="0" fieldPosition="0">
        <references count="3">
          <reference field="7" count="1" selected="0">
            <x v="1174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2522">
      <pivotArea dataOnly="0" labelOnly="1" outline="0" fieldPosition="0">
        <references count="3">
          <reference field="7" count="1" selected="0">
            <x v="1175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2521">
      <pivotArea dataOnly="0" labelOnly="1" outline="0" fieldPosition="0">
        <references count="3">
          <reference field="7" count="1" selected="0">
            <x v="1176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2520">
      <pivotArea dataOnly="0" labelOnly="1" outline="0" fieldPosition="0">
        <references count="3">
          <reference field="7" count="1" selected="0">
            <x v="1177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2519">
      <pivotArea dataOnly="0" labelOnly="1" outline="0" fieldPosition="0">
        <references count="3">
          <reference field="7" count="1" selected="0">
            <x v="1178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2518">
      <pivotArea dataOnly="0" labelOnly="1" outline="0" fieldPosition="0">
        <references count="3">
          <reference field="7" count="1" selected="0">
            <x v="1179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2517">
      <pivotArea dataOnly="0" labelOnly="1" outline="0" fieldPosition="0">
        <references count="3">
          <reference field="7" count="1" selected="0">
            <x v="565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2516">
      <pivotArea dataOnly="0" labelOnly="1" outline="0" fieldPosition="0">
        <references count="1">
          <reference field="4294967294" count="9"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515">
      <pivotArea outline="0" collapsedLevelsAreSubtotals="1" fieldPosition="0"/>
    </format>
    <format dxfId="2514">
      <pivotArea dataOnly="0" labelOnly="1" outline="0" fieldPosition="0">
        <references count="1">
          <reference field="16" count="0"/>
        </references>
      </pivotArea>
    </format>
    <format dxfId="2513">
      <pivotArea dataOnly="0" labelOnly="1" outline="0" fieldPosition="0">
        <references count="2">
          <reference field="7" count="1">
            <x v="177"/>
          </reference>
          <reference field="16" count="1" selected="0">
            <x v="7"/>
          </reference>
        </references>
      </pivotArea>
    </format>
    <format dxfId="2512">
      <pivotArea dataOnly="0" labelOnly="1" outline="0" fieldPosition="0">
        <references count="2">
          <reference field="7" count="4">
            <x v="1221"/>
            <x v="1222"/>
            <x v="1223"/>
            <x v="1224"/>
          </reference>
          <reference field="16" count="1" selected="0">
            <x v="12"/>
          </reference>
        </references>
      </pivotArea>
    </format>
    <format dxfId="2511">
      <pivotArea dataOnly="0" labelOnly="1" outline="0" fieldPosition="0">
        <references count="2">
          <reference field="7" count="5">
            <x v="1216"/>
            <x v="1217"/>
            <x v="1218"/>
            <x v="1219"/>
            <x v="1220"/>
          </reference>
          <reference field="16" count="1" selected="0">
            <x v="14"/>
          </reference>
        </references>
      </pivotArea>
    </format>
    <format dxfId="2510">
      <pivotArea dataOnly="0" labelOnly="1" outline="0" fieldPosition="0">
        <references count="2">
          <reference field="7" count="7">
            <x v="262"/>
            <x v="1210"/>
            <x v="1211"/>
            <x v="1212"/>
            <x v="1213"/>
            <x v="1214"/>
            <x v="1215"/>
          </reference>
          <reference field="16" count="1" selected="0">
            <x v="16"/>
          </reference>
        </references>
      </pivotArea>
    </format>
    <format dxfId="2509">
      <pivotArea dataOnly="0" labelOnly="1" outline="0" fieldPosition="0">
        <references count="2">
          <reference field="7" count="5">
            <x v="318"/>
            <x v="713"/>
            <x v="1207"/>
            <x v="1208"/>
            <x v="1209"/>
          </reference>
          <reference field="16" count="1" selected="0">
            <x v="17"/>
          </reference>
        </references>
      </pivotArea>
    </format>
    <format dxfId="2508">
      <pivotArea dataOnly="0" labelOnly="1" outline="0" fieldPosition="0">
        <references count="2">
          <reference field="7" count="7">
            <x v="23"/>
            <x v="1201"/>
            <x v="1202"/>
            <x v="1203"/>
            <x v="1204"/>
            <x v="1205"/>
            <x v="1206"/>
          </reference>
          <reference field="16" count="1" selected="0">
            <x v="18"/>
          </reference>
        </references>
      </pivotArea>
    </format>
    <format dxfId="2507">
      <pivotArea dataOnly="0" labelOnly="1" outline="0" fieldPosition="0">
        <references count="2">
          <reference field="7" count="8">
            <x v="1058"/>
            <x v="1127"/>
            <x v="1195"/>
            <x v="1196"/>
            <x v="1197"/>
            <x v="1198"/>
            <x v="1199"/>
            <x v="1200"/>
          </reference>
          <reference field="16" count="1" selected="0">
            <x v="19"/>
          </reference>
        </references>
      </pivotArea>
    </format>
    <format dxfId="2506">
      <pivotArea dataOnly="0" labelOnly="1" outline="0" fieldPosition="0">
        <references count="2">
          <reference field="7" count="7">
            <x v="12"/>
            <x v="1130"/>
            <x v="1190"/>
            <x v="1191"/>
            <x v="1192"/>
            <x v="1193"/>
            <x v="1194"/>
          </reference>
          <reference field="16" count="1" selected="0">
            <x v="20"/>
          </reference>
        </references>
      </pivotArea>
    </format>
    <format dxfId="2505">
      <pivotArea dataOnly="0" labelOnly="1" outline="0" fieldPosition="0">
        <references count="2">
          <reference field="7" count="9">
            <x v="413"/>
            <x v="458"/>
            <x v="769"/>
            <x v="785"/>
            <x v="1185"/>
            <x v="1186"/>
            <x v="1187"/>
            <x v="1188"/>
            <x v="1189"/>
          </reference>
          <reference field="16" count="1" selected="0">
            <x v="21"/>
          </reference>
        </references>
      </pivotArea>
    </format>
    <format dxfId="2504">
      <pivotArea dataOnly="0" labelOnly="1" outline="0" fieldPosition="0">
        <references count="2">
          <reference field="7" count="9">
            <x v="151"/>
            <x v="409"/>
            <x v="414"/>
            <x v="465"/>
            <x v="1180"/>
            <x v="1181"/>
            <x v="1182"/>
            <x v="1183"/>
            <x v="1184"/>
          </reference>
          <reference field="16" count="1" selected="0">
            <x v="22"/>
          </reference>
        </references>
      </pivotArea>
    </format>
    <format dxfId="2503">
      <pivotArea dataOnly="0" labelOnly="1" outline="0" fieldPosition="0">
        <references count="2">
          <reference field="7" count="6">
            <x v="1174"/>
            <x v="1175"/>
            <x v="1176"/>
            <x v="1177"/>
            <x v="1178"/>
            <x v="1179"/>
          </reference>
          <reference field="16" count="1" selected="0">
            <x v="23"/>
          </reference>
        </references>
      </pivotArea>
    </format>
    <format dxfId="2502">
      <pivotArea dataOnly="0" labelOnly="1" outline="0" fieldPosition="0">
        <references count="2">
          <reference field="7" count="1">
            <x v="565"/>
          </reference>
          <reference field="16" count="1" selected="0">
            <x v="24"/>
          </reference>
        </references>
      </pivotArea>
    </format>
    <format dxfId="2501">
      <pivotArea dataOnly="0" labelOnly="1" outline="0" fieldPosition="0">
        <references count="3">
          <reference field="7" count="1" selected="0">
            <x v="177"/>
          </reference>
          <reference field="16" count="1" selected="0">
            <x v="7"/>
          </reference>
          <reference field="18" count="1">
            <x v="0"/>
          </reference>
        </references>
      </pivotArea>
    </format>
    <format dxfId="2500">
      <pivotArea dataOnly="0" labelOnly="1" outline="0" fieldPosition="0">
        <references count="3">
          <reference field="7" count="1" selected="0">
            <x v="1221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2499">
      <pivotArea dataOnly="0" labelOnly="1" outline="0" fieldPosition="0">
        <references count="3">
          <reference field="7" count="1" selected="0">
            <x v="1222"/>
          </reference>
          <reference field="16" count="1" selected="0">
            <x v="12"/>
          </reference>
          <reference field="18" count="1">
            <x v="1"/>
          </reference>
        </references>
      </pivotArea>
    </format>
    <format dxfId="2498">
      <pivotArea dataOnly="0" labelOnly="1" outline="0" fieldPosition="0">
        <references count="3">
          <reference field="7" count="1" selected="0">
            <x v="1223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2497">
      <pivotArea dataOnly="0" labelOnly="1" outline="0" fieldPosition="0">
        <references count="3">
          <reference field="7" count="1" selected="0">
            <x v="1224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2496">
      <pivotArea dataOnly="0" labelOnly="1" outline="0" fieldPosition="0">
        <references count="3">
          <reference field="7" count="1" selected="0">
            <x v="1216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2495">
      <pivotArea dataOnly="0" labelOnly="1" outline="0" fieldPosition="0">
        <references count="3">
          <reference field="7" count="1" selected="0">
            <x v="1217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2494">
      <pivotArea dataOnly="0" labelOnly="1" outline="0" fieldPosition="0">
        <references count="3">
          <reference field="7" count="1" selected="0">
            <x v="1218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2493">
      <pivotArea dataOnly="0" labelOnly="1" outline="0" fieldPosition="0">
        <references count="3">
          <reference field="7" count="1" selected="0">
            <x v="1219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2492">
      <pivotArea dataOnly="0" labelOnly="1" outline="0" fieldPosition="0">
        <references count="3">
          <reference field="7" count="1" selected="0">
            <x v="1220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2491">
      <pivotArea dataOnly="0" labelOnly="1" outline="0" fieldPosition="0">
        <references count="3">
          <reference field="7" count="1" selected="0">
            <x v="262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490">
      <pivotArea dataOnly="0" labelOnly="1" outline="0" fieldPosition="0">
        <references count="3">
          <reference field="7" count="1" selected="0">
            <x v="1210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2489">
      <pivotArea dataOnly="0" labelOnly="1" outline="0" fieldPosition="0">
        <references count="3">
          <reference field="7" count="1" selected="0">
            <x v="1211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2488">
      <pivotArea dataOnly="0" labelOnly="1" outline="0" fieldPosition="0">
        <references count="3">
          <reference field="7" count="1" selected="0">
            <x v="1212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487">
      <pivotArea dataOnly="0" labelOnly="1" outline="0" fieldPosition="0">
        <references count="3">
          <reference field="7" count="1" selected="0">
            <x v="1213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486">
      <pivotArea dataOnly="0" labelOnly="1" outline="0" fieldPosition="0">
        <references count="3">
          <reference field="7" count="1" selected="0">
            <x v="1214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485">
      <pivotArea dataOnly="0" labelOnly="1" outline="0" fieldPosition="0">
        <references count="3">
          <reference field="7" count="1" selected="0">
            <x v="1215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484">
      <pivotArea dataOnly="0" labelOnly="1" outline="0" fieldPosition="0">
        <references count="3">
          <reference field="7" count="1" selected="0">
            <x v="318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2483">
      <pivotArea dataOnly="0" labelOnly="1" outline="0" fieldPosition="0">
        <references count="3">
          <reference field="7" count="1" selected="0">
            <x v="713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482">
      <pivotArea dataOnly="0" labelOnly="1" outline="0" fieldPosition="0">
        <references count="3">
          <reference field="7" count="1" selected="0">
            <x v="1207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481">
      <pivotArea dataOnly="0" labelOnly="1" outline="0" fieldPosition="0">
        <references count="3">
          <reference field="7" count="1" selected="0">
            <x v="1208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2480">
      <pivotArea dataOnly="0" labelOnly="1" outline="0" fieldPosition="0">
        <references count="3">
          <reference field="7" count="1" selected="0">
            <x v="1209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479">
      <pivotArea dataOnly="0" labelOnly="1" outline="0" fieldPosition="0">
        <references count="3">
          <reference field="7" count="1" selected="0">
            <x v="23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478">
      <pivotArea dataOnly="0" labelOnly="1" outline="0" fieldPosition="0">
        <references count="3">
          <reference field="7" count="1" selected="0">
            <x v="1201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477">
      <pivotArea dataOnly="0" labelOnly="1" outline="0" fieldPosition="0">
        <references count="3">
          <reference field="7" count="1" selected="0">
            <x v="1202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476">
      <pivotArea dataOnly="0" labelOnly="1" outline="0" fieldPosition="0">
        <references count="3">
          <reference field="7" count="1" selected="0">
            <x v="1203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475">
      <pivotArea dataOnly="0" labelOnly="1" outline="0" fieldPosition="0">
        <references count="3">
          <reference field="7" count="1" selected="0">
            <x v="1204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474">
      <pivotArea dataOnly="0" labelOnly="1" outline="0" fieldPosition="0">
        <references count="3">
          <reference field="7" count="1" selected="0">
            <x v="1205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473">
      <pivotArea dataOnly="0" labelOnly="1" outline="0" fieldPosition="0">
        <references count="3">
          <reference field="7" count="1" selected="0">
            <x v="1206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472">
      <pivotArea dataOnly="0" labelOnly="1" outline="0" fieldPosition="0">
        <references count="3">
          <reference field="7" count="1" selected="0">
            <x v="105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471">
      <pivotArea dataOnly="0" labelOnly="1" outline="0" fieldPosition="0">
        <references count="3">
          <reference field="7" count="1" selected="0">
            <x v="1127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470">
      <pivotArea dataOnly="0" labelOnly="1" outline="0" fieldPosition="0">
        <references count="3">
          <reference field="7" count="1" selected="0">
            <x v="119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469">
      <pivotArea dataOnly="0" labelOnly="1" outline="0" fieldPosition="0">
        <references count="3">
          <reference field="7" count="1" selected="0">
            <x v="1196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468">
      <pivotArea dataOnly="0" labelOnly="1" outline="0" fieldPosition="0">
        <references count="3">
          <reference field="7" count="1" selected="0">
            <x v="1197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467">
      <pivotArea dataOnly="0" labelOnly="1" outline="0" fieldPosition="0">
        <references count="3">
          <reference field="7" count="1" selected="0">
            <x v="1198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466">
      <pivotArea dataOnly="0" labelOnly="1" outline="0" fieldPosition="0">
        <references count="3">
          <reference field="7" count="1" selected="0">
            <x v="119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465">
      <pivotArea dataOnly="0" labelOnly="1" outline="0" fieldPosition="0">
        <references count="3">
          <reference field="7" count="1" selected="0">
            <x v="1200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464">
      <pivotArea dataOnly="0" labelOnly="1" outline="0" fieldPosition="0">
        <references count="3">
          <reference field="7" count="1" selected="0">
            <x v="1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463">
      <pivotArea dataOnly="0" labelOnly="1" outline="0" fieldPosition="0">
        <references count="3">
          <reference field="7" count="1" selected="0">
            <x v="1130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462">
      <pivotArea dataOnly="0" labelOnly="1" outline="0" fieldPosition="0">
        <references count="3">
          <reference field="7" count="1" selected="0">
            <x v="1190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461">
      <pivotArea dataOnly="0" labelOnly="1" outline="0" fieldPosition="0">
        <references count="3">
          <reference field="7" count="1" selected="0">
            <x v="1191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460">
      <pivotArea dataOnly="0" labelOnly="1" outline="0" fieldPosition="0">
        <references count="3">
          <reference field="7" count="1" selected="0">
            <x v="1192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459">
      <pivotArea dataOnly="0" labelOnly="1" outline="0" fieldPosition="0">
        <references count="3">
          <reference field="7" count="1" selected="0">
            <x v="1193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458">
      <pivotArea dataOnly="0" labelOnly="1" outline="0" fieldPosition="0">
        <references count="3">
          <reference field="7" count="1" selected="0">
            <x v="1194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457">
      <pivotArea dataOnly="0" labelOnly="1" outline="0" fieldPosition="0">
        <references count="3">
          <reference field="7" count="1" selected="0">
            <x v="413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2456">
      <pivotArea dataOnly="0" labelOnly="1" outline="0" fieldPosition="0">
        <references count="3">
          <reference field="7" count="1" selected="0">
            <x v="45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455">
      <pivotArea dataOnly="0" labelOnly="1" outline="0" fieldPosition="0">
        <references count="3">
          <reference field="7" count="1" selected="0">
            <x v="769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2454">
      <pivotArea dataOnly="0" labelOnly="1" outline="0" fieldPosition="0">
        <references count="3">
          <reference field="7" count="1" selected="0">
            <x v="78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453">
      <pivotArea dataOnly="0" labelOnly="1" outline="0" fieldPosition="0">
        <references count="3">
          <reference field="7" count="1" selected="0">
            <x v="118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452">
      <pivotArea dataOnly="0" labelOnly="1" outline="0" fieldPosition="0">
        <references count="3">
          <reference field="7" count="1" selected="0">
            <x v="1186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451">
      <pivotArea dataOnly="0" labelOnly="1" outline="0" fieldPosition="0">
        <references count="3">
          <reference field="7" count="1" selected="0">
            <x v="1187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450">
      <pivotArea dataOnly="0" labelOnly="1" outline="0" fieldPosition="0">
        <references count="3">
          <reference field="7" count="1" selected="0">
            <x v="118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449">
      <pivotArea dataOnly="0" labelOnly="1" outline="0" fieldPosition="0">
        <references count="3">
          <reference field="7" count="1" selected="0">
            <x v="1189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448">
      <pivotArea dataOnly="0" labelOnly="1" outline="0" fieldPosition="0">
        <references count="3">
          <reference field="7" count="1" selected="0">
            <x v="151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447">
      <pivotArea dataOnly="0" labelOnly="1" outline="0" fieldPosition="0">
        <references count="3">
          <reference field="7" count="1" selected="0">
            <x v="409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446">
      <pivotArea dataOnly="0" labelOnly="1" outline="0" fieldPosition="0">
        <references count="3">
          <reference field="7" count="1" selected="0">
            <x v="414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445">
      <pivotArea dataOnly="0" labelOnly="1" outline="0" fieldPosition="0">
        <references count="3">
          <reference field="7" count="1" selected="0">
            <x v="465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444">
      <pivotArea dataOnly="0" labelOnly="1" outline="0" fieldPosition="0">
        <references count="3">
          <reference field="7" count="1" selected="0">
            <x v="1180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2443">
      <pivotArea dataOnly="0" labelOnly="1" outline="0" fieldPosition="0">
        <references count="3">
          <reference field="7" count="1" selected="0">
            <x v="1181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2442">
      <pivotArea dataOnly="0" labelOnly="1" outline="0" fieldPosition="0">
        <references count="3">
          <reference field="7" count="1" selected="0">
            <x v="1182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441">
      <pivotArea dataOnly="0" labelOnly="1" outline="0" fieldPosition="0">
        <references count="3">
          <reference field="7" count="1" selected="0">
            <x v="1183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440">
      <pivotArea dataOnly="0" labelOnly="1" outline="0" fieldPosition="0">
        <references count="3">
          <reference field="7" count="1" selected="0">
            <x v="1184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2439">
      <pivotArea dataOnly="0" labelOnly="1" outline="0" fieldPosition="0">
        <references count="3">
          <reference field="7" count="1" selected="0">
            <x v="1174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2438">
      <pivotArea dataOnly="0" labelOnly="1" outline="0" fieldPosition="0">
        <references count="3">
          <reference field="7" count="1" selected="0">
            <x v="1175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2437">
      <pivotArea dataOnly="0" labelOnly="1" outline="0" fieldPosition="0">
        <references count="3">
          <reference field="7" count="1" selected="0">
            <x v="1176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2436">
      <pivotArea dataOnly="0" labelOnly="1" outline="0" fieldPosition="0">
        <references count="3">
          <reference field="7" count="1" selected="0">
            <x v="1177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2435">
      <pivotArea dataOnly="0" labelOnly="1" outline="0" fieldPosition="0">
        <references count="3">
          <reference field="7" count="1" selected="0">
            <x v="1178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2434">
      <pivotArea dataOnly="0" labelOnly="1" outline="0" fieldPosition="0">
        <references count="3">
          <reference field="7" count="1" selected="0">
            <x v="1179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2433">
      <pivotArea dataOnly="0" labelOnly="1" outline="0" fieldPosition="0">
        <references count="3">
          <reference field="7" count="1" selected="0">
            <x v="565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2432">
      <pivotArea outline="0" collapsedLevelsAreSubtotals="1" fieldPosition="0"/>
    </format>
    <format dxfId="2431">
      <pivotArea dataOnly="0" labelOnly="1" outline="0" fieldPosition="0">
        <references count="1">
          <reference field="16" count="0"/>
        </references>
      </pivotArea>
    </format>
    <format dxfId="2430">
      <pivotArea dataOnly="0" labelOnly="1" outline="0" fieldPosition="0">
        <references count="2">
          <reference field="7" count="1">
            <x v="177"/>
          </reference>
          <reference field="16" count="1" selected="0">
            <x v="7"/>
          </reference>
        </references>
      </pivotArea>
    </format>
    <format dxfId="2429">
      <pivotArea dataOnly="0" labelOnly="1" outline="0" fieldPosition="0">
        <references count="2">
          <reference field="7" count="4">
            <x v="1221"/>
            <x v="1222"/>
            <x v="1223"/>
            <x v="1224"/>
          </reference>
          <reference field="16" count="1" selected="0">
            <x v="12"/>
          </reference>
        </references>
      </pivotArea>
    </format>
    <format dxfId="2428">
      <pivotArea dataOnly="0" labelOnly="1" outline="0" fieldPosition="0">
        <references count="2">
          <reference field="7" count="5">
            <x v="1216"/>
            <x v="1217"/>
            <x v="1218"/>
            <x v="1219"/>
            <x v="1220"/>
          </reference>
          <reference field="16" count="1" selected="0">
            <x v="14"/>
          </reference>
        </references>
      </pivotArea>
    </format>
    <format dxfId="2427">
      <pivotArea dataOnly="0" labelOnly="1" outline="0" fieldPosition="0">
        <references count="2">
          <reference field="7" count="7">
            <x v="262"/>
            <x v="1210"/>
            <x v="1211"/>
            <x v="1212"/>
            <x v="1213"/>
            <x v="1214"/>
            <x v="1215"/>
          </reference>
          <reference field="16" count="1" selected="0">
            <x v="16"/>
          </reference>
        </references>
      </pivotArea>
    </format>
    <format dxfId="2426">
      <pivotArea dataOnly="0" labelOnly="1" outline="0" fieldPosition="0">
        <references count="2">
          <reference field="7" count="5">
            <x v="318"/>
            <x v="713"/>
            <x v="1207"/>
            <x v="1208"/>
            <x v="1209"/>
          </reference>
          <reference field="16" count="1" selected="0">
            <x v="17"/>
          </reference>
        </references>
      </pivotArea>
    </format>
    <format dxfId="2425">
      <pivotArea dataOnly="0" labelOnly="1" outline="0" fieldPosition="0">
        <references count="2">
          <reference field="7" count="7">
            <x v="23"/>
            <x v="1201"/>
            <x v="1202"/>
            <x v="1203"/>
            <x v="1204"/>
            <x v="1205"/>
            <x v="1206"/>
          </reference>
          <reference field="16" count="1" selected="0">
            <x v="18"/>
          </reference>
        </references>
      </pivotArea>
    </format>
    <format dxfId="2424">
      <pivotArea dataOnly="0" labelOnly="1" outline="0" fieldPosition="0">
        <references count="2">
          <reference field="7" count="8">
            <x v="1058"/>
            <x v="1127"/>
            <x v="1195"/>
            <x v="1196"/>
            <x v="1197"/>
            <x v="1198"/>
            <x v="1199"/>
            <x v="1200"/>
          </reference>
          <reference field="16" count="1" selected="0">
            <x v="19"/>
          </reference>
        </references>
      </pivotArea>
    </format>
    <format dxfId="2423">
      <pivotArea dataOnly="0" labelOnly="1" outline="0" fieldPosition="0">
        <references count="2">
          <reference field="7" count="7">
            <x v="12"/>
            <x v="1130"/>
            <x v="1190"/>
            <x v="1191"/>
            <x v="1192"/>
            <x v="1193"/>
            <x v="1194"/>
          </reference>
          <reference field="16" count="1" selected="0">
            <x v="20"/>
          </reference>
        </references>
      </pivotArea>
    </format>
    <format dxfId="2422">
      <pivotArea dataOnly="0" labelOnly="1" outline="0" fieldPosition="0">
        <references count="2">
          <reference field="7" count="9">
            <x v="413"/>
            <x v="458"/>
            <x v="769"/>
            <x v="785"/>
            <x v="1185"/>
            <x v="1186"/>
            <x v="1187"/>
            <x v="1188"/>
            <x v="1189"/>
          </reference>
          <reference field="16" count="1" selected="0">
            <x v="21"/>
          </reference>
        </references>
      </pivotArea>
    </format>
    <format dxfId="2421">
      <pivotArea dataOnly="0" labelOnly="1" outline="0" fieldPosition="0">
        <references count="2">
          <reference field="7" count="9">
            <x v="151"/>
            <x v="409"/>
            <x v="414"/>
            <x v="465"/>
            <x v="1180"/>
            <x v="1181"/>
            <x v="1182"/>
            <x v="1183"/>
            <x v="1184"/>
          </reference>
          <reference field="16" count="1" selected="0">
            <x v="22"/>
          </reference>
        </references>
      </pivotArea>
    </format>
    <format dxfId="2420">
      <pivotArea dataOnly="0" labelOnly="1" outline="0" fieldPosition="0">
        <references count="2">
          <reference field="7" count="6">
            <x v="1174"/>
            <x v="1175"/>
            <x v="1176"/>
            <x v="1177"/>
            <x v="1178"/>
            <x v="1179"/>
          </reference>
          <reference field="16" count="1" selected="0">
            <x v="23"/>
          </reference>
        </references>
      </pivotArea>
    </format>
    <format dxfId="2419">
      <pivotArea dataOnly="0" labelOnly="1" outline="0" fieldPosition="0">
        <references count="2">
          <reference field="7" count="1">
            <x v="565"/>
          </reference>
          <reference field="16" count="1" selected="0">
            <x v="24"/>
          </reference>
        </references>
      </pivotArea>
    </format>
    <format dxfId="2418">
      <pivotArea dataOnly="0" labelOnly="1" outline="0" fieldPosition="0">
        <references count="3">
          <reference field="7" count="1" selected="0">
            <x v="177"/>
          </reference>
          <reference field="16" count="1" selected="0">
            <x v="7"/>
          </reference>
          <reference field="18" count="1">
            <x v="0"/>
          </reference>
        </references>
      </pivotArea>
    </format>
    <format dxfId="2417">
      <pivotArea dataOnly="0" labelOnly="1" outline="0" fieldPosition="0">
        <references count="3">
          <reference field="7" count="1" selected="0">
            <x v="1221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2416">
      <pivotArea dataOnly="0" labelOnly="1" outline="0" fieldPosition="0">
        <references count="3">
          <reference field="7" count="1" selected="0">
            <x v="1222"/>
          </reference>
          <reference field="16" count="1" selected="0">
            <x v="12"/>
          </reference>
          <reference field="18" count="1">
            <x v="1"/>
          </reference>
        </references>
      </pivotArea>
    </format>
    <format dxfId="2415">
      <pivotArea dataOnly="0" labelOnly="1" outline="0" fieldPosition="0">
        <references count="3">
          <reference field="7" count="1" selected="0">
            <x v="1223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2414">
      <pivotArea dataOnly="0" labelOnly="1" outline="0" fieldPosition="0">
        <references count="3">
          <reference field="7" count="1" selected="0">
            <x v="1224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2413">
      <pivotArea dataOnly="0" labelOnly="1" outline="0" fieldPosition="0">
        <references count="3">
          <reference field="7" count="1" selected="0">
            <x v="1216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2412">
      <pivotArea dataOnly="0" labelOnly="1" outline="0" fieldPosition="0">
        <references count="3">
          <reference field="7" count="1" selected="0">
            <x v="1217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2411">
      <pivotArea dataOnly="0" labelOnly="1" outline="0" fieldPosition="0">
        <references count="3">
          <reference field="7" count="1" selected="0">
            <x v="1218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2410">
      <pivotArea dataOnly="0" labelOnly="1" outline="0" fieldPosition="0">
        <references count="3">
          <reference field="7" count="1" selected="0">
            <x v="1219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2409">
      <pivotArea dataOnly="0" labelOnly="1" outline="0" fieldPosition="0">
        <references count="3">
          <reference field="7" count="1" selected="0">
            <x v="1220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2408">
      <pivotArea dataOnly="0" labelOnly="1" outline="0" fieldPosition="0">
        <references count="3">
          <reference field="7" count="1" selected="0">
            <x v="262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407">
      <pivotArea dataOnly="0" labelOnly="1" outline="0" fieldPosition="0">
        <references count="3">
          <reference field="7" count="1" selected="0">
            <x v="1210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2406">
      <pivotArea dataOnly="0" labelOnly="1" outline="0" fieldPosition="0">
        <references count="3">
          <reference field="7" count="1" selected="0">
            <x v="1211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2405">
      <pivotArea dataOnly="0" labelOnly="1" outline="0" fieldPosition="0">
        <references count="3">
          <reference field="7" count="1" selected="0">
            <x v="1212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404">
      <pivotArea dataOnly="0" labelOnly="1" outline="0" fieldPosition="0">
        <references count="3">
          <reference field="7" count="1" selected="0">
            <x v="1213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403">
      <pivotArea dataOnly="0" labelOnly="1" outline="0" fieldPosition="0">
        <references count="3">
          <reference field="7" count="1" selected="0">
            <x v="1214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402">
      <pivotArea dataOnly="0" labelOnly="1" outline="0" fieldPosition="0">
        <references count="3">
          <reference field="7" count="1" selected="0">
            <x v="1215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401">
      <pivotArea dataOnly="0" labelOnly="1" outline="0" fieldPosition="0">
        <references count="3">
          <reference field="7" count="1" selected="0">
            <x v="318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2400">
      <pivotArea dataOnly="0" labelOnly="1" outline="0" fieldPosition="0">
        <references count="3">
          <reference field="7" count="1" selected="0">
            <x v="713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399">
      <pivotArea dataOnly="0" labelOnly="1" outline="0" fieldPosition="0">
        <references count="3">
          <reference field="7" count="1" selected="0">
            <x v="1207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398">
      <pivotArea dataOnly="0" labelOnly="1" outline="0" fieldPosition="0">
        <references count="3">
          <reference field="7" count="1" selected="0">
            <x v="1208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2397">
      <pivotArea dataOnly="0" labelOnly="1" outline="0" fieldPosition="0">
        <references count="3">
          <reference field="7" count="1" selected="0">
            <x v="1209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396">
      <pivotArea dataOnly="0" labelOnly="1" outline="0" fieldPosition="0">
        <references count="3">
          <reference field="7" count="1" selected="0">
            <x v="23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395">
      <pivotArea dataOnly="0" labelOnly="1" outline="0" fieldPosition="0">
        <references count="3">
          <reference field="7" count="1" selected="0">
            <x v="1201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394">
      <pivotArea dataOnly="0" labelOnly="1" outline="0" fieldPosition="0">
        <references count="3">
          <reference field="7" count="1" selected="0">
            <x v="1202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393">
      <pivotArea dataOnly="0" labelOnly="1" outline="0" fieldPosition="0">
        <references count="3">
          <reference field="7" count="1" selected="0">
            <x v="1203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392">
      <pivotArea dataOnly="0" labelOnly="1" outline="0" fieldPosition="0">
        <references count="3">
          <reference field="7" count="1" selected="0">
            <x v="1204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391">
      <pivotArea dataOnly="0" labelOnly="1" outline="0" fieldPosition="0">
        <references count="3">
          <reference field="7" count="1" selected="0">
            <x v="1205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390">
      <pivotArea dataOnly="0" labelOnly="1" outline="0" fieldPosition="0">
        <references count="3">
          <reference field="7" count="1" selected="0">
            <x v="1206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389">
      <pivotArea dataOnly="0" labelOnly="1" outline="0" fieldPosition="0">
        <references count="3">
          <reference field="7" count="1" selected="0">
            <x v="105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388">
      <pivotArea dataOnly="0" labelOnly="1" outline="0" fieldPosition="0">
        <references count="3">
          <reference field="7" count="1" selected="0">
            <x v="1127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387">
      <pivotArea dataOnly="0" labelOnly="1" outline="0" fieldPosition="0">
        <references count="3">
          <reference field="7" count="1" selected="0">
            <x v="119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386">
      <pivotArea dataOnly="0" labelOnly="1" outline="0" fieldPosition="0">
        <references count="3">
          <reference field="7" count="1" selected="0">
            <x v="1196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385">
      <pivotArea dataOnly="0" labelOnly="1" outline="0" fieldPosition="0">
        <references count="3">
          <reference field="7" count="1" selected="0">
            <x v="1197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384">
      <pivotArea dataOnly="0" labelOnly="1" outline="0" fieldPosition="0">
        <references count="3">
          <reference field="7" count="1" selected="0">
            <x v="1198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383">
      <pivotArea dataOnly="0" labelOnly="1" outline="0" fieldPosition="0">
        <references count="3">
          <reference field="7" count="1" selected="0">
            <x v="119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382">
      <pivotArea dataOnly="0" labelOnly="1" outline="0" fieldPosition="0">
        <references count="3">
          <reference field="7" count="1" selected="0">
            <x v="1200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381">
      <pivotArea dataOnly="0" labelOnly="1" outline="0" fieldPosition="0">
        <references count="3">
          <reference field="7" count="1" selected="0">
            <x v="1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380">
      <pivotArea dataOnly="0" labelOnly="1" outline="0" fieldPosition="0">
        <references count="3">
          <reference field="7" count="1" selected="0">
            <x v="1130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379">
      <pivotArea dataOnly="0" labelOnly="1" outline="0" fieldPosition="0">
        <references count="3">
          <reference field="7" count="1" selected="0">
            <x v="1190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378">
      <pivotArea dataOnly="0" labelOnly="1" outline="0" fieldPosition="0">
        <references count="3">
          <reference field="7" count="1" selected="0">
            <x v="1191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377">
      <pivotArea dataOnly="0" labelOnly="1" outline="0" fieldPosition="0">
        <references count="3">
          <reference field="7" count="1" selected="0">
            <x v="1192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376">
      <pivotArea dataOnly="0" labelOnly="1" outline="0" fieldPosition="0">
        <references count="3">
          <reference field="7" count="1" selected="0">
            <x v="1193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375">
      <pivotArea dataOnly="0" labelOnly="1" outline="0" fieldPosition="0">
        <references count="3">
          <reference field="7" count="1" selected="0">
            <x v="1194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374">
      <pivotArea dataOnly="0" labelOnly="1" outline="0" fieldPosition="0">
        <references count="3">
          <reference field="7" count="1" selected="0">
            <x v="413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2373">
      <pivotArea dataOnly="0" labelOnly="1" outline="0" fieldPosition="0">
        <references count="3">
          <reference field="7" count="1" selected="0">
            <x v="45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372">
      <pivotArea dataOnly="0" labelOnly="1" outline="0" fieldPosition="0">
        <references count="3">
          <reference field="7" count="1" selected="0">
            <x v="769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2371">
      <pivotArea dataOnly="0" labelOnly="1" outline="0" fieldPosition="0">
        <references count="3">
          <reference field="7" count="1" selected="0">
            <x v="78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370">
      <pivotArea dataOnly="0" labelOnly="1" outline="0" fieldPosition="0">
        <references count="3">
          <reference field="7" count="1" selected="0">
            <x v="118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369">
      <pivotArea dataOnly="0" labelOnly="1" outline="0" fieldPosition="0">
        <references count="3">
          <reference field="7" count="1" selected="0">
            <x v="1186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368">
      <pivotArea dataOnly="0" labelOnly="1" outline="0" fieldPosition="0">
        <references count="3">
          <reference field="7" count="1" selected="0">
            <x v="1187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367">
      <pivotArea dataOnly="0" labelOnly="1" outline="0" fieldPosition="0">
        <references count="3">
          <reference field="7" count="1" selected="0">
            <x v="118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366">
      <pivotArea dataOnly="0" labelOnly="1" outline="0" fieldPosition="0">
        <references count="3">
          <reference field="7" count="1" selected="0">
            <x v="1189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365">
      <pivotArea dataOnly="0" labelOnly="1" outline="0" fieldPosition="0">
        <references count="3">
          <reference field="7" count="1" selected="0">
            <x v="151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364">
      <pivotArea dataOnly="0" labelOnly="1" outline="0" fieldPosition="0">
        <references count="3">
          <reference field="7" count="1" selected="0">
            <x v="409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363">
      <pivotArea dataOnly="0" labelOnly="1" outline="0" fieldPosition="0">
        <references count="3">
          <reference field="7" count="1" selected="0">
            <x v="414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362">
      <pivotArea dataOnly="0" labelOnly="1" outline="0" fieldPosition="0">
        <references count="3">
          <reference field="7" count="1" selected="0">
            <x v="465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361">
      <pivotArea dataOnly="0" labelOnly="1" outline="0" fieldPosition="0">
        <references count="3">
          <reference field="7" count="1" selected="0">
            <x v="1180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2360">
      <pivotArea dataOnly="0" labelOnly="1" outline="0" fieldPosition="0">
        <references count="3">
          <reference field="7" count="1" selected="0">
            <x v="1181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2359">
      <pivotArea dataOnly="0" labelOnly="1" outline="0" fieldPosition="0">
        <references count="3">
          <reference field="7" count="1" selected="0">
            <x v="1182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358">
      <pivotArea dataOnly="0" labelOnly="1" outline="0" fieldPosition="0">
        <references count="3">
          <reference field="7" count="1" selected="0">
            <x v="1183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357">
      <pivotArea dataOnly="0" labelOnly="1" outline="0" fieldPosition="0">
        <references count="3">
          <reference field="7" count="1" selected="0">
            <x v="1184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2356">
      <pivotArea dataOnly="0" labelOnly="1" outline="0" fieldPosition="0">
        <references count="3">
          <reference field="7" count="1" selected="0">
            <x v="1174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2355">
      <pivotArea dataOnly="0" labelOnly="1" outline="0" fieldPosition="0">
        <references count="3">
          <reference field="7" count="1" selected="0">
            <x v="1175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2354">
      <pivotArea dataOnly="0" labelOnly="1" outline="0" fieldPosition="0">
        <references count="3">
          <reference field="7" count="1" selected="0">
            <x v="1176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2353">
      <pivotArea dataOnly="0" labelOnly="1" outline="0" fieldPosition="0">
        <references count="3">
          <reference field="7" count="1" selected="0">
            <x v="1177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2352">
      <pivotArea dataOnly="0" labelOnly="1" outline="0" fieldPosition="0">
        <references count="3">
          <reference field="7" count="1" selected="0">
            <x v="1178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2351">
      <pivotArea dataOnly="0" labelOnly="1" outline="0" fieldPosition="0">
        <references count="3">
          <reference field="7" count="1" selected="0">
            <x v="1179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2350">
      <pivotArea dataOnly="0" labelOnly="1" outline="0" fieldPosition="0">
        <references count="3">
          <reference field="7" count="1" selected="0">
            <x v="565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2349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348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2347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2346">
      <pivotArea outline="0" fieldPosition="0">
        <references count="3">
          <reference field="7" count="2" selected="0">
            <x v="683"/>
            <x v="1290"/>
          </reference>
          <reference field="16" count="1" selected="0">
            <x v="8"/>
          </reference>
          <reference field="18" count="1" selected="0">
            <x v="0"/>
          </reference>
        </references>
      </pivotArea>
    </format>
    <format dxfId="2345">
      <pivotArea dataOnly="0" labelOnly="1" outline="0" fieldPosition="0">
        <references count="1">
          <reference field="16" count="1">
            <x v="8"/>
          </reference>
        </references>
      </pivotArea>
    </format>
    <format dxfId="2344">
      <pivotArea dataOnly="0" labelOnly="1" outline="0" fieldPosition="0">
        <references count="2">
          <reference field="7" count="2">
            <x v="683"/>
            <x v="1290"/>
          </reference>
          <reference field="16" count="1" selected="0">
            <x v="8"/>
          </reference>
        </references>
      </pivotArea>
    </format>
    <format dxfId="2343">
      <pivotArea dataOnly="0" labelOnly="1" outline="0" fieldPosition="0">
        <references count="3">
          <reference field="7" count="1" selected="0">
            <x v="683"/>
          </reference>
          <reference field="16" count="1" selected="0">
            <x v="8"/>
          </reference>
          <reference field="18" count="1">
            <x v="0"/>
          </reference>
        </references>
      </pivotArea>
    </format>
    <format dxfId="2342">
      <pivotArea dataOnly="0" labelOnly="1" outline="0" fieldPosition="0">
        <references count="3">
          <reference field="7" count="1" selected="0">
            <x v="1290"/>
          </reference>
          <reference field="16" count="1" selected="0">
            <x v="8"/>
          </reference>
          <reference field="18" count="1">
            <x v="0"/>
          </reference>
        </references>
      </pivotArea>
    </format>
    <format dxfId="2341">
      <pivotArea outline="0" fieldPosition="0">
        <references count="3">
          <reference field="7" count="7" selected="0">
            <x v="188"/>
            <x v="207"/>
            <x v="1284"/>
            <x v="1285"/>
            <x v="1286"/>
            <x v="1287"/>
            <x v="1288"/>
          </reference>
          <reference field="16" count="1" selected="0">
            <x v="11"/>
          </reference>
          <reference field="18" count="2" selected="0">
            <x v="0"/>
            <x v="2"/>
          </reference>
        </references>
      </pivotArea>
    </format>
    <format dxfId="2340">
      <pivotArea dataOnly="0" labelOnly="1" outline="0" fieldPosition="0">
        <references count="1">
          <reference field="16" count="1">
            <x v="11"/>
          </reference>
        </references>
      </pivotArea>
    </format>
    <format dxfId="2339">
      <pivotArea dataOnly="0" labelOnly="1" outline="0" fieldPosition="0">
        <references count="2">
          <reference field="7" count="7">
            <x v="188"/>
            <x v="207"/>
            <x v="1284"/>
            <x v="1285"/>
            <x v="1286"/>
            <x v="1287"/>
            <x v="1288"/>
          </reference>
          <reference field="16" count="1" selected="0">
            <x v="11"/>
          </reference>
        </references>
      </pivotArea>
    </format>
    <format dxfId="2338">
      <pivotArea dataOnly="0" labelOnly="1" outline="0" fieldPosition="0">
        <references count="3">
          <reference field="7" count="1" selected="0">
            <x v="188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2337">
      <pivotArea dataOnly="0" labelOnly="1" outline="0" fieldPosition="0">
        <references count="3">
          <reference field="7" count="1" selected="0">
            <x v="207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2336">
      <pivotArea dataOnly="0" labelOnly="1" outline="0" fieldPosition="0">
        <references count="3">
          <reference field="7" count="1" selected="0">
            <x v="1284"/>
          </reference>
          <reference field="16" count="1" selected="0">
            <x v="11"/>
          </reference>
          <reference field="18" count="1">
            <x v="0"/>
          </reference>
        </references>
      </pivotArea>
    </format>
    <format dxfId="2335">
      <pivotArea dataOnly="0" labelOnly="1" outline="0" fieldPosition="0">
        <references count="3">
          <reference field="7" count="1" selected="0">
            <x v="1285"/>
          </reference>
          <reference field="16" count="1" selected="0">
            <x v="11"/>
          </reference>
          <reference field="18" count="1">
            <x v="0"/>
          </reference>
        </references>
      </pivotArea>
    </format>
    <format dxfId="2334">
      <pivotArea dataOnly="0" labelOnly="1" outline="0" fieldPosition="0">
        <references count="3">
          <reference field="7" count="1" selected="0">
            <x v="1286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2333">
      <pivotArea dataOnly="0" labelOnly="1" outline="0" fieldPosition="0">
        <references count="3">
          <reference field="7" count="1" selected="0">
            <x v="1287"/>
          </reference>
          <reference field="16" count="1" selected="0">
            <x v="11"/>
          </reference>
          <reference field="18" count="1">
            <x v="0"/>
          </reference>
        </references>
      </pivotArea>
    </format>
    <format dxfId="2332">
      <pivotArea dataOnly="0" labelOnly="1" outline="0" fieldPosition="0">
        <references count="3">
          <reference field="7" count="1" selected="0">
            <x v="1288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2331">
      <pivotArea outline="0" fieldPosition="0">
        <references count="3">
          <reference field="7" count="4" selected="0">
            <x v="1272"/>
            <x v="1273"/>
            <x v="1274"/>
            <x v="1275"/>
          </reference>
          <reference field="16" count="1" selected="0">
            <x v="13"/>
          </reference>
          <reference field="18" count="3" selected="0">
            <x v="0"/>
            <x v="1"/>
            <x v="2"/>
          </reference>
        </references>
      </pivotArea>
    </format>
    <format dxfId="2330">
      <pivotArea dataOnly="0" labelOnly="1" outline="0" fieldPosition="0">
        <references count="1">
          <reference field="16" count="1">
            <x v="13"/>
          </reference>
        </references>
      </pivotArea>
    </format>
    <format dxfId="2329">
      <pivotArea dataOnly="0" labelOnly="1" outline="0" fieldPosition="0">
        <references count="2">
          <reference field="7" count="4">
            <x v="1272"/>
            <x v="1273"/>
            <x v="1274"/>
            <x v="1275"/>
          </reference>
          <reference field="16" count="1" selected="0">
            <x v="13"/>
          </reference>
        </references>
      </pivotArea>
    </format>
    <format dxfId="2328">
      <pivotArea dataOnly="0" labelOnly="1" outline="0" fieldPosition="0">
        <references count="3">
          <reference field="7" count="1" selected="0">
            <x v="1272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2327">
      <pivotArea dataOnly="0" labelOnly="1" outline="0" fieldPosition="0">
        <references count="3">
          <reference field="7" count="1" selected="0">
            <x v="1273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2326">
      <pivotArea dataOnly="0" labelOnly="1" outline="0" fieldPosition="0">
        <references count="3">
          <reference field="7" count="1" selected="0">
            <x v="1274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2325">
      <pivotArea dataOnly="0" labelOnly="1" outline="0" fieldPosition="0">
        <references count="3">
          <reference field="7" count="1" selected="0">
            <x v="1275"/>
          </reference>
          <reference field="16" count="1" selected="0">
            <x v="13"/>
          </reference>
          <reference field="18" count="1">
            <x v="0"/>
          </reference>
        </references>
      </pivotArea>
    </format>
    <format dxfId="2324">
      <pivotArea outline="0" fieldPosition="0">
        <references count="3">
          <reference field="7" count="12" selected="0">
            <x v="318"/>
            <x v="866"/>
            <x v="1253"/>
            <x v="1254"/>
            <x v="1255"/>
            <x v="1256"/>
            <x v="1257"/>
            <x v="1258"/>
            <x v="1259"/>
            <x v="1260"/>
            <x v="1261"/>
            <x v="1262"/>
          </reference>
          <reference field="16" count="1" selected="0">
            <x v="15"/>
          </reference>
          <reference field="18" count="3" selected="0">
            <x v="0"/>
            <x v="1"/>
            <x v="3"/>
          </reference>
        </references>
      </pivotArea>
    </format>
    <format dxfId="2323">
      <pivotArea dataOnly="0" labelOnly="1" outline="0" fieldPosition="0">
        <references count="1">
          <reference field="16" count="1">
            <x v="15"/>
          </reference>
        </references>
      </pivotArea>
    </format>
    <format dxfId="2322">
      <pivotArea dataOnly="0" labelOnly="1" outline="0" fieldPosition="0">
        <references count="2">
          <reference field="7" count="12">
            <x v="318"/>
            <x v="866"/>
            <x v="1253"/>
            <x v="1254"/>
            <x v="1255"/>
            <x v="1256"/>
            <x v="1257"/>
            <x v="1258"/>
            <x v="1259"/>
            <x v="1260"/>
            <x v="1261"/>
            <x v="1262"/>
          </reference>
          <reference field="16" count="1" selected="0">
            <x v="15"/>
          </reference>
        </references>
      </pivotArea>
    </format>
    <format dxfId="2321">
      <pivotArea dataOnly="0" labelOnly="1" outline="0" fieldPosition="0">
        <references count="3">
          <reference field="7" count="1" selected="0">
            <x v="318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2320">
      <pivotArea dataOnly="0" labelOnly="1" outline="0" fieldPosition="0">
        <references count="3">
          <reference field="7" count="1" selected="0">
            <x v="866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2319">
      <pivotArea dataOnly="0" labelOnly="1" outline="0" fieldPosition="0">
        <references count="3">
          <reference field="7" count="1" selected="0">
            <x v="1253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2318">
      <pivotArea dataOnly="0" labelOnly="1" outline="0" fieldPosition="0">
        <references count="3">
          <reference field="7" count="1" selected="0">
            <x v="1254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2317">
      <pivotArea dataOnly="0" labelOnly="1" outline="0" fieldPosition="0">
        <references count="3">
          <reference field="7" count="1" selected="0">
            <x v="1255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2316">
      <pivotArea dataOnly="0" labelOnly="1" outline="0" fieldPosition="0">
        <references count="3">
          <reference field="7" count="1" selected="0">
            <x v="1256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2315">
      <pivotArea dataOnly="0" labelOnly="1" outline="0" fieldPosition="0">
        <references count="3">
          <reference field="7" count="1" selected="0">
            <x v="1257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2314">
      <pivotArea dataOnly="0" labelOnly="1" outline="0" fieldPosition="0">
        <references count="3">
          <reference field="7" count="1" selected="0">
            <x v="1258"/>
          </reference>
          <reference field="16" count="1" selected="0">
            <x v="15"/>
          </reference>
          <reference field="18" count="1">
            <x v="0"/>
          </reference>
        </references>
      </pivotArea>
    </format>
    <format dxfId="2313">
      <pivotArea dataOnly="0" labelOnly="1" outline="0" fieldPosition="0">
        <references count="3">
          <reference field="7" count="1" selected="0">
            <x v="1259"/>
          </reference>
          <reference field="16" count="1" selected="0">
            <x v="15"/>
          </reference>
          <reference field="18" count="1">
            <x v="0"/>
          </reference>
        </references>
      </pivotArea>
    </format>
    <format dxfId="2312">
      <pivotArea dataOnly="0" labelOnly="1" outline="0" fieldPosition="0">
        <references count="3">
          <reference field="7" count="1" selected="0">
            <x v="1260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2311">
      <pivotArea dataOnly="0" labelOnly="1" outline="0" fieldPosition="0">
        <references count="3">
          <reference field="7" count="1" selected="0">
            <x v="1261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2310">
      <pivotArea dataOnly="0" labelOnly="1" outline="0" fieldPosition="0">
        <references count="3">
          <reference field="7" count="1" selected="0">
            <x v="1262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2309">
      <pivotArea outline="0" fieldPosition="0">
        <references count="3">
          <reference field="7" count="6" selected="0">
            <x v="364"/>
            <x v="942"/>
            <x v="1247"/>
            <x v="1248"/>
            <x v="1249"/>
            <x v="1250"/>
          </reference>
          <reference field="16" count="1" selected="0">
            <x v="17"/>
          </reference>
          <reference field="18" count="3" selected="0">
            <x v="0"/>
            <x v="1"/>
            <x v="3"/>
          </reference>
        </references>
      </pivotArea>
    </format>
    <format dxfId="2308">
      <pivotArea dataOnly="0" labelOnly="1" outline="0" fieldPosition="0">
        <references count="1">
          <reference field="16" count="1">
            <x v="17"/>
          </reference>
        </references>
      </pivotArea>
    </format>
    <format dxfId="2307">
      <pivotArea dataOnly="0" labelOnly="1" outline="0" fieldPosition="0">
        <references count="2">
          <reference field="7" count="6">
            <x v="364"/>
            <x v="942"/>
            <x v="1247"/>
            <x v="1248"/>
            <x v="1249"/>
            <x v="1250"/>
          </reference>
          <reference field="16" count="1" selected="0">
            <x v="17"/>
          </reference>
        </references>
      </pivotArea>
    </format>
    <format dxfId="2306">
      <pivotArea dataOnly="0" labelOnly="1" outline="0" fieldPosition="0">
        <references count="3">
          <reference field="7" count="1" selected="0">
            <x v="364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305">
      <pivotArea dataOnly="0" labelOnly="1" outline="0" fieldPosition="0">
        <references count="3">
          <reference field="7" count="1" selected="0">
            <x v="942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2304">
      <pivotArea dataOnly="0" labelOnly="1" outline="0" fieldPosition="0">
        <references count="3">
          <reference field="7" count="1" selected="0">
            <x v="1247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303">
      <pivotArea dataOnly="0" labelOnly="1" outline="0" fieldPosition="0">
        <references count="3">
          <reference field="7" count="1" selected="0">
            <x v="1248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302">
      <pivotArea dataOnly="0" labelOnly="1" outline="0" fieldPosition="0">
        <references count="3">
          <reference field="7" count="1" selected="0">
            <x v="1249"/>
          </reference>
          <reference field="16" count="1" selected="0">
            <x v="17"/>
          </reference>
          <reference field="18" count="1">
            <x v="0"/>
          </reference>
        </references>
      </pivotArea>
    </format>
    <format dxfId="2301">
      <pivotArea dataOnly="0" labelOnly="1" outline="0" fieldPosition="0">
        <references count="3">
          <reference field="7" count="1" selected="0">
            <x v="1250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300">
      <pivotArea outline="0" fieldPosition="0">
        <references count="3">
          <reference field="7" count="13" selected="0">
            <x v="448"/>
            <x v="966"/>
            <x v="1130"/>
            <x v="1232"/>
            <x v="1233"/>
            <x v="1234"/>
            <x v="1235"/>
            <x v="1236"/>
            <x v="1237"/>
            <x v="1238"/>
            <x v="1239"/>
            <x v="1240"/>
            <x v="1241"/>
          </reference>
          <reference field="16" count="1" selected="0">
            <x v="19"/>
          </reference>
          <reference field="18" count="1" selected="0">
            <x v="3"/>
          </reference>
        </references>
      </pivotArea>
    </format>
    <format dxfId="2299">
      <pivotArea dataOnly="0" labelOnly="1" outline="0" fieldPosition="0">
        <references count="1">
          <reference field="16" count="1">
            <x v="19"/>
          </reference>
        </references>
      </pivotArea>
    </format>
    <format dxfId="2298">
      <pivotArea dataOnly="0" labelOnly="1" outline="0" fieldPosition="0">
        <references count="2">
          <reference field="7" count="13">
            <x v="448"/>
            <x v="966"/>
            <x v="1130"/>
            <x v="1232"/>
            <x v="1233"/>
            <x v="1234"/>
            <x v="1235"/>
            <x v="1236"/>
            <x v="1237"/>
            <x v="1238"/>
            <x v="1239"/>
            <x v="1240"/>
            <x v="1241"/>
          </reference>
          <reference field="16" count="1" selected="0">
            <x v="19"/>
          </reference>
        </references>
      </pivotArea>
    </format>
    <format dxfId="2297">
      <pivotArea dataOnly="0" labelOnly="1" outline="0" fieldPosition="0">
        <references count="3">
          <reference field="7" count="1" selected="0">
            <x v="448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96">
      <pivotArea dataOnly="0" labelOnly="1" outline="0" fieldPosition="0">
        <references count="3">
          <reference field="7" count="1" selected="0">
            <x v="966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95">
      <pivotArea dataOnly="0" labelOnly="1" outline="0" fieldPosition="0">
        <references count="3">
          <reference field="7" count="1" selected="0">
            <x v="1130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94">
      <pivotArea dataOnly="0" labelOnly="1" outline="0" fieldPosition="0">
        <references count="3">
          <reference field="7" count="1" selected="0">
            <x v="1232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93">
      <pivotArea dataOnly="0" labelOnly="1" outline="0" fieldPosition="0">
        <references count="3">
          <reference field="7" count="1" selected="0">
            <x v="1233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92">
      <pivotArea dataOnly="0" labelOnly="1" outline="0" fieldPosition="0">
        <references count="3">
          <reference field="7" count="1" selected="0">
            <x v="1234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91">
      <pivotArea dataOnly="0" labelOnly="1" outline="0" fieldPosition="0">
        <references count="3">
          <reference field="7" count="1" selected="0">
            <x v="123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90">
      <pivotArea dataOnly="0" labelOnly="1" outline="0" fieldPosition="0">
        <references count="3">
          <reference field="7" count="1" selected="0">
            <x v="1236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89">
      <pivotArea dataOnly="0" labelOnly="1" outline="0" fieldPosition="0">
        <references count="3">
          <reference field="7" count="1" selected="0">
            <x v="1237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88">
      <pivotArea dataOnly="0" labelOnly="1" outline="0" fieldPosition="0">
        <references count="3">
          <reference field="7" count="1" selected="0">
            <x v="1238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87">
      <pivotArea dataOnly="0" labelOnly="1" outline="0" fieldPosition="0">
        <references count="3">
          <reference field="7" count="1" selected="0">
            <x v="1239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86">
      <pivotArea dataOnly="0" labelOnly="1" outline="0" fieldPosition="0">
        <references count="3">
          <reference field="7" count="1" selected="0">
            <x v="1240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85">
      <pivotArea dataOnly="0" labelOnly="1" outline="0" fieldPosition="0">
        <references count="3">
          <reference field="7" count="1" selected="0">
            <x v="1241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84">
      <pivotArea outline="0" fieldPosition="0">
        <references count="3">
          <reference field="7" count="1" selected="0">
            <x v="1227"/>
          </reference>
          <reference field="16" count="1" selected="0">
            <x v="21"/>
          </reference>
          <reference field="18" count="1" selected="0">
            <x v="3"/>
          </reference>
        </references>
      </pivotArea>
    </format>
    <format dxfId="2283">
      <pivotArea dataOnly="0" labelOnly="1" outline="0" fieldPosition="0">
        <references count="1">
          <reference field="16" count="1">
            <x v="21"/>
          </reference>
        </references>
      </pivotArea>
    </format>
    <format dxfId="2282">
      <pivotArea dataOnly="0" labelOnly="1" outline="0" fieldPosition="0">
        <references count="2">
          <reference field="7" count="1">
            <x v="1227"/>
          </reference>
          <reference field="16" count="1" selected="0">
            <x v="21"/>
          </reference>
        </references>
      </pivotArea>
    </format>
    <format dxfId="2281">
      <pivotArea dataOnly="0" labelOnly="1" outline="0" fieldPosition="0">
        <references count="3">
          <reference field="7" count="1" selected="0">
            <x v="1227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280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  <format dxfId="2279">
      <pivotArea outline="0" fieldPosition="0">
        <references count="1">
          <reference field="4294967294" count="2" selected="0">
            <x v="6"/>
            <x v="7"/>
          </reference>
        </references>
      </pivotArea>
    </format>
    <format dxfId="2278">
      <pivotArea dataOnly="0" labelOnly="1" outline="0" fieldPosition="0">
        <references count="1">
          <reference field="4294967294" count="2">
            <x v="6"/>
            <x v="7"/>
          </reference>
        </references>
      </pivotArea>
    </format>
    <format dxfId="2277">
      <pivotArea outline="0" fieldPosition="0">
        <references count="1">
          <reference field="4294967294" count="2" selected="0">
            <x v="9"/>
            <x v="10"/>
          </reference>
        </references>
      </pivotArea>
    </format>
    <format dxfId="2276">
      <pivotArea dataOnly="0" labelOnly="1" outline="0" fieldPosition="0">
        <references count="1">
          <reference field="4294967294" count="2">
            <x v="9"/>
            <x v="10"/>
          </reference>
        </references>
      </pivotArea>
    </format>
    <format dxfId="2275">
      <pivotArea outline="0" fieldPosition="0">
        <references count="3">
          <reference field="7" count="2" selected="0">
            <x v="683"/>
            <x v="1290"/>
          </reference>
          <reference field="16" count="1" selected="0">
            <x v="8"/>
          </reference>
          <reference field="18" count="1" selected="0">
            <x v="0"/>
          </reference>
        </references>
      </pivotArea>
    </format>
    <format dxfId="2274">
      <pivotArea dataOnly="0" labelOnly="1" outline="0" fieldPosition="0">
        <references count="1">
          <reference field="16" count="1">
            <x v="8"/>
          </reference>
        </references>
      </pivotArea>
    </format>
    <format dxfId="2273">
      <pivotArea dataOnly="0" labelOnly="1" outline="0" fieldPosition="0">
        <references count="2">
          <reference field="7" count="2">
            <x v="683"/>
            <x v="1290"/>
          </reference>
          <reference field="16" count="1" selected="0">
            <x v="8"/>
          </reference>
        </references>
      </pivotArea>
    </format>
    <format dxfId="2272">
      <pivotArea dataOnly="0" labelOnly="1" outline="0" fieldPosition="0">
        <references count="3">
          <reference field="7" count="1" selected="0">
            <x v="683"/>
          </reference>
          <reference field="16" count="1" selected="0">
            <x v="8"/>
          </reference>
          <reference field="18" count="1">
            <x v="0"/>
          </reference>
        </references>
      </pivotArea>
    </format>
    <format dxfId="2271">
      <pivotArea dataOnly="0" labelOnly="1" outline="0" fieldPosition="0">
        <references count="3">
          <reference field="7" count="1" selected="0">
            <x v="1290"/>
          </reference>
          <reference field="16" count="1" selected="0">
            <x v="8"/>
          </reference>
          <reference field="18" count="1">
            <x v="0"/>
          </reference>
        </references>
      </pivotArea>
    </format>
    <format dxfId="2270">
      <pivotArea outline="0" fieldPosition="0">
        <references count="3">
          <reference field="7" count="7" selected="0">
            <x v="188"/>
            <x v="207"/>
            <x v="1284"/>
            <x v="1285"/>
            <x v="1286"/>
            <x v="1287"/>
            <x v="1288"/>
          </reference>
          <reference field="16" count="1" selected="0">
            <x v="11"/>
          </reference>
          <reference field="18" count="2" selected="0">
            <x v="0"/>
            <x v="2"/>
          </reference>
        </references>
      </pivotArea>
    </format>
    <format dxfId="2269">
      <pivotArea dataOnly="0" labelOnly="1" outline="0" fieldPosition="0">
        <references count="1">
          <reference field="16" count="1">
            <x v="11"/>
          </reference>
        </references>
      </pivotArea>
    </format>
    <format dxfId="2268">
      <pivotArea dataOnly="0" labelOnly="1" outline="0" fieldPosition="0">
        <references count="2">
          <reference field="7" count="7">
            <x v="188"/>
            <x v="207"/>
            <x v="1284"/>
            <x v="1285"/>
            <x v="1286"/>
            <x v="1287"/>
            <x v="1288"/>
          </reference>
          <reference field="16" count="1" selected="0">
            <x v="11"/>
          </reference>
        </references>
      </pivotArea>
    </format>
    <format dxfId="2267">
      <pivotArea dataOnly="0" labelOnly="1" outline="0" fieldPosition="0">
        <references count="3">
          <reference field="7" count="1" selected="0">
            <x v="188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2266">
      <pivotArea dataOnly="0" labelOnly="1" outline="0" fieldPosition="0">
        <references count="3">
          <reference field="7" count="1" selected="0">
            <x v="207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2265">
      <pivotArea dataOnly="0" labelOnly="1" outline="0" fieldPosition="0">
        <references count="3">
          <reference field="7" count="1" selected="0">
            <x v="1284"/>
          </reference>
          <reference field="16" count="1" selected="0">
            <x v="11"/>
          </reference>
          <reference field="18" count="1">
            <x v="0"/>
          </reference>
        </references>
      </pivotArea>
    </format>
    <format dxfId="2264">
      <pivotArea dataOnly="0" labelOnly="1" outline="0" fieldPosition="0">
        <references count="3">
          <reference field="7" count="1" selected="0">
            <x v="1285"/>
          </reference>
          <reference field="16" count="1" selected="0">
            <x v="11"/>
          </reference>
          <reference field="18" count="1">
            <x v="0"/>
          </reference>
        </references>
      </pivotArea>
    </format>
    <format dxfId="2263">
      <pivotArea dataOnly="0" labelOnly="1" outline="0" fieldPosition="0">
        <references count="3">
          <reference field="7" count="1" selected="0">
            <x v="1286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2262">
      <pivotArea dataOnly="0" labelOnly="1" outline="0" fieldPosition="0">
        <references count="3">
          <reference field="7" count="1" selected="0">
            <x v="1287"/>
          </reference>
          <reference field="16" count="1" selected="0">
            <x v="11"/>
          </reference>
          <reference field="18" count="1">
            <x v="0"/>
          </reference>
        </references>
      </pivotArea>
    </format>
    <format dxfId="2261">
      <pivotArea dataOnly="0" labelOnly="1" outline="0" fieldPosition="0">
        <references count="3">
          <reference field="7" count="1" selected="0">
            <x v="1288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2260">
      <pivotArea outline="0" fieldPosition="0">
        <references count="3">
          <reference field="7" count="4" selected="0">
            <x v="1272"/>
            <x v="1273"/>
            <x v="1274"/>
            <x v="1275"/>
          </reference>
          <reference field="16" count="1" selected="0">
            <x v="13"/>
          </reference>
          <reference field="18" count="3" selected="0">
            <x v="0"/>
            <x v="1"/>
            <x v="2"/>
          </reference>
        </references>
      </pivotArea>
    </format>
    <format dxfId="2259">
      <pivotArea dataOnly="0" labelOnly="1" outline="0" fieldPosition="0">
        <references count="1">
          <reference field="16" count="1">
            <x v="13"/>
          </reference>
        </references>
      </pivotArea>
    </format>
    <format dxfId="2258">
      <pivotArea dataOnly="0" labelOnly="1" outline="0" fieldPosition="0">
        <references count="2">
          <reference field="7" count="4">
            <x v="1272"/>
            <x v="1273"/>
            <x v="1274"/>
            <x v="1275"/>
          </reference>
          <reference field="16" count="1" selected="0">
            <x v="13"/>
          </reference>
        </references>
      </pivotArea>
    </format>
    <format dxfId="2257">
      <pivotArea dataOnly="0" labelOnly="1" outline="0" fieldPosition="0">
        <references count="3">
          <reference field="7" count="1" selected="0">
            <x v="1272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2256">
      <pivotArea dataOnly="0" labelOnly="1" outline="0" fieldPosition="0">
        <references count="3">
          <reference field="7" count="1" selected="0">
            <x v="1273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2255">
      <pivotArea dataOnly="0" labelOnly="1" outline="0" fieldPosition="0">
        <references count="3">
          <reference field="7" count="1" selected="0">
            <x v="1274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2254">
      <pivotArea dataOnly="0" labelOnly="1" outline="0" fieldPosition="0">
        <references count="3">
          <reference field="7" count="1" selected="0">
            <x v="1275"/>
          </reference>
          <reference field="16" count="1" selected="0">
            <x v="13"/>
          </reference>
          <reference field="18" count="1">
            <x v="0"/>
          </reference>
        </references>
      </pivotArea>
    </format>
    <format dxfId="2253">
      <pivotArea outline="0" fieldPosition="0">
        <references count="3">
          <reference field="7" count="12" selected="0">
            <x v="318"/>
            <x v="866"/>
            <x v="1253"/>
            <x v="1254"/>
            <x v="1255"/>
            <x v="1256"/>
            <x v="1257"/>
            <x v="1258"/>
            <x v="1259"/>
            <x v="1260"/>
            <x v="1261"/>
            <x v="1262"/>
          </reference>
          <reference field="16" count="1" selected="0">
            <x v="15"/>
          </reference>
          <reference field="18" count="3" selected="0">
            <x v="0"/>
            <x v="1"/>
            <x v="3"/>
          </reference>
        </references>
      </pivotArea>
    </format>
    <format dxfId="2252">
      <pivotArea dataOnly="0" labelOnly="1" outline="0" fieldPosition="0">
        <references count="1">
          <reference field="16" count="1">
            <x v="15"/>
          </reference>
        </references>
      </pivotArea>
    </format>
    <format dxfId="2251">
      <pivotArea dataOnly="0" labelOnly="1" outline="0" fieldPosition="0">
        <references count="2">
          <reference field="7" count="12">
            <x v="318"/>
            <x v="866"/>
            <x v="1253"/>
            <x v="1254"/>
            <x v="1255"/>
            <x v="1256"/>
            <x v="1257"/>
            <x v="1258"/>
            <x v="1259"/>
            <x v="1260"/>
            <x v="1261"/>
            <x v="1262"/>
          </reference>
          <reference field="16" count="1" selected="0">
            <x v="15"/>
          </reference>
        </references>
      </pivotArea>
    </format>
    <format dxfId="2250">
      <pivotArea dataOnly="0" labelOnly="1" outline="0" fieldPosition="0">
        <references count="3">
          <reference field="7" count="1" selected="0">
            <x v="318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2249">
      <pivotArea dataOnly="0" labelOnly="1" outline="0" fieldPosition="0">
        <references count="3">
          <reference field="7" count="1" selected="0">
            <x v="866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2248">
      <pivotArea dataOnly="0" labelOnly="1" outline="0" fieldPosition="0">
        <references count="3">
          <reference field="7" count="1" selected="0">
            <x v="1253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2247">
      <pivotArea dataOnly="0" labelOnly="1" outline="0" fieldPosition="0">
        <references count="3">
          <reference field="7" count="1" selected="0">
            <x v="1254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2246">
      <pivotArea dataOnly="0" labelOnly="1" outline="0" fieldPosition="0">
        <references count="3">
          <reference field="7" count="1" selected="0">
            <x v="1255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2245">
      <pivotArea dataOnly="0" labelOnly="1" outline="0" fieldPosition="0">
        <references count="3">
          <reference field="7" count="1" selected="0">
            <x v="1256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2244">
      <pivotArea dataOnly="0" labelOnly="1" outline="0" fieldPosition="0">
        <references count="3">
          <reference field="7" count="1" selected="0">
            <x v="1257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2243">
      <pivotArea dataOnly="0" labelOnly="1" outline="0" fieldPosition="0">
        <references count="3">
          <reference field="7" count="1" selected="0">
            <x v="1258"/>
          </reference>
          <reference field="16" count="1" selected="0">
            <x v="15"/>
          </reference>
          <reference field="18" count="1">
            <x v="0"/>
          </reference>
        </references>
      </pivotArea>
    </format>
    <format dxfId="2242">
      <pivotArea dataOnly="0" labelOnly="1" outline="0" fieldPosition="0">
        <references count="3">
          <reference field="7" count="1" selected="0">
            <x v="1259"/>
          </reference>
          <reference field="16" count="1" selected="0">
            <x v="15"/>
          </reference>
          <reference field="18" count="1">
            <x v="0"/>
          </reference>
        </references>
      </pivotArea>
    </format>
    <format dxfId="2241">
      <pivotArea dataOnly="0" labelOnly="1" outline="0" fieldPosition="0">
        <references count="3">
          <reference field="7" count="1" selected="0">
            <x v="1260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2240">
      <pivotArea dataOnly="0" labelOnly="1" outline="0" fieldPosition="0">
        <references count="3">
          <reference field="7" count="1" selected="0">
            <x v="1261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2239">
      <pivotArea dataOnly="0" labelOnly="1" outline="0" fieldPosition="0">
        <references count="3">
          <reference field="7" count="1" selected="0">
            <x v="1262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2238">
      <pivotArea outline="0" fieldPosition="0">
        <references count="3">
          <reference field="7" count="3" selected="0">
            <x v="1248"/>
            <x v="1249"/>
            <x v="1250"/>
          </reference>
          <reference field="16" count="1" selected="0">
            <x v="17"/>
          </reference>
          <reference field="18" count="2" selected="0">
            <x v="0"/>
            <x v="3"/>
          </reference>
        </references>
      </pivotArea>
    </format>
    <format dxfId="2237">
      <pivotArea dataOnly="0" labelOnly="1" outline="0" fieldPosition="0">
        <references count="2">
          <reference field="7" count="3">
            <x v="1248"/>
            <x v="1249"/>
            <x v="1250"/>
          </reference>
          <reference field="16" count="1" selected="0">
            <x v="17"/>
          </reference>
        </references>
      </pivotArea>
    </format>
    <format dxfId="2236">
      <pivotArea dataOnly="0" labelOnly="1" outline="0" fieldPosition="0">
        <references count="3">
          <reference field="7" count="1" selected="0">
            <x v="1248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235">
      <pivotArea dataOnly="0" labelOnly="1" outline="0" fieldPosition="0">
        <references count="3">
          <reference field="7" count="1" selected="0">
            <x v="1249"/>
          </reference>
          <reference field="16" count="1" selected="0">
            <x v="17"/>
          </reference>
          <reference field="18" count="1">
            <x v="0"/>
          </reference>
        </references>
      </pivotArea>
    </format>
    <format dxfId="2234">
      <pivotArea dataOnly="0" labelOnly="1" outline="0" fieldPosition="0">
        <references count="3">
          <reference field="7" count="1" selected="0">
            <x v="1250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233">
      <pivotArea outline="0" fieldPosition="0">
        <references count="3">
          <reference field="7" count="1" selected="0">
            <x v="1247"/>
          </reference>
          <reference field="16" count="1" selected="0">
            <x v="17"/>
          </reference>
          <reference field="18" count="1" selected="0">
            <x v="3"/>
          </reference>
        </references>
      </pivotArea>
    </format>
    <format dxfId="2232">
      <pivotArea dataOnly="0" labelOnly="1" outline="0" fieldPosition="0">
        <references count="2">
          <reference field="7" count="1">
            <x v="1247"/>
          </reference>
          <reference field="16" count="1" selected="0">
            <x v="17"/>
          </reference>
        </references>
      </pivotArea>
    </format>
    <format dxfId="2231">
      <pivotArea dataOnly="0" labelOnly="1" outline="0" fieldPosition="0">
        <references count="3">
          <reference field="7" count="1" selected="0">
            <x v="1247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230">
      <pivotArea outline="0" fieldPosition="0">
        <references count="3">
          <reference field="7" count="2" selected="0">
            <x v="364"/>
            <x v="942"/>
          </reference>
          <reference field="16" count="1" selected="0">
            <x v="17"/>
          </reference>
          <reference field="18" count="2" selected="0">
            <x v="1"/>
            <x v="3"/>
          </reference>
        </references>
      </pivotArea>
    </format>
    <format dxfId="2229">
      <pivotArea dataOnly="0" labelOnly="1" outline="0" fieldPosition="0">
        <references count="2">
          <reference field="7" count="2">
            <x v="364"/>
            <x v="942"/>
          </reference>
          <reference field="16" count="1" selected="0">
            <x v="17"/>
          </reference>
        </references>
      </pivotArea>
    </format>
    <format dxfId="2228">
      <pivotArea dataOnly="0" labelOnly="1" outline="0" fieldPosition="0">
        <references count="3">
          <reference field="7" count="1" selected="0">
            <x v="364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227">
      <pivotArea dataOnly="0" labelOnly="1" outline="0" fieldPosition="0">
        <references count="3">
          <reference field="7" count="1" selected="0">
            <x v="942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2226">
      <pivotArea outline="0" fieldPosition="0">
        <references count="3">
          <reference field="7" count="13" selected="0">
            <x v="448"/>
            <x v="966"/>
            <x v="1130"/>
            <x v="1232"/>
            <x v="1233"/>
            <x v="1234"/>
            <x v="1235"/>
            <x v="1236"/>
            <x v="1237"/>
            <x v="1238"/>
            <x v="1239"/>
            <x v="1240"/>
            <x v="1241"/>
          </reference>
          <reference field="16" count="1" selected="0">
            <x v="19"/>
          </reference>
          <reference field="18" count="1" selected="0">
            <x v="3"/>
          </reference>
        </references>
      </pivotArea>
    </format>
    <format dxfId="2225">
      <pivotArea dataOnly="0" labelOnly="1" outline="0" fieldPosition="0">
        <references count="1">
          <reference field="16" count="1">
            <x v="19"/>
          </reference>
        </references>
      </pivotArea>
    </format>
    <format dxfId="2224">
      <pivotArea dataOnly="0" labelOnly="1" outline="0" fieldPosition="0">
        <references count="2">
          <reference field="7" count="13">
            <x v="448"/>
            <x v="966"/>
            <x v="1130"/>
            <x v="1232"/>
            <x v="1233"/>
            <x v="1234"/>
            <x v="1235"/>
            <x v="1236"/>
            <x v="1237"/>
            <x v="1238"/>
            <x v="1239"/>
            <x v="1240"/>
            <x v="1241"/>
          </reference>
          <reference field="16" count="1" selected="0">
            <x v="19"/>
          </reference>
        </references>
      </pivotArea>
    </format>
    <format dxfId="2223">
      <pivotArea dataOnly="0" labelOnly="1" outline="0" fieldPosition="0">
        <references count="3">
          <reference field="7" count="1" selected="0">
            <x v="448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22">
      <pivotArea dataOnly="0" labelOnly="1" outline="0" fieldPosition="0">
        <references count="3">
          <reference field="7" count="1" selected="0">
            <x v="966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21">
      <pivotArea dataOnly="0" labelOnly="1" outline="0" fieldPosition="0">
        <references count="3">
          <reference field="7" count="1" selected="0">
            <x v="1130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20">
      <pivotArea dataOnly="0" labelOnly="1" outline="0" fieldPosition="0">
        <references count="3">
          <reference field="7" count="1" selected="0">
            <x v="1232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19">
      <pivotArea dataOnly="0" labelOnly="1" outline="0" fieldPosition="0">
        <references count="3">
          <reference field="7" count="1" selected="0">
            <x v="1233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18">
      <pivotArea dataOnly="0" labelOnly="1" outline="0" fieldPosition="0">
        <references count="3">
          <reference field="7" count="1" selected="0">
            <x v="1234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17">
      <pivotArea dataOnly="0" labelOnly="1" outline="0" fieldPosition="0">
        <references count="3">
          <reference field="7" count="1" selected="0">
            <x v="123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16">
      <pivotArea dataOnly="0" labelOnly="1" outline="0" fieldPosition="0">
        <references count="3">
          <reference field="7" count="1" selected="0">
            <x v="1236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15">
      <pivotArea dataOnly="0" labelOnly="1" outline="0" fieldPosition="0">
        <references count="3">
          <reference field="7" count="1" selected="0">
            <x v="1237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14">
      <pivotArea dataOnly="0" labelOnly="1" outline="0" fieldPosition="0">
        <references count="3">
          <reference field="7" count="1" selected="0">
            <x v="1238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13">
      <pivotArea dataOnly="0" labelOnly="1" outline="0" fieldPosition="0">
        <references count="3">
          <reference field="7" count="1" selected="0">
            <x v="1239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12">
      <pivotArea dataOnly="0" labelOnly="1" outline="0" fieldPosition="0">
        <references count="3">
          <reference field="7" count="1" selected="0">
            <x v="1240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11">
      <pivotArea dataOnly="0" labelOnly="1" outline="0" fieldPosition="0">
        <references count="3">
          <reference field="7" count="1" selected="0">
            <x v="1241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210">
      <pivotArea outline="0" fieldPosition="0">
        <references count="3">
          <reference field="7" count="1" selected="0">
            <x v="1227"/>
          </reference>
          <reference field="16" count="1" selected="0">
            <x v="21"/>
          </reference>
          <reference field="18" count="1" selected="0">
            <x v="3"/>
          </reference>
        </references>
      </pivotArea>
    </format>
    <format dxfId="2209">
      <pivotArea dataOnly="0" labelOnly="1" outline="0" fieldPosition="0">
        <references count="1">
          <reference field="16" count="1">
            <x v="21"/>
          </reference>
        </references>
      </pivotArea>
    </format>
    <format dxfId="2208">
      <pivotArea dataOnly="0" labelOnly="1" outline="0" fieldPosition="0">
        <references count="2">
          <reference field="7" count="1">
            <x v="1227"/>
          </reference>
          <reference field="16" count="1" selected="0">
            <x v="21"/>
          </reference>
        </references>
      </pivotArea>
    </format>
    <format dxfId="2207">
      <pivotArea dataOnly="0" labelOnly="1" outline="0" fieldPosition="0">
        <references count="3">
          <reference field="7" count="1" selected="0">
            <x v="1227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206">
      <pivotArea dataOnly="0" labelOnly="1" outline="0" fieldPosition="0">
        <references count="2">
          <reference field="7" count="1">
            <x v="1291"/>
          </reference>
          <reference field="16" count="1" selected="0">
            <x v="8"/>
          </reference>
        </references>
      </pivotArea>
    </format>
    <format dxfId="2205">
      <pivotArea dataOnly="0" labelOnly="1" outline="0" fieldPosition="0">
        <references count="3">
          <reference field="7" count="1" selected="0">
            <x v="1291"/>
          </reference>
          <reference field="16" count="1" selected="0">
            <x v="8"/>
          </reference>
          <reference field="18" count="1">
            <x v="0"/>
          </reference>
        </references>
      </pivotArea>
    </format>
    <format dxfId="2204">
      <pivotArea outline="0" fieldPosition="0">
        <references count="3">
          <reference field="7" count="1" selected="0">
            <x v="1291"/>
          </reference>
          <reference field="16" count="1" selected="0">
            <x v="8"/>
          </reference>
          <reference field="18" count="1" selected="0">
            <x v="0"/>
          </reference>
        </references>
      </pivotArea>
    </format>
    <format dxfId="2203">
      <pivotArea outline="0" fieldPosition="0">
        <references count="3">
          <reference field="7" count="1" selected="0">
            <x v="942"/>
          </reference>
          <reference field="16" count="1" selected="0">
            <x v="19"/>
          </reference>
          <reference field="18" count="1" selected="0">
            <x v="1"/>
          </reference>
        </references>
      </pivotArea>
    </format>
    <format dxfId="2202">
      <pivotArea dataOnly="0" labelOnly="1" outline="0" fieldPosition="0">
        <references count="2">
          <reference field="7" count="1">
            <x v="942"/>
          </reference>
          <reference field="16" count="1" selected="0">
            <x v="19"/>
          </reference>
        </references>
      </pivotArea>
    </format>
    <format dxfId="2201">
      <pivotArea dataOnly="0" labelOnly="1" outline="0" fieldPosition="0">
        <references count="3">
          <reference field="7" count="1" selected="0">
            <x v="942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200">
      <pivotArea outline="0" fieldPosition="0">
        <references count="1">
          <reference field="4294967294" count="2" selected="0">
            <x v="3"/>
            <x v="4"/>
          </reference>
        </references>
      </pivotArea>
    </format>
    <format dxfId="219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9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97">
      <pivotArea field="17" type="button" dataOnly="0" labelOnly="1" outline="0"/>
    </format>
    <format dxfId="2196">
      <pivotArea outline="0" fieldPosition="0">
        <references count="4">
          <reference field="4294967294" count="1" selected="0">
            <x v="0"/>
          </reference>
          <reference field="7" count="1" selected="0">
            <x v="1292"/>
          </reference>
          <reference field="16" count="1" selected="0">
            <x v="6"/>
          </reference>
          <reference field="18" count="1" selected="0">
            <x v="0"/>
          </reference>
        </references>
      </pivotArea>
    </format>
    <format dxfId="2195">
      <pivotArea outline="0" fieldPosition="0">
        <references count="4">
          <reference field="4294967294" count="1" selected="0">
            <x v="6"/>
          </reference>
          <reference field="7" count="1" selected="0">
            <x v="1292"/>
          </reference>
          <reference field="16" count="1" selected="0">
            <x v="6"/>
          </reference>
          <reference field="18" count="1" selected="0">
            <x v="0"/>
          </reference>
        </references>
      </pivotArea>
    </format>
    <format dxfId="2194">
      <pivotArea outline="0" fieldPosition="0">
        <references count="4">
          <reference field="4294967294" count="1" selected="0">
            <x v="9"/>
          </reference>
          <reference field="7" count="1" selected="0">
            <x v="1292"/>
          </reference>
          <reference field="16" count="1" selected="0">
            <x v="6"/>
          </reference>
          <reference field="18" count="1" selected="0">
            <x v="0"/>
          </reference>
        </references>
      </pivotArea>
    </format>
    <format dxfId="2193">
      <pivotArea dataOnly="0" labelOnly="1" outline="0" fieldPosition="0">
        <references count="1">
          <reference field="7" count="0"/>
        </references>
      </pivotArea>
    </format>
    <format dxfId="2192">
      <pivotArea dataOnly="0" labelOnly="1" outline="0" fieldPosition="0">
        <references count="1">
          <reference field="16" count="1">
            <x v="17"/>
          </reference>
        </references>
      </pivotArea>
    </format>
    <format dxfId="2191">
      <pivotArea outline="0" fieldPosition="0">
        <references count="2">
          <reference field="4294967294" count="1" selected="0">
            <x v="0"/>
          </reference>
          <reference field="16" count="14" selected="0"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</reference>
        </references>
      </pivotArea>
    </format>
    <format dxfId="2190">
      <pivotArea outline="0" fieldPosition="0">
        <references count="1">
          <reference field="4294967294" count="1" selected="0">
            <x v="5"/>
          </reference>
        </references>
      </pivotArea>
    </format>
    <format dxfId="2189">
      <pivotArea outline="0" fieldPosition="0">
        <references count="1">
          <reference field="4294967294" count="1" selected="0">
            <x v="8"/>
          </reference>
        </references>
      </pivotArea>
    </format>
    <format dxfId="2188">
      <pivotArea outline="0" fieldPosition="0">
        <references count="1">
          <reference field="4294967294" count="1" selected="0">
            <x v="11"/>
          </reference>
        </references>
      </pivotArea>
    </format>
    <format dxfId="2187">
      <pivotArea outline="0" fieldPosition="0">
        <references count="4">
          <reference field="4294967294" count="1" selected="0">
            <x v="7"/>
          </reference>
          <reference field="7" count="1" selected="0">
            <x v="1292"/>
          </reference>
          <reference field="16" count="1" selected="0">
            <x v="6"/>
          </reference>
          <reference field="18" count="1" selected="0">
            <x v="0"/>
          </reference>
        </references>
      </pivotArea>
    </format>
    <format dxfId="2186">
      <pivotArea outline="0" fieldPosition="0">
        <references count="4">
          <reference field="4294967294" count="1" selected="0">
            <x v="10"/>
          </reference>
          <reference field="7" count="1" selected="0">
            <x v="1292"/>
          </reference>
          <reference field="16" count="1" selected="0">
            <x v="6"/>
          </reference>
          <reference field="18" count="1" selected="0">
            <x v="0"/>
          </reference>
        </references>
      </pivotArea>
    </format>
    <format dxfId="2185">
      <pivotArea outline="0" fieldPosition="0">
        <references count="4">
          <reference field="4294967294" count="1" selected="0">
            <x v="1"/>
          </reference>
          <reference field="7" count="1" selected="0">
            <x v="1292"/>
          </reference>
          <reference field="16" count="1" selected="0">
            <x v="6"/>
          </reference>
          <reference field="18" count="1" selected="0">
            <x v="0"/>
          </reference>
        </references>
      </pivotArea>
    </format>
    <format dxfId="2184">
      <pivotArea outline="0" fieldPosition="0">
        <references count="4">
          <reference field="4294967294" count="1" selected="0">
            <x v="2"/>
          </reference>
          <reference field="7" count="1" selected="0">
            <x v="1292"/>
          </reference>
          <reference field="16" count="1" selected="0">
            <x v="6"/>
          </reference>
          <reference field="18" count="1" selected="0">
            <x v="0"/>
          </reference>
        </references>
      </pivotArea>
    </format>
  </formats>
  <conditionalFormats count="8">
    <conditionalFormat priority="7">
      <pivotAreas count="1">
        <pivotArea type="data" outline="0" collapsedLevelsAreSubtotals="1" fieldPosition="0">
          <references count="1">
            <reference field="4294967294" count="1" selected="0">
              <x v="5"/>
            </reference>
          </references>
        </pivotArea>
      </pivotAreas>
    </conditionalFormat>
    <conditionalFormat priority="8">
      <pivotAreas count="1">
        <pivotArea type="data" outline="0" collapsedLevelsAreSubtotals="1" fieldPosition="0">
          <references count="1">
            <reference field="4294967294" count="1" selected="0">
              <x v="5"/>
            </reference>
          </references>
        </pivotArea>
      </pivotAreas>
    </conditionalFormat>
    <conditionalFormat priority="9">
      <pivotAreas count="1">
        <pivotArea type="data" outline="0" collapsedLevelsAreSubtotals="1" fieldPosition="0">
          <references count="1">
            <reference field="4294967294" count="1" selected="0">
              <x v="8"/>
            </reference>
          </references>
        </pivotArea>
      </pivotAreas>
    </conditionalFormat>
    <conditionalFormat priority="10">
      <pivotAreas count="1">
        <pivotArea type="data" outline="0" collapsedLevelsAreSubtotals="1" fieldPosition="0">
          <references count="1">
            <reference field="4294967294" count="1" selected="0">
              <x v="8"/>
            </reference>
          </references>
        </pivotArea>
      </pivotAreas>
    </conditionalFormat>
    <conditionalFormat priority="11">
      <pivotAreas count="1">
        <pivotArea type="data" outline="0" collapsedLevelsAreSubtotals="1" fieldPosition="0">
          <references count="1">
            <reference field="4294967294" count="1" selected="0">
              <x v="11"/>
            </reference>
          </references>
        </pivotArea>
      </pivotAreas>
    </conditionalFormat>
    <conditionalFormat priority="12">
      <pivotAreas count="1">
        <pivotArea type="data" outline="0" collapsedLevelsAreSubtotals="1" fieldPosition="0">
          <references count="1">
            <reference field="4294967294" count="1" selected="0">
              <x v="11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4" showRowHeaders="0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E196E7-56E4-42BC-8F18-CF38329BE2A2}" name="TablaDinámica1" cacheId="1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B34" firstHeaderRow="1" firstDataRow="1" firstDataCol="2"/>
  <pivotFields count="45">
    <pivotField compact="0" outline="0" showAll="0"/>
    <pivotField compact="0" outline="0" showAll="0">
      <items count="41">
        <item x="2"/>
        <item x="36"/>
        <item x="16"/>
        <item x="34"/>
        <item x="25"/>
        <item x="29"/>
        <item x="21"/>
        <item x="26"/>
        <item x="31"/>
        <item x="19"/>
        <item x="30"/>
        <item x="11"/>
        <item x="17"/>
        <item x="7"/>
        <item x="14"/>
        <item x="18"/>
        <item x="15"/>
        <item x="22"/>
        <item x="23"/>
        <item x="9"/>
        <item x="12"/>
        <item x="35"/>
        <item x="33"/>
        <item x="13"/>
        <item x="8"/>
        <item x="24"/>
        <item x="10"/>
        <item x="0"/>
        <item x="3"/>
        <item x="6"/>
        <item x="4"/>
        <item x="5"/>
        <item x="27"/>
        <item x="28"/>
        <item x="20"/>
        <item x="32"/>
        <item m="1" x="37"/>
        <item m="1" x="38"/>
        <item x="1"/>
        <item m="1" x="39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Row" compact="0" outline="0" showAll="0">
      <items count="6">
        <item m="1" x="4"/>
        <item x="1"/>
        <item x="2"/>
        <item x="0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3" outline="0" showAll="0"/>
    <pivotField compact="0" outline="0" showAll="0"/>
    <pivotField compact="0" outline="0" showAll="0"/>
  </pivotFields>
  <rowFields count="2">
    <field x="29"/>
    <field x="30"/>
  </rowFields>
  <rowItems count="31">
    <i>
      <x/>
      <x v="3"/>
    </i>
    <i>
      <x v="1"/>
      <x v="3"/>
    </i>
    <i>
      <x v="2"/>
      <x v="1"/>
    </i>
    <i>
      <x v="3"/>
      <x v="1"/>
    </i>
    <i r="1">
      <x v="3"/>
    </i>
    <i>
      <x v="4"/>
      <x v="1"/>
    </i>
    <i r="1">
      <x v="2"/>
    </i>
    <i r="1">
      <x v="3"/>
    </i>
    <i>
      <x v="5"/>
      <x v="1"/>
    </i>
    <i r="1">
      <x v="3"/>
    </i>
    <i r="1">
      <x v="4"/>
    </i>
    <i>
      <x v="6"/>
      <x v="1"/>
    </i>
    <i r="1">
      <x v="2"/>
    </i>
    <i r="1">
      <x v="3"/>
    </i>
    <i r="1">
      <x v="4"/>
    </i>
    <i>
      <x v="7"/>
      <x v="2"/>
    </i>
    <i r="1">
      <x v="3"/>
    </i>
    <i r="1">
      <x v="4"/>
    </i>
    <i>
      <x v="8"/>
      <x v="1"/>
    </i>
    <i r="1">
      <x v="4"/>
    </i>
    <i>
      <x v="9"/>
      <x v="2"/>
    </i>
    <i r="1">
      <x v="3"/>
    </i>
    <i>
      <x v="10"/>
      <x v="2"/>
    </i>
    <i r="1">
      <x v="4"/>
    </i>
    <i>
      <x v="11"/>
      <x v="2"/>
    </i>
    <i r="1">
      <x v="4"/>
    </i>
    <i>
      <x v="12"/>
      <x v="2"/>
    </i>
    <i r="1">
      <x v="4"/>
    </i>
    <i>
      <x v="13"/>
      <x v="2"/>
    </i>
    <i>
      <x v="14"/>
      <x v="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0000000}" name="TablaDinámica1" cacheId="113" applyNumberFormats="0" applyBorderFormats="0" applyFontFormats="0" applyPatternFormats="0" applyAlignmentFormats="0" applyWidthHeightFormats="1" dataCaption="Valores" updatedVersion="8" minRefreshableVersion="3" showDrill="0" useAutoFormatting="1" rowGrandTotals="0" colGrandTotals="0" itemPrintTitles="1" mergeItem="1" createdVersion="6" indent="0" compact="0" compactData="0" multipleFieldFilters="0">
  <location ref="B7:P99" firstHeaderRow="0" firstDataRow="1" firstDataCol="3"/>
  <pivotFields count="138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93">
        <item m="1" x="116"/>
        <item m="1" x="984"/>
        <item m="1" x="1111"/>
        <item m="1" x="404"/>
        <item m="1" x="1270"/>
        <item m="1" x="275"/>
        <item m="1" x="1279"/>
        <item m="1" x="122"/>
        <item m="1" x="877"/>
        <item m="1" x="1183"/>
        <item m="1" x="779"/>
        <item m="1" x="596"/>
        <item m="1" x="200"/>
        <item m="1" x="1125"/>
        <item m="1" x="179"/>
        <item m="1" x="102"/>
        <item m="1" x="591"/>
        <item m="1" x="1235"/>
        <item m="1" x="366"/>
        <item m="1" x="837"/>
        <item m="1" x="723"/>
        <item m="1" x="423"/>
        <item m="1" x="635"/>
        <item m="1" x="270"/>
        <item m="1" x="551"/>
        <item m="1" x="1083"/>
        <item m="1" x="400"/>
        <item m="1" x="780"/>
        <item m="1" x="1128"/>
        <item m="1" x="1040"/>
        <item m="1" x="203"/>
        <item m="1" x="846"/>
        <item m="1" x="1131"/>
        <item m="1" x="751"/>
        <item m="1" x="681"/>
        <item m="1" x="743"/>
        <item m="1" x="867"/>
        <item m="1" x="845"/>
        <item m="1" x="1222"/>
        <item m="1" x="766"/>
        <item m="1" x="706"/>
        <item m="1" x="945"/>
        <item m="1" x="628"/>
        <item m="1" x="575"/>
        <item m="1" x="1141"/>
        <item m="1" x="662"/>
        <item m="1" x="370"/>
        <item m="1" x="818"/>
        <item m="1" x="124"/>
        <item m="1" x="545"/>
        <item m="1" x="912"/>
        <item m="1" x="849"/>
        <item m="1" x="616"/>
        <item m="1" x="950"/>
        <item m="1" x="1096"/>
        <item m="1" x="354"/>
        <item m="1" x="994"/>
        <item m="1" x="749"/>
        <item m="1" x="913"/>
        <item m="1" x="525"/>
        <item m="1" x="175"/>
        <item m="1" x="528"/>
        <item m="1" x="511"/>
        <item m="1" x="713"/>
        <item m="1" x="1058"/>
        <item m="1" x="959"/>
        <item m="1" x="240"/>
        <item m="1" x="1247"/>
        <item m="1" x="269"/>
        <item m="1" x="752"/>
        <item m="1" x="765"/>
        <item m="1" x="639"/>
        <item m="1" x="351"/>
        <item m="1" x="406"/>
        <item m="1" x="890"/>
        <item m="1" x="524"/>
        <item m="1" x="1140"/>
        <item m="1" x="424"/>
        <item m="1" x="629"/>
        <item m="1" x="1065"/>
        <item m="1" x="615"/>
        <item m="1" x="1041"/>
        <item m="1" x="481"/>
        <item m="1" x="1047"/>
        <item m="1" x="264"/>
        <item m="1" x="683"/>
        <item m="1" x="1122"/>
        <item m="1" x="502"/>
        <item m="1" x="844"/>
        <item m="1" x="236"/>
        <item m="1" x="310"/>
        <item m="1" x="661"/>
        <item m="1" x="196"/>
        <item m="1" x="996"/>
        <item m="1" x="1012"/>
        <item m="1" x="720"/>
        <item m="1" x="1211"/>
        <item m="1" x="1192"/>
        <item m="1" x="298"/>
        <item m="1" x="139"/>
        <item m="1" x="569"/>
        <item m="1" x="167"/>
        <item m="1" x="834"/>
        <item m="1" x="960"/>
        <item m="1" x="797"/>
        <item m="1" x="903"/>
        <item m="1" x="223"/>
        <item m="1" x="197"/>
        <item m="1" x="405"/>
        <item m="1" x="735"/>
        <item m="1" x="194"/>
        <item m="1" x="514"/>
        <item m="1" x="92"/>
        <item m="1" x="930"/>
        <item m="1" x="160"/>
        <item m="1" x="188"/>
        <item m="1" x="871"/>
        <item m="1" x="641"/>
        <item m="1" x="1034"/>
        <item m="1" x="678"/>
        <item m="1" x="935"/>
        <item m="1" x="597"/>
        <item m="1" x="1053"/>
        <item m="1" x="827"/>
        <item m="1" x="655"/>
        <item m="1" x="714"/>
        <item m="1" x="1224"/>
        <item m="1" x="942"/>
        <item m="1" x="430"/>
        <item m="1" x="180"/>
        <item m="1" x="667"/>
        <item m="1" x="1130"/>
        <item m="1" x="221"/>
        <item m="1" x="550"/>
        <item m="1" x="309"/>
        <item m="1" x="660"/>
        <item m="1" x="981"/>
        <item m="1" x="1091"/>
        <item m="1" x="1182"/>
        <item m="1" x="826"/>
        <item m="1" x="429"/>
        <item m="1" x="910"/>
        <item m="1" x="636"/>
        <item m="1" x="626"/>
        <item m="1" x="452"/>
        <item m="1" x="856"/>
        <item m="1" x="408"/>
        <item m="1" x="390"/>
        <item m="1" x="1275"/>
        <item m="1" x="243"/>
        <item m="1" x="711"/>
        <item m="1" x="1203"/>
        <item m="1" x="320"/>
        <item m="1" x="647"/>
        <item m="1" x="120"/>
        <item m="1" x="111"/>
        <item m="1" x="375"/>
        <item m="1" x="893"/>
        <item m="1" x="169"/>
        <item m="1" x="1263"/>
        <item m="1" x="1030"/>
        <item m="1" x="622"/>
        <item m="1" x="787"/>
        <item m="1" x="1208"/>
        <item m="1" x="291"/>
        <item m="1" x="1257"/>
        <item m="1" x="303"/>
        <item m="1" x="880"/>
        <item m="1" x="939"/>
        <item m="1" x="372"/>
        <item m="1" x="544"/>
        <item m="1" x="234"/>
        <item m="1" x="686"/>
        <item m="1" x="951"/>
        <item m="1" x="543"/>
        <item m="1" x="972"/>
        <item m="1" x="565"/>
        <item m="1" x="83"/>
        <item m="1" x="600"/>
        <item m="1" x="519"/>
        <item m="1" x="739"/>
        <item m="1" x="473"/>
        <item m="1" x="649"/>
        <item m="1" x="1059"/>
        <item m="1" x="861"/>
        <item m="1" x="343"/>
        <item m="1" x="542"/>
        <item m="1" x="750"/>
        <item x="73"/>
        <item m="1" x="946"/>
        <item m="1" x="131"/>
        <item m="1" x="206"/>
        <item m="1" x="359"/>
        <item m="1" x="718"/>
        <item m="1" x="1288"/>
        <item m="1" x="1109"/>
        <item m="1" x="1080"/>
        <item m="1" x="1285"/>
        <item m="1" x="1238"/>
        <item m="1" x="327"/>
        <item m="1" x="791"/>
        <item m="1" x="1082"/>
        <item m="1" x="457"/>
        <item m="1" x="895"/>
        <item m="1" x="564"/>
        <item m="1" x="1000"/>
        <item m="1" x="1147"/>
        <item x="72"/>
        <item m="1" x="703"/>
        <item m="1" x="1234"/>
        <item m="1" x="1171"/>
        <item m="1" x="966"/>
        <item m="1" x="1170"/>
        <item m="1" x="536"/>
        <item m="1" x="96"/>
        <item m="1" x="235"/>
        <item m="1" x="875"/>
        <item m="1" x="777"/>
        <item m="1" x="923"/>
        <item m="1" x="614"/>
        <item m="1" x="952"/>
        <item m="1" x="971"/>
        <item m="1" x="1277"/>
        <item m="1" x="503"/>
        <item m="1" x="386"/>
        <item m="1" x="610"/>
        <item m="1" x="1218"/>
        <item m="1" x="93"/>
        <item m="1" x="1209"/>
        <item m="1" x="108"/>
        <item m="1" x="821"/>
        <item m="1" x="580"/>
        <item m="1" x="584"/>
        <item m="1" x="921"/>
        <item m="1" x="282"/>
        <item m="1" x="365"/>
        <item m="1" x="892"/>
        <item m="1" x="216"/>
        <item m="1" x="784"/>
        <item m="1" x="876"/>
        <item m="1" x="1009"/>
        <item m="1" x="943"/>
        <item m="1" x="978"/>
        <item m="1" x="358"/>
        <item m="1" x="645"/>
        <item m="1" x="1117"/>
        <item m="1" x="267"/>
        <item m="1" x="98"/>
        <item m="1" x="88"/>
        <item m="1" x="254"/>
        <item m="1" x="906"/>
        <item m="1" x="486"/>
        <item m="1" x="1204"/>
        <item m="1" x="1036"/>
        <item m="1" x="441"/>
        <item m="1" x="494"/>
        <item m="1" x="453"/>
        <item m="1" x="1014"/>
        <item m="1" x="840"/>
        <item m="1" x="294"/>
        <item m="1" x="809"/>
        <item m="1" x="586"/>
        <item m="1" x="1071"/>
        <item m="1" x="278"/>
        <item m="1" x="328"/>
        <item m="1" x="313"/>
        <item m="1" x="926"/>
        <item m="1" x="376"/>
        <item m="1" x="395"/>
        <item m="1" x="245"/>
        <item m="1" x="118"/>
        <item m="1" x="963"/>
        <item m="1" x="333"/>
        <item x="50"/>
        <item m="1" x="587"/>
        <item m="1" x="248"/>
        <item m="1" x="982"/>
        <item m="1" x="756"/>
        <item m="1" x="908"/>
        <item m="1" x="806"/>
        <item m="1" x="728"/>
        <item m="1" x="919"/>
        <item m="1" x="803"/>
        <item m="1" x="1212"/>
        <item m="1" x="432"/>
        <item m="1" x="271"/>
        <item m="1" x="956"/>
        <item m="1" x="467"/>
        <item m="1" x="606"/>
        <item m="1" x="1025"/>
        <item m="1" x="402"/>
        <item m="1" x="247"/>
        <item m="1" x="288"/>
        <item m="1" x="664"/>
        <item m="1" x="769"/>
        <item m="1" x="975"/>
        <item m="1" x="1015"/>
        <item m="1" x="94"/>
        <item m="1" x="1110"/>
        <item m="1" x="924"/>
        <item m="1" x="156"/>
        <item m="1" x="744"/>
        <item m="1" x="652"/>
        <item m="1" x="1114"/>
        <item m="1" x="209"/>
        <item m="1" x="204"/>
        <item m="1" x="133"/>
        <item m="1" x="1197"/>
        <item m="1" x="361"/>
        <item m="1" x="186"/>
        <item x="47"/>
        <item m="1" x="241"/>
        <item m="1" x="1151"/>
        <item m="1" x="1233"/>
        <item m="1" x="533"/>
        <item m="1" x="504"/>
        <item m="1" x="1018"/>
        <item m="1" x="1217"/>
        <item x="45"/>
        <item m="1" x="1226"/>
        <item m="1" x="477"/>
        <item m="1" x="183"/>
        <item m="1" x="1107"/>
        <item m="1" x="506"/>
        <item m="1" x="522"/>
        <item m="1" x="879"/>
        <item m="1" x="1281"/>
        <item m="1" x="700"/>
        <item m="1" x="100"/>
        <item m="1" x="1227"/>
        <item m="1" x="515"/>
        <item m="1" x="1175"/>
        <item m="1" x="228"/>
        <item m="1" x="1136"/>
        <item m="1" x="480"/>
        <item m="1" x="887"/>
        <item m="1" x="202"/>
        <item m="1" x="356"/>
        <item m="1" x="1072"/>
        <item m="1" x="767"/>
        <item m="1" x="820"/>
        <item x="21"/>
        <item m="1" x="872"/>
        <item m="1" x="99"/>
        <item m="1" x="646"/>
        <item m="1" x="969"/>
        <item m="1" x="148"/>
        <item m="1" x="239"/>
        <item m="1" x="563"/>
        <item m="1" x="857"/>
        <item m="1" x="764"/>
        <item m="1" x="380"/>
        <item m="1" x="1138"/>
        <item m="1" x="487"/>
        <item m="1" x="974"/>
        <item m="1" x="407"/>
        <item m="1" x="808"/>
        <item m="1" x="461"/>
        <item m="1" x="992"/>
        <item m="1" x="523"/>
        <item m="1" x="401"/>
        <item m="1" x="1200"/>
        <item m="1" x="1243"/>
        <item m="1" x="899"/>
        <item x="29"/>
        <item m="1" x="458"/>
        <item m="1" x="438"/>
        <item m="1" x="1048"/>
        <item m="1" x="1272"/>
        <item m="1" x="459"/>
        <item m="1" x="1068"/>
        <item m="1" x="1137"/>
        <item m="1" x="1145"/>
        <item m="1" x="378"/>
        <item m="1" x="460"/>
        <item m="1" x="754"/>
        <item m="1" x="181"/>
        <item m="1" x="411"/>
        <item m="1" x="620"/>
        <item m="1" x="321"/>
        <item m="1" x="1002"/>
        <item m="1" x="781"/>
        <item m="1" x="944"/>
        <item m="1" x="722"/>
        <item m="1" x="388"/>
        <item m="1" x="1253"/>
        <item m="1" x="393"/>
        <item m="1" x="1067"/>
        <item m="1" x="733"/>
        <item m="1" x="1156"/>
        <item m="1" x="862"/>
        <item m="1" x="995"/>
        <item m="1" x="1289"/>
        <item m="1" x="734"/>
        <item m="1" x="297"/>
        <item m="1" x="716"/>
        <item m="1" x="112"/>
        <item m="1" x="1124"/>
        <item m="1" x="1260"/>
        <item m="1" x="560"/>
        <item m="1" x="381"/>
        <item m="1" x="757"/>
        <item m="1" x="251"/>
        <item m="1" x="1056"/>
        <item m="1" x="1229"/>
        <item m="1" x="128"/>
        <item m="1" x="238"/>
        <item m="1" x="555"/>
        <item m="1" x="1199"/>
        <item m="1" x="948"/>
        <item m="1" x="193"/>
        <item m="1" x="1273"/>
        <item m="1" x="1092"/>
        <item m="1" x="1150"/>
        <item m="1" x="1029"/>
        <item m="1" x="349"/>
        <item m="1" x="1157"/>
        <item m="1" x="822"/>
        <item m="1" x="745"/>
        <item m="1" x="478"/>
        <item m="1" x="1021"/>
        <item m="1" x="322"/>
        <item m="1" x="731"/>
        <item m="1" x="1202"/>
        <item m="1" x="363"/>
        <item m="1" x="773"/>
        <item m="1" x="416"/>
        <item m="1" x="1163"/>
        <item m="1" x="296"/>
        <item m="1" x="938"/>
        <item m="1" x="185"/>
        <item m="1" x="755"/>
        <item m="1" x="318"/>
        <item m="1" x="782"/>
        <item m="1" x="253"/>
        <item m="1" x="440"/>
        <item m="1" x="1076"/>
        <item m="1" x="492"/>
        <item m="1" x="904"/>
        <item m="1" x="613"/>
        <item m="1" x="759"/>
        <item m="1" x="1066"/>
        <item m="1" x="350"/>
        <item m="1" x="1099"/>
        <item m="1" x="266"/>
        <item m="1" x="680"/>
        <item m="1" x="695"/>
        <item m="1" x="670"/>
        <item x="12"/>
        <item m="1" x="881"/>
        <item m="1" x="804"/>
        <item m="1" x="1220"/>
        <item m="1" x="922"/>
        <item m="1" x="598"/>
        <item m="1" x="594"/>
        <item m="1" x="1086"/>
        <item m="1" x="1013"/>
        <item m="1" x="1094"/>
        <item m="1" x="979"/>
        <item m="1" x="707"/>
        <item m="1" x="468"/>
        <item m="1" x="936"/>
        <item m="1" x="962"/>
        <item m="1" x="1039"/>
        <item m="1" x="250"/>
        <item m="1" x="675"/>
        <item m="1" x="1031"/>
        <item m="1" x="335"/>
        <item m="1" x="212"/>
        <item m="1" x="748"/>
        <item m="1" x="281"/>
        <item m="1" x="199"/>
        <item m="1" x="967"/>
        <item m="1" x="604"/>
        <item m="1" x="539"/>
        <item m="1" x="231"/>
        <item m="1" x="839"/>
        <item m="1" x="1112"/>
        <item m="1" x="213"/>
        <item m="1" x="418"/>
        <item m="1" x="410"/>
        <item m="1" x="428"/>
        <item m="1" x="828"/>
        <item m="1" x="451"/>
        <item m="1" x="532"/>
        <item m="1" x="567"/>
        <item m="1" x="762"/>
        <item m="1" x="1264"/>
        <item m="1" x="976"/>
        <item m="1" x="677"/>
        <item m="1" x="1180"/>
        <item m="1" x="987"/>
        <item m="1" x="177"/>
        <item m="1" x="558"/>
        <item m="1" x="585"/>
        <item m="1" x="191"/>
        <item m="1" x="1116"/>
        <item m="1" x="852"/>
        <item m="1" x="854"/>
        <item m="1" x="364"/>
        <item m="1" x="1174"/>
        <item m="1" x="771"/>
        <item m="1" x="1259"/>
        <item m="1" x="520"/>
        <item m="1" x="847"/>
        <item m="1" x="442"/>
        <item m="1" x="483"/>
        <item m="1" x="838"/>
        <item m="1" x="841"/>
        <item m="1" x="491"/>
        <item m="1" x="119"/>
        <item m="1" x="482"/>
        <item m="1" x="447"/>
        <item m="1" x="1070"/>
        <item m="1" x="1090"/>
        <item m="1" x="1265"/>
        <item m="1" x="819"/>
        <item m="1" x="87"/>
        <item m="1" x="574"/>
        <item m="1" x="285"/>
        <item m="1" x="422"/>
        <item m="1" x="176"/>
        <item m="1" x="465"/>
        <item m="1" x="592"/>
        <item m="1" x="961"/>
        <item m="1" x="163"/>
        <item m="1" x="830"/>
        <item m="1" x="1005"/>
        <item m="1" x="666"/>
        <item m="1" x="851"/>
        <item m="1" x="798"/>
        <item m="1" x="669"/>
        <item m="1" x="476"/>
        <item m="1" x="86"/>
        <item m="1" x="1126"/>
        <item m="1" x="229"/>
        <item m="1" x="495"/>
        <item m="1" x="300"/>
        <item m="1" x="889"/>
        <item m="1" x="1102"/>
        <item m="1" x="142"/>
        <item m="1" x="621"/>
        <item m="1" x="178"/>
        <item m="1" x="109"/>
        <item m="1" x="500"/>
        <item m="1" x="795"/>
        <item m="1" x="1050"/>
        <item m="1" x="1127"/>
        <item m="1" x="490"/>
        <item m="1" x="657"/>
        <item m="1" x="934"/>
        <item m="1" x="633"/>
        <item m="1" x="1169"/>
        <item m="1" x="537"/>
        <item m="1" x="259"/>
        <item m="1" x="865"/>
        <item m="1" x="136"/>
        <item m="1" x="682"/>
        <item m="1" x="1097"/>
        <item m="1" x="712"/>
        <item m="1" x="878"/>
        <item m="1" x="688"/>
        <item m="1" x="1134"/>
        <item m="1" x="1079"/>
        <item m="1" x="985"/>
        <item m="1" x="1168"/>
        <item m="1" x="605"/>
        <item m="1" x="1017"/>
        <item m="1" x="107"/>
        <item m="1" x="137"/>
        <item m="1" x="389"/>
        <item m="1" x="117"/>
        <item m="1" x="1178"/>
        <item m="1" x="729"/>
        <item m="1" x="1042"/>
        <item m="1" x="631"/>
        <item m="1" x="1161"/>
        <item m="1" x="1158"/>
        <item m="1" x="379"/>
        <item m="1" x="1206"/>
        <item m="1" x="499"/>
        <item m="1" x="455"/>
        <item m="1" x="1120"/>
        <item m="1" x="226"/>
        <item m="1" x="207"/>
        <item m="1" x="1019"/>
        <item m="1" x="988"/>
        <item m="1" x="277"/>
        <item m="1" x="427"/>
        <item m="1" x="1240"/>
        <item m="1" x="1261"/>
        <item m="1" x="886"/>
        <item m="1" x="1093"/>
        <item m="1" x="836"/>
        <item m="1" x="330"/>
        <item m="1" x="1198"/>
        <item m="1" x="776"/>
        <item m="1" x="531"/>
        <item m="1" x="396"/>
        <item m="1" x="1105"/>
        <item m="1" x="590"/>
        <item m="1" x="249"/>
        <item m="1" x="1153"/>
        <item m="1" x="650"/>
        <item m="1" x="1060"/>
        <item m="1" x="702"/>
        <item m="1" x="214"/>
        <item m="1" x="848"/>
        <item m="1" x="397"/>
        <item m="1" x="201"/>
        <item m="1" x="286"/>
        <item m="1" x="509"/>
        <item m="1" x="746"/>
        <item m="1" x="518"/>
        <item m="1" x="101"/>
        <item m="1" x="730"/>
        <item m="1" x="576"/>
        <item m="1" x="353"/>
        <item m="1" x="232"/>
        <item m="1" x="1139"/>
        <item m="1" x="816"/>
        <item m="1" x="346"/>
        <item m="1" x="507"/>
        <item m="1" x="150"/>
        <item m="1" x="345"/>
        <item m="1" x="113"/>
        <item m="1" x="740"/>
        <item m="1" x="671"/>
        <item m="1" x="344"/>
        <item m="1" x="165"/>
        <item m="1" x="114"/>
        <item m="1" x="676"/>
        <item m="1" x="469"/>
        <item m="1" x="283"/>
        <item m="1" x="115"/>
        <item m="1" x="125"/>
        <item m="1" x="126"/>
        <item m="1" x="470"/>
        <item m="1" x="883"/>
        <item m="1" x="697"/>
        <item m="1" x="301"/>
        <item m="1" x="527"/>
        <item m="1" x="609"/>
        <item m="1" x="547"/>
        <item m="1" x="1268"/>
        <item m="1" x="292"/>
        <item m="1" x="1046"/>
        <item m="1" x="684"/>
        <item m="1" x="384"/>
        <item m="1" x="1282"/>
        <item m="1" x="986"/>
        <item m="1" x="84"/>
        <item m="1" x="488"/>
        <item m="1" x="145"/>
        <item m="1" x="394"/>
        <item m="1" x="611"/>
        <item m="1" x="736"/>
        <item m="1" x="1219"/>
        <item m="1" x="579"/>
        <item m="1" x="1073"/>
        <item m="1" x="1119"/>
        <item m="1" x="311"/>
        <item m="1" x="997"/>
        <item m="1" x="685"/>
        <item m="1" x="1242"/>
        <item m="1" x="701"/>
        <item m="1" x="1239"/>
        <item m="1" x="512"/>
        <item m="1" x="726"/>
        <item m="1" x="153"/>
        <item m="1" x="572"/>
        <item m="1" x="485"/>
        <item m="1" x="998"/>
        <item m="1" x="673"/>
        <item m="1" x="1230"/>
        <item m="1" x="811"/>
        <item x="80"/>
        <item m="1" x="553"/>
        <item m="1" x="184"/>
        <item m="1" x="444"/>
        <item m="1" x="489"/>
        <item m="1" x="1249"/>
        <item m="1" x="1215"/>
        <item x="79"/>
        <item m="1" x="293"/>
        <item m="1" x="97"/>
        <item m="1" x="593"/>
        <item m="1" x="833"/>
        <item m="1" x="1188"/>
        <item m="1" x="1146"/>
        <item m="1" x="690"/>
        <item m="1" x="446"/>
        <item m="1" x="219"/>
        <item m="1" x="888"/>
        <item m="1" x="1216"/>
        <item m="1" x="624"/>
        <item m="1" x="276"/>
        <item m="1" x="1089"/>
        <item m="1" x="1186"/>
        <item m="1" x="371"/>
        <item m="1" x="399"/>
        <item m="1" x="823"/>
        <item m="1" x="554"/>
        <item m="1" x="1006"/>
        <item m="1" x="928"/>
        <item m="1" x="717"/>
        <item m="1" x="123"/>
        <item m="1" x="339"/>
        <item m="1" x="842"/>
        <item m="1" x="530"/>
        <item m="1" x="1291"/>
        <item m="1" x="257"/>
        <item m="1" x="601"/>
        <item m="1" x="341"/>
        <item m="1" x="474"/>
        <item m="1" x="815"/>
        <item m="1" x="383"/>
        <item m="1" x="947"/>
        <item m="1" x="1237"/>
        <item m="1" x="1051"/>
        <item m="1" x="858"/>
        <item m="1" x="357"/>
        <item m="1" x="1007"/>
        <item m="1" x="342"/>
        <item m="1" x="1108"/>
        <item m="1" x="775"/>
        <item m="1" x="917"/>
        <item m="1" x="1271"/>
        <item m="1" x="121"/>
        <item m="1" x="864"/>
        <item m="1" x="1057"/>
        <item m="1" x="891"/>
        <item m="1" x="242"/>
        <item m="1" x="983"/>
        <item m="1" x="941"/>
        <item m="1" x="1267"/>
        <item m="1" x="448"/>
        <item m="1" x="307"/>
        <item m="1" x="456"/>
        <item m="1" x="768"/>
        <item m="1" x="155"/>
        <item m="1" x="1043"/>
        <item m="1" x="831"/>
        <item m="1" x="1274"/>
        <item m="1" x="225"/>
        <item m="1" x="668"/>
        <item m="1" x="287"/>
        <item m="1" x="920"/>
        <item m="1" x="618"/>
        <item m="1" x="535"/>
        <item m="1" x="1196"/>
        <item m="1" x="496"/>
        <item m="1" x="1228"/>
        <item m="1" x="991"/>
        <item m="1" x="990"/>
        <item m="1" x="466"/>
        <item m="1" x="1207"/>
        <item m="1" x="1077"/>
        <item m="1" x="1154"/>
        <item m="1" x="873"/>
        <item m="1" x="103"/>
        <item m="1" x="373"/>
        <item m="1" x="643"/>
        <item m="1" x="1262"/>
        <item m="1" x="658"/>
        <item m="1" x="513"/>
        <item m="1" x="1052"/>
        <item m="1" x="246"/>
        <item m="1" x="637"/>
        <item m="1" x="415"/>
        <item m="1" x="463"/>
        <item m="1" x="805"/>
        <item m="1" x="1221"/>
        <item m="1" x="760"/>
        <item m="1" x="1190"/>
        <item m="1" x="529"/>
        <item m="1" x="316"/>
        <item m="1" x="964"/>
        <item m="1" x="1165"/>
        <item m="1" x="325"/>
        <item m="1" x="1084"/>
        <item m="1" x="391"/>
        <item m="1" x="192"/>
        <item m="1" x="224"/>
        <item m="1" x="783"/>
        <item m="1" x="437"/>
        <item m="1" x="659"/>
        <item m="1" x="1223"/>
        <item m="1" x="256"/>
        <item m="1" x="1035"/>
        <item m="1" x="252"/>
        <item m="1" x="1185"/>
        <item m="1" x="1001"/>
        <item m="1" x="302"/>
        <item m="1" x="954"/>
        <item m="1" x="144"/>
        <item m="1" x="792"/>
        <item m="1" x="362"/>
        <item m="1" x="1250"/>
        <item m="1" x="603"/>
        <item m="1" x="508"/>
        <item m="1" x="337"/>
        <item m="1" x="154"/>
        <item m="1" x="392"/>
        <item m="1" x="790"/>
        <item m="1" x="855"/>
        <item m="1" x="159"/>
        <item m="1" x="602"/>
        <item m="1" x="419"/>
        <item m="1" x="1063"/>
        <item m="1" x="562"/>
        <item m="1" x="810"/>
        <item m="1" x="382"/>
        <item m="1" x="187"/>
        <item m="1" x="170"/>
        <item m="1" x="258"/>
        <item m="1" x="1236"/>
        <item m="1" x="435"/>
        <item m="1" x="916"/>
        <item m="1" x="1252"/>
        <item m="1" x="747"/>
        <item m="1" x="812"/>
        <item m="1" x="980"/>
        <item m="1" x="454"/>
        <item m="1" x="1144"/>
        <item m="1" x="955"/>
        <item m="1" x="273"/>
        <item m="1" x="1132"/>
        <item m="1" x="663"/>
        <item m="1" x="324"/>
        <item m="1" x="1022"/>
        <item m="1" x="549"/>
        <item m="1" x="909"/>
        <item m="1" x="949"/>
        <item m="1" x="843"/>
        <item m="1" x="334"/>
        <item m="1" x="1225"/>
        <item m="1" x="526"/>
        <item m="1" x="866"/>
        <item m="1" x="725"/>
        <item m="1" x="426"/>
        <item m="1" x="95"/>
        <item m="1" x="534"/>
        <item m="1" x="1283"/>
        <item m="1" x="129"/>
        <item m="1" x="1189"/>
        <item m="1" x="168"/>
        <item m="1" x="218"/>
        <item m="1" x="817"/>
        <item m="1" x="869"/>
        <item m="1" x="336"/>
        <item m="1" x="1193"/>
        <item m="1" x="230"/>
        <item m="1" x="449"/>
        <item m="1" x="1184"/>
        <item m="1" x="1095"/>
        <item m="1" x="896"/>
        <item m="1" x="1101"/>
        <item m="1" x="1028"/>
        <item m="1" x="182"/>
        <item m="1" x="788"/>
        <item m="1" x="210"/>
        <item m="1" x="901"/>
        <item m="1" x="143"/>
        <item m="1" x="1027"/>
        <item m="1" x="552"/>
        <item x="44"/>
        <item m="1" x="409"/>
        <item m="1" x="999"/>
        <item m="1" x="295"/>
        <item m="1" x="91"/>
        <item m="1" x="498"/>
        <item m="1" x="541"/>
        <item m="1" x="763"/>
        <item m="1" x="1266"/>
        <item m="1" x="355"/>
        <item m="1" x="369"/>
        <item m="1" x="727"/>
        <item m="1" x="648"/>
        <item m="1" x="993"/>
        <item m="1" x="1003"/>
        <item m="1" x="173"/>
        <item m="1" x="1023"/>
        <item m="1" x="413"/>
        <item m="1" x="931"/>
        <item m="1" x="709"/>
        <item m="1" x="897"/>
        <item m="1" x="1010"/>
        <item m="1" x="914"/>
        <item m="1" x="1104"/>
        <item m="1" x="149"/>
        <item m="1" x="398"/>
        <item m="1" x="1232"/>
        <item m="1" x="244"/>
        <item m="1" x="284"/>
        <item m="1" x="933"/>
        <item m="1" x="710"/>
        <item m="1" x="612"/>
        <item m="1" x="290"/>
        <item m="1" x="608"/>
        <item m="1" x="1194"/>
        <item m="1" x="874"/>
        <item m="1" x="599"/>
        <item m="1" x="174"/>
        <item m="1" x="894"/>
        <item m="1" x="742"/>
        <item m="1" x="412"/>
        <item m="1" x="581"/>
        <item m="1" x="517"/>
        <item m="1" x="957"/>
        <item m="1" x="1085"/>
        <item m="1" x="227"/>
        <item m="1" x="1278"/>
        <item m="1" x="1160"/>
        <item m="1" x="274"/>
        <item m="1" x="403"/>
        <item m="1" x="147"/>
        <item m="1" x="1210"/>
        <item m="1" x="800"/>
        <item m="1" x="689"/>
        <item m="1" x="146"/>
        <item m="1" x="634"/>
        <item m="1" x="260"/>
        <item m="1" x="860"/>
        <item m="1" x="1020"/>
        <item m="1" x="1148"/>
        <item m="1" x="674"/>
        <item m="1" x="814"/>
        <item m="1" x="1074"/>
        <item m="1" x="696"/>
        <item m="1" x="794"/>
        <item m="1" x="479"/>
        <item m="1" x="813"/>
        <item m="1" x="1284"/>
        <item m="1" x="272"/>
        <item m="1" x="691"/>
        <item m="1" x="732"/>
        <item m="1" x="568"/>
        <item m="1" x="1172"/>
        <item m="1" x="1129"/>
        <item m="1" x="692"/>
        <item m="1" x="189"/>
        <item x="28"/>
        <item m="1" x="1038"/>
        <item m="1" x="85"/>
        <item m="1" x="138"/>
        <item m="1" x="546"/>
        <item m="1" x="940"/>
        <item m="1" x="323"/>
        <item m="1" x="638"/>
        <item m="1" x="1167"/>
        <item m="1" x="308"/>
        <item m="1" x="233"/>
        <item m="1" x="557"/>
        <item m="1" x="665"/>
        <item m="1" x="331"/>
        <item m="1" x="110"/>
        <item m="1" x="1245"/>
        <item m="1" x="770"/>
        <item m="1" x="1037"/>
        <item m="1" x="420"/>
        <item m="1" x="352"/>
        <item m="1" x="918"/>
        <item m="1" x="261"/>
        <item m="1" x="1024"/>
        <item m="1" x="220"/>
        <item x="16"/>
        <item m="1" x="1098"/>
        <item m="1" x="786"/>
        <item m="1" x="577"/>
        <item m="1" x="433"/>
        <item m="1" x="1026"/>
        <item m="1" x="1205"/>
        <item m="1" x="1135"/>
        <item m="1" x="268"/>
        <item m="1" x="570"/>
        <item m="1" x="374"/>
        <item m="1" x="853"/>
        <item m="1" x="1054"/>
        <item m="1" x="583"/>
        <item m="1" x="471"/>
        <item m="1" x="778"/>
        <item m="1" x="1044"/>
        <item m="1" x="859"/>
        <item m="1" x="152"/>
        <item m="1" x="484"/>
        <item m="1" x="1033"/>
        <item m="1" x="699"/>
        <item m="1" x="870"/>
        <item m="1" x="802"/>
        <item m="1" x="1064"/>
        <item m="1" x="280"/>
        <item m="1" x="589"/>
        <item m="1" x="164"/>
        <item m="1" x="1008"/>
        <item m="1" x="679"/>
        <item m="1" x="761"/>
        <item m="1" x="462"/>
        <item m="1" x="561"/>
        <item m="1" x="1113"/>
        <item m="1" x="195"/>
        <item m="1" x="929"/>
        <item m="1" x="1187"/>
        <item m="1" x="925"/>
        <item m="1" x="1276"/>
        <item m="1" x="1269"/>
        <item m="1" x="1081"/>
        <item m="1" x="1255"/>
        <item m="1" x="687"/>
        <item m="1" x="799"/>
        <item m="1" x="868"/>
        <item m="1" x="510"/>
        <item m="1" x="708"/>
        <item m="1" x="493"/>
        <item m="1" x="900"/>
        <item m="1" x="1055"/>
        <item m="1" x="1062"/>
        <item m="1" x="1045"/>
        <item m="1" x="1213"/>
        <item m="1" x="721"/>
        <item m="1" x="360"/>
        <item m="1" x="1149"/>
        <item m="1" x="705"/>
        <item m="1" x="434"/>
        <item m="1" x="304"/>
        <item m="1" x="863"/>
        <item m="1" x="927"/>
        <item m="1" x="368"/>
        <item m="1" x="472"/>
        <item m="1" x="724"/>
        <item m="1" x="263"/>
        <item m="1" x="262"/>
        <item m="1" x="644"/>
        <item m="1" x="1088"/>
        <item m="1" x="279"/>
        <item m="1" x="989"/>
        <item m="1" x="656"/>
        <item m="1" x="538"/>
        <item x="24"/>
        <item m="1" x="1201"/>
        <item m="1" x="627"/>
        <item m="1" x="559"/>
        <item m="1" x="623"/>
        <item m="1" x="436"/>
        <item m="1" x="1292"/>
        <item m="1" x="385"/>
        <item m="1" x="127"/>
        <item m="1" x="1115"/>
        <item m="1" x="829"/>
        <item m="1" x="772"/>
        <item m="1" x="617"/>
        <item m="1" x="850"/>
        <item m="1" x="607"/>
        <item m="1" x="1164"/>
        <item m="1" x="640"/>
        <item m="1" x="317"/>
        <item m="1" x="595"/>
        <item m="1" x="630"/>
        <item m="1" x="89"/>
        <item m="1" x="1159"/>
        <item m="1" x="497"/>
        <item m="1" x="1241"/>
        <item m="1" x="265"/>
        <item m="1" x="141"/>
        <item m="1" x="915"/>
        <item m="1" x="1142"/>
        <item m="1" x="973"/>
        <item m="1" x="1061"/>
        <item m="1" x="654"/>
        <item m="1" x="130"/>
        <item m="1" x="642"/>
        <item m="1" x="932"/>
        <item m="1" x="825"/>
        <item m="1" x="1176"/>
        <item m="1" x="140"/>
        <item m="1" x="885"/>
        <item m="1" x="977"/>
        <item m="1" x="582"/>
        <item m="1" x="1106"/>
        <item m="1" x="651"/>
        <item m="1" x="625"/>
        <item m="1" x="1004"/>
        <item m="1" x="104"/>
        <item m="1" x="450"/>
        <item m="1" x="704"/>
        <item m="1" x="1162"/>
        <item m="1" x="1016"/>
        <item m="1" x="715"/>
        <item m="1" x="1246"/>
        <item m="1" x="958"/>
        <item m="1" x="882"/>
        <item m="1" x="588"/>
        <item m="1" x="632"/>
        <item m="1" x="905"/>
        <item m="1" x="1155"/>
        <item m="1" x="1166"/>
        <item m="1" x="1258"/>
        <item m="1" x="1087"/>
        <item m="1" x="1254"/>
        <item m="1" x="314"/>
        <item m="1" x="367"/>
        <item m="1" x="171"/>
        <item m="1" x="573"/>
        <item m="1" x="1181"/>
        <item m="1" x="1290"/>
        <item m="1" x="208"/>
        <item m="1" x="1195"/>
        <item m="1" x="741"/>
        <item m="1" x="619"/>
        <item m="1" x="475"/>
        <item m="1" x="289"/>
        <item m="1" x="753"/>
        <item m="1" x="937"/>
        <item m="1" x="329"/>
        <item m="1" x="785"/>
        <item m="1" x="1133"/>
        <item m="1" x="1286"/>
        <item m="1" x="672"/>
        <item m="1" x="796"/>
        <item m="1" x="445"/>
        <item m="1" x="1214"/>
        <item m="1" x="698"/>
        <item m="1" x="319"/>
        <item m="1" x="1251"/>
        <item m="1" x="516"/>
        <item m="1" x="158"/>
        <item m="1" x="1069"/>
        <item m="1" x="884"/>
        <item m="1" x="315"/>
        <item m="1" x="1173"/>
        <item x="14"/>
        <item m="1" x="217"/>
        <item m="1" x="1121"/>
        <item m="1" x="911"/>
        <item m="1" x="694"/>
        <item m="1" x="807"/>
        <item m="1" x="172"/>
        <item m="1" x="1032"/>
        <item m="1" x="965"/>
        <item m="1" x="132"/>
        <item m="1" x="215"/>
        <item m="1" x="719"/>
        <item m="1" x="1100"/>
        <item m="1" x="738"/>
        <item m="1" x="161"/>
        <item m="1" x="653"/>
        <item m="1" x="758"/>
        <item m="1" x="1075"/>
        <item m="1" x="443"/>
        <item m="1" x="1011"/>
        <item m="1" x="898"/>
        <item m="1" x="1231"/>
        <item m="1" x="1118"/>
        <item m="1" x="578"/>
        <item m="1" x="1280"/>
        <item m="1" x="832"/>
        <item m="1" x="556"/>
        <item m="1" x="431"/>
        <item m="1" x="1244"/>
        <item m="1" x="1287"/>
        <item m="1" x="299"/>
        <item m="1" x="151"/>
        <item m="1" x="1256"/>
        <item m="1" x="824"/>
        <item m="1" x="162"/>
        <item m="1" x="1152"/>
        <item m="1" x="135"/>
        <item m="1" x="421"/>
        <item m="1" x="306"/>
        <item m="1" x="387"/>
        <item m="1" x="1143"/>
        <item m="1" x="338"/>
        <item m="1" x="305"/>
        <item m="1" x="1103"/>
        <item m="1" x="1123"/>
        <item m="1" x="801"/>
        <item m="1" x="326"/>
        <item m="1" x="1177"/>
        <item m="1" x="211"/>
        <item m="1" x="521"/>
        <item m="1" x="134"/>
        <item m="1" x="1191"/>
        <item m="1" x="157"/>
        <item m="1" x="566"/>
        <item m="1" x="793"/>
        <item m="1" x="902"/>
        <item m="1" x="505"/>
        <item m="1" x="414"/>
        <item m="1" x="789"/>
        <item m="1" x="425"/>
        <item m="1" x="205"/>
        <item m="1" x="970"/>
        <item m="1" x="237"/>
        <item m="1" x="198"/>
        <item m="1" x="255"/>
        <item m="1" x="540"/>
        <item m="1" x="693"/>
        <item m="1" x="571"/>
        <item m="1" x="332"/>
        <item m="1" x="348"/>
        <item m="1" x="377"/>
        <item m="1" x="340"/>
        <item m="1" x="907"/>
        <item m="1" x="1049"/>
        <item m="1" x="417"/>
        <item m="1" x="347"/>
        <item m="1" x="464"/>
        <item m="1" x="106"/>
        <item m="1" x="105"/>
        <item m="1" x="501"/>
        <item m="1" x="312"/>
        <item m="1" x="548"/>
        <item m="1" x="1179"/>
        <item m="1" x="166"/>
        <item m="1" x="1078"/>
        <item m="1" x="953"/>
        <item m="1" x="835"/>
        <item m="1" x="774"/>
        <item m="1" x="1248"/>
        <item m="1" x="190"/>
        <item m="1" x="968"/>
        <item m="1" x="222"/>
        <item m="1" x="90"/>
        <item m="1" x="737"/>
        <item m="1" x="4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5"/>
        <item x="17"/>
        <item x="18"/>
        <item x="19"/>
        <item x="20"/>
        <item x="22"/>
        <item x="23"/>
        <item x="25"/>
        <item x="26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6"/>
        <item x="48"/>
        <item x="49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4"/>
        <item x="75"/>
        <item x="76"/>
        <item x="77"/>
        <item m="1" x="82"/>
        <item x="78"/>
        <item x="8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Cat" axis="axisRow" compact="0" outline="0" showAll="0" sortType="descending" defaultSubtotal="0">
      <items count="26">
        <item x="25"/>
        <item x="23"/>
        <item x="22"/>
        <item x="21"/>
        <item x="20"/>
        <item x="19"/>
        <item x="24"/>
        <item x="18"/>
        <item x="13"/>
        <item x="17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">
        <item x="2"/>
        <item x="1"/>
        <item x="3"/>
        <item x="0"/>
        <item x="4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77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9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6"/>
    <field x="7"/>
    <field x="18"/>
  </rowFields>
  <rowItems count="92">
    <i>
      <x/>
      <x v="676"/>
      <x v="4"/>
    </i>
    <i>
      <x v="1"/>
      <x v="676"/>
      <x v="4"/>
    </i>
    <i>
      <x v="2"/>
      <x v="676"/>
      <x v="4"/>
    </i>
    <i>
      <x v="3"/>
      <x v="676"/>
      <x v="4"/>
    </i>
    <i>
      <x v="4"/>
      <x v="676"/>
      <x v="4"/>
    </i>
    <i>
      <x v="5"/>
      <x v="676"/>
      <x v="4"/>
    </i>
    <i>
      <x v="6"/>
      <x v="1292"/>
      <x/>
    </i>
    <i>
      <x v="7"/>
      <x v="676"/>
      <x v="4"/>
    </i>
    <i>
      <x v="8"/>
      <x v="683"/>
      <x/>
    </i>
    <i r="1">
      <x v="1291"/>
      <x/>
    </i>
    <i>
      <x v="9"/>
      <x v="676"/>
      <x v="4"/>
    </i>
    <i>
      <x v="10"/>
      <x v="1289"/>
      <x v="2"/>
    </i>
    <i>
      <x v="11"/>
      <x v="188"/>
      <x v="2"/>
    </i>
    <i r="1">
      <x v="207"/>
      <x v="2"/>
    </i>
    <i r="1">
      <x v="1284"/>
      <x/>
    </i>
    <i r="1">
      <x v="1285"/>
      <x/>
    </i>
    <i r="1">
      <x v="1286"/>
      <x v="2"/>
    </i>
    <i r="1">
      <x v="1287"/>
      <x/>
    </i>
    <i r="1">
      <x v="1288"/>
      <x v="2"/>
    </i>
    <i>
      <x v="12"/>
      <x v="1276"/>
      <x v="2"/>
    </i>
    <i r="1">
      <x v="1277"/>
      <x v="2"/>
    </i>
    <i r="1">
      <x v="1278"/>
      <x/>
    </i>
    <i r="1">
      <x v="1279"/>
      <x v="2"/>
    </i>
    <i r="1">
      <x v="1280"/>
      <x v="3"/>
    </i>
    <i r="1">
      <x v="1281"/>
      <x v="2"/>
    </i>
    <i r="1">
      <x v="1282"/>
      <x v="3"/>
    </i>
    <i r="1">
      <x v="1283"/>
      <x/>
    </i>
    <i>
      <x v="13"/>
      <x v="1272"/>
      <x v="1"/>
    </i>
    <i r="1">
      <x v="1273"/>
      <x v="1"/>
    </i>
    <i r="1">
      <x v="1274"/>
      <x v="2"/>
    </i>
    <i r="1">
      <x v="1275"/>
      <x/>
    </i>
    <i>
      <x v="14"/>
      <x v="273"/>
      <x v="1"/>
    </i>
    <i r="1">
      <x v="310"/>
      <x/>
    </i>
    <i r="1">
      <x v="1263"/>
      <x v="2"/>
    </i>
    <i r="1">
      <x v="1264"/>
      <x v="3"/>
    </i>
    <i r="1">
      <x v="1265"/>
      <x v="3"/>
    </i>
    <i r="1">
      <x v="1266"/>
      <x v="3"/>
    </i>
    <i r="1">
      <x v="1267"/>
      <x/>
    </i>
    <i r="1">
      <x v="1268"/>
      <x v="1"/>
    </i>
    <i r="1">
      <x v="1269"/>
      <x/>
    </i>
    <i r="1">
      <x v="1270"/>
      <x/>
    </i>
    <i r="1">
      <x v="1271"/>
      <x v="3"/>
    </i>
    <i>
      <x v="15"/>
      <x v="318"/>
      <x v="1"/>
    </i>
    <i r="1">
      <x v="866"/>
      <x v="1"/>
    </i>
    <i r="1">
      <x v="1253"/>
      <x v="3"/>
    </i>
    <i r="1">
      <x v="1254"/>
      <x v="1"/>
    </i>
    <i r="1">
      <x v="1255"/>
      <x v="1"/>
    </i>
    <i r="1">
      <x v="1256"/>
      <x v="3"/>
    </i>
    <i r="1">
      <x v="1257"/>
      <x v="1"/>
    </i>
    <i r="1">
      <x v="1258"/>
      <x/>
    </i>
    <i r="1">
      <x v="1259"/>
      <x/>
    </i>
    <i r="1">
      <x v="1260"/>
      <x v="1"/>
    </i>
    <i r="1">
      <x v="1261"/>
      <x v="3"/>
    </i>
    <i r="1">
      <x v="1262"/>
      <x v="3"/>
    </i>
    <i>
      <x v="16"/>
      <x v="1251"/>
      <x v="2"/>
    </i>
    <i r="1">
      <x v="1252"/>
      <x v="1"/>
    </i>
    <i>
      <x v="17"/>
      <x v="1247"/>
      <x v="3"/>
    </i>
    <i r="1">
      <x v="1248"/>
      <x v="3"/>
    </i>
    <i r="1">
      <x v="1249"/>
      <x/>
    </i>
    <i r="1">
      <x v="1250"/>
      <x v="3"/>
    </i>
    <i>
      <x v="18"/>
      <x v="341"/>
      <x v="3"/>
    </i>
    <i r="1">
      <x v="364"/>
      <x v="3"/>
    </i>
    <i r="1">
      <x v="1038"/>
      <x v="3"/>
    </i>
    <i r="1">
      <x v="1242"/>
      <x v="1"/>
    </i>
    <i r="1">
      <x v="1243"/>
      <x v="3"/>
    </i>
    <i r="1">
      <x v="1244"/>
      <x v="3"/>
    </i>
    <i r="1">
      <x v="1245"/>
      <x v="3"/>
    </i>
    <i r="1">
      <x v="1246"/>
      <x v="3"/>
    </i>
    <i>
      <x v="19"/>
      <x v="448"/>
      <x v="3"/>
    </i>
    <i r="1">
      <x v="942"/>
      <x v="1"/>
    </i>
    <i r="1">
      <x v="966"/>
      <x v="3"/>
    </i>
    <i r="1">
      <x v="1130"/>
      <x v="3"/>
    </i>
    <i r="1">
      <x v="1232"/>
      <x v="3"/>
    </i>
    <i r="1">
      <x v="1233"/>
      <x v="3"/>
    </i>
    <i r="1">
      <x v="1234"/>
      <x v="3"/>
    </i>
    <i r="1">
      <x v="1235"/>
      <x v="3"/>
    </i>
    <i r="1">
      <x v="1236"/>
      <x v="3"/>
    </i>
    <i r="1">
      <x v="1237"/>
      <x v="3"/>
    </i>
    <i r="1">
      <x v="1238"/>
      <x v="3"/>
    </i>
    <i r="1">
      <x v="1239"/>
      <x v="3"/>
    </i>
    <i r="1">
      <x v="1240"/>
      <x v="3"/>
    </i>
    <i r="1">
      <x v="1241"/>
      <x v="3"/>
    </i>
    <i>
      <x v="20"/>
      <x v="1228"/>
      <x v="1"/>
    </i>
    <i r="1">
      <x v="1229"/>
      <x v="3"/>
    </i>
    <i r="1">
      <x v="1230"/>
      <x v="1"/>
    </i>
    <i r="1">
      <x v="1231"/>
      <x v="3"/>
    </i>
    <i>
      <x v="21"/>
      <x v="1227"/>
      <x v="3"/>
    </i>
    <i>
      <x v="22"/>
      <x v="1225"/>
      <x v="3"/>
    </i>
    <i r="1">
      <x v="1226"/>
      <x v="3"/>
    </i>
    <i>
      <x v="23"/>
      <x v="676"/>
      <x v="4"/>
    </i>
    <i>
      <x v="24"/>
      <x v="676"/>
      <x v="4"/>
    </i>
    <i>
      <x v="25"/>
      <x v="676"/>
      <x v="4"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Básico Actual " fld="31" subtotal="average" baseField="0" baseItem="0"/>
    <dataField name="Salario Básico Ordinario Política (100%)" fld="90" subtotal="average" baseField="16" baseItem="0"/>
    <dataField name="Pos. B " fld="137" baseField="0" baseItem="0" numFmtId="171"/>
    <dataField name="Garantizado Actual" fld="25" subtotal="average" baseField="16" baseItem="0"/>
    <dataField name="Garantizado Política" fld="97" subtotal="average" baseField="16" baseItem="3"/>
    <dataField name="Pos. G" fld="98" subtotal="average" baseField="16" baseItem="0" numFmtId="171"/>
    <dataField name="Garantizado + Variable Actual" fld="26" subtotal="average" baseField="16" baseItem="0"/>
    <dataField name="Garantizado + Variable Politica" fld="99" subtotal="average" baseField="16" baseItem="3"/>
    <dataField name="Pos. G+V" fld="100" subtotal="average" baseField="16" baseItem="3" numFmtId="171"/>
    <dataField name="Compensación Total Actual" fld="27" subtotal="average" baseField="16" baseItem="0"/>
    <dataField name="Compensación Total Política" fld="101" subtotal="average" baseField="16" baseItem="3"/>
    <dataField name="Pos. CT" fld="102" subtotal="average" baseField="16" baseItem="3" numFmtId="171"/>
  </dataFields>
  <formats count="1778">
    <format dxfId="1831">
      <pivotArea outline="0" collapsedLevelsAreSubtotals="1" fieldPosition="0"/>
    </format>
    <format dxfId="1830">
      <pivotArea dataOnly="0" labelOnly="1" outline="0" fieldPosition="0">
        <references count="3">
          <reference field="7" count="1" selected="0">
            <x v="78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829">
      <pivotArea dataOnly="0" labelOnly="1" outline="0" fieldPosition="0">
        <references count="3">
          <reference field="7" count="1" selected="0">
            <x v="79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828">
      <pivotArea dataOnly="0" labelOnly="1" outline="0" fieldPosition="0">
        <references count="3">
          <reference field="7" count="1" selected="0">
            <x v="162"/>
          </reference>
          <reference field="16" count="1" selected="0">
            <x v="4"/>
          </reference>
          <reference field="18" count="1">
            <x v="0"/>
          </reference>
        </references>
      </pivotArea>
    </format>
    <format dxfId="1827">
      <pivotArea dataOnly="0" labelOnly="1" outline="0" fieldPosition="0">
        <references count="3">
          <reference field="7" count="1" selected="0">
            <x v="103"/>
          </reference>
          <reference field="16" count="1" selected="0">
            <x v="8"/>
          </reference>
          <reference field="18" count="1">
            <x v="0"/>
          </reference>
        </references>
      </pivotArea>
    </format>
    <format dxfId="1826">
      <pivotArea dataOnly="0" labelOnly="1" outline="0" fieldPosition="0">
        <references count="3">
          <reference field="7" count="1" selected="0">
            <x v="109"/>
          </reference>
          <reference field="16" count="1" selected="0">
            <x v="9"/>
          </reference>
          <reference field="18" count="1">
            <x v="0"/>
          </reference>
        </references>
      </pivotArea>
    </format>
    <format dxfId="1825">
      <pivotArea dataOnly="0" labelOnly="1" outline="0" fieldPosition="0">
        <references count="3">
          <reference field="7" count="1" selected="0">
            <x v="110"/>
          </reference>
          <reference field="16" count="1" selected="0">
            <x v="9"/>
          </reference>
          <reference field="18" count="1">
            <x v="1"/>
          </reference>
        </references>
      </pivotArea>
    </format>
    <format dxfId="1824">
      <pivotArea dataOnly="0" labelOnly="1" outline="0" fieldPosition="0">
        <references count="3">
          <reference field="7" count="1" selected="0">
            <x v="174"/>
          </reference>
          <reference field="16" count="1" selected="0">
            <x v="9"/>
          </reference>
          <reference field="18" count="1">
            <x v="1"/>
          </reference>
        </references>
      </pivotArea>
    </format>
    <format dxfId="1823">
      <pivotArea dataOnly="0" labelOnly="1" outline="0" fieldPosition="0">
        <references count="3">
          <reference field="7" count="1" selected="0">
            <x v="107"/>
          </reference>
          <reference field="16" count="1" selected="0">
            <x v="10"/>
          </reference>
          <reference field="18" count="1">
            <x v="0"/>
          </reference>
        </references>
      </pivotArea>
    </format>
    <format dxfId="1822">
      <pivotArea dataOnly="0" labelOnly="1" outline="0" fieldPosition="0">
        <references count="3">
          <reference field="7" count="1" selected="0">
            <x v="108"/>
          </reference>
          <reference field="16" count="1" selected="0">
            <x v="10"/>
          </reference>
          <reference field="18" count="1">
            <x v="1"/>
          </reference>
        </references>
      </pivotArea>
    </format>
    <format dxfId="1821">
      <pivotArea dataOnly="0" labelOnly="1" outline="0" fieldPosition="0">
        <references count="3">
          <reference field="7" count="1" selected="0">
            <x v="112"/>
          </reference>
          <reference field="16" count="1" selected="0">
            <x v="10"/>
          </reference>
          <reference field="18" count="1">
            <x v="2"/>
          </reference>
        </references>
      </pivotArea>
    </format>
    <format dxfId="1820">
      <pivotArea dataOnly="0" labelOnly="1" outline="0" fieldPosition="0">
        <references count="3">
          <reference field="7" count="1" selected="0">
            <x v="104"/>
          </reference>
          <reference field="16" count="1" selected="0">
            <x v="11"/>
          </reference>
          <reference field="18" count="1">
            <x v="3"/>
          </reference>
        </references>
      </pivotArea>
    </format>
    <format dxfId="1819">
      <pivotArea dataOnly="0" labelOnly="1" outline="0" fieldPosition="0">
        <references count="3">
          <reference field="7" count="1" selected="0">
            <x v="111"/>
          </reference>
          <reference field="16" count="1" selected="0">
            <x v="11"/>
          </reference>
          <reference field="18" count="1">
            <x v="3"/>
          </reference>
        </references>
      </pivotArea>
    </format>
    <format dxfId="1818">
      <pivotArea dataOnly="0" labelOnly="1" outline="0" fieldPosition="0">
        <references count="3">
          <reference field="7" count="1" selected="0">
            <x v="163"/>
          </reference>
          <reference field="16" count="1" selected="0">
            <x v="11"/>
          </reference>
          <reference field="18" count="1">
            <x v="3"/>
          </reference>
        </references>
      </pivotArea>
    </format>
    <format dxfId="1817">
      <pivotArea dataOnly="0" labelOnly="1" outline="0" fieldPosition="0">
        <references count="3">
          <reference field="7" count="1" selected="0">
            <x v="105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1816">
      <pivotArea dataOnly="0" labelOnly="1" outline="0" fieldPosition="0">
        <references count="3">
          <reference field="7" count="1" selected="0">
            <x v="106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1815">
      <pivotArea dataOnly="0" labelOnly="1" outline="0" fieldPosition="0">
        <references count="3">
          <reference field="7" count="1" selected="0">
            <x v="118"/>
          </reference>
          <reference field="16" count="1" selected="0">
            <x v="12"/>
          </reference>
          <reference field="18" count="1">
            <x v="0"/>
          </reference>
        </references>
      </pivotArea>
    </format>
    <format dxfId="1814">
      <pivotArea dataOnly="0" labelOnly="1" outline="0" fieldPosition="0">
        <references count="3">
          <reference field="7" count="1" selected="0">
            <x v="123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1813">
      <pivotArea dataOnly="0" labelOnly="1" outline="0" fieldPosition="0">
        <references count="3">
          <reference field="7" count="1" selected="0">
            <x v="129"/>
          </reference>
          <reference field="16" count="1" selected="0">
            <x v="12"/>
          </reference>
          <reference field="18" count="1">
            <x v="0"/>
          </reference>
        </references>
      </pivotArea>
    </format>
    <format dxfId="1812">
      <pivotArea dataOnly="0" labelOnly="1" outline="0" fieldPosition="0">
        <references count="3">
          <reference field="7" count="1" selected="0">
            <x v="140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1811">
      <pivotArea dataOnly="0" labelOnly="1" outline="0" fieldPosition="0">
        <references count="3">
          <reference field="7" count="1" selected="0">
            <x v="176"/>
          </reference>
          <reference field="16" count="1" selected="0">
            <x v="12"/>
          </reference>
          <reference field="18" count="1">
            <x v="1"/>
          </reference>
        </references>
      </pivotArea>
    </format>
    <format dxfId="1810">
      <pivotArea dataOnly="0" labelOnly="1" outline="0" fieldPosition="0">
        <references count="3">
          <reference field="7" count="1" selected="0">
            <x v="125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1809">
      <pivotArea dataOnly="0" labelOnly="1" outline="0" fieldPosition="0">
        <references count="3">
          <reference field="7" count="1" selected="0">
            <x v="130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1808">
      <pivotArea dataOnly="0" labelOnly="1" outline="0" fieldPosition="0">
        <references count="3">
          <reference field="7" count="1" selected="0">
            <x v="133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1807">
      <pivotArea dataOnly="0" labelOnly="1" outline="0" fieldPosition="0">
        <references count="3">
          <reference field="7" count="1" selected="0">
            <x v="135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1806">
      <pivotArea dataOnly="0" labelOnly="1" outline="0" fieldPosition="0">
        <references count="3">
          <reference field="7" count="1" selected="0">
            <x v="141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1805">
      <pivotArea dataOnly="0" labelOnly="1" outline="0" fieldPosition="0">
        <references count="3">
          <reference field="7" count="1" selected="0">
            <x v="144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1804">
      <pivotArea dataOnly="0" labelOnly="1" outline="0" fieldPosition="0">
        <references count="3">
          <reference field="7" count="1" selected="0">
            <x v="145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1803">
      <pivotArea dataOnly="0" labelOnly="1" outline="0" fieldPosition="0">
        <references count="3">
          <reference field="7" count="1" selected="0">
            <x v="146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1802">
      <pivotArea dataOnly="0" labelOnly="1" outline="0" fieldPosition="0">
        <references count="3">
          <reference field="7" count="1" selected="0">
            <x v="147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1801">
      <pivotArea dataOnly="0" labelOnly="1" outline="0" fieldPosition="0">
        <references count="3">
          <reference field="7" count="1" selected="0">
            <x v="59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1800">
      <pivotArea dataOnly="0" labelOnly="1" outline="0" fieldPosition="0">
        <references count="3">
          <reference field="7" count="1" selected="0">
            <x v="67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1799">
      <pivotArea dataOnly="0" labelOnly="1" outline="0" fieldPosition="0">
        <references count="3">
          <reference field="7" count="1" selected="0">
            <x v="80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1798">
      <pivotArea dataOnly="0" labelOnly="1" outline="0" fieldPosition="0">
        <references count="3">
          <reference field="7" count="1" selected="0">
            <x v="117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1797">
      <pivotArea dataOnly="0" labelOnly="1" outline="0" fieldPosition="0">
        <references count="3">
          <reference field="7" count="1" selected="0">
            <x v="122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1796">
      <pivotArea dataOnly="0" labelOnly="1" outline="0" fieldPosition="0">
        <references count="3">
          <reference field="7" count="1" selected="0">
            <x v="127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1795">
      <pivotArea dataOnly="0" labelOnly="1" outline="0" fieldPosition="0">
        <references count="3">
          <reference field="7" count="1" selected="0">
            <x v="131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1794">
      <pivotArea dataOnly="0" labelOnly="1" outline="0" fieldPosition="0">
        <references count="3">
          <reference field="7" count="1" selected="0">
            <x v="132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1793">
      <pivotArea dataOnly="0" labelOnly="1" outline="0" fieldPosition="0">
        <references count="3">
          <reference field="7" count="1" selected="0">
            <x v="138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1792">
      <pivotArea dataOnly="0" labelOnly="1" outline="0" fieldPosition="0">
        <references count="3">
          <reference field="7" count="1" selected="0">
            <x v="139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1791">
      <pivotArea dataOnly="0" labelOnly="1" outline="0" fieldPosition="0">
        <references count="3">
          <reference field="7" count="1" selected="0">
            <x v="142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1790">
      <pivotArea dataOnly="0" labelOnly="1" outline="0" fieldPosition="0">
        <references count="3">
          <reference field="7" count="1" selected="0">
            <x v="143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1789">
      <pivotArea dataOnly="0" labelOnly="1" outline="0" fieldPosition="0">
        <references count="3">
          <reference field="7" count="1" selected="0">
            <x v="54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1788">
      <pivotArea dataOnly="0" labelOnly="1" outline="0" fieldPosition="0">
        <references count="3">
          <reference field="7" count="1" selected="0">
            <x v="62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787">
      <pivotArea dataOnly="0" labelOnly="1" outline="0" fieldPosition="0">
        <references count="3">
          <reference field="7" count="1" selected="0">
            <x v="68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786">
      <pivotArea dataOnly="0" labelOnly="1" outline="0" fieldPosition="0">
        <references count="3">
          <reference field="7" count="1" selected="0">
            <x v="69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785">
      <pivotArea dataOnly="0" labelOnly="1" outline="0" fieldPosition="0">
        <references count="3">
          <reference field="7" count="1" selected="0">
            <x v="72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784">
      <pivotArea dataOnly="0" labelOnly="1" outline="0" fieldPosition="0">
        <references count="3">
          <reference field="7" count="1" selected="0">
            <x v="73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783">
      <pivotArea dataOnly="0" labelOnly="1" outline="0" fieldPosition="0">
        <references count="3">
          <reference field="7" count="1" selected="0">
            <x v="74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782">
      <pivotArea dataOnly="0" labelOnly="1" outline="0" fieldPosition="0">
        <references count="3">
          <reference field="7" count="1" selected="0">
            <x v="75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781">
      <pivotArea dataOnly="0" labelOnly="1" outline="0" fieldPosition="0">
        <references count="3">
          <reference field="7" count="1" selected="0">
            <x v="77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1780">
      <pivotArea dataOnly="0" labelOnly="1" outline="0" fieldPosition="0">
        <references count="3">
          <reference field="7" count="1" selected="0">
            <x v="83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779">
      <pivotArea dataOnly="0" labelOnly="1" outline="0" fieldPosition="0">
        <references count="3">
          <reference field="7" count="1" selected="0">
            <x v="84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778">
      <pivotArea dataOnly="0" labelOnly="1" outline="0" fieldPosition="0">
        <references count="3">
          <reference field="7" count="1" selected="0">
            <x v="90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1777">
      <pivotArea dataOnly="0" labelOnly="1" outline="0" fieldPosition="0">
        <references count="3">
          <reference field="7" count="1" selected="0">
            <x v="91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1776">
      <pivotArea dataOnly="0" labelOnly="1" outline="0" fieldPosition="0">
        <references count="3">
          <reference field="7" count="1" selected="0">
            <x v="92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1775">
      <pivotArea dataOnly="0" labelOnly="1" outline="0" fieldPosition="0">
        <references count="3">
          <reference field="7" count="1" selected="0">
            <x v="95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774">
      <pivotArea dataOnly="0" labelOnly="1" outline="0" fieldPosition="0">
        <references count="3">
          <reference field="7" count="1" selected="0">
            <x v="96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773">
      <pivotArea dataOnly="0" labelOnly="1" outline="0" fieldPosition="0">
        <references count="3">
          <reference field="7" count="1" selected="0">
            <x v="98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772">
      <pivotArea dataOnly="0" labelOnly="1" outline="0" fieldPosition="0">
        <references count="3">
          <reference field="7" count="1" selected="0">
            <x v="100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1771">
      <pivotArea dataOnly="0" labelOnly="1" outline="0" fieldPosition="0">
        <references count="3">
          <reference field="7" count="1" selected="0">
            <x v="119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770">
      <pivotArea dataOnly="0" labelOnly="1" outline="0" fieldPosition="0">
        <references count="3">
          <reference field="7" count="1" selected="0">
            <x v="121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769">
      <pivotArea dataOnly="0" labelOnly="1" outline="0" fieldPosition="0">
        <references count="3">
          <reference field="7" count="1" selected="0">
            <x v="128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1768">
      <pivotArea dataOnly="0" labelOnly="1" outline="0" fieldPosition="0">
        <references count="3">
          <reference field="7" count="1" selected="0">
            <x v="134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767">
      <pivotArea dataOnly="0" labelOnly="1" outline="0" fieldPosition="0">
        <references count="3">
          <reference field="7" count="1" selected="0">
            <x v="5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766">
      <pivotArea dataOnly="0" labelOnly="1" outline="0" fieldPosition="0">
        <references count="3">
          <reference field="7" count="1" selected="0">
            <x v="11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765">
      <pivotArea dataOnly="0" labelOnly="1" outline="0" fieldPosition="0">
        <references count="3">
          <reference field="7" count="1" selected="0">
            <x v="30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764">
      <pivotArea dataOnly="0" labelOnly="1" outline="0" fieldPosition="0">
        <references count="3">
          <reference field="7" count="1" selected="0">
            <x v="56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763">
      <pivotArea dataOnly="0" labelOnly="1" outline="0" fieldPosition="0">
        <references count="3">
          <reference field="7" count="1" selected="0">
            <x v="58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762">
      <pivotArea dataOnly="0" labelOnly="1" outline="0" fieldPosition="0">
        <references count="3">
          <reference field="7" count="1" selected="0">
            <x v="63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761">
      <pivotArea dataOnly="0" labelOnly="1" outline="0" fieldPosition="0">
        <references count="3">
          <reference field="7" count="1" selected="0">
            <x v="65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760">
      <pivotArea dataOnly="0" labelOnly="1" outline="0" fieldPosition="0">
        <references count="3">
          <reference field="7" count="1" selected="0">
            <x v="70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759">
      <pivotArea dataOnly="0" labelOnly="1" outline="0" fieldPosition="0">
        <references count="3">
          <reference field="7" count="1" selected="0">
            <x v="76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758">
      <pivotArea dataOnly="0" labelOnly="1" outline="0" fieldPosition="0">
        <references count="3">
          <reference field="7" count="1" selected="0">
            <x v="78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757">
      <pivotArea dataOnly="0" labelOnly="1" outline="0" fieldPosition="0">
        <references count="3">
          <reference field="7" count="1" selected="0">
            <x v="79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756">
      <pivotArea dataOnly="0" labelOnly="1" outline="0" fieldPosition="0">
        <references count="3">
          <reference field="7" count="1" selected="0">
            <x v="81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755">
      <pivotArea dataOnly="0" labelOnly="1" outline="0" fieldPosition="0">
        <references count="3">
          <reference field="7" count="1" selected="0">
            <x v="82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754">
      <pivotArea dataOnly="0" labelOnly="1" outline="0" fieldPosition="0">
        <references count="3">
          <reference field="7" count="1" selected="0">
            <x v="85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753">
      <pivotArea dataOnly="0" labelOnly="1" outline="0" fieldPosition="0">
        <references count="3">
          <reference field="7" count="1" selected="0">
            <x v="86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752">
      <pivotArea dataOnly="0" labelOnly="1" outline="0" fieldPosition="0">
        <references count="3">
          <reference field="7" count="1" selected="0">
            <x v="88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751">
      <pivotArea dataOnly="0" labelOnly="1" outline="0" fieldPosition="0">
        <references count="3">
          <reference field="7" count="1" selected="0">
            <x v="89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750">
      <pivotArea dataOnly="0" labelOnly="1" outline="0" fieldPosition="0">
        <references count="3">
          <reference field="7" count="1" selected="0">
            <x v="94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749">
      <pivotArea dataOnly="0" labelOnly="1" outline="0" fieldPosition="0">
        <references count="3">
          <reference field="7" count="1" selected="0">
            <x v="97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748">
      <pivotArea dataOnly="0" labelOnly="1" outline="0" fieldPosition="0">
        <references count="3">
          <reference field="7" count="1" selected="0">
            <x v="99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747">
      <pivotArea dataOnly="0" labelOnly="1" outline="0" fieldPosition="0">
        <references count="3">
          <reference field="7" count="1" selected="0">
            <x v="101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746">
      <pivotArea dataOnly="0" labelOnly="1" outline="0" fieldPosition="0">
        <references count="3">
          <reference field="7" count="1" selected="0">
            <x v="113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745">
      <pivotArea dataOnly="0" labelOnly="1" outline="0" fieldPosition="0">
        <references count="3">
          <reference field="7" count="1" selected="0">
            <x v="120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744">
      <pivotArea dataOnly="0" labelOnly="1" outline="0" fieldPosition="0">
        <references count="3">
          <reference field="7" count="1" selected="0">
            <x v="124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743">
      <pivotArea dataOnly="0" labelOnly="1" outline="0" fieldPosition="0">
        <references count="3">
          <reference field="7" count="1" selected="0">
            <x v="126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742">
      <pivotArea dataOnly="0" labelOnly="1" outline="0" fieldPosition="0">
        <references count="3">
          <reference field="7" count="1" selected="0">
            <x v="136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741">
      <pivotArea dataOnly="0" labelOnly="1" outline="0" fieldPosition="0">
        <references count="3">
          <reference field="7" count="1" selected="0">
            <x v="137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740">
      <pivotArea dataOnly="0" labelOnly="1" outline="0" fieldPosition="0">
        <references count="3">
          <reference field="7" count="1" selected="0">
            <x v="153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739">
      <pivotArea dataOnly="0" labelOnly="1" outline="0" fieldPosition="0">
        <references count="3">
          <reference field="7" count="1" selected="0">
            <x v="0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738">
      <pivotArea dataOnly="0" labelOnly="1" outline="0" fieldPosition="0">
        <references count="3">
          <reference field="7" count="1" selected="0">
            <x v="2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737">
      <pivotArea dataOnly="0" labelOnly="1" outline="0" fieldPosition="0">
        <references count="3">
          <reference field="7" count="1" selected="0">
            <x v="12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736">
      <pivotArea dataOnly="0" labelOnly="1" outline="0" fieldPosition="0">
        <references count="3">
          <reference field="7" count="1" selected="0">
            <x v="13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735">
      <pivotArea dataOnly="0" labelOnly="1" outline="0" fieldPosition="0">
        <references count="3">
          <reference field="7" count="1" selected="0">
            <x v="18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734">
      <pivotArea dataOnly="0" labelOnly="1" outline="0" fieldPosition="0">
        <references count="3">
          <reference field="7" count="1" selected="0">
            <x v="24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733">
      <pivotArea dataOnly="0" labelOnly="1" outline="0" fieldPosition="0">
        <references count="3">
          <reference field="7" count="1" selected="0">
            <x v="29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732">
      <pivotArea dataOnly="0" labelOnly="1" outline="0" fieldPosition="0">
        <references count="3">
          <reference field="7" count="1" selected="0">
            <x v="50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731">
      <pivotArea dataOnly="0" labelOnly="1" outline="0" fieldPosition="0">
        <references count="3">
          <reference field="7" count="1" selected="0">
            <x v="55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730">
      <pivotArea dataOnly="0" labelOnly="1" outline="0" fieldPosition="0">
        <references count="3">
          <reference field="7" count="1" selected="0">
            <x v="60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729">
      <pivotArea dataOnly="0" labelOnly="1" outline="0" fieldPosition="0">
        <references count="3">
          <reference field="7" count="1" selected="0">
            <x v="64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728">
      <pivotArea dataOnly="0" labelOnly="1" outline="0" fieldPosition="0">
        <references count="3">
          <reference field="7" count="1" selected="0">
            <x v="66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727">
      <pivotArea dataOnly="0" labelOnly="1" outline="0" fieldPosition="0">
        <references count="3">
          <reference field="7" count="1" selected="0">
            <x v="71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726">
      <pivotArea dataOnly="0" labelOnly="1" outline="0" fieldPosition="0">
        <references count="3">
          <reference field="7" count="1" selected="0">
            <x v="93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725">
      <pivotArea dataOnly="0" labelOnly="1" outline="0" fieldPosition="0">
        <references count="3">
          <reference field="7" count="1" selected="0">
            <x v="166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1724">
      <pivotArea dataOnly="0" labelOnly="1" outline="0" fieldPosition="0">
        <references count="3">
          <reference field="7" count="1" selected="0">
            <x v="167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723">
      <pivotArea dataOnly="0" labelOnly="1" outline="0" fieldPosition="0">
        <references count="3">
          <reference field="7" count="1" selected="0">
            <x v="1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722">
      <pivotArea dataOnly="0" labelOnly="1" outline="0" fieldPosition="0">
        <references count="3">
          <reference field="7" count="1" selected="0">
            <x v="3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1721">
      <pivotArea dataOnly="0" labelOnly="1" outline="0" fieldPosition="0">
        <references count="3">
          <reference field="7" count="1" selected="0">
            <x v="6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720">
      <pivotArea dataOnly="0" labelOnly="1" outline="0" fieldPosition="0">
        <references count="3">
          <reference field="7" count="1" selected="0">
            <x v="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719">
      <pivotArea dataOnly="0" labelOnly="1" outline="0" fieldPosition="0">
        <references count="3">
          <reference field="7" count="1" selected="0">
            <x v="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718">
      <pivotArea dataOnly="0" labelOnly="1" outline="0" fieldPosition="0">
        <references count="3">
          <reference field="7" count="1" selected="0">
            <x v="9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717">
      <pivotArea dataOnly="0" labelOnly="1" outline="0" fieldPosition="0">
        <references count="3">
          <reference field="7" count="1" selected="0">
            <x v="10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716">
      <pivotArea dataOnly="0" labelOnly="1" outline="0" fieldPosition="0">
        <references count="3">
          <reference field="7" count="1" selected="0">
            <x v="15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715">
      <pivotArea dataOnly="0" labelOnly="1" outline="0" fieldPosition="0">
        <references count="3">
          <reference field="7" count="1" selected="0">
            <x v="16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714">
      <pivotArea dataOnly="0" labelOnly="1" outline="0" fieldPosition="0">
        <references count="3">
          <reference field="7" count="1" selected="0">
            <x v="1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713">
      <pivotArea dataOnly="0" labelOnly="1" outline="0" fieldPosition="0">
        <references count="3">
          <reference field="7" count="1" selected="0">
            <x v="19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712">
      <pivotArea dataOnly="0" labelOnly="1" outline="0" fieldPosition="0">
        <references count="3">
          <reference field="7" count="1" selected="0">
            <x v="20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711">
      <pivotArea dataOnly="0" labelOnly="1" outline="0" fieldPosition="0">
        <references count="3">
          <reference field="7" count="1" selected="0">
            <x v="21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710">
      <pivotArea dataOnly="0" labelOnly="1" outline="0" fieldPosition="0">
        <references count="3">
          <reference field="7" count="1" selected="0">
            <x v="22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1709">
      <pivotArea dataOnly="0" labelOnly="1" outline="0" fieldPosition="0">
        <references count="3">
          <reference field="7" count="1" selected="0">
            <x v="23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708">
      <pivotArea dataOnly="0" labelOnly="1" outline="0" fieldPosition="0">
        <references count="3">
          <reference field="7" count="1" selected="0">
            <x v="25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707">
      <pivotArea dataOnly="0" labelOnly="1" outline="0" fieldPosition="0">
        <references count="3">
          <reference field="7" count="1" selected="0">
            <x v="26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706">
      <pivotArea dataOnly="0" labelOnly="1" outline="0" fieldPosition="0">
        <references count="3">
          <reference field="7" count="1" selected="0">
            <x v="2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705">
      <pivotArea dataOnly="0" labelOnly="1" outline="0" fieldPosition="0">
        <references count="3">
          <reference field="7" count="1" selected="0">
            <x v="2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704">
      <pivotArea dataOnly="0" labelOnly="1" outline="0" fieldPosition="0">
        <references count="3">
          <reference field="7" count="1" selected="0">
            <x v="31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1703">
      <pivotArea dataOnly="0" labelOnly="1" outline="0" fieldPosition="0">
        <references count="3">
          <reference field="7" count="1" selected="0">
            <x v="61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702">
      <pivotArea dataOnly="0" labelOnly="1" outline="0" fieldPosition="0">
        <references count="3">
          <reference field="7" count="1" selected="0">
            <x v="8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701">
      <pivotArea dataOnly="0" labelOnly="1" outline="0" fieldPosition="0">
        <references count="3">
          <reference field="7" count="1" selected="0">
            <x v="154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700">
      <pivotArea dataOnly="0" labelOnly="1" outline="0" fieldPosition="0">
        <references count="3">
          <reference field="7" count="1" selected="0">
            <x v="165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699">
      <pivotArea dataOnly="0" labelOnly="1" outline="0" fieldPosition="0">
        <references count="3">
          <reference field="7" count="1" selected="0">
            <x v="16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698">
      <pivotArea dataOnly="0" labelOnly="1" outline="0" fieldPosition="0">
        <references count="3">
          <reference field="7" count="1" selected="0">
            <x v="169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697">
      <pivotArea dataOnly="0" labelOnly="1" outline="0" fieldPosition="0">
        <references count="3">
          <reference field="7" count="1" selected="0">
            <x v="4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1696">
      <pivotArea dataOnly="0" labelOnly="1" outline="0" fieldPosition="0">
        <references count="3">
          <reference field="7" count="1" selected="0">
            <x v="14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1695">
      <pivotArea dataOnly="0" labelOnly="1" outline="0" fieldPosition="0">
        <references count="3">
          <reference field="7" count="1" selected="0">
            <x v="33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1694">
      <pivotArea dataOnly="0" labelOnly="1" outline="0" fieldPosition="0">
        <references count="3">
          <reference field="7" count="1" selected="0">
            <x v="57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1693">
      <pivotArea dataOnly="0" labelOnly="1" outline="0" fieldPosition="0">
        <references count="3">
          <reference field="7" count="1" selected="0">
            <x v="114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1692">
      <pivotArea dataOnly="0" labelOnly="1" outline="0" fieldPosition="0">
        <references count="3">
          <reference field="7" count="1" selected="0">
            <x v="115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1691">
      <pivotArea dataOnly="0" labelOnly="1" outline="0" fieldPosition="0">
        <references count="3">
          <reference field="7" count="1" selected="0">
            <x v="116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1690">
      <pivotArea dataOnly="0" labelOnly="1" outline="0" fieldPosition="0">
        <references count="3">
          <reference field="7" count="1" selected="0">
            <x v="160"/>
          </reference>
          <reference field="16" count="1" selected="0">
            <x v="19"/>
          </reference>
          <reference field="18" count="1">
            <x v="2"/>
          </reference>
        </references>
      </pivotArea>
    </format>
    <format dxfId="1689">
      <pivotArea dataOnly="0" labelOnly="1" outline="0" fieldPosition="0">
        <references count="3">
          <reference field="7" count="1" selected="0">
            <x v="170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1688">
      <pivotArea dataOnly="0" labelOnly="1" outline="0" fieldPosition="0">
        <references count="3">
          <reference field="7" count="1" selected="0">
            <x v="3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687">
      <pivotArea dataOnly="0" labelOnly="1" outline="0" fieldPosition="0">
        <references count="3">
          <reference field="7" count="1" selected="0">
            <x v="35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686">
      <pivotArea dataOnly="0" labelOnly="1" outline="0" fieldPosition="0">
        <references count="3">
          <reference field="7" count="1" selected="0">
            <x v="37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685">
      <pivotArea dataOnly="0" labelOnly="1" outline="0" fieldPosition="0">
        <references count="3">
          <reference field="7" count="1" selected="0">
            <x v="38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684">
      <pivotArea dataOnly="0" labelOnly="1" outline="0" fieldPosition="0">
        <references count="3">
          <reference field="7" count="1" selected="0">
            <x v="39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683">
      <pivotArea dataOnly="0" labelOnly="1" outline="0" fieldPosition="0">
        <references count="3">
          <reference field="7" count="1" selected="0">
            <x v="40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682">
      <pivotArea dataOnly="0" labelOnly="1" outline="0" fieldPosition="0">
        <references count="3">
          <reference field="7" count="1" selected="0">
            <x v="4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681">
      <pivotArea dataOnly="0" labelOnly="1" outline="0" fieldPosition="0">
        <references count="3">
          <reference field="7" count="1" selected="0">
            <x v="43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680">
      <pivotArea dataOnly="0" labelOnly="1" outline="0" fieldPosition="0">
        <references count="3">
          <reference field="7" count="1" selected="0">
            <x v="45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679">
      <pivotArea dataOnly="0" labelOnly="1" outline="0" fieldPosition="0">
        <references count="3">
          <reference field="7" count="1" selected="0">
            <x v="46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678">
      <pivotArea dataOnly="0" labelOnly="1" outline="0" fieldPosition="0">
        <references count="3">
          <reference field="7" count="1" selected="0">
            <x v="47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677">
      <pivotArea dataOnly="0" labelOnly="1" outline="0" fieldPosition="0">
        <references count="3">
          <reference field="7" count="1" selected="0">
            <x v="49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676">
      <pivotArea dataOnly="0" labelOnly="1" outline="0" fieldPosition="0">
        <references count="3">
          <reference field="7" count="1" selected="0">
            <x v="53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1675">
      <pivotArea dataOnly="0" labelOnly="1" outline="0" fieldPosition="0">
        <references count="3">
          <reference field="7" count="1" selected="0">
            <x v="158"/>
          </reference>
          <reference field="16" count="1" selected="0">
            <x v="20"/>
          </reference>
          <reference field="18" count="1">
            <x v="2"/>
          </reference>
        </references>
      </pivotArea>
    </format>
    <format dxfId="1674">
      <pivotArea dataOnly="0" labelOnly="1" outline="0" fieldPosition="0">
        <references count="3">
          <reference field="7" count="1" selected="0">
            <x v="159"/>
          </reference>
          <reference field="16" count="1" selected="0">
            <x v="20"/>
          </reference>
          <reference field="18" count="1">
            <x v="2"/>
          </reference>
        </references>
      </pivotArea>
    </format>
    <format dxfId="1673">
      <pivotArea dataOnly="0" labelOnly="1" outline="0" fieldPosition="0">
        <references count="3">
          <reference field="7" count="1" selected="0">
            <x v="164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1672">
      <pivotArea dataOnly="0" labelOnly="1" outline="0" fieldPosition="0">
        <references count="3">
          <reference field="7" count="1" selected="0">
            <x v="171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671">
      <pivotArea dataOnly="0" labelOnly="1" outline="0" fieldPosition="0">
        <references count="3">
          <reference field="7" count="1" selected="0">
            <x v="17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670">
      <pivotArea dataOnly="0" labelOnly="1" outline="0" fieldPosition="0">
        <references count="3">
          <reference field="7" count="1" selected="0">
            <x v="173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1669">
      <pivotArea dataOnly="0" labelOnly="1" outline="0" fieldPosition="0">
        <references count="3">
          <reference field="7" count="1" selected="0">
            <x v="34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668">
      <pivotArea dataOnly="0" labelOnly="1" outline="0" fieldPosition="0">
        <references count="3">
          <reference field="7" count="1" selected="0">
            <x v="41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667">
      <pivotArea dataOnly="0" labelOnly="1" outline="0" fieldPosition="0">
        <references count="3">
          <reference field="7" count="1" selected="0">
            <x v="44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666">
      <pivotArea dataOnly="0" labelOnly="1" outline="0" fieldPosition="0">
        <references count="3">
          <reference field="7" count="1" selected="0">
            <x v="52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665">
      <pivotArea dataOnly="0" labelOnly="1" outline="0" fieldPosition="0">
        <references count="3">
          <reference field="7" count="1" selected="0">
            <x v="102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664">
      <pivotArea dataOnly="0" labelOnly="1" outline="0" fieldPosition="0">
        <references count="3">
          <reference field="7" count="1" selected="0">
            <x v="149"/>
          </reference>
          <reference field="16" count="1" selected="0">
            <x v="21"/>
          </reference>
          <reference field="18" count="1">
            <x v="2"/>
          </reference>
        </references>
      </pivotArea>
    </format>
    <format dxfId="1663">
      <pivotArea dataOnly="0" labelOnly="1" outline="0" fieldPosition="0">
        <references count="3">
          <reference field="7" count="1" selected="0">
            <x v="150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1662">
      <pivotArea dataOnly="0" labelOnly="1" outline="0" fieldPosition="0">
        <references count="3">
          <reference field="7" count="1" selected="0">
            <x v="15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661">
      <pivotArea dataOnly="0" labelOnly="1" outline="0" fieldPosition="0">
        <references count="3">
          <reference field="7" count="1" selected="0">
            <x v="156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660">
      <pivotArea dataOnly="0" labelOnly="1" outline="0" fieldPosition="0">
        <references count="3">
          <reference field="7" count="1" selected="0">
            <x v="157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1659">
      <pivotArea dataOnly="0" labelOnly="1" outline="0" fieldPosition="0">
        <references count="3">
          <reference field="7" count="1" selected="0">
            <x v="51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1658">
      <pivotArea dataOnly="0" labelOnly="1" outline="0" fieldPosition="0">
        <references count="3">
          <reference field="7" count="1" selected="0">
            <x v="161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1657">
      <pivotArea dataOnly="0" labelOnly="1" outline="0" fieldPosition="0">
        <references count="3">
          <reference field="7" count="1" selected="0">
            <x v="175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1656">
      <pivotArea dataOnly="0" labelOnly="1" outline="0" fieldPosition="0">
        <references count="3">
          <reference field="7" count="1" selected="0">
            <x v="148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1655">
      <pivotArea dataOnly="0" labelOnly="1" outline="0" fieldPosition="0">
        <references count="3">
          <reference field="7" count="1" selected="0">
            <x v="152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1654">
      <pivotArea dataOnly="0" labelOnly="1" outline="0" fieldPosition="0">
        <references count="3">
          <reference field="7" count="1" selected="0">
            <x v="48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1653">
      <pivotArea field="16" type="button" dataOnly="0" labelOnly="1" outline="0" axis="axisRow" fieldPosition="0"/>
    </format>
    <format dxfId="1652">
      <pivotArea field="7" type="button" dataOnly="0" labelOnly="1" outline="0" axis="axisRow" fieldPosition="1"/>
    </format>
    <format dxfId="1651">
      <pivotArea field="18" type="button" dataOnly="0" labelOnly="1" outline="0" axis="axisRow" fieldPosition="2"/>
    </format>
    <format dxfId="1650">
      <pivotArea dataOnly="0" labelOnly="1" outline="0" fieldPosition="0">
        <references count="1">
          <reference field="4294967294" count="9"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649">
      <pivotArea field="16" type="button" dataOnly="0" labelOnly="1" outline="0" axis="axisRow" fieldPosition="0"/>
    </format>
    <format dxfId="1648">
      <pivotArea field="7" type="button" dataOnly="0" labelOnly="1" outline="0" axis="axisRow" fieldPosition="1"/>
    </format>
    <format dxfId="1647">
      <pivotArea dataOnly="0" labelOnly="1" outline="0" fieldPosition="0">
        <references count="1">
          <reference field="4294967294" count="9"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646">
      <pivotArea field="16" type="button" dataOnly="0" labelOnly="1" outline="0" axis="axisRow" fieldPosition="0"/>
    </format>
    <format dxfId="1645">
      <pivotArea field="7" type="button" dataOnly="0" labelOnly="1" outline="0" axis="axisRow" fieldPosition="1"/>
    </format>
    <format dxfId="1644">
      <pivotArea field="18" type="button" dataOnly="0" labelOnly="1" outline="0" axis="axisRow" fieldPosition="2"/>
    </format>
    <format dxfId="1643">
      <pivotArea dataOnly="0" labelOnly="1" outline="0" fieldPosition="0">
        <references count="1">
          <reference field="4294967294" count="9"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642">
      <pivotArea outline="0" fieldPosition="0">
        <references count="1">
          <reference field="4294967294" count="1" selected="0">
            <x v="5"/>
          </reference>
        </references>
      </pivotArea>
    </format>
    <format dxfId="1641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640">
      <pivotArea outline="0" fieldPosition="0">
        <references count="1">
          <reference field="4294967294" count="1" selected="0">
            <x v="8"/>
          </reference>
        </references>
      </pivotArea>
    </format>
    <format dxfId="1639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1638">
      <pivotArea outline="0" fieldPosition="0">
        <references count="1">
          <reference field="4294967294" count="1" selected="0">
            <x v="11"/>
          </reference>
        </references>
      </pivotArea>
    </format>
    <format dxfId="1637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163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63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63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633">
      <pivotArea field="18" type="button" dataOnly="0" labelOnly="1" outline="0" axis="axisRow" fieldPosition="2"/>
    </format>
    <format dxfId="1632">
      <pivotArea dataOnly="0" labelOnly="1" outline="0" fieldPosition="0">
        <references count="3">
          <reference field="7" count="1" selected="0">
            <x v="177"/>
          </reference>
          <reference field="16" count="1" selected="0">
            <x v="6"/>
          </reference>
          <reference field="18" count="1">
            <x v="2"/>
          </reference>
        </references>
      </pivotArea>
    </format>
    <format dxfId="1631">
      <pivotArea dataOnly="0" labelOnly="1" outline="0" fieldPosition="0">
        <references count="3">
          <reference field="7" count="1" selected="0">
            <x v="616"/>
          </reference>
          <reference field="16" count="1" selected="0">
            <x v="9"/>
          </reference>
          <reference field="18" count="1">
            <x v="0"/>
          </reference>
        </references>
      </pivotArea>
    </format>
    <format dxfId="1630">
      <pivotArea dataOnly="0" labelOnly="1" outline="0" fieldPosition="0">
        <references count="3">
          <reference field="7" count="1" selected="0">
            <x v="617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1629">
      <pivotArea dataOnly="0" labelOnly="1" outline="0" fieldPosition="0">
        <references count="3">
          <reference field="7" count="1" selected="0">
            <x v="469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1628">
      <pivotArea dataOnly="0" labelOnly="1" outline="0" fieldPosition="0">
        <references count="3">
          <reference field="7" count="1" selected="0">
            <x v="501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1627">
      <pivotArea dataOnly="0" labelOnly="1" outline="0" fieldPosition="0">
        <references count="3">
          <reference field="7" count="1" selected="0">
            <x v="618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1626">
      <pivotArea dataOnly="0" labelOnly="1" outline="0" fieldPosition="0">
        <references count="3">
          <reference field="7" count="1" selected="0">
            <x v="619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1625">
      <pivotArea dataOnly="0" labelOnly="1" outline="0" fieldPosition="0">
        <references count="3">
          <reference field="7" count="1" selected="0">
            <x v="620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1624">
      <pivotArea dataOnly="0" labelOnly="1" outline="0" fieldPosition="0">
        <references count="3">
          <reference field="7" count="1" selected="0">
            <x v="621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1623">
      <pivotArea dataOnly="0" labelOnly="1" outline="0" fieldPosition="0">
        <references count="3">
          <reference field="7" count="1" selected="0">
            <x v="632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1622">
      <pivotArea dataOnly="0" labelOnly="1" outline="0" fieldPosition="0">
        <references count="3">
          <reference field="7" count="1" selected="0">
            <x v="633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1621">
      <pivotArea dataOnly="0" labelOnly="1" outline="0" fieldPosition="0">
        <references count="3">
          <reference field="7" count="1" selected="0">
            <x v="634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1620">
      <pivotArea dataOnly="0" labelOnly="1" outline="0" fieldPosition="0">
        <references count="3">
          <reference field="7" count="1" selected="0">
            <x v="635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1619">
      <pivotArea dataOnly="0" labelOnly="1" outline="0" fieldPosition="0">
        <references count="3">
          <reference field="7" count="1" selected="0">
            <x v="622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1618">
      <pivotArea dataOnly="0" labelOnly="1" outline="0" fieldPosition="0">
        <references count="3">
          <reference field="7" count="1" selected="0">
            <x v="636"/>
          </reference>
          <reference field="16" count="1" selected="0">
            <x v="15"/>
          </reference>
          <reference field="18" count="1">
            <x v="2"/>
          </reference>
        </references>
      </pivotArea>
    </format>
    <format dxfId="1617">
      <pivotArea dataOnly="0" labelOnly="1" outline="0" fieldPosition="0">
        <references count="3">
          <reference field="7" count="1" selected="0">
            <x v="623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616">
      <pivotArea dataOnly="0" labelOnly="1" outline="0" fieldPosition="0">
        <references count="3">
          <reference field="7" count="1" selected="0">
            <x v="624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615">
      <pivotArea dataOnly="0" labelOnly="1" outline="0" fieldPosition="0">
        <references count="3">
          <reference field="7" count="1" selected="0">
            <x v="626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614">
      <pivotArea dataOnly="0" labelOnly="1" outline="0" fieldPosition="0">
        <references count="3">
          <reference field="7" count="1" selected="0">
            <x v="630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613">
      <pivotArea dataOnly="0" labelOnly="1" outline="0" fieldPosition="0">
        <references count="3">
          <reference field="7" count="1" selected="0">
            <x v="625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1612">
      <pivotArea dataOnly="0" labelOnly="1" outline="0" fieldPosition="0">
        <references count="3">
          <reference field="7" count="1" selected="0">
            <x v="627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1611">
      <pivotArea dataOnly="0" labelOnly="1" outline="0" fieldPosition="0">
        <references count="3">
          <reference field="7" count="1" selected="0">
            <x v="628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1610">
      <pivotArea dataOnly="0" labelOnly="1" outline="0" fieldPosition="0">
        <references count="3">
          <reference field="7" count="1" selected="0">
            <x v="629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1609">
      <pivotArea dataOnly="0" labelOnly="1" outline="0" fieldPosition="0">
        <references count="3">
          <reference field="7" count="1" selected="0">
            <x v="631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608">
      <pivotArea dataOnly="0" labelOnly="1" outline="0" fieldPosition="0">
        <references count="3">
          <reference field="7" count="1" selected="0">
            <x v="637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607">
      <pivotArea dataOnly="0" labelOnly="1" outline="0" fieldPosition="0">
        <references count="3">
          <reference field="7" count="1" selected="0">
            <x v="565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1606">
      <pivotArea field="16" type="button" dataOnly="0" labelOnly="1" outline="0" axis="axisRow" fieldPosition="0"/>
    </format>
    <format dxfId="1605">
      <pivotArea field="7" type="button" dataOnly="0" labelOnly="1" outline="0" axis="axisRow" fieldPosition="1"/>
    </format>
    <format dxfId="1604">
      <pivotArea field="18" type="button" dataOnly="0" labelOnly="1" outline="0" axis="axisRow" fieldPosition="2"/>
    </format>
    <format dxfId="1603">
      <pivotArea dataOnly="0" labelOnly="1" outline="0" fieldPosition="0">
        <references count="1">
          <reference field="4294967294" count="10">
            <x v="1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602">
      <pivotArea field="16" type="button" dataOnly="0" labelOnly="1" outline="0" axis="axisRow" fieldPosition="0"/>
    </format>
    <format dxfId="1601">
      <pivotArea field="7" type="button" dataOnly="0" labelOnly="1" outline="0" axis="axisRow" fieldPosition="1"/>
    </format>
    <format dxfId="1600">
      <pivotArea field="18" type="button" dataOnly="0" labelOnly="1" outline="0" axis="axisRow" fieldPosition="2"/>
    </format>
    <format dxfId="1599">
      <pivotArea dataOnly="0" labelOnly="1" outline="0" fieldPosition="0">
        <references count="1">
          <reference field="4294967294" count="10">
            <x v="1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598">
      <pivotArea field="7" type="button" dataOnly="0" labelOnly="1" outline="0" axis="axisRow" fieldPosition="1"/>
    </format>
    <format dxfId="1597">
      <pivotArea dataOnly="0" labelOnly="1" outline="0" fieldPosition="0">
        <references count="2">
          <reference field="7" count="18">
            <x v="101"/>
            <x v="677"/>
            <x v="678"/>
            <x v="703"/>
            <x v="704"/>
            <x v="705"/>
            <x v="706"/>
            <x v="707"/>
            <x v="708"/>
            <x v="709"/>
            <x v="715"/>
            <x v="716"/>
            <x v="717"/>
            <x v="718"/>
            <x v="719"/>
            <x v="721"/>
            <x v="722"/>
            <x v="725"/>
          </reference>
          <reference field="16" count="1" selected="0">
            <x v="15"/>
          </reference>
        </references>
      </pivotArea>
    </format>
    <format dxfId="1596">
      <pivotArea dataOnly="0" labelOnly="1" outline="0" fieldPosition="0">
        <references count="2">
          <reference field="7" count="21">
            <x v="469"/>
            <x v="712"/>
            <x v="713"/>
            <x v="714"/>
            <x v="720"/>
            <x v="723"/>
            <x v="724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834"/>
            <x v="836"/>
          </reference>
          <reference field="16" count="1" selected="0">
            <x v="16"/>
          </reference>
        </references>
      </pivotArea>
    </format>
    <format dxfId="1595">
      <pivotArea field="18" type="button" dataOnly="0" labelOnly="1" outline="0" axis="axisRow" fieldPosition="2"/>
    </format>
    <format dxfId="1594">
      <pivotArea dataOnly="0" labelOnly="1" outline="0" fieldPosition="0">
        <references count="3">
          <reference field="7" count="1" selected="0">
            <x v="705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1593">
      <pivotArea dataOnly="0" labelOnly="1" outline="0" fieldPosition="0">
        <references count="3">
          <reference field="7" count="1" selected="0">
            <x v="724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592">
      <pivotArea dataOnly="0" labelOnly="1" outline="0" fieldPosition="0">
        <references count="3">
          <reference field="7" count="1" selected="0">
            <x v="727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591">
      <pivotArea field="16" type="button" dataOnly="0" labelOnly="1" outline="0" axis="axisRow" fieldPosition="0"/>
    </format>
    <format dxfId="1590">
      <pivotArea field="7" type="button" dataOnly="0" labelOnly="1" outline="0" axis="axisRow" fieldPosition="1"/>
    </format>
    <format dxfId="1589">
      <pivotArea field="18" type="button" dataOnly="0" labelOnly="1" outline="0" axis="axisRow" fieldPosition="2"/>
    </format>
    <format dxfId="1588">
      <pivotArea dataOnly="0" labelOnly="1" outline="0" fieldPosition="0">
        <references count="1">
          <reference field="4294967294" count="10">
            <x v="1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587">
      <pivotArea dataOnly="0" labelOnly="1" outline="0" fieldPosition="0">
        <references count="3">
          <reference field="7" count="1" selected="0">
            <x v="682"/>
          </reference>
          <reference field="16" count="1" selected="0">
            <x v="9"/>
          </reference>
          <reference field="18" count="0"/>
        </references>
      </pivotArea>
    </format>
    <format dxfId="1586">
      <pivotArea dataOnly="0" labelOnly="1" outline="0" fieldPosition="0">
        <references count="3">
          <reference field="7" count="1" selected="0">
            <x v="686"/>
          </reference>
          <reference field="16" count="1" selected="0">
            <x v="11"/>
          </reference>
          <reference field="18" count="0"/>
        </references>
      </pivotArea>
    </format>
    <format dxfId="1585">
      <pivotArea dataOnly="0" labelOnly="1" outline="0" fieldPosition="0">
        <references count="3">
          <reference field="7" count="1" selected="0">
            <x v="702"/>
          </reference>
          <reference field="16" count="1" selected="0">
            <x v="14"/>
          </reference>
          <reference field="18" count="0"/>
        </references>
      </pivotArea>
    </format>
    <format dxfId="1584">
      <pivotArea dataOnly="0" labelOnly="1" outline="0" fieldPosition="0">
        <references count="3">
          <reference field="7" count="1" selected="0">
            <x v="677"/>
          </reference>
          <reference field="16" count="1" selected="0">
            <x v="15"/>
          </reference>
          <reference field="18" count="0"/>
        </references>
      </pivotArea>
    </format>
    <format dxfId="1583">
      <pivotArea dataOnly="0" labelOnly="1" outline="0" fieldPosition="0">
        <references count="3">
          <reference field="7" count="1" selected="0">
            <x v="678"/>
          </reference>
          <reference field="16" count="1" selected="0">
            <x v="15"/>
          </reference>
          <reference field="18" count="0"/>
        </references>
      </pivotArea>
    </format>
    <format dxfId="1582">
      <pivotArea dataOnly="0" labelOnly="1" outline="0" fieldPosition="0">
        <references count="3">
          <reference field="7" count="1" selected="0">
            <x v="682"/>
          </reference>
          <reference field="16" count="1" selected="0">
            <x v="9"/>
          </reference>
          <reference field="18" count="0"/>
        </references>
      </pivotArea>
    </format>
    <format dxfId="1581">
      <pivotArea dataOnly="0" labelOnly="1" outline="0" fieldPosition="0">
        <references count="3">
          <reference field="7" count="1" selected="0">
            <x v="686"/>
          </reference>
          <reference field="16" count="1" selected="0">
            <x v="11"/>
          </reference>
          <reference field="18" count="0"/>
        </references>
      </pivotArea>
    </format>
    <format dxfId="1580">
      <pivotArea dataOnly="0" labelOnly="1" outline="0" fieldPosition="0">
        <references count="3">
          <reference field="7" count="1" selected="0">
            <x v="702"/>
          </reference>
          <reference field="16" count="1" selected="0">
            <x v="14"/>
          </reference>
          <reference field="18" count="0"/>
        </references>
      </pivotArea>
    </format>
    <format dxfId="1579">
      <pivotArea dataOnly="0" labelOnly="1" outline="0" fieldPosition="0">
        <references count="3">
          <reference field="7" count="1" selected="0">
            <x v="677"/>
          </reference>
          <reference field="16" count="1" selected="0">
            <x v="15"/>
          </reference>
          <reference field="18" count="0"/>
        </references>
      </pivotArea>
    </format>
    <format dxfId="1578">
      <pivotArea dataOnly="0" labelOnly="1" outline="0" fieldPosition="0">
        <references count="3">
          <reference field="7" count="1" selected="0">
            <x v="678"/>
          </reference>
          <reference field="16" count="1" selected="0">
            <x v="15"/>
          </reference>
          <reference field="18" count="0"/>
        </references>
      </pivotArea>
    </format>
    <format dxfId="1577">
      <pivotArea dataOnly="0" labelOnly="1" outline="0" fieldPosition="0">
        <references count="3">
          <reference field="7" count="1" selected="0">
            <x v="682"/>
          </reference>
          <reference field="16" count="1" selected="0">
            <x v="9"/>
          </reference>
          <reference field="18" count="0"/>
        </references>
      </pivotArea>
    </format>
    <format dxfId="1576">
      <pivotArea dataOnly="0" labelOnly="1" outline="0" fieldPosition="0">
        <references count="3">
          <reference field="7" count="1" selected="0">
            <x v="686"/>
          </reference>
          <reference field="16" count="1" selected="0">
            <x v="11"/>
          </reference>
          <reference field="18" count="0"/>
        </references>
      </pivotArea>
    </format>
    <format dxfId="1575">
      <pivotArea dataOnly="0" labelOnly="1" outline="0" fieldPosition="0">
        <references count="3">
          <reference field="7" count="1" selected="0">
            <x v="702"/>
          </reference>
          <reference field="16" count="1" selected="0">
            <x v="14"/>
          </reference>
          <reference field="18" count="0"/>
        </references>
      </pivotArea>
    </format>
    <format dxfId="1574">
      <pivotArea dataOnly="0" labelOnly="1" outline="0" fieldPosition="0">
        <references count="3">
          <reference field="7" count="1" selected="0">
            <x v="677"/>
          </reference>
          <reference field="16" count="1" selected="0">
            <x v="15"/>
          </reference>
          <reference field="18" count="0"/>
        </references>
      </pivotArea>
    </format>
    <format dxfId="1573">
      <pivotArea dataOnly="0" labelOnly="1" outline="0" fieldPosition="0">
        <references count="3">
          <reference field="7" count="1" selected="0">
            <x v="678"/>
          </reference>
          <reference field="16" count="1" selected="0">
            <x v="15"/>
          </reference>
          <reference field="18" count="0"/>
        </references>
      </pivotArea>
    </format>
    <format dxfId="1572">
      <pivotArea dataOnly="0" labelOnly="1" outline="0" fieldPosition="0">
        <references count="3">
          <reference field="7" count="1" selected="0">
            <x v="642"/>
          </reference>
          <reference field="16" count="1" selected="0">
            <x v="12"/>
          </reference>
          <reference field="18" count="0"/>
        </references>
      </pivotArea>
    </format>
    <format dxfId="1571">
      <pivotArea dataOnly="0" labelOnly="1" outline="0" fieldPosition="0">
        <references count="3">
          <reference field="7" count="1" selected="0">
            <x v="690"/>
          </reference>
          <reference field="16" count="1" selected="0">
            <x v="12"/>
          </reference>
          <reference field="18" count="0"/>
        </references>
      </pivotArea>
    </format>
    <format dxfId="1570">
      <pivotArea dataOnly="0" labelOnly="1" outline="0" fieldPosition="0">
        <references count="3">
          <reference field="7" count="1" selected="0">
            <x v="691"/>
          </reference>
          <reference field="16" count="1" selected="0">
            <x v="13"/>
          </reference>
          <reference field="18" count="0"/>
        </references>
      </pivotArea>
    </format>
    <format dxfId="1569">
      <pivotArea dataOnly="0" labelOnly="1" outline="0" fieldPosition="0">
        <references count="3">
          <reference field="7" count="1" selected="0">
            <x v="695"/>
          </reference>
          <reference field="16" count="1" selected="0">
            <x v="13"/>
          </reference>
          <reference field="18" count="0"/>
        </references>
      </pivotArea>
    </format>
    <format dxfId="1568">
      <pivotArea dataOnly="0" labelOnly="1" outline="0" fieldPosition="0">
        <references count="3">
          <reference field="7" count="1" selected="0">
            <x v="716"/>
          </reference>
          <reference field="16" count="1" selected="0">
            <x v="15"/>
          </reference>
          <reference field="18" count="0"/>
        </references>
      </pivotArea>
    </format>
    <format dxfId="1567">
      <pivotArea dataOnly="0" labelOnly="1" outline="0" fieldPosition="0">
        <references count="3">
          <reference field="7" count="1" selected="0">
            <x v="718"/>
          </reference>
          <reference field="16" count="1" selected="0">
            <x v="15"/>
          </reference>
          <reference field="18" count="0"/>
        </references>
      </pivotArea>
    </format>
    <format dxfId="1566">
      <pivotArea dataOnly="0" labelOnly="1" outline="0" fieldPosition="0">
        <references count="3">
          <reference field="7" count="1" selected="0">
            <x v="469"/>
          </reference>
          <reference field="16" count="1" selected="0">
            <x v="16"/>
          </reference>
          <reference field="18" count="0"/>
        </references>
      </pivotArea>
    </format>
    <format dxfId="1565">
      <pivotArea dataOnly="0" labelOnly="1" outline="0" fieldPosition="0">
        <references count="3">
          <reference field="7" count="1" selected="0">
            <x v="723"/>
          </reference>
          <reference field="16" count="1" selected="0">
            <x v="16"/>
          </reference>
          <reference field="18" count="0"/>
        </references>
      </pivotArea>
    </format>
    <format dxfId="1564">
      <pivotArea dataOnly="0" labelOnly="1" outline="0" fieldPosition="0">
        <references count="3">
          <reference field="7" count="1" selected="0">
            <x v="729"/>
          </reference>
          <reference field="16" count="1" selected="0">
            <x v="16"/>
          </reference>
          <reference field="18" count="0"/>
        </references>
      </pivotArea>
    </format>
    <format dxfId="1563">
      <pivotArea dataOnly="0" labelOnly="1" outline="0" fieldPosition="0">
        <references count="3">
          <reference field="7" count="1" selected="0">
            <x v="732"/>
          </reference>
          <reference field="16" count="1" selected="0">
            <x v="16"/>
          </reference>
          <reference field="18" count="0"/>
        </references>
      </pivotArea>
    </format>
    <format dxfId="1562">
      <pivotArea dataOnly="0" labelOnly="1" outline="0" fieldPosition="0">
        <references count="3">
          <reference field="7" count="1" selected="0">
            <x v="734"/>
          </reference>
          <reference field="16" count="1" selected="0">
            <x v="16"/>
          </reference>
          <reference field="18" count="0"/>
        </references>
      </pivotArea>
    </format>
    <format dxfId="1561">
      <pivotArea dataOnly="0" labelOnly="1" outline="0" fieldPosition="0">
        <references count="3">
          <reference field="7" count="1" selected="0">
            <x v="834"/>
          </reference>
          <reference field="16" count="1" selected="0">
            <x v="16"/>
          </reference>
          <reference field="18" count="0"/>
        </references>
      </pivotArea>
    </format>
    <format dxfId="1560">
      <pivotArea dataOnly="0" labelOnly="1" outline="0" fieldPosition="0">
        <references count="3">
          <reference field="7" count="1" selected="0">
            <x v="740"/>
          </reference>
          <reference field="16" count="1" selected="0">
            <x v="17"/>
          </reference>
          <reference field="18" count="0"/>
        </references>
      </pivotArea>
    </format>
    <format dxfId="1559">
      <pivotArea dataOnly="0" labelOnly="1" outline="0" fieldPosition="0">
        <references count="3">
          <reference field="7" count="1" selected="0">
            <x v="741"/>
          </reference>
          <reference field="16" count="1" selected="0">
            <x v="17"/>
          </reference>
          <reference field="18" count="0"/>
        </references>
      </pivotArea>
    </format>
    <format dxfId="1558">
      <pivotArea dataOnly="0" labelOnly="1" outline="0" fieldPosition="0">
        <references count="3">
          <reference field="7" count="1" selected="0">
            <x v="749"/>
          </reference>
          <reference field="16" count="1" selected="0">
            <x v="18"/>
          </reference>
          <reference field="18" count="0"/>
        </references>
      </pivotArea>
    </format>
    <format dxfId="1557">
      <pivotArea dataOnly="0" labelOnly="1" outline="0" fieldPosition="0">
        <references count="3">
          <reference field="7" count="1" selected="0">
            <x v="771"/>
          </reference>
          <reference field="16" count="1" selected="0">
            <x v="20"/>
          </reference>
          <reference field="18" count="0"/>
        </references>
      </pivotArea>
    </format>
    <format dxfId="1556">
      <pivotArea dataOnly="0" labelOnly="1" outline="0" fieldPosition="0">
        <references count="3">
          <reference field="7" count="1" selected="0">
            <x v="642"/>
          </reference>
          <reference field="16" count="1" selected="0">
            <x v="12"/>
          </reference>
          <reference field="18" count="0"/>
        </references>
      </pivotArea>
    </format>
    <format dxfId="1555">
      <pivotArea dataOnly="0" labelOnly="1" outline="0" fieldPosition="0">
        <references count="3">
          <reference field="7" count="1" selected="0">
            <x v="690"/>
          </reference>
          <reference field="16" count="1" selected="0">
            <x v="12"/>
          </reference>
          <reference field="18" count="0"/>
        </references>
      </pivotArea>
    </format>
    <format dxfId="1554">
      <pivotArea dataOnly="0" labelOnly="1" outline="0" fieldPosition="0">
        <references count="3">
          <reference field="7" count="1" selected="0">
            <x v="691"/>
          </reference>
          <reference field="16" count="1" selected="0">
            <x v="13"/>
          </reference>
          <reference field="18" count="0"/>
        </references>
      </pivotArea>
    </format>
    <format dxfId="1553">
      <pivotArea dataOnly="0" labelOnly="1" outline="0" fieldPosition="0">
        <references count="3">
          <reference field="7" count="1" selected="0">
            <x v="695"/>
          </reference>
          <reference field="16" count="1" selected="0">
            <x v="13"/>
          </reference>
          <reference field="18" count="0"/>
        </references>
      </pivotArea>
    </format>
    <format dxfId="1552">
      <pivotArea dataOnly="0" labelOnly="1" outline="0" fieldPosition="0">
        <references count="3">
          <reference field="7" count="1" selected="0">
            <x v="716"/>
          </reference>
          <reference field="16" count="1" selected="0">
            <x v="15"/>
          </reference>
          <reference field="18" count="0"/>
        </references>
      </pivotArea>
    </format>
    <format dxfId="1551">
      <pivotArea dataOnly="0" labelOnly="1" outline="0" fieldPosition="0">
        <references count="3">
          <reference field="7" count="1" selected="0">
            <x v="718"/>
          </reference>
          <reference field="16" count="1" selected="0">
            <x v="15"/>
          </reference>
          <reference field="18" count="0"/>
        </references>
      </pivotArea>
    </format>
    <format dxfId="1550">
      <pivotArea dataOnly="0" labelOnly="1" outline="0" fieldPosition="0">
        <references count="3">
          <reference field="7" count="1" selected="0">
            <x v="469"/>
          </reference>
          <reference field="16" count="1" selected="0">
            <x v="16"/>
          </reference>
          <reference field="18" count="0"/>
        </references>
      </pivotArea>
    </format>
    <format dxfId="1549">
      <pivotArea dataOnly="0" labelOnly="1" outline="0" fieldPosition="0">
        <references count="3">
          <reference field="7" count="1" selected="0">
            <x v="723"/>
          </reference>
          <reference field="16" count="1" selected="0">
            <x v="16"/>
          </reference>
          <reference field="18" count="0"/>
        </references>
      </pivotArea>
    </format>
    <format dxfId="1548">
      <pivotArea dataOnly="0" labelOnly="1" outline="0" fieldPosition="0">
        <references count="3">
          <reference field="7" count="1" selected="0">
            <x v="729"/>
          </reference>
          <reference field="16" count="1" selected="0">
            <x v="16"/>
          </reference>
          <reference field="18" count="0"/>
        </references>
      </pivotArea>
    </format>
    <format dxfId="1547">
      <pivotArea dataOnly="0" labelOnly="1" outline="0" fieldPosition="0">
        <references count="3">
          <reference field="7" count="1" selected="0">
            <x v="732"/>
          </reference>
          <reference field="16" count="1" selected="0">
            <x v="16"/>
          </reference>
          <reference field="18" count="0"/>
        </references>
      </pivotArea>
    </format>
    <format dxfId="1546">
      <pivotArea dataOnly="0" labelOnly="1" outline="0" fieldPosition="0">
        <references count="3">
          <reference field="7" count="1" selected="0">
            <x v="734"/>
          </reference>
          <reference field="16" count="1" selected="0">
            <x v="16"/>
          </reference>
          <reference field="18" count="0"/>
        </references>
      </pivotArea>
    </format>
    <format dxfId="1545">
      <pivotArea dataOnly="0" labelOnly="1" outline="0" fieldPosition="0">
        <references count="3">
          <reference field="7" count="1" selected="0">
            <x v="834"/>
          </reference>
          <reference field="16" count="1" selected="0">
            <x v="16"/>
          </reference>
          <reference field="18" count="0"/>
        </references>
      </pivotArea>
    </format>
    <format dxfId="1544">
      <pivotArea dataOnly="0" labelOnly="1" outline="0" fieldPosition="0">
        <references count="3">
          <reference field="7" count="1" selected="0">
            <x v="740"/>
          </reference>
          <reference field="16" count="1" selected="0">
            <x v="17"/>
          </reference>
          <reference field="18" count="0"/>
        </references>
      </pivotArea>
    </format>
    <format dxfId="1543">
      <pivotArea dataOnly="0" labelOnly="1" outline="0" fieldPosition="0">
        <references count="3">
          <reference field="7" count="1" selected="0">
            <x v="741"/>
          </reference>
          <reference field="16" count="1" selected="0">
            <x v="17"/>
          </reference>
          <reference field="18" count="0"/>
        </references>
      </pivotArea>
    </format>
    <format dxfId="1542">
      <pivotArea dataOnly="0" labelOnly="1" outline="0" fieldPosition="0">
        <references count="3">
          <reference field="7" count="1" selected="0">
            <x v="749"/>
          </reference>
          <reference field="16" count="1" selected="0">
            <x v="18"/>
          </reference>
          <reference field="18" count="0"/>
        </references>
      </pivotArea>
    </format>
    <format dxfId="1541">
      <pivotArea dataOnly="0" labelOnly="1" outline="0" fieldPosition="0">
        <references count="3">
          <reference field="7" count="1" selected="0">
            <x v="771"/>
          </reference>
          <reference field="16" count="1" selected="0">
            <x v="20"/>
          </reference>
          <reference field="18" count="0"/>
        </references>
      </pivotArea>
    </format>
    <format dxfId="1540">
      <pivotArea dataOnly="0" labelOnly="1" outline="0" fieldPosition="0">
        <references count="3">
          <reference field="7" count="1" selected="0">
            <x v="683"/>
          </reference>
          <reference field="16" count="1" selected="0">
            <x v="9"/>
          </reference>
          <reference field="18" count="0"/>
        </references>
      </pivotArea>
    </format>
    <format dxfId="1539">
      <pivotArea dataOnly="0" labelOnly="1" outline="0" fieldPosition="0">
        <references count="3">
          <reference field="7" count="1" selected="0">
            <x v="684"/>
          </reference>
          <reference field="16" count="1" selected="0">
            <x v="9"/>
          </reference>
          <reference field="18" count="0"/>
        </references>
      </pivotArea>
    </format>
    <format dxfId="1538">
      <pivotArea dataOnly="0" labelOnly="1" outline="0" fieldPosition="0">
        <references count="3">
          <reference field="7" count="1" selected="0">
            <x v="835"/>
          </reference>
          <reference field="16" count="1" selected="0">
            <x v="10"/>
          </reference>
          <reference field="18" count="0"/>
        </references>
      </pivotArea>
    </format>
    <format dxfId="1537">
      <pivotArea dataOnly="0" labelOnly="1" outline="0" fieldPosition="0">
        <references count="3">
          <reference field="7" count="1" selected="0">
            <x v="688"/>
          </reference>
          <reference field="16" count="1" selected="0">
            <x v="12"/>
          </reference>
          <reference field="18" count="0"/>
        </references>
      </pivotArea>
    </format>
    <format dxfId="1536">
      <pivotArea dataOnly="0" labelOnly="1" outline="0" fieldPosition="0">
        <references count="3">
          <reference field="7" count="1" selected="0">
            <x v="689"/>
          </reference>
          <reference field="16" count="1" selected="0">
            <x v="12"/>
          </reference>
          <reference field="18" count="0"/>
        </references>
      </pivotArea>
    </format>
    <format dxfId="1535">
      <pivotArea dataOnly="0" labelOnly="1" outline="0" fieldPosition="0">
        <references count="3">
          <reference field="7" count="1" selected="0">
            <x v="693"/>
          </reference>
          <reference field="16" count="1" selected="0">
            <x v="13"/>
          </reference>
          <reference field="18" count="0"/>
        </references>
      </pivotArea>
    </format>
    <format dxfId="1534">
      <pivotArea dataOnly="0" labelOnly="1" outline="0" fieldPosition="0">
        <references count="3">
          <reference field="7" count="1" selected="0">
            <x v="694"/>
          </reference>
          <reference field="16" count="1" selected="0">
            <x v="13"/>
          </reference>
          <reference field="18" count="0"/>
        </references>
      </pivotArea>
    </format>
    <format dxfId="1533">
      <pivotArea dataOnly="0" labelOnly="1" outline="0" fieldPosition="0">
        <references count="3">
          <reference field="7" count="1" selected="0">
            <x v="698"/>
          </reference>
          <reference field="16" count="1" selected="0">
            <x v="14"/>
          </reference>
          <reference field="18" count="0"/>
        </references>
      </pivotArea>
    </format>
    <format dxfId="1532">
      <pivotArea dataOnly="0" labelOnly="1" outline="0" fieldPosition="0">
        <references count="3">
          <reference field="7" count="1" selected="0">
            <x v="700"/>
          </reference>
          <reference field="16" count="1" selected="0">
            <x v="14"/>
          </reference>
          <reference field="18" count="0"/>
        </references>
      </pivotArea>
    </format>
    <format dxfId="1531">
      <pivotArea dataOnly="0" labelOnly="1" outline="0" fieldPosition="0">
        <references count="3">
          <reference field="7" count="1" selected="0">
            <x v="705"/>
          </reference>
          <reference field="16" count="1" selected="0">
            <x v="14"/>
          </reference>
          <reference field="18" count="0"/>
        </references>
      </pivotArea>
    </format>
    <format dxfId="1530">
      <pivotArea dataOnly="0" labelOnly="1" outline="0" fieldPosition="0">
        <references count="3">
          <reference field="7" count="1" selected="0">
            <x v="101"/>
          </reference>
          <reference field="16" count="1" selected="0">
            <x v="15"/>
          </reference>
          <reference field="18" count="0"/>
        </references>
      </pivotArea>
    </format>
    <format dxfId="1529">
      <pivotArea dataOnly="0" labelOnly="1" outline="0" fieldPosition="0">
        <references count="3">
          <reference field="7" count="1" selected="0">
            <x v="704"/>
          </reference>
          <reference field="16" count="1" selected="0">
            <x v="15"/>
          </reference>
          <reference field="18" count="0"/>
        </references>
      </pivotArea>
    </format>
    <format dxfId="1528">
      <pivotArea dataOnly="0" labelOnly="1" outline="0" fieldPosition="0">
        <references count="3">
          <reference field="7" count="1" selected="0">
            <x v="727"/>
          </reference>
          <reference field="16" count="1" selected="0">
            <x v="15"/>
          </reference>
          <reference field="18" count="0"/>
        </references>
      </pivotArea>
    </format>
    <format dxfId="1527">
      <pivotArea dataOnly="0" labelOnly="1" outline="0" fieldPosition="0">
        <references count="3">
          <reference field="7" count="1" selected="0">
            <x v="714"/>
          </reference>
          <reference field="16" count="1" selected="0">
            <x v="16"/>
          </reference>
          <reference field="18" count="0"/>
        </references>
      </pivotArea>
    </format>
    <format dxfId="1526">
      <pivotArea dataOnly="0" labelOnly="1" outline="0" fieldPosition="0">
        <references count="3">
          <reference field="7" count="1" selected="0">
            <x v="728"/>
          </reference>
          <reference field="16" count="1" selected="0">
            <x v="16"/>
          </reference>
          <reference field="18" count="0"/>
        </references>
      </pivotArea>
    </format>
    <format dxfId="1525">
      <pivotArea dataOnly="0" labelOnly="1" outline="0" fieldPosition="0">
        <references count="3">
          <reference field="7" count="1" selected="0">
            <x v="733"/>
          </reference>
          <reference field="16" count="1" selected="0">
            <x v="16"/>
          </reference>
          <reference field="18" count="0"/>
        </references>
      </pivotArea>
    </format>
    <format dxfId="1524">
      <pivotArea dataOnly="0" labelOnly="1" outline="0" fieldPosition="0">
        <references count="3">
          <reference field="7" count="1" selected="0">
            <x v="750"/>
          </reference>
          <reference field="16" count="1" selected="0">
            <x v="18"/>
          </reference>
          <reference field="18" count="0"/>
        </references>
      </pivotArea>
    </format>
    <format dxfId="1523">
      <pivotArea dataOnly="0" labelOnly="1" outline="0" fieldPosition="0">
        <references count="3">
          <reference field="7" count="1" selected="0">
            <x v="760"/>
          </reference>
          <reference field="16" count="1" selected="0">
            <x v="18"/>
          </reference>
          <reference field="18" count="0"/>
        </references>
      </pivotArea>
    </format>
    <format dxfId="1522">
      <pivotArea dataOnly="0" labelOnly="1" outline="0" fieldPosition="0">
        <references count="3">
          <reference field="7" count="1" selected="0">
            <x v="762"/>
          </reference>
          <reference field="16" count="1" selected="0">
            <x v="19"/>
          </reference>
          <reference field="18" count="0"/>
        </references>
      </pivotArea>
    </format>
    <format dxfId="1521">
      <pivotArea dataOnly="0" labelOnly="1" outline="0" fieldPosition="0">
        <references count="3">
          <reference field="7" count="1" selected="0">
            <x v="773"/>
          </reference>
          <reference field="16" count="1" selected="0">
            <x v="20"/>
          </reference>
          <reference field="18" count="0"/>
        </references>
      </pivotArea>
    </format>
    <format dxfId="1520">
      <pivotArea dataOnly="0" labelOnly="1" outline="0" fieldPosition="0">
        <references count="3">
          <reference field="7" count="1" selected="0">
            <x v="774"/>
          </reference>
          <reference field="16" count="1" selected="0">
            <x v="20"/>
          </reference>
          <reference field="18" count="0"/>
        </references>
      </pivotArea>
    </format>
    <format dxfId="1519">
      <pivotArea dataOnly="0" labelOnly="1" outline="0" fieldPosition="0">
        <references count="3">
          <reference field="7" count="1" selected="0">
            <x v="775"/>
          </reference>
          <reference field="16" count="1" selected="0">
            <x v="20"/>
          </reference>
          <reference field="18" count="0"/>
        </references>
      </pivotArea>
    </format>
    <format dxfId="1518">
      <pivotArea dataOnly="0" labelOnly="1" outline="0" fieldPosition="0">
        <references count="3">
          <reference field="7" count="1" selected="0">
            <x v="777"/>
          </reference>
          <reference field="16" count="1" selected="0">
            <x v="20"/>
          </reference>
          <reference field="18" count="0"/>
        </references>
      </pivotArea>
    </format>
    <format dxfId="1517">
      <pivotArea dataOnly="0" labelOnly="1" outline="0" fieldPosition="0">
        <references count="3">
          <reference field="7" count="1" selected="0">
            <x v="781"/>
          </reference>
          <reference field="16" count="1" selected="0">
            <x v="20"/>
          </reference>
          <reference field="18" count="0"/>
        </references>
      </pivotArea>
    </format>
    <format dxfId="1516">
      <pivotArea dataOnly="0" labelOnly="1" outline="0" fieldPosition="0">
        <references count="3">
          <reference field="7" count="1" selected="0">
            <x v="790"/>
          </reference>
          <reference field="16" count="1" selected="0">
            <x v="21"/>
          </reference>
          <reference field="18" count="0"/>
        </references>
      </pivotArea>
    </format>
    <format dxfId="1515">
      <pivotArea dataOnly="0" labelOnly="1" outline="0" fieldPosition="0">
        <references count="3">
          <reference field="7" count="1" selected="0">
            <x v="792"/>
          </reference>
          <reference field="16" count="1" selected="0">
            <x v="21"/>
          </reference>
          <reference field="18" count="0"/>
        </references>
      </pivotArea>
    </format>
    <format dxfId="1514">
      <pivotArea dataOnly="0" labelOnly="1" outline="0" fieldPosition="0">
        <references count="3">
          <reference field="7" count="1" selected="0">
            <x v="806"/>
          </reference>
          <reference field="16" count="1" selected="0">
            <x v="21"/>
          </reference>
          <reference field="18" count="0"/>
        </references>
      </pivotArea>
    </format>
    <format dxfId="1513">
      <pivotArea dataOnly="0" labelOnly="1" outline="0" fieldPosition="0">
        <references count="3">
          <reference field="7" count="1" selected="0">
            <x v="807"/>
          </reference>
          <reference field="16" count="1" selected="0">
            <x v="21"/>
          </reference>
          <reference field="18" count="0"/>
        </references>
      </pivotArea>
    </format>
    <format dxfId="1512">
      <pivotArea dataOnly="0" labelOnly="1" outline="0" fieldPosition="0">
        <references count="3">
          <reference field="7" count="1" selected="0">
            <x v="812"/>
          </reference>
          <reference field="16" count="1" selected="0">
            <x v="22"/>
          </reference>
          <reference field="18" count="0"/>
        </references>
      </pivotArea>
    </format>
    <format dxfId="1511">
      <pivotArea dataOnly="0" labelOnly="1" outline="0" fieldPosition="0">
        <references count="3">
          <reference field="7" count="1" selected="0">
            <x v="685"/>
          </reference>
          <reference field="16" count="1" selected="0">
            <x v="10"/>
          </reference>
          <reference field="18" count="0"/>
        </references>
      </pivotArea>
    </format>
    <format dxfId="1510">
      <pivotArea dataOnly="0" labelOnly="1" outline="0" fieldPosition="0">
        <references count="3">
          <reference field="7" count="1" selected="0">
            <x v="687"/>
          </reference>
          <reference field="16" count="1" selected="0">
            <x v="12"/>
          </reference>
          <reference field="18" count="0"/>
        </references>
      </pivotArea>
    </format>
    <format dxfId="1509">
      <pivotArea dataOnly="0" labelOnly="1" outline="0" fieldPosition="0">
        <references count="3">
          <reference field="7" count="1" selected="0">
            <x v="692"/>
          </reference>
          <reference field="16" count="1" selected="0">
            <x v="13"/>
          </reference>
          <reference field="18" count="0"/>
        </references>
      </pivotArea>
    </format>
    <format dxfId="1508">
      <pivotArea dataOnly="0" labelOnly="1" outline="0" fieldPosition="0">
        <references count="3">
          <reference field="7" count="1" selected="0">
            <x v="696"/>
          </reference>
          <reference field="16" count="1" selected="0">
            <x v="13"/>
          </reference>
          <reference field="18" count="0"/>
        </references>
      </pivotArea>
    </format>
    <format dxfId="1507">
      <pivotArea dataOnly="0" labelOnly="1" outline="0" fieldPosition="0">
        <references count="3">
          <reference field="7" count="1" selected="0">
            <x v="697"/>
          </reference>
          <reference field="16" count="1" selected="0">
            <x v="14"/>
          </reference>
          <reference field="18" count="0"/>
        </references>
      </pivotArea>
    </format>
    <format dxfId="1506">
      <pivotArea dataOnly="0" labelOnly="1" outline="0" fieldPosition="0">
        <references count="3">
          <reference field="7" count="1" selected="0">
            <x v="699"/>
          </reference>
          <reference field="16" count="1" selected="0">
            <x v="14"/>
          </reference>
          <reference field="18" count="0"/>
        </references>
      </pivotArea>
    </format>
    <format dxfId="1505">
      <pivotArea dataOnly="0" labelOnly="1" outline="0" fieldPosition="0">
        <references count="3">
          <reference field="7" count="1" selected="0">
            <x v="701"/>
          </reference>
          <reference field="16" count="1" selected="0">
            <x v="14"/>
          </reference>
          <reference field="18" count="0"/>
        </references>
      </pivotArea>
    </format>
    <format dxfId="1504">
      <pivotArea dataOnly="0" labelOnly="1" outline="0" fieldPosition="0">
        <references count="3">
          <reference field="7" count="1" selected="0">
            <x v="710"/>
          </reference>
          <reference field="16" count="1" selected="0">
            <x v="14"/>
          </reference>
          <reference field="18" count="0"/>
        </references>
      </pivotArea>
    </format>
    <format dxfId="1503">
      <pivotArea dataOnly="0" labelOnly="1" outline="0" fieldPosition="0">
        <references count="3">
          <reference field="7" count="1" selected="0">
            <x v="703"/>
          </reference>
          <reference field="16" count="1" selected="0">
            <x v="15"/>
          </reference>
          <reference field="18" count="0"/>
        </references>
      </pivotArea>
    </format>
    <format dxfId="1502">
      <pivotArea dataOnly="0" labelOnly="1" outline="0" fieldPosition="0">
        <references count="3">
          <reference field="7" count="1" selected="0">
            <x v="706"/>
          </reference>
          <reference field="16" count="1" selected="0">
            <x v="15"/>
          </reference>
          <reference field="18" count="0"/>
        </references>
      </pivotArea>
    </format>
    <format dxfId="1501">
      <pivotArea dataOnly="0" labelOnly="1" outline="0" fieldPosition="0">
        <references count="3">
          <reference field="7" count="1" selected="0">
            <x v="707"/>
          </reference>
          <reference field="16" count="1" selected="0">
            <x v="15"/>
          </reference>
          <reference field="18" count="0"/>
        </references>
      </pivotArea>
    </format>
    <format dxfId="1500">
      <pivotArea dataOnly="0" labelOnly="1" outline="0" fieldPosition="0">
        <references count="3">
          <reference field="7" count="1" selected="0">
            <x v="708"/>
          </reference>
          <reference field="16" count="1" selected="0">
            <x v="15"/>
          </reference>
          <reference field="18" count="0"/>
        </references>
      </pivotArea>
    </format>
    <format dxfId="1499">
      <pivotArea dataOnly="0" labelOnly="1" outline="0" fieldPosition="0">
        <references count="3">
          <reference field="7" count="1" selected="0">
            <x v="709"/>
          </reference>
          <reference field="16" count="1" selected="0">
            <x v="15"/>
          </reference>
          <reference field="18" count="0"/>
        </references>
      </pivotArea>
    </format>
    <format dxfId="1498">
      <pivotArea dataOnly="0" labelOnly="1" outline="0" fieldPosition="0">
        <references count="3">
          <reference field="7" count="1" selected="0">
            <x v="715"/>
          </reference>
          <reference field="16" count="1" selected="0">
            <x v="15"/>
          </reference>
          <reference field="18" count="0"/>
        </references>
      </pivotArea>
    </format>
    <format dxfId="1497">
      <pivotArea dataOnly="0" labelOnly="1" outline="0" fieldPosition="0">
        <references count="3">
          <reference field="7" count="1" selected="0">
            <x v="717"/>
          </reference>
          <reference field="16" count="1" selected="0">
            <x v="15"/>
          </reference>
          <reference field="18" count="0"/>
        </references>
      </pivotArea>
    </format>
    <format dxfId="1496">
      <pivotArea dataOnly="0" labelOnly="1" outline="0" fieldPosition="0">
        <references count="3">
          <reference field="7" count="1" selected="0">
            <x v="719"/>
          </reference>
          <reference field="16" count="1" selected="0">
            <x v="15"/>
          </reference>
          <reference field="18" count="0"/>
        </references>
      </pivotArea>
    </format>
    <format dxfId="1495">
      <pivotArea dataOnly="0" labelOnly="1" outline="0" fieldPosition="0">
        <references count="3">
          <reference field="7" count="1" selected="0">
            <x v="721"/>
          </reference>
          <reference field="16" count="1" selected="0">
            <x v="15"/>
          </reference>
          <reference field="18" count="0"/>
        </references>
      </pivotArea>
    </format>
    <format dxfId="1494">
      <pivotArea dataOnly="0" labelOnly="1" outline="0" fieldPosition="0">
        <references count="3">
          <reference field="7" count="1" selected="0">
            <x v="722"/>
          </reference>
          <reference field="16" count="1" selected="0">
            <x v="15"/>
          </reference>
          <reference field="18" count="0"/>
        </references>
      </pivotArea>
    </format>
    <format dxfId="1493">
      <pivotArea dataOnly="0" labelOnly="1" outline="0" fieldPosition="0">
        <references count="3">
          <reference field="7" count="1" selected="0">
            <x v="724"/>
          </reference>
          <reference field="16" count="1" selected="0">
            <x v="15"/>
          </reference>
          <reference field="18" count="0"/>
        </references>
      </pivotArea>
    </format>
    <format dxfId="1492">
      <pivotArea dataOnly="0" labelOnly="1" outline="0" fieldPosition="0">
        <references count="3">
          <reference field="7" count="1" selected="0">
            <x v="725"/>
          </reference>
          <reference field="16" count="1" selected="0">
            <x v="15"/>
          </reference>
          <reference field="18" count="0"/>
        </references>
      </pivotArea>
    </format>
    <format dxfId="1491">
      <pivotArea dataOnly="0" labelOnly="1" outline="0" fieldPosition="0">
        <references count="3">
          <reference field="7" count="1" selected="0">
            <x v="712"/>
          </reference>
          <reference field="16" count="1" selected="0">
            <x v="16"/>
          </reference>
          <reference field="18" count="0"/>
        </references>
      </pivotArea>
    </format>
    <format dxfId="1490">
      <pivotArea dataOnly="0" labelOnly="1" outline="0" fieldPosition="0">
        <references count="3">
          <reference field="7" count="1" selected="0">
            <x v="713"/>
          </reference>
          <reference field="16" count="1" selected="0">
            <x v="16"/>
          </reference>
          <reference field="18" count="0"/>
        </references>
      </pivotArea>
    </format>
    <format dxfId="1489">
      <pivotArea dataOnly="0" labelOnly="1" outline="0" fieldPosition="0">
        <references count="3">
          <reference field="7" count="1" selected="0">
            <x v="720"/>
          </reference>
          <reference field="16" count="1" selected="0">
            <x v="16"/>
          </reference>
          <reference field="18" count="0"/>
        </references>
      </pivotArea>
    </format>
    <format dxfId="1488">
      <pivotArea dataOnly="0" labelOnly="1" outline="0" fieldPosition="0">
        <references count="3">
          <reference field="7" count="1" selected="0">
            <x v="726"/>
          </reference>
          <reference field="16" count="1" selected="0">
            <x v="16"/>
          </reference>
          <reference field="18" count="0"/>
        </references>
      </pivotArea>
    </format>
    <format dxfId="1487">
      <pivotArea dataOnly="0" labelOnly="1" outline="0" fieldPosition="0">
        <references count="3">
          <reference field="7" count="1" selected="0">
            <x v="730"/>
          </reference>
          <reference field="16" count="1" selected="0">
            <x v="16"/>
          </reference>
          <reference field="18" count="0"/>
        </references>
      </pivotArea>
    </format>
    <format dxfId="1486">
      <pivotArea dataOnly="0" labelOnly="1" outline="0" fieldPosition="0">
        <references count="3">
          <reference field="7" count="1" selected="0">
            <x v="731"/>
          </reference>
          <reference field="16" count="1" selected="0">
            <x v="16"/>
          </reference>
          <reference field="18" count="0"/>
        </references>
      </pivotArea>
    </format>
    <format dxfId="1485">
      <pivotArea dataOnly="0" labelOnly="1" outline="0" fieldPosition="0">
        <references count="3">
          <reference field="7" count="1" selected="0">
            <x v="735"/>
          </reference>
          <reference field="16" count="1" selected="0">
            <x v="16"/>
          </reference>
          <reference field="18" count="0"/>
        </references>
      </pivotArea>
    </format>
    <format dxfId="1484">
      <pivotArea dataOnly="0" labelOnly="1" outline="0" fieldPosition="0">
        <references count="3">
          <reference field="7" count="1" selected="0">
            <x v="736"/>
          </reference>
          <reference field="16" count="1" selected="0">
            <x v="16"/>
          </reference>
          <reference field="18" count="0"/>
        </references>
      </pivotArea>
    </format>
    <format dxfId="1483">
      <pivotArea dataOnly="0" labelOnly="1" outline="0" fieldPosition="0">
        <references count="3">
          <reference field="7" count="1" selected="0">
            <x v="737"/>
          </reference>
          <reference field="16" count="1" selected="0">
            <x v="16"/>
          </reference>
          <reference field="18" count="0"/>
        </references>
      </pivotArea>
    </format>
    <format dxfId="1482">
      <pivotArea dataOnly="0" labelOnly="1" outline="0" fieldPosition="0">
        <references count="3">
          <reference field="7" count="1" selected="0">
            <x v="836"/>
          </reference>
          <reference field="16" count="1" selected="0">
            <x v="16"/>
          </reference>
          <reference field="18" count="0"/>
        </references>
      </pivotArea>
    </format>
    <format dxfId="1481">
      <pivotArea dataOnly="0" labelOnly="1" outline="0" fieldPosition="0">
        <references count="3">
          <reference field="7" count="1" selected="0">
            <x v="738"/>
          </reference>
          <reference field="16" count="1" selected="0">
            <x v="17"/>
          </reference>
          <reference field="18" count="0"/>
        </references>
      </pivotArea>
    </format>
    <format dxfId="1480">
      <pivotArea dataOnly="0" labelOnly="1" outline="0" fieldPosition="0">
        <references count="3">
          <reference field="7" count="1" selected="0">
            <x v="739"/>
          </reference>
          <reference field="16" count="1" selected="0">
            <x v="17"/>
          </reference>
          <reference field="18" count="0"/>
        </references>
      </pivotArea>
    </format>
    <format dxfId="1479">
      <pivotArea dataOnly="0" labelOnly="1" outline="0" fieldPosition="0">
        <references count="3">
          <reference field="7" count="1" selected="0">
            <x v="742"/>
          </reference>
          <reference field="16" count="1" selected="0">
            <x v="17"/>
          </reference>
          <reference field="18" count="0"/>
        </references>
      </pivotArea>
    </format>
    <format dxfId="1478">
      <pivotArea dataOnly="0" labelOnly="1" outline="0" fieldPosition="0">
        <references count="3">
          <reference field="7" count="1" selected="0">
            <x v="743"/>
          </reference>
          <reference field="16" count="1" selected="0">
            <x v="17"/>
          </reference>
          <reference field="18" count="0"/>
        </references>
      </pivotArea>
    </format>
    <format dxfId="1477">
      <pivotArea dataOnly="0" labelOnly="1" outline="0" fieldPosition="0">
        <references count="3">
          <reference field="7" count="1" selected="0">
            <x v="744"/>
          </reference>
          <reference field="16" count="1" selected="0">
            <x v="17"/>
          </reference>
          <reference field="18" count="0"/>
        </references>
      </pivotArea>
    </format>
    <format dxfId="1476">
      <pivotArea dataOnly="0" labelOnly="1" outline="0" fieldPosition="0">
        <references count="3">
          <reference field="7" count="1" selected="0">
            <x v="745"/>
          </reference>
          <reference field="16" count="1" selected="0">
            <x v="17"/>
          </reference>
          <reference field="18" count="0"/>
        </references>
      </pivotArea>
    </format>
    <format dxfId="1475">
      <pivotArea dataOnly="0" labelOnly="1" outline="0" fieldPosition="0">
        <references count="3">
          <reference field="7" count="1" selected="0">
            <x v="746"/>
          </reference>
          <reference field="16" count="1" selected="0">
            <x v="17"/>
          </reference>
          <reference field="18" count="0"/>
        </references>
      </pivotArea>
    </format>
    <format dxfId="1474">
      <pivotArea dataOnly="0" labelOnly="1" outline="0" fieldPosition="0">
        <references count="3">
          <reference field="7" count="1" selected="0">
            <x v="747"/>
          </reference>
          <reference field="16" count="1" selected="0">
            <x v="17"/>
          </reference>
          <reference field="18" count="0"/>
        </references>
      </pivotArea>
    </format>
    <format dxfId="1473">
      <pivotArea dataOnly="0" labelOnly="1" outline="0" fieldPosition="0">
        <references count="3">
          <reference field="7" count="1" selected="0">
            <x v="751"/>
          </reference>
          <reference field="16" count="1" selected="0">
            <x v="17"/>
          </reference>
          <reference field="18" count="0"/>
        </references>
      </pivotArea>
    </format>
    <format dxfId="1472">
      <pivotArea dataOnly="0" labelOnly="1" outline="0" fieldPosition="0">
        <references count="3">
          <reference field="7" count="1" selected="0">
            <x v="13"/>
          </reference>
          <reference field="16" count="1" selected="0">
            <x v="18"/>
          </reference>
          <reference field="18" count="0"/>
        </references>
      </pivotArea>
    </format>
    <format dxfId="1471">
      <pivotArea dataOnly="0" labelOnly="1" outline="0" fieldPosition="0">
        <references count="3">
          <reference field="7" count="1" selected="0">
            <x v="748"/>
          </reference>
          <reference field="16" count="1" selected="0">
            <x v="18"/>
          </reference>
          <reference field="18" count="0"/>
        </references>
      </pivotArea>
    </format>
    <format dxfId="1470">
      <pivotArea dataOnly="0" labelOnly="1" outline="0" fieldPosition="0">
        <references count="3">
          <reference field="7" count="1" selected="0">
            <x v="752"/>
          </reference>
          <reference field="16" count="1" selected="0">
            <x v="18"/>
          </reference>
          <reference field="18" count="0"/>
        </references>
      </pivotArea>
    </format>
    <format dxfId="1469">
      <pivotArea dataOnly="0" labelOnly="1" outline="0" fieldPosition="0">
        <references count="3">
          <reference field="7" count="1" selected="0">
            <x v="753"/>
          </reference>
          <reference field="16" count="1" selected="0">
            <x v="18"/>
          </reference>
          <reference field="18" count="0"/>
        </references>
      </pivotArea>
    </format>
    <format dxfId="1468">
      <pivotArea dataOnly="0" labelOnly="1" outline="0" fieldPosition="0">
        <references count="3">
          <reference field="7" count="1" selected="0">
            <x v="754"/>
          </reference>
          <reference field="16" count="1" selected="0">
            <x v="18"/>
          </reference>
          <reference field="18" count="0"/>
        </references>
      </pivotArea>
    </format>
    <format dxfId="1467">
      <pivotArea dataOnly="0" labelOnly="1" outline="0" fieldPosition="0">
        <references count="3">
          <reference field="7" count="1" selected="0">
            <x v="755"/>
          </reference>
          <reference field="16" count="1" selected="0">
            <x v="18"/>
          </reference>
          <reference field="18" count="0"/>
        </references>
      </pivotArea>
    </format>
    <format dxfId="1466">
      <pivotArea dataOnly="0" labelOnly="1" outline="0" fieldPosition="0">
        <references count="3">
          <reference field="7" count="1" selected="0">
            <x v="756"/>
          </reference>
          <reference field="16" count="1" selected="0">
            <x v="18"/>
          </reference>
          <reference field="18" count="0"/>
        </references>
      </pivotArea>
    </format>
    <format dxfId="1465">
      <pivotArea dataOnly="0" labelOnly="1" outline="0" fieldPosition="0">
        <references count="3">
          <reference field="7" count="1" selected="0">
            <x v="757"/>
          </reference>
          <reference field="16" count="1" selected="0">
            <x v="18"/>
          </reference>
          <reference field="18" count="0"/>
        </references>
      </pivotArea>
    </format>
    <format dxfId="1464">
      <pivotArea dataOnly="0" labelOnly="1" outline="0" fieldPosition="0">
        <references count="3">
          <reference field="7" count="1" selected="0">
            <x v="758"/>
          </reference>
          <reference field="16" count="1" selected="0">
            <x v="18"/>
          </reference>
          <reference field="18" count="0"/>
        </references>
      </pivotArea>
    </format>
    <format dxfId="1463">
      <pivotArea dataOnly="0" labelOnly="1" outline="0" fieldPosition="0">
        <references count="3">
          <reference field="7" count="1" selected="0">
            <x v="759"/>
          </reference>
          <reference field="16" count="1" selected="0">
            <x v="18"/>
          </reference>
          <reference field="18" count="0"/>
        </references>
      </pivotArea>
    </format>
    <format dxfId="1462">
      <pivotArea dataOnly="0" labelOnly="1" outline="0" fieldPosition="0">
        <references count="3">
          <reference field="7" count="1" selected="0">
            <x v="761"/>
          </reference>
          <reference field="16" count="1" selected="0">
            <x v="18"/>
          </reference>
          <reference field="18" count="0"/>
        </references>
      </pivotArea>
    </format>
    <format dxfId="1461">
      <pivotArea dataOnly="0" labelOnly="1" outline="0" fieldPosition="0">
        <references count="3">
          <reference field="7" count="1" selected="0">
            <x v="10"/>
          </reference>
          <reference field="16" count="1" selected="0">
            <x v="19"/>
          </reference>
          <reference field="18" count="0"/>
        </references>
      </pivotArea>
    </format>
    <format dxfId="1460">
      <pivotArea dataOnly="0" labelOnly="1" outline="0" fieldPosition="0">
        <references count="3">
          <reference field="7" count="1" selected="0">
            <x v="11"/>
          </reference>
          <reference field="16" count="1" selected="0">
            <x v="19"/>
          </reference>
          <reference field="18" count="0"/>
        </references>
      </pivotArea>
    </format>
    <format dxfId="1459">
      <pivotArea dataOnly="0" labelOnly="1" outline="0" fieldPosition="0">
        <references count="3">
          <reference field="7" count="1" selected="0">
            <x v="327"/>
          </reference>
          <reference field="16" count="1" selected="0">
            <x v="19"/>
          </reference>
          <reference field="18" count="0"/>
        </references>
      </pivotArea>
    </format>
    <format dxfId="1458">
      <pivotArea dataOnly="0" labelOnly="1" outline="0" fieldPosition="0">
        <references count="3">
          <reference field="7" count="1" selected="0">
            <x v="595"/>
          </reference>
          <reference field="16" count="1" selected="0">
            <x v="19"/>
          </reference>
          <reference field="18" count="0"/>
        </references>
      </pivotArea>
    </format>
    <format dxfId="1457">
      <pivotArea dataOnly="0" labelOnly="1" outline="0" fieldPosition="0">
        <references count="3">
          <reference field="7" count="1" selected="0">
            <x v="763"/>
          </reference>
          <reference field="16" count="1" selected="0">
            <x v="19"/>
          </reference>
          <reference field="18" count="0"/>
        </references>
      </pivotArea>
    </format>
    <format dxfId="1456">
      <pivotArea dataOnly="0" labelOnly="1" outline="0" fieldPosition="0">
        <references count="3">
          <reference field="7" count="1" selected="0">
            <x v="764"/>
          </reference>
          <reference field="16" count="1" selected="0">
            <x v="19"/>
          </reference>
          <reference field="18" count="0"/>
        </references>
      </pivotArea>
    </format>
    <format dxfId="1455">
      <pivotArea dataOnly="0" labelOnly="1" outline="0" fieldPosition="0">
        <references count="3">
          <reference field="7" count="1" selected="0">
            <x v="765"/>
          </reference>
          <reference field="16" count="1" selected="0">
            <x v="19"/>
          </reference>
          <reference field="18" count="0"/>
        </references>
      </pivotArea>
    </format>
    <format dxfId="1454">
      <pivotArea dataOnly="0" labelOnly="1" outline="0" fieldPosition="0">
        <references count="3">
          <reference field="7" count="1" selected="0">
            <x v="766"/>
          </reference>
          <reference field="16" count="1" selected="0">
            <x v="19"/>
          </reference>
          <reference field="18" count="0"/>
        </references>
      </pivotArea>
    </format>
    <format dxfId="1453">
      <pivotArea dataOnly="0" labelOnly="1" outline="0" fieldPosition="0">
        <references count="3">
          <reference field="7" count="1" selected="0">
            <x v="772"/>
          </reference>
          <reference field="16" count="1" selected="0">
            <x v="19"/>
          </reference>
          <reference field="18" count="0"/>
        </references>
      </pivotArea>
    </format>
    <format dxfId="1452">
      <pivotArea dataOnly="0" labelOnly="1" outline="0" fieldPosition="0">
        <references count="3">
          <reference field="7" count="1" selected="0">
            <x v="767"/>
          </reference>
          <reference field="16" count="1" selected="0">
            <x v="20"/>
          </reference>
          <reference field="18" count="0"/>
        </references>
      </pivotArea>
    </format>
    <format dxfId="1451">
      <pivotArea dataOnly="0" labelOnly="1" outline="0" fieldPosition="0">
        <references count="3">
          <reference field="7" count="1" selected="0">
            <x v="768"/>
          </reference>
          <reference field="16" count="1" selected="0">
            <x v="20"/>
          </reference>
          <reference field="18" count="0"/>
        </references>
      </pivotArea>
    </format>
    <format dxfId="1450">
      <pivotArea dataOnly="0" labelOnly="1" outline="0" fieldPosition="0">
        <references count="3">
          <reference field="7" count="1" selected="0">
            <x v="770"/>
          </reference>
          <reference field="16" count="1" selected="0">
            <x v="20"/>
          </reference>
          <reference field="18" count="0"/>
        </references>
      </pivotArea>
    </format>
    <format dxfId="1449">
      <pivotArea dataOnly="0" labelOnly="1" outline="0" fieldPosition="0">
        <references count="3">
          <reference field="7" count="1" selected="0">
            <x v="776"/>
          </reference>
          <reference field="16" count="1" selected="0">
            <x v="20"/>
          </reference>
          <reference field="18" count="0"/>
        </references>
      </pivotArea>
    </format>
    <format dxfId="1448">
      <pivotArea dataOnly="0" labelOnly="1" outline="0" fieldPosition="0">
        <references count="3">
          <reference field="7" count="1" selected="0">
            <x v="778"/>
          </reference>
          <reference field="16" count="1" selected="0">
            <x v="20"/>
          </reference>
          <reference field="18" count="0"/>
        </references>
      </pivotArea>
    </format>
    <format dxfId="1447">
      <pivotArea dataOnly="0" labelOnly="1" outline="0" fieldPosition="0">
        <references count="3">
          <reference field="7" count="1" selected="0">
            <x v="779"/>
          </reference>
          <reference field="16" count="1" selected="0">
            <x v="20"/>
          </reference>
          <reference field="18" count="0"/>
        </references>
      </pivotArea>
    </format>
    <format dxfId="1446">
      <pivotArea dataOnly="0" labelOnly="1" outline="0" fieldPosition="0">
        <references count="3">
          <reference field="7" count="1" selected="0">
            <x v="780"/>
          </reference>
          <reference field="16" count="1" selected="0">
            <x v="20"/>
          </reference>
          <reference field="18" count="0"/>
        </references>
      </pivotArea>
    </format>
    <format dxfId="1445">
      <pivotArea dataOnly="0" labelOnly="1" outline="0" fieldPosition="0">
        <references count="3">
          <reference field="7" count="1" selected="0">
            <x v="782"/>
          </reference>
          <reference field="16" count="1" selected="0">
            <x v="20"/>
          </reference>
          <reference field="18" count="0"/>
        </references>
      </pivotArea>
    </format>
    <format dxfId="1444">
      <pivotArea dataOnly="0" labelOnly="1" outline="0" fieldPosition="0">
        <references count="3">
          <reference field="7" count="1" selected="0">
            <x v="783"/>
          </reference>
          <reference field="16" count="1" selected="0">
            <x v="20"/>
          </reference>
          <reference field="18" count="0"/>
        </references>
      </pivotArea>
    </format>
    <format dxfId="1443">
      <pivotArea dataOnly="0" labelOnly="1" outline="0" fieldPosition="0">
        <references count="3">
          <reference field="7" count="1" selected="0">
            <x v="784"/>
          </reference>
          <reference field="16" count="1" selected="0">
            <x v="20"/>
          </reference>
          <reference field="18" count="0"/>
        </references>
      </pivotArea>
    </format>
    <format dxfId="1442">
      <pivotArea dataOnly="0" labelOnly="1" outline="0" fieldPosition="0">
        <references count="3">
          <reference field="7" count="1" selected="0">
            <x v="785"/>
          </reference>
          <reference field="16" count="1" selected="0">
            <x v="20"/>
          </reference>
          <reference field="18" count="0"/>
        </references>
      </pivotArea>
    </format>
    <format dxfId="1441">
      <pivotArea dataOnly="0" labelOnly="1" outline="0" fieldPosition="0">
        <references count="3">
          <reference field="7" count="1" selected="0">
            <x v="786"/>
          </reference>
          <reference field="16" count="1" selected="0">
            <x v="20"/>
          </reference>
          <reference field="18" count="0"/>
        </references>
      </pivotArea>
    </format>
    <format dxfId="1440">
      <pivotArea dataOnly="0" labelOnly="1" outline="0" fieldPosition="0">
        <references count="3">
          <reference field="7" count="1" selected="0">
            <x v="787"/>
          </reference>
          <reference field="16" count="1" selected="0">
            <x v="20"/>
          </reference>
          <reference field="18" count="0"/>
        </references>
      </pivotArea>
    </format>
    <format dxfId="1439">
      <pivotArea dataOnly="0" labelOnly="1" outline="0" fieldPosition="0">
        <references count="3">
          <reference field="7" count="1" selected="0">
            <x v="788"/>
          </reference>
          <reference field="16" count="1" selected="0">
            <x v="20"/>
          </reference>
          <reference field="18" count="0"/>
        </references>
      </pivotArea>
    </format>
    <format dxfId="1438">
      <pivotArea dataOnly="0" labelOnly="1" outline="0" fieldPosition="0">
        <references count="3">
          <reference field="7" count="1" selected="0">
            <x v="789"/>
          </reference>
          <reference field="16" count="1" selected="0">
            <x v="20"/>
          </reference>
          <reference field="18" count="0"/>
        </references>
      </pivotArea>
    </format>
    <format dxfId="1437">
      <pivotArea dataOnly="0" labelOnly="1" outline="0" fieldPosition="0">
        <references count="3">
          <reference field="7" count="1" selected="0">
            <x v="804"/>
          </reference>
          <reference field="16" count="1" selected="0">
            <x v="20"/>
          </reference>
          <reference field="18" count="0"/>
        </references>
      </pivotArea>
    </format>
    <format dxfId="1436">
      <pivotArea dataOnly="0" labelOnly="1" outline="0" fieldPosition="0">
        <references count="3">
          <reference field="7" count="1" selected="0">
            <x v="837"/>
          </reference>
          <reference field="16" count="1" selected="0">
            <x v="20"/>
          </reference>
          <reference field="18" count="0"/>
        </references>
      </pivotArea>
    </format>
    <format dxfId="1435">
      <pivotArea dataOnly="0" labelOnly="1" outline="0" fieldPosition="0">
        <references count="3">
          <reference field="7" count="1" selected="0">
            <x v="36"/>
          </reference>
          <reference field="16" count="1" selected="0">
            <x v="21"/>
          </reference>
          <reference field="18" count="0"/>
        </references>
      </pivotArea>
    </format>
    <format dxfId="1434">
      <pivotArea dataOnly="0" labelOnly="1" outline="0" fieldPosition="0">
        <references count="3">
          <reference field="7" count="1" selected="0">
            <x v="791"/>
          </reference>
          <reference field="16" count="1" selected="0">
            <x v="21"/>
          </reference>
          <reference field="18" count="0"/>
        </references>
      </pivotArea>
    </format>
    <format dxfId="1433">
      <pivotArea dataOnly="0" labelOnly="1" outline="0" fieldPosition="0">
        <references count="3">
          <reference field="7" count="1" selected="0">
            <x v="793"/>
          </reference>
          <reference field="16" count="1" selected="0">
            <x v="21"/>
          </reference>
          <reference field="18" count="0"/>
        </references>
      </pivotArea>
    </format>
    <format dxfId="1432">
      <pivotArea dataOnly="0" labelOnly="1" outline="0" fieldPosition="0">
        <references count="3">
          <reference field="7" count="1" selected="0">
            <x v="794"/>
          </reference>
          <reference field="16" count="1" selected="0">
            <x v="21"/>
          </reference>
          <reference field="18" count="0"/>
        </references>
      </pivotArea>
    </format>
    <format dxfId="1431">
      <pivotArea dataOnly="0" labelOnly="1" outline="0" fieldPosition="0">
        <references count="3">
          <reference field="7" count="1" selected="0">
            <x v="795"/>
          </reference>
          <reference field="16" count="1" selected="0">
            <x v="21"/>
          </reference>
          <reference field="18" count="0"/>
        </references>
      </pivotArea>
    </format>
    <format dxfId="1430">
      <pivotArea dataOnly="0" labelOnly="1" outline="0" fieldPosition="0">
        <references count="3">
          <reference field="7" count="1" selected="0">
            <x v="796"/>
          </reference>
          <reference field="16" count="1" selected="0">
            <x v="21"/>
          </reference>
          <reference field="18" count="0"/>
        </references>
      </pivotArea>
    </format>
    <format dxfId="1429">
      <pivotArea dataOnly="0" labelOnly="1" outline="0" fieldPosition="0">
        <references count="3">
          <reference field="7" count="1" selected="0">
            <x v="797"/>
          </reference>
          <reference field="16" count="1" selected="0">
            <x v="21"/>
          </reference>
          <reference field="18" count="0"/>
        </references>
      </pivotArea>
    </format>
    <format dxfId="1428">
      <pivotArea dataOnly="0" labelOnly="1" outline="0" fieldPosition="0">
        <references count="3">
          <reference field="7" count="1" selected="0">
            <x v="798"/>
          </reference>
          <reference field="16" count="1" selected="0">
            <x v="21"/>
          </reference>
          <reference field="18" count="0"/>
        </references>
      </pivotArea>
    </format>
    <format dxfId="1427">
      <pivotArea dataOnly="0" labelOnly="1" outline="0" fieldPosition="0">
        <references count="3">
          <reference field="7" count="1" selected="0">
            <x v="799"/>
          </reference>
          <reference field="16" count="1" selected="0">
            <x v="21"/>
          </reference>
          <reference field="18" count="0"/>
        </references>
      </pivotArea>
    </format>
    <format dxfId="1426">
      <pivotArea dataOnly="0" labelOnly="1" outline="0" fieldPosition="0">
        <references count="3">
          <reference field="7" count="1" selected="0">
            <x v="800"/>
          </reference>
          <reference field="16" count="1" selected="0">
            <x v="21"/>
          </reference>
          <reference field="18" count="0"/>
        </references>
      </pivotArea>
    </format>
    <format dxfId="1425">
      <pivotArea dataOnly="0" labelOnly="1" outline="0" fieldPosition="0">
        <references count="3">
          <reference field="7" count="1" selected="0">
            <x v="801"/>
          </reference>
          <reference field="16" count="1" selected="0">
            <x v="21"/>
          </reference>
          <reference field="18" count="0"/>
        </references>
      </pivotArea>
    </format>
    <format dxfId="1424">
      <pivotArea dataOnly="0" labelOnly="1" outline="0" fieldPosition="0">
        <references count="3">
          <reference field="7" count="1" selected="0">
            <x v="802"/>
          </reference>
          <reference field="16" count="1" selected="0">
            <x v="21"/>
          </reference>
          <reference field="18" count="0"/>
        </references>
      </pivotArea>
    </format>
    <format dxfId="1423">
      <pivotArea dataOnly="0" labelOnly="1" outline="0" fieldPosition="0">
        <references count="3">
          <reference field="7" count="1" selected="0">
            <x v="803"/>
          </reference>
          <reference field="16" count="1" selected="0">
            <x v="21"/>
          </reference>
          <reference field="18" count="0"/>
        </references>
      </pivotArea>
    </format>
    <format dxfId="1422">
      <pivotArea dataOnly="0" labelOnly="1" outline="0" fieldPosition="0">
        <references count="3">
          <reference field="7" count="1" selected="0">
            <x v="805"/>
          </reference>
          <reference field="16" count="1" selected="0">
            <x v="21"/>
          </reference>
          <reference field="18" count="0"/>
        </references>
      </pivotArea>
    </format>
    <format dxfId="1421">
      <pivotArea dataOnly="0" labelOnly="1" outline="0" fieldPosition="0">
        <references count="3">
          <reference field="7" count="1" selected="0">
            <x v="808"/>
          </reference>
          <reference field="16" count="1" selected="0">
            <x v="21"/>
          </reference>
          <reference field="18" count="0"/>
        </references>
      </pivotArea>
    </format>
    <format dxfId="1420">
      <pivotArea dataOnly="0" labelOnly="1" outline="0" fieldPosition="0">
        <references count="3">
          <reference field="7" count="1" selected="0">
            <x v="809"/>
          </reference>
          <reference field="16" count="1" selected="0">
            <x v="21"/>
          </reference>
          <reference field="18" count="0"/>
        </references>
      </pivotArea>
    </format>
    <format dxfId="1419">
      <pivotArea dataOnly="0" labelOnly="1" outline="0" fieldPosition="0">
        <references count="3">
          <reference field="7" count="1" selected="0">
            <x v="810"/>
          </reference>
          <reference field="16" count="1" selected="0">
            <x v="21"/>
          </reference>
          <reference field="18" count="0"/>
        </references>
      </pivotArea>
    </format>
    <format dxfId="1418">
      <pivotArea dataOnly="0" labelOnly="1" outline="0" fieldPosition="0">
        <references count="3">
          <reference field="7" count="1" selected="0">
            <x v="151"/>
          </reference>
          <reference field="16" count="1" selected="0">
            <x v="22"/>
          </reference>
          <reference field="18" count="0"/>
        </references>
      </pivotArea>
    </format>
    <format dxfId="1417">
      <pivotArea dataOnly="0" labelOnly="1" outline="0" fieldPosition="0">
        <references count="3">
          <reference field="7" count="1" selected="0">
            <x v="811"/>
          </reference>
          <reference field="16" count="1" selected="0">
            <x v="22"/>
          </reference>
          <reference field="18" count="0"/>
        </references>
      </pivotArea>
    </format>
    <format dxfId="1416">
      <pivotArea dataOnly="0" labelOnly="1" outline="0" fieldPosition="0">
        <references count="3">
          <reference field="7" count="1" selected="0">
            <x v="813"/>
          </reference>
          <reference field="16" count="1" selected="0">
            <x v="22"/>
          </reference>
          <reference field="18" count="0"/>
        </references>
      </pivotArea>
    </format>
    <format dxfId="1415">
      <pivotArea dataOnly="0" labelOnly="1" outline="0" fieldPosition="0">
        <references count="3">
          <reference field="7" count="1" selected="0">
            <x v="814"/>
          </reference>
          <reference field="16" count="1" selected="0">
            <x v="22"/>
          </reference>
          <reference field="18" count="0"/>
        </references>
      </pivotArea>
    </format>
    <format dxfId="1414">
      <pivotArea dataOnly="0" labelOnly="1" outline="0" fieldPosition="0">
        <references count="3">
          <reference field="7" count="1" selected="0">
            <x v="815"/>
          </reference>
          <reference field="16" count="1" selected="0">
            <x v="22"/>
          </reference>
          <reference field="18" count="0"/>
        </references>
      </pivotArea>
    </format>
    <format dxfId="1413">
      <pivotArea dataOnly="0" labelOnly="1" outline="0" fieldPosition="0">
        <references count="3">
          <reference field="7" count="1" selected="0">
            <x v="816"/>
          </reference>
          <reference field="16" count="1" selected="0">
            <x v="22"/>
          </reference>
          <reference field="18" count="0"/>
        </references>
      </pivotArea>
    </format>
    <format dxfId="1412">
      <pivotArea dataOnly="0" labelOnly="1" outline="0" fieldPosition="0">
        <references count="3">
          <reference field="7" count="1" selected="0">
            <x v="817"/>
          </reference>
          <reference field="16" count="1" selected="0">
            <x v="22"/>
          </reference>
          <reference field="18" count="0"/>
        </references>
      </pivotArea>
    </format>
    <format dxfId="1411">
      <pivotArea dataOnly="0" labelOnly="1" outline="0" fieldPosition="0">
        <references count="3">
          <reference field="7" count="1" selected="0">
            <x v="818"/>
          </reference>
          <reference field="16" count="1" selected="0">
            <x v="22"/>
          </reference>
          <reference field="18" count="0"/>
        </references>
      </pivotArea>
    </format>
    <format dxfId="1410">
      <pivotArea dataOnly="0" labelOnly="1" outline="0" fieldPosition="0">
        <references count="3">
          <reference field="7" count="1" selected="0">
            <x v="819"/>
          </reference>
          <reference field="16" count="1" selected="0">
            <x v="23"/>
          </reference>
          <reference field="18" count="0"/>
        </references>
      </pivotArea>
    </format>
    <format dxfId="1409">
      <pivotArea dataOnly="0" labelOnly="1" outline="0" fieldPosition="0">
        <references count="3">
          <reference field="7" count="1" selected="0">
            <x v="820"/>
          </reference>
          <reference field="16" count="1" selected="0">
            <x v="23"/>
          </reference>
          <reference field="18" count="0"/>
        </references>
      </pivotArea>
    </format>
    <format dxfId="1408">
      <pivotArea dataOnly="0" labelOnly="1" outline="0" fieldPosition="0">
        <references count="3">
          <reference field="7" count="1" selected="0">
            <x v="821"/>
          </reference>
          <reference field="16" count="1" selected="0">
            <x v="23"/>
          </reference>
          <reference field="18" count="0"/>
        </references>
      </pivotArea>
    </format>
    <format dxfId="1407">
      <pivotArea dataOnly="0" labelOnly="1" outline="0" fieldPosition="0">
        <references count="3">
          <reference field="7" count="1" selected="0">
            <x v="822"/>
          </reference>
          <reference field="16" count="1" selected="0">
            <x v="23"/>
          </reference>
          <reference field="18" count="0"/>
        </references>
      </pivotArea>
    </format>
    <format dxfId="1406">
      <pivotArea dataOnly="0" labelOnly="1" outline="0" fieldPosition="0">
        <references count="3">
          <reference field="7" count="1" selected="0">
            <x v="823"/>
          </reference>
          <reference field="16" count="1" selected="0">
            <x v="24"/>
          </reference>
          <reference field="18" count="0"/>
        </references>
      </pivotArea>
    </format>
    <format dxfId="1405">
      <pivotArea dataOnly="0" labelOnly="1" outline="0" fieldPosition="0">
        <references count="3">
          <reference field="7" count="1" selected="0">
            <x v="824"/>
          </reference>
          <reference field="16" count="1" selected="0">
            <x v="24"/>
          </reference>
          <reference field="18" count="0"/>
        </references>
      </pivotArea>
    </format>
    <format dxfId="1404">
      <pivotArea dataOnly="0" labelOnly="1" outline="0" fieldPosition="0">
        <references count="3">
          <reference field="7" count="1" selected="0">
            <x v="825"/>
          </reference>
          <reference field="16" count="1" selected="0">
            <x v="24"/>
          </reference>
          <reference field="18" count="0"/>
        </references>
      </pivotArea>
    </format>
    <format dxfId="1403">
      <pivotArea dataOnly="0" labelOnly="1" outline="0" fieldPosition="0">
        <references count="3">
          <reference field="7" count="1" selected="0">
            <x v="826"/>
          </reference>
          <reference field="16" count="1" selected="0">
            <x v="24"/>
          </reference>
          <reference field="18" count="0"/>
        </references>
      </pivotArea>
    </format>
    <format dxfId="1402">
      <pivotArea dataOnly="0" labelOnly="1" outline="0" fieldPosition="0">
        <references count="3">
          <reference field="7" count="1" selected="0">
            <x v="827"/>
          </reference>
          <reference field="16" count="1" selected="0">
            <x v="25"/>
          </reference>
          <reference field="18" count="0"/>
        </references>
      </pivotArea>
    </format>
    <format dxfId="1401">
      <pivotArea dataOnly="0" labelOnly="1" outline="0" fieldPosition="0">
        <references count="3">
          <reference field="7" count="1" selected="0">
            <x v="828"/>
          </reference>
          <reference field="16" count="1" selected="0">
            <x v="25"/>
          </reference>
          <reference field="18" count="0"/>
        </references>
      </pivotArea>
    </format>
    <format dxfId="1400">
      <pivotArea dataOnly="0" labelOnly="1" outline="0" fieldPosition="0">
        <references count="3">
          <reference field="7" count="1" selected="0">
            <x v="829"/>
          </reference>
          <reference field="16" count="1" selected="0">
            <x v="25"/>
          </reference>
          <reference field="18" count="0"/>
        </references>
      </pivotArea>
    </format>
    <format dxfId="1399">
      <pivotArea dataOnly="0" labelOnly="1" outline="0" fieldPosition="0">
        <references count="3">
          <reference field="7" count="1" selected="0">
            <x v="830"/>
          </reference>
          <reference field="16" count="1" selected="0">
            <x v="25"/>
          </reference>
          <reference field="18" count="0"/>
        </references>
      </pivotArea>
    </format>
    <format dxfId="1398">
      <pivotArea dataOnly="0" labelOnly="1" outline="0" fieldPosition="0">
        <references count="3">
          <reference field="7" count="1" selected="0">
            <x v="831"/>
          </reference>
          <reference field="16" count="1" selected="0">
            <x v="25"/>
          </reference>
          <reference field="18" count="0"/>
        </references>
      </pivotArea>
    </format>
    <format dxfId="1397">
      <pivotArea dataOnly="0" labelOnly="1" outline="0" fieldPosition="0">
        <references count="3">
          <reference field="7" count="1" selected="0">
            <x v="832"/>
          </reference>
          <reference field="16" count="1" selected="0">
            <x v="25"/>
          </reference>
          <reference field="18" count="0"/>
        </references>
      </pivotArea>
    </format>
    <format dxfId="1396">
      <pivotArea dataOnly="0" labelOnly="1" outline="0" fieldPosition="0">
        <references count="3">
          <reference field="7" count="1" selected="0">
            <x v="833"/>
          </reference>
          <reference field="16" count="1" selected="0">
            <x v="25"/>
          </reference>
          <reference field="18" count="0"/>
        </references>
      </pivotArea>
    </format>
    <format dxfId="1395">
      <pivotArea dataOnly="0" labelOnly="1" outline="0" fieldPosition="0">
        <references count="3">
          <reference field="7" count="1" selected="0">
            <x v="685"/>
          </reference>
          <reference field="16" count="1" selected="0">
            <x v="10"/>
          </reference>
          <reference field="18" count="0"/>
        </references>
      </pivotArea>
    </format>
    <format dxfId="1394">
      <pivotArea dataOnly="0" labelOnly="1" outline="0" fieldPosition="0">
        <references count="3">
          <reference field="7" count="1" selected="0">
            <x v="687"/>
          </reference>
          <reference field="16" count="1" selected="0">
            <x v="12"/>
          </reference>
          <reference field="18" count="0"/>
        </references>
      </pivotArea>
    </format>
    <format dxfId="1393">
      <pivotArea dataOnly="0" labelOnly="1" outline="0" fieldPosition="0">
        <references count="3">
          <reference field="7" count="1" selected="0">
            <x v="692"/>
          </reference>
          <reference field="16" count="1" selected="0">
            <x v="13"/>
          </reference>
          <reference field="18" count="0"/>
        </references>
      </pivotArea>
    </format>
    <format dxfId="1392">
      <pivotArea dataOnly="0" labelOnly="1" outline="0" fieldPosition="0">
        <references count="3">
          <reference field="7" count="1" selected="0">
            <x v="696"/>
          </reference>
          <reference field="16" count="1" selected="0">
            <x v="13"/>
          </reference>
          <reference field="18" count="0"/>
        </references>
      </pivotArea>
    </format>
    <format dxfId="1391">
      <pivotArea dataOnly="0" labelOnly="1" outline="0" fieldPosition="0">
        <references count="3">
          <reference field="7" count="1" selected="0">
            <x v="697"/>
          </reference>
          <reference field="16" count="1" selected="0">
            <x v="14"/>
          </reference>
          <reference field="18" count="0"/>
        </references>
      </pivotArea>
    </format>
    <format dxfId="1390">
      <pivotArea dataOnly="0" labelOnly="1" outline="0" fieldPosition="0">
        <references count="3">
          <reference field="7" count="1" selected="0">
            <x v="699"/>
          </reference>
          <reference field="16" count="1" selected="0">
            <x v="14"/>
          </reference>
          <reference field="18" count="0"/>
        </references>
      </pivotArea>
    </format>
    <format dxfId="1389">
      <pivotArea dataOnly="0" labelOnly="1" outline="0" fieldPosition="0">
        <references count="3">
          <reference field="7" count="1" selected="0">
            <x v="701"/>
          </reference>
          <reference field="16" count="1" selected="0">
            <x v="14"/>
          </reference>
          <reference field="18" count="0"/>
        </references>
      </pivotArea>
    </format>
    <format dxfId="1388">
      <pivotArea dataOnly="0" labelOnly="1" outline="0" fieldPosition="0">
        <references count="3">
          <reference field="7" count="1" selected="0">
            <x v="710"/>
          </reference>
          <reference field="16" count="1" selected="0">
            <x v="14"/>
          </reference>
          <reference field="18" count="0"/>
        </references>
      </pivotArea>
    </format>
    <format dxfId="1387">
      <pivotArea dataOnly="0" labelOnly="1" outline="0" fieldPosition="0">
        <references count="3">
          <reference field="7" count="1" selected="0">
            <x v="703"/>
          </reference>
          <reference field="16" count="1" selected="0">
            <x v="15"/>
          </reference>
          <reference field="18" count="0"/>
        </references>
      </pivotArea>
    </format>
    <format dxfId="1386">
      <pivotArea dataOnly="0" labelOnly="1" outline="0" fieldPosition="0">
        <references count="3">
          <reference field="7" count="1" selected="0">
            <x v="706"/>
          </reference>
          <reference field="16" count="1" selected="0">
            <x v="15"/>
          </reference>
          <reference field="18" count="0"/>
        </references>
      </pivotArea>
    </format>
    <format dxfId="1385">
      <pivotArea dataOnly="0" labelOnly="1" outline="0" fieldPosition="0">
        <references count="3">
          <reference field="7" count="1" selected="0">
            <x v="707"/>
          </reference>
          <reference field="16" count="1" selected="0">
            <x v="15"/>
          </reference>
          <reference field="18" count="0"/>
        </references>
      </pivotArea>
    </format>
    <format dxfId="1384">
      <pivotArea dataOnly="0" labelOnly="1" outline="0" fieldPosition="0">
        <references count="3">
          <reference field="7" count="1" selected="0">
            <x v="708"/>
          </reference>
          <reference field="16" count="1" selected="0">
            <x v="15"/>
          </reference>
          <reference field="18" count="0"/>
        </references>
      </pivotArea>
    </format>
    <format dxfId="1383">
      <pivotArea dataOnly="0" labelOnly="1" outline="0" fieldPosition="0">
        <references count="3">
          <reference field="7" count="1" selected="0">
            <x v="709"/>
          </reference>
          <reference field="16" count="1" selected="0">
            <x v="15"/>
          </reference>
          <reference field="18" count="0"/>
        </references>
      </pivotArea>
    </format>
    <format dxfId="1382">
      <pivotArea dataOnly="0" labelOnly="1" outline="0" fieldPosition="0">
        <references count="3">
          <reference field="7" count="1" selected="0">
            <x v="715"/>
          </reference>
          <reference field="16" count="1" selected="0">
            <x v="15"/>
          </reference>
          <reference field="18" count="0"/>
        </references>
      </pivotArea>
    </format>
    <format dxfId="1381">
      <pivotArea dataOnly="0" labelOnly="1" outline="0" fieldPosition="0">
        <references count="3">
          <reference field="7" count="1" selected="0">
            <x v="717"/>
          </reference>
          <reference field="16" count="1" selected="0">
            <x v="15"/>
          </reference>
          <reference field="18" count="0"/>
        </references>
      </pivotArea>
    </format>
    <format dxfId="1380">
      <pivotArea dataOnly="0" labelOnly="1" outline="0" fieldPosition="0">
        <references count="3">
          <reference field="7" count="1" selected="0">
            <x v="719"/>
          </reference>
          <reference field="16" count="1" selected="0">
            <x v="15"/>
          </reference>
          <reference field="18" count="0"/>
        </references>
      </pivotArea>
    </format>
    <format dxfId="1379">
      <pivotArea dataOnly="0" labelOnly="1" outline="0" fieldPosition="0">
        <references count="3">
          <reference field="7" count="1" selected="0">
            <x v="721"/>
          </reference>
          <reference field="16" count="1" selected="0">
            <x v="15"/>
          </reference>
          <reference field="18" count="0"/>
        </references>
      </pivotArea>
    </format>
    <format dxfId="1378">
      <pivotArea dataOnly="0" labelOnly="1" outline="0" fieldPosition="0">
        <references count="3">
          <reference field="7" count="1" selected="0">
            <x v="722"/>
          </reference>
          <reference field="16" count="1" selected="0">
            <x v="15"/>
          </reference>
          <reference field="18" count="0"/>
        </references>
      </pivotArea>
    </format>
    <format dxfId="1377">
      <pivotArea dataOnly="0" labelOnly="1" outline="0" fieldPosition="0">
        <references count="3">
          <reference field="7" count="1" selected="0">
            <x v="724"/>
          </reference>
          <reference field="16" count="1" selected="0">
            <x v="15"/>
          </reference>
          <reference field="18" count="0"/>
        </references>
      </pivotArea>
    </format>
    <format dxfId="1376">
      <pivotArea dataOnly="0" labelOnly="1" outline="0" fieldPosition="0">
        <references count="3">
          <reference field="7" count="1" selected="0">
            <x v="725"/>
          </reference>
          <reference field="16" count="1" selected="0">
            <x v="15"/>
          </reference>
          <reference field="18" count="0"/>
        </references>
      </pivotArea>
    </format>
    <format dxfId="1375">
      <pivotArea dataOnly="0" labelOnly="1" outline="0" fieldPosition="0">
        <references count="3">
          <reference field="7" count="1" selected="0">
            <x v="712"/>
          </reference>
          <reference field="16" count="1" selected="0">
            <x v="16"/>
          </reference>
          <reference field="18" count="0"/>
        </references>
      </pivotArea>
    </format>
    <format dxfId="1374">
      <pivotArea dataOnly="0" labelOnly="1" outline="0" fieldPosition="0">
        <references count="3">
          <reference field="7" count="1" selected="0">
            <x v="713"/>
          </reference>
          <reference field="16" count="1" selected="0">
            <x v="16"/>
          </reference>
          <reference field="18" count="0"/>
        </references>
      </pivotArea>
    </format>
    <format dxfId="1373">
      <pivotArea dataOnly="0" labelOnly="1" outline="0" fieldPosition="0">
        <references count="3">
          <reference field="7" count="1" selected="0">
            <x v="720"/>
          </reference>
          <reference field="16" count="1" selected="0">
            <x v="16"/>
          </reference>
          <reference field="18" count="0"/>
        </references>
      </pivotArea>
    </format>
    <format dxfId="1372">
      <pivotArea dataOnly="0" labelOnly="1" outline="0" fieldPosition="0">
        <references count="3">
          <reference field="7" count="1" selected="0">
            <x v="726"/>
          </reference>
          <reference field="16" count="1" selected="0">
            <x v="16"/>
          </reference>
          <reference field="18" count="0"/>
        </references>
      </pivotArea>
    </format>
    <format dxfId="1371">
      <pivotArea dataOnly="0" labelOnly="1" outline="0" fieldPosition="0">
        <references count="3">
          <reference field="7" count="1" selected="0">
            <x v="730"/>
          </reference>
          <reference field="16" count="1" selected="0">
            <x v="16"/>
          </reference>
          <reference field="18" count="0"/>
        </references>
      </pivotArea>
    </format>
    <format dxfId="1370">
      <pivotArea dataOnly="0" labelOnly="1" outline="0" fieldPosition="0">
        <references count="3">
          <reference field="7" count="1" selected="0">
            <x v="731"/>
          </reference>
          <reference field="16" count="1" selected="0">
            <x v="16"/>
          </reference>
          <reference field="18" count="0"/>
        </references>
      </pivotArea>
    </format>
    <format dxfId="1369">
      <pivotArea dataOnly="0" labelOnly="1" outline="0" fieldPosition="0">
        <references count="3">
          <reference field="7" count="1" selected="0">
            <x v="735"/>
          </reference>
          <reference field="16" count="1" selected="0">
            <x v="16"/>
          </reference>
          <reference field="18" count="0"/>
        </references>
      </pivotArea>
    </format>
    <format dxfId="1368">
      <pivotArea dataOnly="0" labelOnly="1" outline="0" fieldPosition="0">
        <references count="3">
          <reference field="7" count="1" selected="0">
            <x v="736"/>
          </reference>
          <reference field="16" count="1" selected="0">
            <x v="16"/>
          </reference>
          <reference field="18" count="0"/>
        </references>
      </pivotArea>
    </format>
    <format dxfId="1367">
      <pivotArea dataOnly="0" labelOnly="1" outline="0" fieldPosition="0">
        <references count="3">
          <reference field="7" count="1" selected="0">
            <x v="737"/>
          </reference>
          <reference field="16" count="1" selected="0">
            <x v="16"/>
          </reference>
          <reference field="18" count="0"/>
        </references>
      </pivotArea>
    </format>
    <format dxfId="1366">
      <pivotArea dataOnly="0" labelOnly="1" outline="0" fieldPosition="0">
        <references count="3">
          <reference field="7" count="1" selected="0">
            <x v="836"/>
          </reference>
          <reference field="16" count="1" selected="0">
            <x v="16"/>
          </reference>
          <reference field="18" count="0"/>
        </references>
      </pivotArea>
    </format>
    <format dxfId="1365">
      <pivotArea dataOnly="0" labelOnly="1" outline="0" fieldPosition="0">
        <references count="3">
          <reference field="7" count="1" selected="0">
            <x v="738"/>
          </reference>
          <reference field="16" count="1" selected="0">
            <x v="17"/>
          </reference>
          <reference field="18" count="0"/>
        </references>
      </pivotArea>
    </format>
    <format dxfId="1364">
      <pivotArea dataOnly="0" labelOnly="1" outline="0" fieldPosition="0">
        <references count="3">
          <reference field="7" count="1" selected="0">
            <x v="739"/>
          </reference>
          <reference field="16" count="1" selected="0">
            <x v="17"/>
          </reference>
          <reference field="18" count="0"/>
        </references>
      </pivotArea>
    </format>
    <format dxfId="1363">
      <pivotArea dataOnly="0" labelOnly="1" outline="0" fieldPosition="0">
        <references count="3">
          <reference field="7" count="1" selected="0">
            <x v="742"/>
          </reference>
          <reference field="16" count="1" selected="0">
            <x v="17"/>
          </reference>
          <reference field="18" count="0"/>
        </references>
      </pivotArea>
    </format>
    <format dxfId="1362">
      <pivotArea dataOnly="0" labelOnly="1" outline="0" fieldPosition="0">
        <references count="3">
          <reference field="7" count="1" selected="0">
            <x v="743"/>
          </reference>
          <reference field="16" count="1" selected="0">
            <x v="17"/>
          </reference>
          <reference field="18" count="0"/>
        </references>
      </pivotArea>
    </format>
    <format dxfId="1361">
      <pivotArea dataOnly="0" labelOnly="1" outline="0" fieldPosition="0">
        <references count="3">
          <reference field="7" count="1" selected="0">
            <x v="744"/>
          </reference>
          <reference field="16" count="1" selected="0">
            <x v="17"/>
          </reference>
          <reference field="18" count="0"/>
        </references>
      </pivotArea>
    </format>
    <format dxfId="1360">
      <pivotArea dataOnly="0" labelOnly="1" outline="0" fieldPosition="0">
        <references count="3">
          <reference field="7" count="1" selected="0">
            <x v="745"/>
          </reference>
          <reference field="16" count="1" selected="0">
            <x v="17"/>
          </reference>
          <reference field="18" count="0"/>
        </references>
      </pivotArea>
    </format>
    <format dxfId="1359">
      <pivotArea dataOnly="0" labelOnly="1" outline="0" fieldPosition="0">
        <references count="3">
          <reference field="7" count="1" selected="0">
            <x v="746"/>
          </reference>
          <reference field="16" count="1" selected="0">
            <x v="17"/>
          </reference>
          <reference field="18" count="0"/>
        </references>
      </pivotArea>
    </format>
    <format dxfId="1358">
      <pivotArea dataOnly="0" labelOnly="1" outline="0" fieldPosition="0">
        <references count="3">
          <reference field="7" count="1" selected="0">
            <x v="747"/>
          </reference>
          <reference field="16" count="1" selected="0">
            <x v="17"/>
          </reference>
          <reference field="18" count="0"/>
        </references>
      </pivotArea>
    </format>
    <format dxfId="1357">
      <pivotArea dataOnly="0" labelOnly="1" outline="0" fieldPosition="0">
        <references count="3">
          <reference field="7" count="1" selected="0">
            <x v="751"/>
          </reference>
          <reference field="16" count="1" selected="0">
            <x v="17"/>
          </reference>
          <reference field="18" count="0"/>
        </references>
      </pivotArea>
    </format>
    <format dxfId="1356">
      <pivotArea dataOnly="0" labelOnly="1" outline="0" fieldPosition="0">
        <references count="3">
          <reference field="7" count="1" selected="0">
            <x v="13"/>
          </reference>
          <reference field="16" count="1" selected="0">
            <x v="18"/>
          </reference>
          <reference field="18" count="0"/>
        </references>
      </pivotArea>
    </format>
    <format dxfId="1355">
      <pivotArea dataOnly="0" labelOnly="1" outline="0" fieldPosition="0">
        <references count="3">
          <reference field="7" count="1" selected="0">
            <x v="748"/>
          </reference>
          <reference field="16" count="1" selected="0">
            <x v="18"/>
          </reference>
          <reference field="18" count="0"/>
        </references>
      </pivotArea>
    </format>
    <format dxfId="1354">
      <pivotArea dataOnly="0" labelOnly="1" outline="0" fieldPosition="0">
        <references count="3">
          <reference field="7" count="1" selected="0">
            <x v="752"/>
          </reference>
          <reference field="16" count="1" selected="0">
            <x v="18"/>
          </reference>
          <reference field="18" count="0"/>
        </references>
      </pivotArea>
    </format>
    <format dxfId="1353">
      <pivotArea dataOnly="0" labelOnly="1" outline="0" fieldPosition="0">
        <references count="3">
          <reference field="7" count="1" selected="0">
            <x v="753"/>
          </reference>
          <reference field="16" count="1" selected="0">
            <x v="18"/>
          </reference>
          <reference field="18" count="0"/>
        </references>
      </pivotArea>
    </format>
    <format dxfId="1352">
      <pivotArea dataOnly="0" labelOnly="1" outline="0" fieldPosition="0">
        <references count="3">
          <reference field="7" count="1" selected="0">
            <x v="754"/>
          </reference>
          <reference field="16" count="1" selected="0">
            <x v="18"/>
          </reference>
          <reference field="18" count="0"/>
        </references>
      </pivotArea>
    </format>
    <format dxfId="1351">
      <pivotArea dataOnly="0" labelOnly="1" outline="0" fieldPosition="0">
        <references count="3">
          <reference field="7" count="1" selected="0">
            <x v="755"/>
          </reference>
          <reference field="16" count="1" selected="0">
            <x v="18"/>
          </reference>
          <reference field="18" count="0"/>
        </references>
      </pivotArea>
    </format>
    <format dxfId="1350">
      <pivotArea dataOnly="0" labelOnly="1" outline="0" fieldPosition="0">
        <references count="3">
          <reference field="7" count="1" selected="0">
            <x v="756"/>
          </reference>
          <reference field="16" count="1" selected="0">
            <x v="18"/>
          </reference>
          <reference field="18" count="0"/>
        </references>
      </pivotArea>
    </format>
    <format dxfId="1349">
      <pivotArea dataOnly="0" labelOnly="1" outline="0" fieldPosition="0">
        <references count="3">
          <reference field="7" count="1" selected="0">
            <x v="757"/>
          </reference>
          <reference field="16" count="1" selected="0">
            <x v="18"/>
          </reference>
          <reference field="18" count="0"/>
        </references>
      </pivotArea>
    </format>
    <format dxfId="1348">
      <pivotArea dataOnly="0" labelOnly="1" outline="0" fieldPosition="0">
        <references count="3">
          <reference field="7" count="1" selected="0">
            <x v="758"/>
          </reference>
          <reference field="16" count="1" selected="0">
            <x v="18"/>
          </reference>
          <reference field="18" count="0"/>
        </references>
      </pivotArea>
    </format>
    <format dxfId="1347">
      <pivotArea dataOnly="0" labelOnly="1" outline="0" fieldPosition="0">
        <references count="3">
          <reference field="7" count="1" selected="0">
            <x v="759"/>
          </reference>
          <reference field="16" count="1" selected="0">
            <x v="18"/>
          </reference>
          <reference field="18" count="0"/>
        </references>
      </pivotArea>
    </format>
    <format dxfId="1346">
      <pivotArea dataOnly="0" labelOnly="1" outline="0" fieldPosition="0">
        <references count="3">
          <reference field="7" count="1" selected="0">
            <x v="761"/>
          </reference>
          <reference field="16" count="1" selected="0">
            <x v="18"/>
          </reference>
          <reference field="18" count="0"/>
        </references>
      </pivotArea>
    </format>
    <format dxfId="1345">
      <pivotArea dataOnly="0" labelOnly="1" outline="0" fieldPosition="0">
        <references count="3">
          <reference field="7" count="1" selected="0">
            <x v="10"/>
          </reference>
          <reference field="16" count="1" selected="0">
            <x v="19"/>
          </reference>
          <reference field="18" count="0"/>
        </references>
      </pivotArea>
    </format>
    <format dxfId="1344">
      <pivotArea dataOnly="0" labelOnly="1" outline="0" fieldPosition="0">
        <references count="3">
          <reference field="7" count="1" selected="0">
            <x v="11"/>
          </reference>
          <reference field="16" count="1" selected="0">
            <x v="19"/>
          </reference>
          <reference field="18" count="0"/>
        </references>
      </pivotArea>
    </format>
    <format dxfId="1343">
      <pivotArea dataOnly="0" labelOnly="1" outline="0" fieldPosition="0">
        <references count="3">
          <reference field="7" count="1" selected="0">
            <x v="327"/>
          </reference>
          <reference field="16" count="1" selected="0">
            <x v="19"/>
          </reference>
          <reference field="18" count="0"/>
        </references>
      </pivotArea>
    </format>
    <format dxfId="1342">
      <pivotArea dataOnly="0" labelOnly="1" outline="0" fieldPosition="0">
        <references count="3">
          <reference field="7" count="1" selected="0">
            <x v="595"/>
          </reference>
          <reference field="16" count="1" selected="0">
            <x v="19"/>
          </reference>
          <reference field="18" count="0"/>
        </references>
      </pivotArea>
    </format>
    <format dxfId="1341">
      <pivotArea dataOnly="0" labelOnly="1" outline="0" fieldPosition="0">
        <references count="3">
          <reference field="7" count="1" selected="0">
            <x v="763"/>
          </reference>
          <reference field="16" count="1" selected="0">
            <x v="19"/>
          </reference>
          <reference field="18" count="0"/>
        </references>
      </pivotArea>
    </format>
    <format dxfId="1340">
      <pivotArea dataOnly="0" labelOnly="1" outline="0" fieldPosition="0">
        <references count="3">
          <reference field="7" count="1" selected="0">
            <x v="764"/>
          </reference>
          <reference field="16" count="1" selected="0">
            <x v="19"/>
          </reference>
          <reference field="18" count="0"/>
        </references>
      </pivotArea>
    </format>
    <format dxfId="1339">
      <pivotArea dataOnly="0" labelOnly="1" outline="0" fieldPosition="0">
        <references count="3">
          <reference field="7" count="1" selected="0">
            <x v="765"/>
          </reference>
          <reference field="16" count="1" selected="0">
            <x v="19"/>
          </reference>
          <reference field="18" count="0"/>
        </references>
      </pivotArea>
    </format>
    <format dxfId="1338">
      <pivotArea dataOnly="0" labelOnly="1" outline="0" fieldPosition="0">
        <references count="3">
          <reference field="7" count="1" selected="0">
            <x v="766"/>
          </reference>
          <reference field="16" count="1" selected="0">
            <x v="19"/>
          </reference>
          <reference field="18" count="0"/>
        </references>
      </pivotArea>
    </format>
    <format dxfId="1337">
      <pivotArea dataOnly="0" labelOnly="1" outline="0" fieldPosition="0">
        <references count="3">
          <reference field="7" count="1" selected="0">
            <x v="772"/>
          </reference>
          <reference field="16" count="1" selected="0">
            <x v="19"/>
          </reference>
          <reference field="18" count="0"/>
        </references>
      </pivotArea>
    </format>
    <format dxfId="1336">
      <pivotArea dataOnly="0" labelOnly="1" outline="0" fieldPosition="0">
        <references count="3">
          <reference field="7" count="1" selected="0">
            <x v="767"/>
          </reference>
          <reference field="16" count="1" selected="0">
            <x v="20"/>
          </reference>
          <reference field="18" count="0"/>
        </references>
      </pivotArea>
    </format>
    <format dxfId="1335">
      <pivotArea dataOnly="0" labelOnly="1" outline="0" fieldPosition="0">
        <references count="3">
          <reference field="7" count="1" selected="0">
            <x v="768"/>
          </reference>
          <reference field="16" count="1" selected="0">
            <x v="20"/>
          </reference>
          <reference field="18" count="0"/>
        </references>
      </pivotArea>
    </format>
    <format dxfId="1334">
      <pivotArea dataOnly="0" labelOnly="1" outline="0" fieldPosition="0">
        <references count="3">
          <reference field="7" count="1" selected="0">
            <x v="770"/>
          </reference>
          <reference field="16" count="1" selected="0">
            <x v="20"/>
          </reference>
          <reference field="18" count="0"/>
        </references>
      </pivotArea>
    </format>
    <format dxfId="1333">
      <pivotArea dataOnly="0" labelOnly="1" outline="0" fieldPosition="0">
        <references count="3">
          <reference field="7" count="1" selected="0">
            <x v="776"/>
          </reference>
          <reference field="16" count="1" selected="0">
            <x v="20"/>
          </reference>
          <reference field="18" count="0"/>
        </references>
      </pivotArea>
    </format>
    <format dxfId="1332">
      <pivotArea dataOnly="0" labelOnly="1" outline="0" fieldPosition="0">
        <references count="3">
          <reference field="7" count="1" selected="0">
            <x v="778"/>
          </reference>
          <reference field="16" count="1" selected="0">
            <x v="20"/>
          </reference>
          <reference field="18" count="0"/>
        </references>
      </pivotArea>
    </format>
    <format dxfId="1331">
      <pivotArea dataOnly="0" labelOnly="1" outline="0" fieldPosition="0">
        <references count="3">
          <reference field="7" count="1" selected="0">
            <x v="779"/>
          </reference>
          <reference field="16" count="1" selected="0">
            <x v="20"/>
          </reference>
          <reference field="18" count="0"/>
        </references>
      </pivotArea>
    </format>
    <format dxfId="1330">
      <pivotArea dataOnly="0" labelOnly="1" outline="0" fieldPosition="0">
        <references count="3">
          <reference field="7" count="1" selected="0">
            <x v="780"/>
          </reference>
          <reference field="16" count="1" selected="0">
            <x v="20"/>
          </reference>
          <reference field="18" count="0"/>
        </references>
      </pivotArea>
    </format>
    <format dxfId="1329">
      <pivotArea dataOnly="0" labelOnly="1" outline="0" fieldPosition="0">
        <references count="3">
          <reference field="7" count="1" selected="0">
            <x v="782"/>
          </reference>
          <reference field="16" count="1" selected="0">
            <x v="20"/>
          </reference>
          <reference field="18" count="0"/>
        </references>
      </pivotArea>
    </format>
    <format dxfId="1328">
      <pivotArea dataOnly="0" labelOnly="1" outline="0" fieldPosition="0">
        <references count="3">
          <reference field="7" count="1" selected="0">
            <x v="783"/>
          </reference>
          <reference field="16" count="1" selected="0">
            <x v="20"/>
          </reference>
          <reference field="18" count="0"/>
        </references>
      </pivotArea>
    </format>
    <format dxfId="1327">
      <pivotArea dataOnly="0" labelOnly="1" outline="0" fieldPosition="0">
        <references count="3">
          <reference field="7" count="1" selected="0">
            <x v="784"/>
          </reference>
          <reference field="16" count="1" selected="0">
            <x v="20"/>
          </reference>
          <reference field="18" count="0"/>
        </references>
      </pivotArea>
    </format>
    <format dxfId="1326">
      <pivotArea dataOnly="0" labelOnly="1" outline="0" fieldPosition="0">
        <references count="3">
          <reference field="7" count="1" selected="0">
            <x v="785"/>
          </reference>
          <reference field="16" count="1" selected="0">
            <x v="20"/>
          </reference>
          <reference field="18" count="0"/>
        </references>
      </pivotArea>
    </format>
    <format dxfId="1325">
      <pivotArea dataOnly="0" labelOnly="1" outline="0" fieldPosition="0">
        <references count="3">
          <reference field="7" count="1" selected="0">
            <x v="786"/>
          </reference>
          <reference field="16" count="1" selected="0">
            <x v="20"/>
          </reference>
          <reference field="18" count="0"/>
        </references>
      </pivotArea>
    </format>
    <format dxfId="1324">
      <pivotArea dataOnly="0" labelOnly="1" outline="0" fieldPosition="0">
        <references count="3">
          <reference field="7" count="1" selected="0">
            <x v="787"/>
          </reference>
          <reference field="16" count="1" selected="0">
            <x v="20"/>
          </reference>
          <reference field="18" count="0"/>
        </references>
      </pivotArea>
    </format>
    <format dxfId="1323">
      <pivotArea dataOnly="0" labelOnly="1" outline="0" fieldPosition="0">
        <references count="3">
          <reference field="7" count="1" selected="0">
            <x v="788"/>
          </reference>
          <reference field="16" count="1" selected="0">
            <x v="20"/>
          </reference>
          <reference field="18" count="0"/>
        </references>
      </pivotArea>
    </format>
    <format dxfId="1322">
      <pivotArea dataOnly="0" labelOnly="1" outline="0" fieldPosition="0">
        <references count="3">
          <reference field="7" count="1" selected="0">
            <x v="789"/>
          </reference>
          <reference field="16" count="1" selected="0">
            <x v="20"/>
          </reference>
          <reference field="18" count="0"/>
        </references>
      </pivotArea>
    </format>
    <format dxfId="1321">
      <pivotArea dataOnly="0" labelOnly="1" outline="0" fieldPosition="0">
        <references count="3">
          <reference field="7" count="1" selected="0">
            <x v="804"/>
          </reference>
          <reference field="16" count="1" selected="0">
            <x v="20"/>
          </reference>
          <reference field="18" count="0"/>
        </references>
      </pivotArea>
    </format>
    <format dxfId="1320">
      <pivotArea dataOnly="0" labelOnly="1" outline="0" fieldPosition="0">
        <references count="3">
          <reference field="7" count="1" selected="0">
            <x v="837"/>
          </reference>
          <reference field="16" count="1" selected="0">
            <x v="20"/>
          </reference>
          <reference field="18" count="0"/>
        </references>
      </pivotArea>
    </format>
    <format dxfId="1319">
      <pivotArea dataOnly="0" labelOnly="1" outline="0" fieldPosition="0">
        <references count="3">
          <reference field="7" count="1" selected="0">
            <x v="36"/>
          </reference>
          <reference field="16" count="1" selected="0">
            <x v="21"/>
          </reference>
          <reference field="18" count="0"/>
        </references>
      </pivotArea>
    </format>
    <format dxfId="1318">
      <pivotArea dataOnly="0" labelOnly="1" outline="0" fieldPosition="0">
        <references count="3">
          <reference field="7" count="1" selected="0">
            <x v="791"/>
          </reference>
          <reference field="16" count="1" selected="0">
            <x v="21"/>
          </reference>
          <reference field="18" count="0"/>
        </references>
      </pivotArea>
    </format>
    <format dxfId="1317">
      <pivotArea dataOnly="0" labelOnly="1" outline="0" fieldPosition="0">
        <references count="3">
          <reference field="7" count="1" selected="0">
            <x v="793"/>
          </reference>
          <reference field="16" count="1" selected="0">
            <x v="21"/>
          </reference>
          <reference field="18" count="0"/>
        </references>
      </pivotArea>
    </format>
    <format dxfId="1316">
      <pivotArea dataOnly="0" labelOnly="1" outline="0" fieldPosition="0">
        <references count="3">
          <reference field="7" count="1" selected="0">
            <x v="794"/>
          </reference>
          <reference field="16" count="1" selected="0">
            <x v="21"/>
          </reference>
          <reference field="18" count="0"/>
        </references>
      </pivotArea>
    </format>
    <format dxfId="1315">
      <pivotArea dataOnly="0" labelOnly="1" outline="0" fieldPosition="0">
        <references count="3">
          <reference field="7" count="1" selected="0">
            <x v="795"/>
          </reference>
          <reference field="16" count="1" selected="0">
            <x v="21"/>
          </reference>
          <reference field="18" count="0"/>
        </references>
      </pivotArea>
    </format>
    <format dxfId="1314">
      <pivotArea dataOnly="0" labelOnly="1" outline="0" fieldPosition="0">
        <references count="3">
          <reference field="7" count="1" selected="0">
            <x v="796"/>
          </reference>
          <reference field="16" count="1" selected="0">
            <x v="21"/>
          </reference>
          <reference field="18" count="0"/>
        </references>
      </pivotArea>
    </format>
    <format dxfId="1313">
      <pivotArea dataOnly="0" labelOnly="1" outline="0" fieldPosition="0">
        <references count="3">
          <reference field="7" count="1" selected="0">
            <x v="797"/>
          </reference>
          <reference field="16" count="1" selected="0">
            <x v="21"/>
          </reference>
          <reference field="18" count="0"/>
        </references>
      </pivotArea>
    </format>
    <format dxfId="1312">
      <pivotArea dataOnly="0" labelOnly="1" outline="0" fieldPosition="0">
        <references count="3">
          <reference field="7" count="1" selected="0">
            <x v="798"/>
          </reference>
          <reference field="16" count="1" selected="0">
            <x v="21"/>
          </reference>
          <reference field="18" count="0"/>
        </references>
      </pivotArea>
    </format>
    <format dxfId="1311">
      <pivotArea dataOnly="0" labelOnly="1" outline="0" fieldPosition="0">
        <references count="3">
          <reference field="7" count="1" selected="0">
            <x v="799"/>
          </reference>
          <reference field="16" count="1" selected="0">
            <x v="21"/>
          </reference>
          <reference field="18" count="0"/>
        </references>
      </pivotArea>
    </format>
    <format dxfId="1310">
      <pivotArea dataOnly="0" labelOnly="1" outline="0" fieldPosition="0">
        <references count="3">
          <reference field="7" count="1" selected="0">
            <x v="800"/>
          </reference>
          <reference field="16" count="1" selected="0">
            <x v="21"/>
          </reference>
          <reference field="18" count="0"/>
        </references>
      </pivotArea>
    </format>
    <format dxfId="1309">
      <pivotArea dataOnly="0" labelOnly="1" outline="0" fieldPosition="0">
        <references count="3">
          <reference field="7" count="1" selected="0">
            <x v="801"/>
          </reference>
          <reference field="16" count="1" selected="0">
            <x v="21"/>
          </reference>
          <reference field="18" count="0"/>
        </references>
      </pivotArea>
    </format>
    <format dxfId="1308">
      <pivotArea dataOnly="0" labelOnly="1" outline="0" fieldPosition="0">
        <references count="3">
          <reference field="7" count="1" selected="0">
            <x v="802"/>
          </reference>
          <reference field="16" count="1" selected="0">
            <x v="21"/>
          </reference>
          <reference field="18" count="0"/>
        </references>
      </pivotArea>
    </format>
    <format dxfId="1307">
      <pivotArea dataOnly="0" labelOnly="1" outline="0" fieldPosition="0">
        <references count="3">
          <reference field="7" count="1" selected="0">
            <x v="803"/>
          </reference>
          <reference field="16" count="1" selected="0">
            <x v="21"/>
          </reference>
          <reference field="18" count="0"/>
        </references>
      </pivotArea>
    </format>
    <format dxfId="1306">
      <pivotArea dataOnly="0" labelOnly="1" outline="0" fieldPosition="0">
        <references count="3">
          <reference field="7" count="1" selected="0">
            <x v="805"/>
          </reference>
          <reference field="16" count="1" selected="0">
            <x v="21"/>
          </reference>
          <reference field="18" count="0"/>
        </references>
      </pivotArea>
    </format>
    <format dxfId="1305">
      <pivotArea dataOnly="0" labelOnly="1" outline="0" fieldPosition="0">
        <references count="3">
          <reference field="7" count="1" selected="0">
            <x v="808"/>
          </reference>
          <reference field="16" count="1" selected="0">
            <x v="21"/>
          </reference>
          <reference field="18" count="0"/>
        </references>
      </pivotArea>
    </format>
    <format dxfId="1304">
      <pivotArea dataOnly="0" labelOnly="1" outline="0" fieldPosition="0">
        <references count="3">
          <reference field="7" count="1" selected="0">
            <x v="809"/>
          </reference>
          <reference field="16" count="1" selected="0">
            <x v="21"/>
          </reference>
          <reference field="18" count="0"/>
        </references>
      </pivotArea>
    </format>
    <format dxfId="1303">
      <pivotArea dataOnly="0" labelOnly="1" outline="0" fieldPosition="0">
        <references count="3">
          <reference field="7" count="1" selected="0">
            <x v="810"/>
          </reference>
          <reference field="16" count="1" selected="0">
            <x v="21"/>
          </reference>
          <reference field="18" count="0"/>
        </references>
      </pivotArea>
    </format>
    <format dxfId="1302">
      <pivotArea dataOnly="0" labelOnly="1" outline="0" fieldPosition="0">
        <references count="3">
          <reference field="7" count="1" selected="0">
            <x v="151"/>
          </reference>
          <reference field="16" count="1" selected="0">
            <x v="22"/>
          </reference>
          <reference field="18" count="0"/>
        </references>
      </pivotArea>
    </format>
    <format dxfId="1301">
      <pivotArea dataOnly="0" labelOnly="1" outline="0" fieldPosition="0">
        <references count="3">
          <reference field="7" count="1" selected="0">
            <x v="811"/>
          </reference>
          <reference field="16" count="1" selected="0">
            <x v="22"/>
          </reference>
          <reference field="18" count="0"/>
        </references>
      </pivotArea>
    </format>
    <format dxfId="1300">
      <pivotArea dataOnly="0" labelOnly="1" outline="0" fieldPosition="0">
        <references count="3">
          <reference field="7" count="1" selected="0">
            <x v="813"/>
          </reference>
          <reference field="16" count="1" selected="0">
            <x v="22"/>
          </reference>
          <reference field="18" count="0"/>
        </references>
      </pivotArea>
    </format>
    <format dxfId="1299">
      <pivotArea dataOnly="0" labelOnly="1" outline="0" fieldPosition="0">
        <references count="3">
          <reference field="7" count="1" selected="0">
            <x v="814"/>
          </reference>
          <reference field="16" count="1" selected="0">
            <x v="22"/>
          </reference>
          <reference field="18" count="0"/>
        </references>
      </pivotArea>
    </format>
    <format dxfId="1298">
      <pivotArea dataOnly="0" labelOnly="1" outline="0" fieldPosition="0">
        <references count="3">
          <reference field="7" count="1" selected="0">
            <x v="815"/>
          </reference>
          <reference field="16" count="1" selected="0">
            <x v="22"/>
          </reference>
          <reference field="18" count="0"/>
        </references>
      </pivotArea>
    </format>
    <format dxfId="1297">
      <pivotArea dataOnly="0" labelOnly="1" outline="0" fieldPosition="0">
        <references count="3">
          <reference field="7" count="1" selected="0">
            <x v="816"/>
          </reference>
          <reference field="16" count="1" selected="0">
            <x v="22"/>
          </reference>
          <reference field="18" count="0"/>
        </references>
      </pivotArea>
    </format>
    <format dxfId="1296">
      <pivotArea dataOnly="0" labelOnly="1" outline="0" fieldPosition="0">
        <references count="3">
          <reference field="7" count="1" selected="0">
            <x v="817"/>
          </reference>
          <reference field="16" count="1" selected="0">
            <x v="22"/>
          </reference>
          <reference field="18" count="0"/>
        </references>
      </pivotArea>
    </format>
    <format dxfId="1295">
      <pivotArea dataOnly="0" labelOnly="1" outline="0" fieldPosition="0">
        <references count="3">
          <reference field="7" count="1" selected="0">
            <x v="818"/>
          </reference>
          <reference field="16" count="1" selected="0">
            <x v="22"/>
          </reference>
          <reference field="18" count="0"/>
        </references>
      </pivotArea>
    </format>
    <format dxfId="1294">
      <pivotArea dataOnly="0" labelOnly="1" outline="0" fieldPosition="0">
        <references count="3">
          <reference field="7" count="1" selected="0">
            <x v="819"/>
          </reference>
          <reference field="16" count="1" selected="0">
            <x v="23"/>
          </reference>
          <reference field="18" count="0"/>
        </references>
      </pivotArea>
    </format>
    <format dxfId="1293">
      <pivotArea dataOnly="0" labelOnly="1" outline="0" fieldPosition="0">
        <references count="3">
          <reference field="7" count="1" selected="0">
            <x v="820"/>
          </reference>
          <reference field="16" count="1" selected="0">
            <x v="23"/>
          </reference>
          <reference field="18" count="0"/>
        </references>
      </pivotArea>
    </format>
    <format dxfId="1292">
      <pivotArea dataOnly="0" labelOnly="1" outline="0" fieldPosition="0">
        <references count="3">
          <reference field="7" count="1" selected="0">
            <x v="821"/>
          </reference>
          <reference field="16" count="1" selected="0">
            <x v="23"/>
          </reference>
          <reference field="18" count="0"/>
        </references>
      </pivotArea>
    </format>
    <format dxfId="1291">
      <pivotArea dataOnly="0" labelOnly="1" outline="0" fieldPosition="0">
        <references count="3">
          <reference field="7" count="1" selected="0">
            <x v="822"/>
          </reference>
          <reference field="16" count="1" selected="0">
            <x v="23"/>
          </reference>
          <reference field="18" count="0"/>
        </references>
      </pivotArea>
    </format>
    <format dxfId="1290">
      <pivotArea dataOnly="0" labelOnly="1" outline="0" fieldPosition="0">
        <references count="3">
          <reference field="7" count="1" selected="0">
            <x v="823"/>
          </reference>
          <reference field="16" count="1" selected="0">
            <x v="24"/>
          </reference>
          <reference field="18" count="0"/>
        </references>
      </pivotArea>
    </format>
    <format dxfId="1289">
      <pivotArea dataOnly="0" labelOnly="1" outline="0" fieldPosition="0">
        <references count="3">
          <reference field="7" count="1" selected="0">
            <x v="824"/>
          </reference>
          <reference field="16" count="1" selected="0">
            <x v="24"/>
          </reference>
          <reference field="18" count="0"/>
        </references>
      </pivotArea>
    </format>
    <format dxfId="1288">
      <pivotArea dataOnly="0" labelOnly="1" outline="0" fieldPosition="0">
        <references count="3">
          <reference field="7" count="1" selected="0">
            <x v="825"/>
          </reference>
          <reference field="16" count="1" selected="0">
            <x v="24"/>
          </reference>
          <reference field="18" count="0"/>
        </references>
      </pivotArea>
    </format>
    <format dxfId="1287">
      <pivotArea dataOnly="0" labelOnly="1" outline="0" fieldPosition="0">
        <references count="3">
          <reference field="7" count="1" selected="0">
            <x v="826"/>
          </reference>
          <reference field="16" count="1" selected="0">
            <x v="24"/>
          </reference>
          <reference field="18" count="0"/>
        </references>
      </pivotArea>
    </format>
    <format dxfId="1286">
      <pivotArea dataOnly="0" labelOnly="1" outline="0" fieldPosition="0">
        <references count="3">
          <reference field="7" count="1" selected="0">
            <x v="827"/>
          </reference>
          <reference field="16" count="1" selected="0">
            <x v="25"/>
          </reference>
          <reference field="18" count="0"/>
        </references>
      </pivotArea>
    </format>
    <format dxfId="1285">
      <pivotArea dataOnly="0" labelOnly="1" outline="0" fieldPosition="0">
        <references count="3">
          <reference field="7" count="1" selected="0">
            <x v="828"/>
          </reference>
          <reference field="16" count="1" selected="0">
            <x v="25"/>
          </reference>
          <reference field="18" count="0"/>
        </references>
      </pivotArea>
    </format>
    <format dxfId="1284">
      <pivotArea dataOnly="0" labelOnly="1" outline="0" fieldPosition="0">
        <references count="3">
          <reference field="7" count="1" selected="0">
            <x v="829"/>
          </reference>
          <reference field="16" count="1" selected="0">
            <x v="25"/>
          </reference>
          <reference field="18" count="0"/>
        </references>
      </pivotArea>
    </format>
    <format dxfId="1283">
      <pivotArea dataOnly="0" labelOnly="1" outline="0" fieldPosition="0">
        <references count="3">
          <reference field="7" count="1" selected="0">
            <x v="830"/>
          </reference>
          <reference field="16" count="1" selected="0">
            <x v="25"/>
          </reference>
          <reference field="18" count="0"/>
        </references>
      </pivotArea>
    </format>
    <format dxfId="1282">
      <pivotArea dataOnly="0" labelOnly="1" outline="0" fieldPosition="0">
        <references count="3">
          <reference field="7" count="1" selected="0">
            <x v="831"/>
          </reference>
          <reference field="16" count="1" selected="0">
            <x v="25"/>
          </reference>
          <reference field="18" count="0"/>
        </references>
      </pivotArea>
    </format>
    <format dxfId="1281">
      <pivotArea dataOnly="0" labelOnly="1" outline="0" fieldPosition="0">
        <references count="3">
          <reference field="7" count="1" selected="0">
            <x v="832"/>
          </reference>
          <reference field="16" count="1" selected="0">
            <x v="25"/>
          </reference>
          <reference field="18" count="0"/>
        </references>
      </pivotArea>
    </format>
    <format dxfId="1280">
      <pivotArea dataOnly="0" labelOnly="1" outline="0" fieldPosition="0">
        <references count="3">
          <reference field="7" count="1" selected="0">
            <x v="833"/>
          </reference>
          <reference field="16" count="1" selected="0">
            <x v="25"/>
          </reference>
          <reference field="18" count="0"/>
        </references>
      </pivotArea>
    </format>
    <format dxfId="1279">
      <pivotArea type="all" dataOnly="0" outline="0" fieldPosition="0"/>
    </format>
    <format dxfId="1278">
      <pivotArea outline="0" collapsedLevelsAreSubtotals="1" fieldPosition="0"/>
    </format>
    <format dxfId="1277">
      <pivotArea field="16" type="button" dataOnly="0" labelOnly="1" outline="0" axis="axisRow" fieldPosition="0"/>
    </format>
    <format dxfId="1276">
      <pivotArea field="7" type="button" dataOnly="0" labelOnly="1" outline="0" axis="axisRow" fieldPosition="1"/>
    </format>
    <format dxfId="1275">
      <pivotArea field="18" type="button" dataOnly="0" labelOnly="1" outline="0" axis="axisRow" fieldPosition="2"/>
    </format>
    <format dxfId="1274">
      <pivotArea dataOnly="0" labelOnly="1" outline="0" fieldPosition="0">
        <references count="1">
          <reference field="16" count="0"/>
        </references>
      </pivotArea>
    </format>
    <format dxfId="1273">
      <pivotArea dataOnly="0" labelOnly="1" outline="0" fieldPosition="0">
        <references count="2">
          <reference field="7" count="3">
            <x v="682"/>
            <x v="683"/>
            <x v="684"/>
          </reference>
          <reference field="16" count="1" selected="0">
            <x v="9"/>
          </reference>
        </references>
      </pivotArea>
    </format>
    <format dxfId="1272">
      <pivotArea dataOnly="0" labelOnly="1" outline="0" fieldPosition="0">
        <references count="2">
          <reference field="7" count="2">
            <x v="685"/>
            <x v="835"/>
          </reference>
          <reference field="16" count="1" selected="0">
            <x v="10"/>
          </reference>
        </references>
      </pivotArea>
    </format>
    <format dxfId="1271">
      <pivotArea dataOnly="0" labelOnly="1" outline="0" fieldPosition="0">
        <references count="2">
          <reference field="7" count="1">
            <x v="686"/>
          </reference>
          <reference field="16" count="1" selected="0">
            <x v="11"/>
          </reference>
        </references>
      </pivotArea>
    </format>
    <format dxfId="1270">
      <pivotArea dataOnly="0" labelOnly="1" outline="0" fieldPosition="0">
        <references count="2">
          <reference field="7" count="5">
            <x v="642"/>
            <x v="687"/>
            <x v="688"/>
            <x v="689"/>
            <x v="690"/>
          </reference>
          <reference field="16" count="1" selected="0">
            <x v="12"/>
          </reference>
        </references>
      </pivotArea>
    </format>
    <format dxfId="1269">
      <pivotArea dataOnly="0" labelOnly="1" outline="0" fieldPosition="0">
        <references count="2">
          <reference field="7" count="6">
            <x v="691"/>
            <x v="692"/>
            <x v="693"/>
            <x v="694"/>
            <x v="695"/>
            <x v="696"/>
          </reference>
          <reference field="16" count="1" selected="0">
            <x v="13"/>
          </reference>
        </references>
      </pivotArea>
    </format>
    <format dxfId="1268">
      <pivotArea dataOnly="0" labelOnly="1" outline="0" fieldPosition="0">
        <references count="2">
          <reference field="7" count="8">
            <x v="697"/>
            <x v="698"/>
            <x v="699"/>
            <x v="700"/>
            <x v="701"/>
            <x v="702"/>
            <x v="705"/>
            <x v="710"/>
          </reference>
          <reference field="16" count="1" selected="0">
            <x v="14"/>
          </reference>
        </references>
      </pivotArea>
    </format>
    <format dxfId="1267">
      <pivotArea dataOnly="0" labelOnly="1" outline="0" fieldPosition="0">
        <references count="2">
          <reference field="7" count="19">
            <x v="101"/>
            <x v="677"/>
            <x v="678"/>
            <x v="703"/>
            <x v="704"/>
            <x v="706"/>
            <x v="707"/>
            <x v="708"/>
            <x v="709"/>
            <x v="715"/>
            <x v="716"/>
            <x v="717"/>
            <x v="718"/>
            <x v="719"/>
            <x v="721"/>
            <x v="722"/>
            <x v="724"/>
            <x v="725"/>
            <x v="727"/>
          </reference>
          <reference field="16" count="1" selected="0">
            <x v="15"/>
          </reference>
        </references>
      </pivotArea>
    </format>
    <format dxfId="1266">
      <pivotArea dataOnly="0" labelOnly="1" outline="0" fieldPosition="0">
        <references count="2">
          <reference field="7" count="19">
            <x v="469"/>
            <x v="712"/>
            <x v="713"/>
            <x v="714"/>
            <x v="720"/>
            <x v="723"/>
            <x v="726"/>
            <x v="728"/>
            <x v="729"/>
            <x v="730"/>
            <x v="731"/>
            <x v="732"/>
            <x v="733"/>
            <x v="734"/>
            <x v="735"/>
            <x v="736"/>
            <x v="737"/>
            <x v="834"/>
            <x v="836"/>
          </reference>
          <reference field="16" count="1" selected="0">
            <x v="16"/>
          </reference>
        </references>
      </pivotArea>
    </format>
    <format dxfId="1265">
      <pivotArea dataOnly="0" labelOnly="1" outline="0" fieldPosition="0">
        <references count="2">
          <reference field="7" count="11">
            <x v="738"/>
            <x v="739"/>
            <x v="740"/>
            <x v="741"/>
            <x v="742"/>
            <x v="743"/>
            <x v="744"/>
            <x v="745"/>
            <x v="746"/>
            <x v="747"/>
            <x v="751"/>
          </reference>
          <reference field="16" count="1" selected="0">
            <x v="17"/>
          </reference>
        </references>
      </pivotArea>
    </format>
    <format dxfId="1264">
      <pivotArea dataOnly="0" labelOnly="1" outline="0" fieldPosition="0">
        <references count="2">
          <reference field="7" count="14">
            <x v="13"/>
            <x v="748"/>
            <x v="749"/>
            <x v="750"/>
            <x v="752"/>
            <x v="753"/>
            <x v="754"/>
            <x v="755"/>
            <x v="756"/>
            <x v="757"/>
            <x v="758"/>
            <x v="759"/>
            <x v="760"/>
            <x v="761"/>
          </reference>
          <reference field="16" count="1" selected="0">
            <x v="18"/>
          </reference>
        </references>
      </pivotArea>
    </format>
    <format dxfId="1263">
      <pivotArea dataOnly="0" labelOnly="1" outline="0" fieldPosition="0">
        <references count="2">
          <reference field="7" count="10">
            <x v="10"/>
            <x v="11"/>
            <x v="327"/>
            <x v="595"/>
            <x v="762"/>
            <x v="763"/>
            <x v="764"/>
            <x v="765"/>
            <x v="766"/>
            <x v="772"/>
          </reference>
          <reference field="16" count="1" selected="0">
            <x v="19"/>
          </reference>
        </references>
      </pivotArea>
    </format>
    <format dxfId="1262">
      <pivotArea dataOnly="0" labelOnly="1" outline="0" fieldPosition="0">
        <references count="2">
          <reference field="7" count="23">
            <x v="767"/>
            <x v="768"/>
            <x v="770"/>
            <x v="771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804"/>
            <x v="837"/>
          </reference>
          <reference field="16" count="1" selected="0">
            <x v="20"/>
          </reference>
        </references>
      </pivotArea>
    </format>
    <format dxfId="1261">
      <pivotArea dataOnly="0" labelOnly="1" outline="0" fieldPosition="0">
        <references count="2">
          <reference field="7" count="21">
            <x v="36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802"/>
            <x v="803"/>
            <x v="805"/>
            <x v="806"/>
            <x v="807"/>
            <x v="808"/>
            <x v="809"/>
            <x v="810"/>
          </reference>
          <reference field="16" count="1" selected="0">
            <x v="21"/>
          </reference>
        </references>
      </pivotArea>
    </format>
    <format dxfId="1260">
      <pivotArea dataOnly="0" labelOnly="1" outline="0" fieldPosition="0">
        <references count="2">
          <reference field="7" count="9">
            <x v="151"/>
            <x v="811"/>
            <x v="812"/>
            <x v="813"/>
            <x v="814"/>
            <x v="815"/>
            <x v="816"/>
            <x v="817"/>
            <x v="818"/>
          </reference>
          <reference field="16" count="1" selected="0">
            <x v="22"/>
          </reference>
        </references>
      </pivotArea>
    </format>
    <format dxfId="1259">
      <pivotArea dataOnly="0" labelOnly="1" outline="0" fieldPosition="0">
        <references count="2">
          <reference field="7" count="4">
            <x v="819"/>
            <x v="820"/>
            <x v="821"/>
            <x v="822"/>
          </reference>
          <reference field="16" count="1" selected="0">
            <x v="23"/>
          </reference>
        </references>
      </pivotArea>
    </format>
    <format dxfId="1258">
      <pivotArea dataOnly="0" labelOnly="1" outline="0" fieldPosition="0">
        <references count="2">
          <reference field="7" count="4">
            <x v="823"/>
            <x v="824"/>
            <x v="825"/>
            <x v="826"/>
          </reference>
          <reference field="16" count="1" selected="0">
            <x v="24"/>
          </reference>
        </references>
      </pivotArea>
    </format>
    <format dxfId="1257">
      <pivotArea dataOnly="0" labelOnly="1" outline="0" fieldPosition="0">
        <references count="2">
          <reference field="7" count="7">
            <x v="827"/>
            <x v="828"/>
            <x v="829"/>
            <x v="830"/>
            <x v="831"/>
            <x v="832"/>
            <x v="833"/>
          </reference>
          <reference field="16" count="1" selected="0">
            <x v="25"/>
          </reference>
        </references>
      </pivotArea>
    </format>
    <format dxfId="1256">
      <pivotArea dataOnly="0" labelOnly="1" outline="0" fieldPosition="0">
        <references count="3">
          <reference field="7" count="1" selected="0">
            <x v="682"/>
          </reference>
          <reference field="16" count="1" selected="0">
            <x v="9"/>
          </reference>
          <reference field="18" count="1">
            <x v="0"/>
          </reference>
        </references>
      </pivotArea>
    </format>
    <format dxfId="1255">
      <pivotArea dataOnly="0" labelOnly="1" outline="0" fieldPosition="0">
        <references count="3">
          <reference field="7" count="1" selected="0">
            <x v="683"/>
          </reference>
          <reference field="16" count="1" selected="0">
            <x v="9"/>
          </reference>
          <reference field="18" count="1">
            <x v="1"/>
          </reference>
        </references>
      </pivotArea>
    </format>
    <format dxfId="1254">
      <pivotArea dataOnly="0" labelOnly="1" outline="0" fieldPosition="0">
        <references count="3">
          <reference field="7" count="1" selected="0">
            <x v="684"/>
          </reference>
          <reference field="16" count="1" selected="0">
            <x v="9"/>
          </reference>
          <reference field="18" count="1">
            <x v="1"/>
          </reference>
        </references>
      </pivotArea>
    </format>
    <format dxfId="1253">
      <pivotArea dataOnly="0" labelOnly="1" outline="0" fieldPosition="0">
        <references count="3">
          <reference field="7" count="1" selected="0">
            <x v="685"/>
          </reference>
          <reference field="16" count="1" selected="0">
            <x v="10"/>
          </reference>
          <reference field="18" count="1">
            <x v="3"/>
          </reference>
        </references>
      </pivotArea>
    </format>
    <format dxfId="1252">
      <pivotArea dataOnly="0" labelOnly="1" outline="0" fieldPosition="0">
        <references count="3">
          <reference field="7" count="1" selected="0">
            <x v="835"/>
          </reference>
          <reference field="16" count="1" selected="0">
            <x v="10"/>
          </reference>
          <reference field="18" count="1">
            <x v="1"/>
          </reference>
        </references>
      </pivotArea>
    </format>
    <format dxfId="1251">
      <pivotArea dataOnly="0" labelOnly="1" outline="0" fieldPosition="0">
        <references count="3">
          <reference field="7" count="1" selected="0">
            <x v="686"/>
          </reference>
          <reference field="16" count="1" selected="0">
            <x v="11"/>
          </reference>
          <reference field="18" count="1">
            <x v="0"/>
          </reference>
        </references>
      </pivotArea>
    </format>
    <format dxfId="1250">
      <pivotArea dataOnly="0" labelOnly="1" outline="0" fieldPosition="0">
        <references count="3">
          <reference field="7" count="1" selected="0">
            <x v="642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1249">
      <pivotArea dataOnly="0" labelOnly="1" outline="0" fieldPosition="0">
        <references count="3">
          <reference field="7" count="1" selected="0">
            <x v="687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1248">
      <pivotArea dataOnly="0" labelOnly="1" outline="0" fieldPosition="0">
        <references count="3">
          <reference field="7" count="1" selected="0">
            <x v="688"/>
          </reference>
          <reference field="16" count="1" selected="0">
            <x v="12"/>
          </reference>
          <reference field="18" count="1">
            <x v="1"/>
          </reference>
        </references>
      </pivotArea>
    </format>
    <format dxfId="1247">
      <pivotArea dataOnly="0" labelOnly="1" outline="0" fieldPosition="0">
        <references count="3">
          <reference field="7" count="1" selected="0">
            <x v="689"/>
          </reference>
          <reference field="16" count="1" selected="0">
            <x v="12"/>
          </reference>
          <reference field="18" count="1">
            <x v="1"/>
          </reference>
        </references>
      </pivotArea>
    </format>
    <format dxfId="1246">
      <pivotArea dataOnly="0" labelOnly="1" outline="0" fieldPosition="0">
        <references count="3">
          <reference field="7" count="1" selected="0">
            <x v="690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1245">
      <pivotArea dataOnly="0" labelOnly="1" outline="0" fieldPosition="0">
        <references count="3">
          <reference field="7" count="1" selected="0">
            <x v="691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1244">
      <pivotArea dataOnly="0" labelOnly="1" outline="0" fieldPosition="0">
        <references count="3">
          <reference field="7" count="1" selected="0">
            <x v="692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1243">
      <pivotArea dataOnly="0" labelOnly="1" outline="0" fieldPosition="0">
        <references count="3">
          <reference field="7" count="1" selected="0">
            <x v="693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1242">
      <pivotArea dataOnly="0" labelOnly="1" outline="0" fieldPosition="0">
        <references count="3">
          <reference field="7" count="1" selected="0">
            <x v="694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1241">
      <pivotArea dataOnly="0" labelOnly="1" outline="0" fieldPosition="0">
        <references count="3">
          <reference field="7" count="1" selected="0">
            <x v="695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1240">
      <pivotArea dataOnly="0" labelOnly="1" outline="0" fieldPosition="0">
        <references count="3">
          <reference field="7" count="1" selected="0">
            <x v="696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1239">
      <pivotArea dataOnly="0" labelOnly="1" outline="0" fieldPosition="0">
        <references count="3">
          <reference field="7" count="1" selected="0">
            <x v="697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1238">
      <pivotArea dataOnly="0" labelOnly="1" outline="0" fieldPosition="0">
        <references count="3">
          <reference field="7" count="1" selected="0">
            <x v="698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1237">
      <pivotArea dataOnly="0" labelOnly="1" outline="0" fieldPosition="0">
        <references count="3">
          <reference field="7" count="1" selected="0">
            <x v="699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1236">
      <pivotArea dataOnly="0" labelOnly="1" outline="0" fieldPosition="0">
        <references count="3">
          <reference field="7" count="1" selected="0">
            <x v="700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1235">
      <pivotArea dataOnly="0" labelOnly="1" outline="0" fieldPosition="0">
        <references count="3">
          <reference field="7" count="1" selected="0">
            <x v="701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1234">
      <pivotArea dataOnly="0" labelOnly="1" outline="0" fieldPosition="0">
        <references count="3">
          <reference field="7" count="1" selected="0">
            <x v="702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1233">
      <pivotArea dataOnly="0" labelOnly="1" outline="0" fieldPosition="0">
        <references count="3">
          <reference field="7" count="1" selected="0">
            <x v="705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1232">
      <pivotArea dataOnly="0" labelOnly="1" outline="0" fieldPosition="0">
        <references count="3">
          <reference field="7" count="1" selected="0">
            <x v="710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1231">
      <pivotArea dataOnly="0" labelOnly="1" outline="0" fieldPosition="0">
        <references count="3">
          <reference field="7" count="1" selected="0">
            <x v="101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1230">
      <pivotArea dataOnly="0" labelOnly="1" outline="0" fieldPosition="0">
        <references count="3">
          <reference field="7" count="1" selected="0">
            <x v="677"/>
          </reference>
          <reference field="16" count="1" selected="0">
            <x v="15"/>
          </reference>
          <reference field="18" count="1">
            <x v="0"/>
          </reference>
        </references>
      </pivotArea>
    </format>
    <format dxfId="1229">
      <pivotArea dataOnly="0" labelOnly="1" outline="0" fieldPosition="0">
        <references count="3">
          <reference field="7" count="1" selected="0">
            <x v="678"/>
          </reference>
          <reference field="16" count="1" selected="0">
            <x v="15"/>
          </reference>
          <reference field="18" count="1">
            <x v="0"/>
          </reference>
        </references>
      </pivotArea>
    </format>
    <format dxfId="1228">
      <pivotArea dataOnly="0" labelOnly="1" outline="0" fieldPosition="0">
        <references count="3">
          <reference field="7" count="1" selected="0">
            <x v="703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227">
      <pivotArea dataOnly="0" labelOnly="1" outline="0" fieldPosition="0">
        <references count="3">
          <reference field="7" count="1" selected="0">
            <x v="704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1226">
      <pivotArea dataOnly="0" labelOnly="1" outline="0" fieldPosition="0">
        <references count="3">
          <reference field="7" count="1" selected="0">
            <x v="706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225">
      <pivotArea dataOnly="0" labelOnly="1" outline="0" fieldPosition="0">
        <references count="3">
          <reference field="7" count="1" selected="0">
            <x v="707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224">
      <pivotArea dataOnly="0" labelOnly="1" outline="0" fieldPosition="0">
        <references count="3">
          <reference field="7" count="1" selected="0">
            <x v="708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223">
      <pivotArea dataOnly="0" labelOnly="1" outline="0" fieldPosition="0">
        <references count="3">
          <reference field="7" count="1" selected="0">
            <x v="709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222">
      <pivotArea dataOnly="0" labelOnly="1" outline="0" fieldPosition="0">
        <references count="3">
          <reference field="7" count="1" selected="0">
            <x v="715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221">
      <pivotArea dataOnly="0" labelOnly="1" outline="0" fieldPosition="0">
        <references count="3">
          <reference field="7" count="1" selected="0">
            <x v="716"/>
          </reference>
          <reference field="16" count="1" selected="0">
            <x v="15"/>
          </reference>
          <reference field="18" count="1">
            <x v="2"/>
          </reference>
        </references>
      </pivotArea>
    </format>
    <format dxfId="1220">
      <pivotArea dataOnly="0" labelOnly="1" outline="0" fieldPosition="0">
        <references count="3">
          <reference field="7" count="1" selected="0">
            <x v="717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219">
      <pivotArea dataOnly="0" labelOnly="1" outline="0" fieldPosition="0">
        <references count="3">
          <reference field="7" count="1" selected="0">
            <x v="718"/>
          </reference>
          <reference field="16" count="1" selected="0">
            <x v="15"/>
          </reference>
          <reference field="18" count="1">
            <x v="2"/>
          </reference>
        </references>
      </pivotArea>
    </format>
    <format dxfId="1218">
      <pivotArea dataOnly="0" labelOnly="1" outline="0" fieldPosition="0">
        <references count="3">
          <reference field="7" count="1" selected="0">
            <x v="719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217">
      <pivotArea dataOnly="0" labelOnly="1" outline="0" fieldPosition="0">
        <references count="3">
          <reference field="7" count="1" selected="0">
            <x v="721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216">
      <pivotArea dataOnly="0" labelOnly="1" outline="0" fieldPosition="0">
        <references count="3">
          <reference field="7" count="1" selected="0">
            <x v="722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215">
      <pivotArea dataOnly="0" labelOnly="1" outline="0" fieldPosition="0">
        <references count="3">
          <reference field="7" count="1" selected="0">
            <x v="724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214">
      <pivotArea dataOnly="0" labelOnly="1" outline="0" fieldPosition="0">
        <references count="3">
          <reference field="7" count="1" selected="0">
            <x v="725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213">
      <pivotArea dataOnly="0" labelOnly="1" outline="0" fieldPosition="0">
        <references count="3">
          <reference field="7" count="1" selected="0">
            <x v="727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1212">
      <pivotArea dataOnly="0" labelOnly="1" outline="0" fieldPosition="0">
        <references count="3">
          <reference field="7" count="1" selected="0">
            <x v="469"/>
          </reference>
          <reference field="16" count="1" selected="0">
            <x v="16"/>
          </reference>
          <reference field="18" count="1">
            <x v="2"/>
          </reference>
        </references>
      </pivotArea>
    </format>
    <format dxfId="1211">
      <pivotArea dataOnly="0" labelOnly="1" outline="0" fieldPosition="0">
        <references count="3">
          <reference field="7" count="1" selected="0">
            <x v="712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210">
      <pivotArea dataOnly="0" labelOnly="1" outline="0" fieldPosition="0">
        <references count="3">
          <reference field="7" count="1" selected="0">
            <x v="713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209">
      <pivotArea dataOnly="0" labelOnly="1" outline="0" fieldPosition="0">
        <references count="3">
          <reference field="7" count="1" selected="0">
            <x v="714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208">
      <pivotArea dataOnly="0" labelOnly="1" outline="0" fieldPosition="0">
        <references count="3">
          <reference field="7" count="1" selected="0">
            <x v="720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207">
      <pivotArea dataOnly="0" labelOnly="1" outline="0" fieldPosition="0">
        <references count="3">
          <reference field="7" count="1" selected="0">
            <x v="723"/>
          </reference>
          <reference field="16" count="1" selected="0">
            <x v="16"/>
          </reference>
          <reference field="18" count="1">
            <x v="2"/>
          </reference>
        </references>
      </pivotArea>
    </format>
    <format dxfId="1206">
      <pivotArea dataOnly="0" labelOnly="1" outline="0" fieldPosition="0">
        <references count="3">
          <reference field="7" count="1" selected="0">
            <x v="726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205">
      <pivotArea dataOnly="0" labelOnly="1" outline="0" fieldPosition="0">
        <references count="3">
          <reference field="7" count="1" selected="0">
            <x v="728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204">
      <pivotArea dataOnly="0" labelOnly="1" outline="0" fieldPosition="0">
        <references count="3">
          <reference field="7" count="1" selected="0">
            <x v="729"/>
          </reference>
          <reference field="16" count="1" selected="0">
            <x v="16"/>
          </reference>
          <reference field="18" count="1">
            <x v="2"/>
          </reference>
        </references>
      </pivotArea>
    </format>
    <format dxfId="1203">
      <pivotArea dataOnly="0" labelOnly="1" outline="0" fieldPosition="0">
        <references count="3">
          <reference field="7" count="1" selected="0">
            <x v="730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202">
      <pivotArea dataOnly="0" labelOnly="1" outline="0" fieldPosition="0">
        <references count="3">
          <reference field="7" count="1" selected="0">
            <x v="731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201">
      <pivotArea dataOnly="0" labelOnly="1" outline="0" fieldPosition="0">
        <references count="3">
          <reference field="7" count="1" selected="0">
            <x v="732"/>
          </reference>
          <reference field="16" count="1" selected="0">
            <x v="16"/>
          </reference>
          <reference field="18" count="1">
            <x v="2"/>
          </reference>
        </references>
      </pivotArea>
    </format>
    <format dxfId="1200">
      <pivotArea dataOnly="0" labelOnly="1" outline="0" fieldPosition="0">
        <references count="3">
          <reference field="7" count="1" selected="0">
            <x v="733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199">
      <pivotArea dataOnly="0" labelOnly="1" outline="0" fieldPosition="0">
        <references count="3">
          <reference field="7" count="1" selected="0">
            <x v="734"/>
          </reference>
          <reference field="16" count="1" selected="0">
            <x v="16"/>
          </reference>
          <reference field="18" count="1">
            <x v="2"/>
          </reference>
        </references>
      </pivotArea>
    </format>
    <format dxfId="1198">
      <pivotArea dataOnly="0" labelOnly="1" outline="0" fieldPosition="0">
        <references count="3">
          <reference field="7" count="1" selected="0">
            <x v="735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197">
      <pivotArea dataOnly="0" labelOnly="1" outline="0" fieldPosition="0">
        <references count="3">
          <reference field="7" count="1" selected="0">
            <x v="736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196">
      <pivotArea dataOnly="0" labelOnly="1" outline="0" fieldPosition="0">
        <references count="3">
          <reference field="7" count="1" selected="0">
            <x v="737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195">
      <pivotArea dataOnly="0" labelOnly="1" outline="0" fieldPosition="0">
        <references count="3">
          <reference field="7" count="1" selected="0">
            <x v="834"/>
          </reference>
          <reference field="16" count="1" selected="0">
            <x v="16"/>
          </reference>
          <reference field="18" count="1">
            <x v="2"/>
          </reference>
        </references>
      </pivotArea>
    </format>
    <format dxfId="1194">
      <pivotArea dataOnly="0" labelOnly="1" outline="0" fieldPosition="0">
        <references count="3">
          <reference field="7" count="1" selected="0">
            <x v="836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193">
      <pivotArea dataOnly="0" labelOnly="1" outline="0" fieldPosition="0">
        <references count="3">
          <reference field="7" count="1" selected="0">
            <x v="738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192">
      <pivotArea dataOnly="0" labelOnly="1" outline="0" fieldPosition="0">
        <references count="3">
          <reference field="7" count="1" selected="0">
            <x v="739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191">
      <pivotArea dataOnly="0" labelOnly="1" outline="0" fieldPosition="0">
        <references count="3">
          <reference field="7" count="1" selected="0">
            <x v="740"/>
          </reference>
          <reference field="16" count="1" selected="0">
            <x v="17"/>
          </reference>
          <reference field="18" count="1">
            <x v="2"/>
          </reference>
        </references>
      </pivotArea>
    </format>
    <format dxfId="1190">
      <pivotArea dataOnly="0" labelOnly="1" outline="0" fieldPosition="0">
        <references count="3">
          <reference field="7" count="1" selected="0">
            <x v="741"/>
          </reference>
          <reference field="16" count="1" selected="0">
            <x v="17"/>
          </reference>
          <reference field="18" count="1">
            <x v="2"/>
          </reference>
        </references>
      </pivotArea>
    </format>
    <format dxfId="1189">
      <pivotArea dataOnly="0" labelOnly="1" outline="0" fieldPosition="0">
        <references count="3">
          <reference field="7" count="1" selected="0">
            <x v="742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188">
      <pivotArea dataOnly="0" labelOnly="1" outline="0" fieldPosition="0">
        <references count="3">
          <reference field="7" count="1" selected="0">
            <x v="743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187">
      <pivotArea dataOnly="0" labelOnly="1" outline="0" fieldPosition="0">
        <references count="3">
          <reference field="7" count="1" selected="0">
            <x v="744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186">
      <pivotArea dataOnly="0" labelOnly="1" outline="0" fieldPosition="0">
        <references count="3">
          <reference field="7" count="1" selected="0">
            <x v="745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185">
      <pivotArea dataOnly="0" labelOnly="1" outline="0" fieldPosition="0">
        <references count="3">
          <reference field="7" count="1" selected="0">
            <x v="746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184">
      <pivotArea dataOnly="0" labelOnly="1" outline="0" fieldPosition="0">
        <references count="3">
          <reference field="7" count="1" selected="0">
            <x v="747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183">
      <pivotArea dataOnly="0" labelOnly="1" outline="0" fieldPosition="0">
        <references count="3">
          <reference field="7" count="1" selected="0">
            <x v="751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182">
      <pivotArea dataOnly="0" labelOnly="1" outline="0" fieldPosition="0">
        <references count="3">
          <reference field="7" count="1" selected="0">
            <x v="13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181">
      <pivotArea dataOnly="0" labelOnly="1" outline="0" fieldPosition="0">
        <references count="3">
          <reference field="7" count="1" selected="0">
            <x v="74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180">
      <pivotArea dataOnly="0" labelOnly="1" outline="0" fieldPosition="0">
        <references count="3">
          <reference field="7" count="1" selected="0">
            <x v="749"/>
          </reference>
          <reference field="16" count="1" selected="0">
            <x v="18"/>
          </reference>
          <reference field="18" count="1">
            <x v="2"/>
          </reference>
        </references>
      </pivotArea>
    </format>
    <format dxfId="1179">
      <pivotArea dataOnly="0" labelOnly="1" outline="0" fieldPosition="0">
        <references count="3">
          <reference field="7" count="1" selected="0">
            <x v="750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1178">
      <pivotArea dataOnly="0" labelOnly="1" outline="0" fieldPosition="0">
        <references count="3">
          <reference field="7" count="1" selected="0">
            <x v="752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177">
      <pivotArea dataOnly="0" labelOnly="1" outline="0" fieldPosition="0">
        <references count="3">
          <reference field="7" count="1" selected="0">
            <x v="753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176">
      <pivotArea dataOnly="0" labelOnly="1" outline="0" fieldPosition="0">
        <references count="3">
          <reference field="7" count="1" selected="0">
            <x v="754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175">
      <pivotArea dataOnly="0" labelOnly="1" outline="0" fieldPosition="0">
        <references count="3">
          <reference field="7" count="1" selected="0">
            <x v="755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174">
      <pivotArea dataOnly="0" labelOnly="1" outline="0" fieldPosition="0">
        <references count="3">
          <reference field="7" count="1" selected="0">
            <x v="756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173">
      <pivotArea dataOnly="0" labelOnly="1" outline="0" fieldPosition="0">
        <references count="3">
          <reference field="7" count="1" selected="0">
            <x v="75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172">
      <pivotArea dataOnly="0" labelOnly="1" outline="0" fieldPosition="0">
        <references count="3">
          <reference field="7" count="1" selected="0">
            <x v="75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171">
      <pivotArea dataOnly="0" labelOnly="1" outline="0" fieldPosition="0">
        <references count="3">
          <reference field="7" count="1" selected="0">
            <x v="759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170">
      <pivotArea dataOnly="0" labelOnly="1" outline="0" fieldPosition="0">
        <references count="3">
          <reference field="7" count="1" selected="0">
            <x v="760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1169">
      <pivotArea dataOnly="0" labelOnly="1" outline="0" fieldPosition="0">
        <references count="3">
          <reference field="7" count="1" selected="0">
            <x v="761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168">
      <pivotArea dataOnly="0" labelOnly="1" outline="0" fieldPosition="0">
        <references count="3">
          <reference field="7" count="1" selected="0">
            <x v="10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1167">
      <pivotArea dataOnly="0" labelOnly="1" outline="0" fieldPosition="0">
        <references count="3">
          <reference field="7" count="1" selected="0">
            <x v="11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1166">
      <pivotArea dataOnly="0" labelOnly="1" outline="0" fieldPosition="0">
        <references count="3">
          <reference field="7" count="1" selected="0">
            <x v="327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1165">
      <pivotArea dataOnly="0" labelOnly="1" outline="0" fieldPosition="0">
        <references count="3">
          <reference field="7" count="1" selected="0">
            <x v="59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1164">
      <pivotArea dataOnly="0" labelOnly="1" outline="0" fieldPosition="0">
        <references count="3">
          <reference field="7" count="1" selected="0">
            <x v="762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1163">
      <pivotArea dataOnly="0" labelOnly="1" outline="0" fieldPosition="0">
        <references count="3">
          <reference field="7" count="1" selected="0">
            <x v="763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1162">
      <pivotArea dataOnly="0" labelOnly="1" outline="0" fieldPosition="0">
        <references count="3">
          <reference field="7" count="1" selected="0">
            <x v="764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1161">
      <pivotArea dataOnly="0" labelOnly="1" outline="0" fieldPosition="0">
        <references count="3">
          <reference field="7" count="1" selected="0">
            <x v="76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1160">
      <pivotArea dataOnly="0" labelOnly="1" outline="0" fieldPosition="0">
        <references count="3">
          <reference field="7" count="1" selected="0">
            <x v="766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1159">
      <pivotArea dataOnly="0" labelOnly="1" outline="0" fieldPosition="0">
        <references count="3">
          <reference field="7" count="1" selected="0">
            <x v="772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1158">
      <pivotArea dataOnly="0" labelOnly="1" outline="0" fieldPosition="0">
        <references count="3">
          <reference field="7" count="1" selected="0">
            <x v="767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157">
      <pivotArea dataOnly="0" labelOnly="1" outline="0" fieldPosition="0">
        <references count="3">
          <reference field="7" count="1" selected="0">
            <x v="768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156">
      <pivotArea dataOnly="0" labelOnly="1" outline="0" fieldPosition="0">
        <references count="3">
          <reference field="7" count="1" selected="0">
            <x v="770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155">
      <pivotArea dataOnly="0" labelOnly="1" outline="0" fieldPosition="0">
        <references count="3">
          <reference field="7" count="1" selected="0">
            <x v="771"/>
          </reference>
          <reference field="16" count="1" selected="0">
            <x v="20"/>
          </reference>
          <reference field="18" count="1">
            <x v="2"/>
          </reference>
        </references>
      </pivotArea>
    </format>
    <format dxfId="1154">
      <pivotArea dataOnly="0" labelOnly="1" outline="0" fieldPosition="0">
        <references count="3">
          <reference field="7" count="1" selected="0">
            <x v="773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1153">
      <pivotArea dataOnly="0" labelOnly="1" outline="0" fieldPosition="0">
        <references count="3">
          <reference field="7" count="1" selected="0">
            <x v="774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1152">
      <pivotArea dataOnly="0" labelOnly="1" outline="0" fieldPosition="0">
        <references count="3">
          <reference field="7" count="1" selected="0">
            <x v="775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1151">
      <pivotArea dataOnly="0" labelOnly="1" outline="0" fieldPosition="0">
        <references count="3">
          <reference field="7" count="1" selected="0">
            <x v="776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150">
      <pivotArea dataOnly="0" labelOnly="1" outline="0" fieldPosition="0">
        <references count="3">
          <reference field="7" count="1" selected="0">
            <x v="777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1149">
      <pivotArea dataOnly="0" labelOnly="1" outline="0" fieldPosition="0">
        <references count="3">
          <reference field="7" count="1" selected="0">
            <x v="778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148">
      <pivotArea dataOnly="0" labelOnly="1" outline="0" fieldPosition="0">
        <references count="3">
          <reference field="7" count="1" selected="0">
            <x v="779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147">
      <pivotArea dataOnly="0" labelOnly="1" outline="0" fieldPosition="0">
        <references count="3">
          <reference field="7" count="1" selected="0">
            <x v="780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146">
      <pivotArea dataOnly="0" labelOnly="1" outline="0" fieldPosition="0">
        <references count="3">
          <reference field="7" count="1" selected="0">
            <x v="781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1145">
      <pivotArea dataOnly="0" labelOnly="1" outline="0" fieldPosition="0">
        <references count="3">
          <reference field="7" count="1" selected="0">
            <x v="78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144">
      <pivotArea dataOnly="0" labelOnly="1" outline="0" fieldPosition="0">
        <references count="3">
          <reference field="7" count="1" selected="0">
            <x v="783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143">
      <pivotArea dataOnly="0" labelOnly="1" outline="0" fieldPosition="0">
        <references count="3">
          <reference field="7" count="1" selected="0">
            <x v="784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142">
      <pivotArea dataOnly="0" labelOnly="1" outline="0" fieldPosition="0">
        <references count="3">
          <reference field="7" count="1" selected="0">
            <x v="785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141">
      <pivotArea dataOnly="0" labelOnly="1" outline="0" fieldPosition="0">
        <references count="3">
          <reference field="7" count="1" selected="0">
            <x v="786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140">
      <pivotArea dataOnly="0" labelOnly="1" outline="0" fieldPosition="0">
        <references count="3">
          <reference field="7" count="1" selected="0">
            <x v="787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139">
      <pivotArea dataOnly="0" labelOnly="1" outline="0" fieldPosition="0">
        <references count="3">
          <reference field="7" count="1" selected="0">
            <x v="788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138">
      <pivotArea dataOnly="0" labelOnly="1" outline="0" fieldPosition="0">
        <references count="3">
          <reference field="7" count="1" selected="0">
            <x v="789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137">
      <pivotArea dataOnly="0" labelOnly="1" outline="0" fieldPosition="0">
        <references count="3">
          <reference field="7" count="1" selected="0">
            <x v="804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136">
      <pivotArea dataOnly="0" labelOnly="1" outline="0" fieldPosition="0">
        <references count="3">
          <reference field="7" count="1" selected="0">
            <x v="837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135">
      <pivotArea dataOnly="0" labelOnly="1" outline="0" fieldPosition="0">
        <references count="3">
          <reference field="7" count="1" selected="0">
            <x v="36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134">
      <pivotArea dataOnly="0" labelOnly="1" outline="0" fieldPosition="0">
        <references count="3">
          <reference field="7" count="1" selected="0">
            <x v="790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1133">
      <pivotArea dataOnly="0" labelOnly="1" outline="0" fieldPosition="0">
        <references count="3">
          <reference field="7" count="1" selected="0">
            <x v="791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132">
      <pivotArea dataOnly="0" labelOnly="1" outline="0" fieldPosition="0">
        <references count="3">
          <reference field="7" count="1" selected="0">
            <x v="792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1131">
      <pivotArea dataOnly="0" labelOnly="1" outline="0" fieldPosition="0">
        <references count="3">
          <reference field="7" count="1" selected="0">
            <x v="793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130">
      <pivotArea dataOnly="0" labelOnly="1" outline="0" fieldPosition="0">
        <references count="3">
          <reference field="7" count="1" selected="0">
            <x v="794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129">
      <pivotArea dataOnly="0" labelOnly="1" outline="0" fieldPosition="0">
        <references count="3">
          <reference field="7" count="1" selected="0">
            <x v="79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128">
      <pivotArea dataOnly="0" labelOnly="1" outline="0" fieldPosition="0">
        <references count="3">
          <reference field="7" count="1" selected="0">
            <x v="796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127">
      <pivotArea dataOnly="0" labelOnly="1" outline="0" fieldPosition="0">
        <references count="3">
          <reference field="7" count="1" selected="0">
            <x v="797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126">
      <pivotArea dataOnly="0" labelOnly="1" outline="0" fieldPosition="0">
        <references count="3">
          <reference field="7" count="1" selected="0">
            <x v="79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125">
      <pivotArea dataOnly="0" labelOnly="1" outline="0" fieldPosition="0">
        <references count="3">
          <reference field="7" count="1" selected="0">
            <x v="799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124">
      <pivotArea dataOnly="0" labelOnly="1" outline="0" fieldPosition="0">
        <references count="3">
          <reference field="7" count="1" selected="0">
            <x v="800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123">
      <pivotArea dataOnly="0" labelOnly="1" outline="0" fieldPosition="0">
        <references count="3">
          <reference field="7" count="1" selected="0">
            <x v="801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122">
      <pivotArea dataOnly="0" labelOnly="1" outline="0" fieldPosition="0">
        <references count="3">
          <reference field="7" count="1" selected="0">
            <x v="802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121">
      <pivotArea dataOnly="0" labelOnly="1" outline="0" fieldPosition="0">
        <references count="3">
          <reference field="7" count="1" selected="0">
            <x v="803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120">
      <pivotArea dataOnly="0" labelOnly="1" outline="0" fieldPosition="0">
        <references count="3">
          <reference field="7" count="1" selected="0">
            <x v="80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119">
      <pivotArea dataOnly="0" labelOnly="1" outline="0" fieldPosition="0">
        <references count="3">
          <reference field="7" count="1" selected="0">
            <x v="806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1118">
      <pivotArea dataOnly="0" labelOnly="1" outline="0" fieldPosition="0">
        <references count="3">
          <reference field="7" count="1" selected="0">
            <x v="807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1117">
      <pivotArea dataOnly="0" labelOnly="1" outline="0" fieldPosition="0">
        <references count="3">
          <reference field="7" count="1" selected="0">
            <x v="80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116">
      <pivotArea dataOnly="0" labelOnly="1" outline="0" fieldPosition="0">
        <references count="3">
          <reference field="7" count="1" selected="0">
            <x v="809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115">
      <pivotArea dataOnly="0" labelOnly="1" outline="0" fieldPosition="0">
        <references count="3">
          <reference field="7" count="1" selected="0">
            <x v="810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114">
      <pivotArea dataOnly="0" labelOnly="1" outline="0" fieldPosition="0">
        <references count="3">
          <reference field="7" count="1" selected="0">
            <x v="151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1113">
      <pivotArea dataOnly="0" labelOnly="1" outline="0" fieldPosition="0">
        <references count="3">
          <reference field="7" count="1" selected="0">
            <x v="811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1112">
      <pivotArea dataOnly="0" labelOnly="1" outline="0" fieldPosition="0">
        <references count="3">
          <reference field="7" count="1" selected="0">
            <x v="812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1111">
      <pivotArea dataOnly="0" labelOnly="1" outline="0" fieldPosition="0">
        <references count="3">
          <reference field="7" count="1" selected="0">
            <x v="813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1110">
      <pivotArea dataOnly="0" labelOnly="1" outline="0" fieldPosition="0">
        <references count="3">
          <reference field="7" count="1" selected="0">
            <x v="814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1109">
      <pivotArea dataOnly="0" labelOnly="1" outline="0" fieldPosition="0">
        <references count="3">
          <reference field="7" count="1" selected="0">
            <x v="815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1108">
      <pivotArea dataOnly="0" labelOnly="1" outline="0" fieldPosition="0">
        <references count="3">
          <reference field="7" count="1" selected="0">
            <x v="816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1107">
      <pivotArea dataOnly="0" labelOnly="1" outline="0" fieldPosition="0">
        <references count="3">
          <reference field="7" count="1" selected="0">
            <x v="817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1106">
      <pivotArea dataOnly="0" labelOnly="1" outline="0" fieldPosition="0">
        <references count="3">
          <reference field="7" count="1" selected="0">
            <x v="818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1105">
      <pivotArea dataOnly="0" labelOnly="1" outline="0" fieldPosition="0">
        <references count="3">
          <reference field="7" count="1" selected="0">
            <x v="819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1104">
      <pivotArea dataOnly="0" labelOnly="1" outline="0" fieldPosition="0">
        <references count="3">
          <reference field="7" count="1" selected="0">
            <x v="820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1103">
      <pivotArea dataOnly="0" labelOnly="1" outline="0" fieldPosition="0">
        <references count="3">
          <reference field="7" count="1" selected="0">
            <x v="821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1102">
      <pivotArea dataOnly="0" labelOnly="1" outline="0" fieldPosition="0">
        <references count="3">
          <reference field="7" count="1" selected="0">
            <x v="822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1101">
      <pivotArea dataOnly="0" labelOnly="1" outline="0" fieldPosition="0">
        <references count="3">
          <reference field="7" count="1" selected="0">
            <x v="823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1100">
      <pivotArea dataOnly="0" labelOnly="1" outline="0" fieldPosition="0">
        <references count="3">
          <reference field="7" count="1" selected="0">
            <x v="824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1099">
      <pivotArea dataOnly="0" labelOnly="1" outline="0" fieldPosition="0">
        <references count="3">
          <reference field="7" count="1" selected="0">
            <x v="825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1098">
      <pivotArea dataOnly="0" labelOnly="1" outline="0" fieldPosition="0">
        <references count="3">
          <reference field="7" count="1" selected="0">
            <x v="826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1097">
      <pivotArea dataOnly="0" labelOnly="1" outline="0" fieldPosition="0">
        <references count="3">
          <reference field="7" count="1" selected="0">
            <x v="827"/>
          </reference>
          <reference field="16" count="1" selected="0">
            <x v="25"/>
          </reference>
          <reference field="18" count="1">
            <x v="3"/>
          </reference>
        </references>
      </pivotArea>
    </format>
    <format dxfId="1096">
      <pivotArea dataOnly="0" labelOnly="1" outline="0" fieldPosition="0">
        <references count="3">
          <reference field="7" count="1" selected="0">
            <x v="828"/>
          </reference>
          <reference field="16" count="1" selected="0">
            <x v="25"/>
          </reference>
          <reference field="18" count="1">
            <x v="3"/>
          </reference>
        </references>
      </pivotArea>
    </format>
    <format dxfId="1095">
      <pivotArea dataOnly="0" labelOnly="1" outline="0" fieldPosition="0">
        <references count="3">
          <reference field="7" count="1" selected="0">
            <x v="829"/>
          </reference>
          <reference field="16" count="1" selected="0">
            <x v="25"/>
          </reference>
          <reference field="18" count="1">
            <x v="3"/>
          </reference>
        </references>
      </pivotArea>
    </format>
    <format dxfId="1094">
      <pivotArea dataOnly="0" labelOnly="1" outline="0" fieldPosition="0">
        <references count="3">
          <reference field="7" count="1" selected="0">
            <x v="830"/>
          </reference>
          <reference field="16" count="1" selected="0">
            <x v="25"/>
          </reference>
          <reference field="18" count="1">
            <x v="3"/>
          </reference>
        </references>
      </pivotArea>
    </format>
    <format dxfId="1093">
      <pivotArea dataOnly="0" labelOnly="1" outline="0" fieldPosition="0">
        <references count="3">
          <reference field="7" count="1" selected="0">
            <x v="831"/>
          </reference>
          <reference field="16" count="1" selected="0">
            <x v="25"/>
          </reference>
          <reference field="18" count="1">
            <x v="3"/>
          </reference>
        </references>
      </pivotArea>
    </format>
    <format dxfId="1092">
      <pivotArea dataOnly="0" labelOnly="1" outline="0" fieldPosition="0">
        <references count="3">
          <reference field="7" count="1" selected="0">
            <x v="832"/>
          </reference>
          <reference field="16" count="1" selected="0">
            <x v="25"/>
          </reference>
          <reference field="18" count="1">
            <x v="3"/>
          </reference>
        </references>
      </pivotArea>
    </format>
    <format dxfId="1091">
      <pivotArea dataOnly="0" labelOnly="1" outline="0" fieldPosition="0">
        <references count="3">
          <reference field="7" count="1" selected="0">
            <x v="833"/>
          </reference>
          <reference field="16" count="1" selected="0">
            <x v="25"/>
          </reference>
          <reference field="18" count="1">
            <x v="3"/>
          </reference>
        </references>
      </pivotArea>
    </format>
    <format dxfId="1090">
      <pivotArea dataOnly="0" labelOnly="1" outline="0" fieldPosition="0">
        <references count="1">
          <reference field="4294967294" count="10">
            <x v="1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089">
      <pivotArea type="all" dataOnly="0" outline="0" fieldPosition="0"/>
    </format>
    <format dxfId="1088">
      <pivotArea outline="0" collapsedLevelsAreSubtotals="1" fieldPosition="0"/>
    </format>
    <format dxfId="1087">
      <pivotArea field="16" type="button" dataOnly="0" labelOnly="1" outline="0" axis="axisRow" fieldPosition="0"/>
    </format>
    <format dxfId="1086">
      <pivotArea field="7" type="button" dataOnly="0" labelOnly="1" outline="0" axis="axisRow" fieldPosition="1"/>
    </format>
    <format dxfId="1085">
      <pivotArea field="18" type="button" dataOnly="0" labelOnly="1" outline="0" axis="axisRow" fieldPosition="2"/>
    </format>
    <format dxfId="1084">
      <pivotArea dataOnly="0" labelOnly="1" outline="0" fieldPosition="0">
        <references count="1">
          <reference field="16" count="0"/>
        </references>
      </pivotArea>
    </format>
    <format dxfId="1083">
      <pivotArea dataOnly="0" labelOnly="1" outline="0" fieldPosition="0">
        <references count="2">
          <reference field="7" count="3">
            <x v="682"/>
            <x v="683"/>
            <x v="684"/>
          </reference>
          <reference field="16" count="1" selected="0">
            <x v="9"/>
          </reference>
        </references>
      </pivotArea>
    </format>
    <format dxfId="1082">
      <pivotArea dataOnly="0" labelOnly="1" outline="0" fieldPosition="0">
        <references count="2">
          <reference field="7" count="2">
            <x v="685"/>
            <x v="835"/>
          </reference>
          <reference field="16" count="1" selected="0">
            <x v="10"/>
          </reference>
        </references>
      </pivotArea>
    </format>
    <format dxfId="1081">
      <pivotArea dataOnly="0" labelOnly="1" outline="0" fieldPosition="0">
        <references count="2">
          <reference field="7" count="1">
            <x v="686"/>
          </reference>
          <reference field="16" count="1" selected="0">
            <x v="11"/>
          </reference>
        </references>
      </pivotArea>
    </format>
    <format dxfId="1080">
      <pivotArea dataOnly="0" labelOnly="1" outline="0" fieldPosition="0">
        <references count="2">
          <reference field="7" count="5">
            <x v="642"/>
            <x v="687"/>
            <x v="688"/>
            <x v="689"/>
            <x v="690"/>
          </reference>
          <reference field="16" count="1" selected="0">
            <x v="12"/>
          </reference>
        </references>
      </pivotArea>
    </format>
    <format dxfId="1079">
      <pivotArea dataOnly="0" labelOnly="1" outline="0" fieldPosition="0">
        <references count="2">
          <reference field="7" count="6">
            <x v="691"/>
            <x v="692"/>
            <x v="693"/>
            <x v="694"/>
            <x v="695"/>
            <x v="696"/>
          </reference>
          <reference field="16" count="1" selected="0">
            <x v="13"/>
          </reference>
        </references>
      </pivotArea>
    </format>
    <format dxfId="1078">
      <pivotArea dataOnly="0" labelOnly="1" outline="0" fieldPosition="0">
        <references count="2">
          <reference field="7" count="8">
            <x v="697"/>
            <x v="698"/>
            <x v="699"/>
            <x v="700"/>
            <x v="701"/>
            <x v="702"/>
            <x v="705"/>
            <x v="710"/>
          </reference>
          <reference field="16" count="1" selected="0">
            <x v="14"/>
          </reference>
        </references>
      </pivotArea>
    </format>
    <format dxfId="1077">
      <pivotArea dataOnly="0" labelOnly="1" outline="0" fieldPosition="0">
        <references count="2">
          <reference field="7" count="19">
            <x v="101"/>
            <x v="677"/>
            <x v="678"/>
            <x v="703"/>
            <x v="704"/>
            <x v="706"/>
            <x v="707"/>
            <x v="708"/>
            <x v="709"/>
            <x v="715"/>
            <x v="716"/>
            <x v="717"/>
            <x v="718"/>
            <x v="719"/>
            <x v="721"/>
            <x v="722"/>
            <x v="724"/>
            <x v="725"/>
            <x v="727"/>
          </reference>
          <reference field="16" count="1" selected="0">
            <x v="15"/>
          </reference>
        </references>
      </pivotArea>
    </format>
    <format dxfId="1076">
      <pivotArea dataOnly="0" labelOnly="1" outline="0" fieldPosition="0">
        <references count="2">
          <reference field="7" count="19">
            <x v="469"/>
            <x v="712"/>
            <x v="713"/>
            <x v="714"/>
            <x v="720"/>
            <x v="723"/>
            <x v="726"/>
            <x v="728"/>
            <x v="729"/>
            <x v="730"/>
            <x v="731"/>
            <x v="732"/>
            <x v="733"/>
            <x v="734"/>
            <x v="735"/>
            <x v="736"/>
            <x v="737"/>
            <x v="834"/>
            <x v="836"/>
          </reference>
          <reference field="16" count="1" selected="0">
            <x v="16"/>
          </reference>
        </references>
      </pivotArea>
    </format>
    <format dxfId="1075">
      <pivotArea dataOnly="0" labelOnly="1" outline="0" fieldPosition="0">
        <references count="2">
          <reference field="7" count="11">
            <x v="738"/>
            <x v="739"/>
            <x v="740"/>
            <x v="741"/>
            <x v="742"/>
            <x v="743"/>
            <x v="744"/>
            <x v="745"/>
            <x v="746"/>
            <x v="747"/>
            <x v="751"/>
          </reference>
          <reference field="16" count="1" selected="0">
            <x v="17"/>
          </reference>
        </references>
      </pivotArea>
    </format>
    <format dxfId="1074">
      <pivotArea dataOnly="0" labelOnly="1" outline="0" fieldPosition="0">
        <references count="2">
          <reference field="7" count="14">
            <x v="13"/>
            <x v="748"/>
            <x v="749"/>
            <x v="750"/>
            <x v="752"/>
            <x v="753"/>
            <x v="754"/>
            <x v="755"/>
            <x v="756"/>
            <x v="757"/>
            <x v="758"/>
            <x v="759"/>
            <x v="760"/>
            <x v="761"/>
          </reference>
          <reference field="16" count="1" selected="0">
            <x v="18"/>
          </reference>
        </references>
      </pivotArea>
    </format>
    <format dxfId="1073">
      <pivotArea dataOnly="0" labelOnly="1" outline="0" fieldPosition="0">
        <references count="2">
          <reference field="7" count="10">
            <x v="10"/>
            <x v="11"/>
            <x v="327"/>
            <x v="595"/>
            <x v="762"/>
            <x v="763"/>
            <x v="764"/>
            <x v="765"/>
            <x v="766"/>
            <x v="772"/>
          </reference>
          <reference field="16" count="1" selected="0">
            <x v="19"/>
          </reference>
        </references>
      </pivotArea>
    </format>
    <format dxfId="1072">
      <pivotArea dataOnly="0" labelOnly="1" outline="0" fieldPosition="0">
        <references count="2">
          <reference field="7" count="23">
            <x v="767"/>
            <x v="768"/>
            <x v="770"/>
            <x v="771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804"/>
            <x v="837"/>
          </reference>
          <reference field="16" count="1" selected="0">
            <x v="20"/>
          </reference>
        </references>
      </pivotArea>
    </format>
    <format dxfId="1071">
      <pivotArea dataOnly="0" labelOnly="1" outline="0" fieldPosition="0">
        <references count="2">
          <reference field="7" count="21">
            <x v="36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802"/>
            <x v="803"/>
            <x v="805"/>
            <x v="806"/>
            <x v="807"/>
            <x v="808"/>
            <x v="809"/>
            <x v="810"/>
          </reference>
          <reference field="16" count="1" selected="0">
            <x v="21"/>
          </reference>
        </references>
      </pivotArea>
    </format>
    <format dxfId="1070">
      <pivotArea dataOnly="0" labelOnly="1" outline="0" fieldPosition="0">
        <references count="2">
          <reference field="7" count="9">
            <x v="151"/>
            <x v="811"/>
            <x v="812"/>
            <x v="813"/>
            <x v="814"/>
            <x v="815"/>
            <x v="816"/>
            <x v="817"/>
            <x v="818"/>
          </reference>
          <reference field="16" count="1" selected="0">
            <x v="22"/>
          </reference>
        </references>
      </pivotArea>
    </format>
    <format dxfId="1069">
      <pivotArea dataOnly="0" labelOnly="1" outline="0" fieldPosition="0">
        <references count="2">
          <reference field="7" count="4">
            <x v="819"/>
            <x v="820"/>
            <x v="821"/>
            <x v="822"/>
          </reference>
          <reference field="16" count="1" selected="0">
            <x v="23"/>
          </reference>
        </references>
      </pivotArea>
    </format>
    <format dxfId="1068">
      <pivotArea dataOnly="0" labelOnly="1" outline="0" fieldPosition="0">
        <references count="2">
          <reference field="7" count="4">
            <x v="823"/>
            <x v="824"/>
            <x v="825"/>
            <x v="826"/>
          </reference>
          <reference field="16" count="1" selected="0">
            <x v="24"/>
          </reference>
        </references>
      </pivotArea>
    </format>
    <format dxfId="1067">
      <pivotArea dataOnly="0" labelOnly="1" outline="0" fieldPosition="0">
        <references count="2">
          <reference field="7" count="7">
            <x v="827"/>
            <x v="828"/>
            <x v="829"/>
            <x v="830"/>
            <x v="831"/>
            <x v="832"/>
            <x v="833"/>
          </reference>
          <reference field="16" count="1" selected="0">
            <x v="25"/>
          </reference>
        </references>
      </pivotArea>
    </format>
    <format dxfId="1066">
      <pivotArea dataOnly="0" labelOnly="1" outline="0" fieldPosition="0">
        <references count="3">
          <reference field="7" count="1" selected="0">
            <x v="682"/>
          </reference>
          <reference field="16" count="1" selected="0">
            <x v="9"/>
          </reference>
          <reference field="18" count="1">
            <x v="0"/>
          </reference>
        </references>
      </pivotArea>
    </format>
    <format dxfId="1065">
      <pivotArea dataOnly="0" labelOnly="1" outline="0" fieldPosition="0">
        <references count="3">
          <reference field="7" count="1" selected="0">
            <x v="683"/>
          </reference>
          <reference field="16" count="1" selected="0">
            <x v="9"/>
          </reference>
          <reference field="18" count="1">
            <x v="1"/>
          </reference>
        </references>
      </pivotArea>
    </format>
    <format dxfId="1064">
      <pivotArea dataOnly="0" labelOnly="1" outline="0" fieldPosition="0">
        <references count="3">
          <reference field="7" count="1" selected="0">
            <x v="684"/>
          </reference>
          <reference field="16" count="1" selected="0">
            <x v="9"/>
          </reference>
          <reference field="18" count="1">
            <x v="1"/>
          </reference>
        </references>
      </pivotArea>
    </format>
    <format dxfId="1063">
      <pivotArea dataOnly="0" labelOnly="1" outline="0" fieldPosition="0">
        <references count="3">
          <reference field="7" count="1" selected="0">
            <x v="685"/>
          </reference>
          <reference field="16" count="1" selected="0">
            <x v="10"/>
          </reference>
          <reference field="18" count="1">
            <x v="3"/>
          </reference>
        </references>
      </pivotArea>
    </format>
    <format dxfId="1062">
      <pivotArea dataOnly="0" labelOnly="1" outline="0" fieldPosition="0">
        <references count="3">
          <reference field="7" count="1" selected="0">
            <x v="835"/>
          </reference>
          <reference field="16" count="1" selected="0">
            <x v="10"/>
          </reference>
          <reference field="18" count="1">
            <x v="1"/>
          </reference>
        </references>
      </pivotArea>
    </format>
    <format dxfId="1061">
      <pivotArea dataOnly="0" labelOnly="1" outline="0" fieldPosition="0">
        <references count="3">
          <reference field="7" count="1" selected="0">
            <x v="686"/>
          </reference>
          <reference field="16" count="1" selected="0">
            <x v="11"/>
          </reference>
          <reference field="18" count="1">
            <x v="0"/>
          </reference>
        </references>
      </pivotArea>
    </format>
    <format dxfId="1060">
      <pivotArea dataOnly="0" labelOnly="1" outline="0" fieldPosition="0">
        <references count="3">
          <reference field="7" count="1" selected="0">
            <x v="642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1059">
      <pivotArea dataOnly="0" labelOnly="1" outline="0" fieldPosition="0">
        <references count="3">
          <reference field="7" count="1" selected="0">
            <x v="687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1058">
      <pivotArea dataOnly="0" labelOnly="1" outline="0" fieldPosition="0">
        <references count="3">
          <reference field="7" count="1" selected="0">
            <x v="688"/>
          </reference>
          <reference field="16" count="1" selected="0">
            <x v="12"/>
          </reference>
          <reference field="18" count="1">
            <x v="1"/>
          </reference>
        </references>
      </pivotArea>
    </format>
    <format dxfId="1057">
      <pivotArea dataOnly="0" labelOnly="1" outline="0" fieldPosition="0">
        <references count="3">
          <reference field="7" count="1" selected="0">
            <x v="689"/>
          </reference>
          <reference field="16" count="1" selected="0">
            <x v="12"/>
          </reference>
          <reference field="18" count="1">
            <x v="1"/>
          </reference>
        </references>
      </pivotArea>
    </format>
    <format dxfId="1056">
      <pivotArea dataOnly="0" labelOnly="1" outline="0" fieldPosition="0">
        <references count="3">
          <reference field="7" count="1" selected="0">
            <x v="690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1055">
      <pivotArea dataOnly="0" labelOnly="1" outline="0" fieldPosition="0">
        <references count="3">
          <reference field="7" count="1" selected="0">
            <x v="691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1054">
      <pivotArea dataOnly="0" labelOnly="1" outline="0" fieldPosition="0">
        <references count="3">
          <reference field="7" count="1" selected="0">
            <x v="692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1053">
      <pivotArea dataOnly="0" labelOnly="1" outline="0" fieldPosition="0">
        <references count="3">
          <reference field="7" count="1" selected="0">
            <x v="693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1052">
      <pivotArea dataOnly="0" labelOnly="1" outline="0" fieldPosition="0">
        <references count="3">
          <reference field="7" count="1" selected="0">
            <x v="694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1051">
      <pivotArea dataOnly="0" labelOnly="1" outline="0" fieldPosition="0">
        <references count="3">
          <reference field="7" count="1" selected="0">
            <x v="695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1050">
      <pivotArea dataOnly="0" labelOnly="1" outline="0" fieldPosition="0">
        <references count="3">
          <reference field="7" count="1" selected="0">
            <x v="696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1049">
      <pivotArea dataOnly="0" labelOnly="1" outline="0" fieldPosition="0">
        <references count="3">
          <reference field="7" count="1" selected="0">
            <x v="697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1048">
      <pivotArea dataOnly="0" labelOnly="1" outline="0" fieldPosition="0">
        <references count="3">
          <reference field="7" count="1" selected="0">
            <x v="698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1047">
      <pivotArea dataOnly="0" labelOnly="1" outline="0" fieldPosition="0">
        <references count="3">
          <reference field="7" count="1" selected="0">
            <x v="699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1046">
      <pivotArea dataOnly="0" labelOnly="1" outline="0" fieldPosition="0">
        <references count="3">
          <reference field="7" count="1" selected="0">
            <x v="700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1045">
      <pivotArea dataOnly="0" labelOnly="1" outline="0" fieldPosition="0">
        <references count="3">
          <reference field="7" count="1" selected="0">
            <x v="701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1044">
      <pivotArea dataOnly="0" labelOnly="1" outline="0" fieldPosition="0">
        <references count="3">
          <reference field="7" count="1" selected="0">
            <x v="702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1043">
      <pivotArea dataOnly="0" labelOnly="1" outline="0" fieldPosition="0">
        <references count="3">
          <reference field="7" count="1" selected="0">
            <x v="705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1042">
      <pivotArea dataOnly="0" labelOnly="1" outline="0" fieldPosition="0">
        <references count="3">
          <reference field="7" count="1" selected="0">
            <x v="710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1041">
      <pivotArea dataOnly="0" labelOnly="1" outline="0" fieldPosition="0">
        <references count="3">
          <reference field="7" count="1" selected="0">
            <x v="101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1040">
      <pivotArea dataOnly="0" labelOnly="1" outline="0" fieldPosition="0">
        <references count="3">
          <reference field="7" count="1" selected="0">
            <x v="677"/>
          </reference>
          <reference field="16" count="1" selected="0">
            <x v="15"/>
          </reference>
          <reference field="18" count="1">
            <x v="0"/>
          </reference>
        </references>
      </pivotArea>
    </format>
    <format dxfId="1039">
      <pivotArea dataOnly="0" labelOnly="1" outline="0" fieldPosition="0">
        <references count="3">
          <reference field="7" count="1" selected="0">
            <x v="678"/>
          </reference>
          <reference field="16" count="1" selected="0">
            <x v="15"/>
          </reference>
          <reference field="18" count="1">
            <x v="0"/>
          </reference>
        </references>
      </pivotArea>
    </format>
    <format dxfId="1038">
      <pivotArea dataOnly="0" labelOnly="1" outline="0" fieldPosition="0">
        <references count="3">
          <reference field="7" count="1" selected="0">
            <x v="703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037">
      <pivotArea dataOnly="0" labelOnly="1" outline="0" fieldPosition="0">
        <references count="3">
          <reference field="7" count="1" selected="0">
            <x v="704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1036">
      <pivotArea dataOnly="0" labelOnly="1" outline="0" fieldPosition="0">
        <references count="3">
          <reference field="7" count="1" selected="0">
            <x v="706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035">
      <pivotArea dataOnly="0" labelOnly="1" outline="0" fieldPosition="0">
        <references count="3">
          <reference field="7" count="1" selected="0">
            <x v="707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034">
      <pivotArea dataOnly="0" labelOnly="1" outline="0" fieldPosition="0">
        <references count="3">
          <reference field="7" count="1" selected="0">
            <x v="708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033">
      <pivotArea dataOnly="0" labelOnly="1" outline="0" fieldPosition="0">
        <references count="3">
          <reference field="7" count="1" selected="0">
            <x v="709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032">
      <pivotArea dataOnly="0" labelOnly="1" outline="0" fieldPosition="0">
        <references count="3">
          <reference field="7" count="1" selected="0">
            <x v="715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031">
      <pivotArea dataOnly="0" labelOnly="1" outline="0" fieldPosition="0">
        <references count="3">
          <reference field="7" count="1" selected="0">
            <x v="716"/>
          </reference>
          <reference field="16" count="1" selected="0">
            <x v="15"/>
          </reference>
          <reference field="18" count="1">
            <x v="2"/>
          </reference>
        </references>
      </pivotArea>
    </format>
    <format dxfId="1030">
      <pivotArea dataOnly="0" labelOnly="1" outline="0" fieldPosition="0">
        <references count="3">
          <reference field="7" count="1" selected="0">
            <x v="717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029">
      <pivotArea dataOnly="0" labelOnly="1" outline="0" fieldPosition="0">
        <references count="3">
          <reference field="7" count="1" selected="0">
            <x v="718"/>
          </reference>
          <reference field="16" count="1" selected="0">
            <x v="15"/>
          </reference>
          <reference field="18" count="1">
            <x v="2"/>
          </reference>
        </references>
      </pivotArea>
    </format>
    <format dxfId="1028">
      <pivotArea dataOnly="0" labelOnly="1" outline="0" fieldPosition="0">
        <references count="3">
          <reference field="7" count="1" selected="0">
            <x v="719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027">
      <pivotArea dataOnly="0" labelOnly="1" outline="0" fieldPosition="0">
        <references count="3">
          <reference field="7" count="1" selected="0">
            <x v="721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026">
      <pivotArea dataOnly="0" labelOnly="1" outline="0" fieldPosition="0">
        <references count="3">
          <reference field="7" count="1" selected="0">
            <x v="722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025">
      <pivotArea dataOnly="0" labelOnly="1" outline="0" fieldPosition="0">
        <references count="3">
          <reference field="7" count="1" selected="0">
            <x v="724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024">
      <pivotArea dataOnly="0" labelOnly="1" outline="0" fieldPosition="0">
        <references count="3">
          <reference field="7" count="1" selected="0">
            <x v="725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1023">
      <pivotArea dataOnly="0" labelOnly="1" outline="0" fieldPosition="0">
        <references count="3">
          <reference field="7" count="1" selected="0">
            <x v="727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1022">
      <pivotArea dataOnly="0" labelOnly="1" outline="0" fieldPosition="0">
        <references count="3">
          <reference field="7" count="1" selected="0">
            <x v="469"/>
          </reference>
          <reference field="16" count="1" selected="0">
            <x v="16"/>
          </reference>
          <reference field="18" count="1">
            <x v="2"/>
          </reference>
        </references>
      </pivotArea>
    </format>
    <format dxfId="1021">
      <pivotArea dataOnly="0" labelOnly="1" outline="0" fieldPosition="0">
        <references count="3">
          <reference field="7" count="1" selected="0">
            <x v="712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020">
      <pivotArea dataOnly="0" labelOnly="1" outline="0" fieldPosition="0">
        <references count="3">
          <reference field="7" count="1" selected="0">
            <x v="713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019">
      <pivotArea dataOnly="0" labelOnly="1" outline="0" fieldPosition="0">
        <references count="3">
          <reference field="7" count="1" selected="0">
            <x v="714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018">
      <pivotArea dataOnly="0" labelOnly="1" outline="0" fieldPosition="0">
        <references count="3">
          <reference field="7" count="1" selected="0">
            <x v="720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017">
      <pivotArea dataOnly="0" labelOnly="1" outline="0" fieldPosition="0">
        <references count="3">
          <reference field="7" count="1" selected="0">
            <x v="723"/>
          </reference>
          <reference field="16" count="1" selected="0">
            <x v="16"/>
          </reference>
          <reference field="18" count="1">
            <x v="2"/>
          </reference>
        </references>
      </pivotArea>
    </format>
    <format dxfId="1016">
      <pivotArea dataOnly="0" labelOnly="1" outline="0" fieldPosition="0">
        <references count="3">
          <reference field="7" count="1" selected="0">
            <x v="726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015">
      <pivotArea dataOnly="0" labelOnly="1" outline="0" fieldPosition="0">
        <references count="3">
          <reference field="7" count="1" selected="0">
            <x v="728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014">
      <pivotArea dataOnly="0" labelOnly="1" outline="0" fieldPosition="0">
        <references count="3">
          <reference field="7" count="1" selected="0">
            <x v="729"/>
          </reference>
          <reference field="16" count="1" selected="0">
            <x v="16"/>
          </reference>
          <reference field="18" count="1">
            <x v="2"/>
          </reference>
        </references>
      </pivotArea>
    </format>
    <format dxfId="1013">
      <pivotArea dataOnly="0" labelOnly="1" outline="0" fieldPosition="0">
        <references count="3">
          <reference field="7" count="1" selected="0">
            <x v="730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012">
      <pivotArea dataOnly="0" labelOnly="1" outline="0" fieldPosition="0">
        <references count="3">
          <reference field="7" count="1" selected="0">
            <x v="731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011">
      <pivotArea dataOnly="0" labelOnly="1" outline="0" fieldPosition="0">
        <references count="3">
          <reference field="7" count="1" selected="0">
            <x v="732"/>
          </reference>
          <reference field="16" count="1" selected="0">
            <x v="16"/>
          </reference>
          <reference field="18" count="1">
            <x v="2"/>
          </reference>
        </references>
      </pivotArea>
    </format>
    <format dxfId="1010">
      <pivotArea dataOnly="0" labelOnly="1" outline="0" fieldPosition="0">
        <references count="3">
          <reference field="7" count="1" selected="0">
            <x v="733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009">
      <pivotArea dataOnly="0" labelOnly="1" outline="0" fieldPosition="0">
        <references count="3">
          <reference field="7" count="1" selected="0">
            <x v="734"/>
          </reference>
          <reference field="16" count="1" selected="0">
            <x v="16"/>
          </reference>
          <reference field="18" count="1">
            <x v="2"/>
          </reference>
        </references>
      </pivotArea>
    </format>
    <format dxfId="1008">
      <pivotArea dataOnly="0" labelOnly="1" outline="0" fieldPosition="0">
        <references count="3">
          <reference field="7" count="1" selected="0">
            <x v="735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007">
      <pivotArea dataOnly="0" labelOnly="1" outline="0" fieldPosition="0">
        <references count="3">
          <reference field="7" count="1" selected="0">
            <x v="736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006">
      <pivotArea dataOnly="0" labelOnly="1" outline="0" fieldPosition="0">
        <references count="3">
          <reference field="7" count="1" selected="0">
            <x v="737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005">
      <pivotArea dataOnly="0" labelOnly="1" outline="0" fieldPosition="0">
        <references count="3">
          <reference field="7" count="1" selected="0">
            <x v="834"/>
          </reference>
          <reference field="16" count="1" selected="0">
            <x v="16"/>
          </reference>
          <reference field="18" count="1">
            <x v="2"/>
          </reference>
        </references>
      </pivotArea>
    </format>
    <format dxfId="1004">
      <pivotArea dataOnly="0" labelOnly="1" outline="0" fieldPosition="0">
        <references count="3">
          <reference field="7" count="1" selected="0">
            <x v="836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003">
      <pivotArea dataOnly="0" labelOnly="1" outline="0" fieldPosition="0">
        <references count="3">
          <reference field="7" count="1" selected="0">
            <x v="738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002">
      <pivotArea dataOnly="0" labelOnly="1" outline="0" fieldPosition="0">
        <references count="3">
          <reference field="7" count="1" selected="0">
            <x v="739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001">
      <pivotArea dataOnly="0" labelOnly="1" outline="0" fieldPosition="0">
        <references count="3">
          <reference field="7" count="1" selected="0">
            <x v="740"/>
          </reference>
          <reference field="16" count="1" selected="0">
            <x v="17"/>
          </reference>
          <reference field="18" count="1">
            <x v="2"/>
          </reference>
        </references>
      </pivotArea>
    </format>
    <format dxfId="1000">
      <pivotArea dataOnly="0" labelOnly="1" outline="0" fieldPosition="0">
        <references count="3">
          <reference field="7" count="1" selected="0">
            <x v="741"/>
          </reference>
          <reference field="16" count="1" selected="0">
            <x v="17"/>
          </reference>
          <reference field="18" count="1">
            <x v="2"/>
          </reference>
        </references>
      </pivotArea>
    </format>
    <format dxfId="999">
      <pivotArea dataOnly="0" labelOnly="1" outline="0" fieldPosition="0">
        <references count="3">
          <reference field="7" count="1" selected="0">
            <x v="742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998">
      <pivotArea dataOnly="0" labelOnly="1" outline="0" fieldPosition="0">
        <references count="3">
          <reference field="7" count="1" selected="0">
            <x v="743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997">
      <pivotArea dataOnly="0" labelOnly="1" outline="0" fieldPosition="0">
        <references count="3">
          <reference field="7" count="1" selected="0">
            <x v="744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996">
      <pivotArea dataOnly="0" labelOnly="1" outline="0" fieldPosition="0">
        <references count="3">
          <reference field="7" count="1" selected="0">
            <x v="745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995">
      <pivotArea dataOnly="0" labelOnly="1" outline="0" fieldPosition="0">
        <references count="3">
          <reference field="7" count="1" selected="0">
            <x v="746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994">
      <pivotArea dataOnly="0" labelOnly="1" outline="0" fieldPosition="0">
        <references count="3">
          <reference field="7" count="1" selected="0">
            <x v="747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993">
      <pivotArea dataOnly="0" labelOnly="1" outline="0" fieldPosition="0">
        <references count="3">
          <reference field="7" count="1" selected="0">
            <x v="751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992">
      <pivotArea dataOnly="0" labelOnly="1" outline="0" fieldPosition="0">
        <references count="3">
          <reference field="7" count="1" selected="0">
            <x v="13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991">
      <pivotArea dataOnly="0" labelOnly="1" outline="0" fieldPosition="0">
        <references count="3">
          <reference field="7" count="1" selected="0">
            <x v="74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990">
      <pivotArea dataOnly="0" labelOnly="1" outline="0" fieldPosition="0">
        <references count="3">
          <reference field="7" count="1" selected="0">
            <x v="749"/>
          </reference>
          <reference field="16" count="1" selected="0">
            <x v="18"/>
          </reference>
          <reference field="18" count="1">
            <x v="2"/>
          </reference>
        </references>
      </pivotArea>
    </format>
    <format dxfId="989">
      <pivotArea dataOnly="0" labelOnly="1" outline="0" fieldPosition="0">
        <references count="3">
          <reference field="7" count="1" selected="0">
            <x v="750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988">
      <pivotArea dataOnly="0" labelOnly="1" outline="0" fieldPosition="0">
        <references count="3">
          <reference field="7" count="1" selected="0">
            <x v="752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987">
      <pivotArea dataOnly="0" labelOnly="1" outline="0" fieldPosition="0">
        <references count="3">
          <reference field="7" count="1" selected="0">
            <x v="753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986">
      <pivotArea dataOnly="0" labelOnly="1" outline="0" fieldPosition="0">
        <references count="3">
          <reference field="7" count="1" selected="0">
            <x v="754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985">
      <pivotArea dataOnly="0" labelOnly="1" outline="0" fieldPosition="0">
        <references count="3">
          <reference field="7" count="1" selected="0">
            <x v="755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984">
      <pivotArea dataOnly="0" labelOnly="1" outline="0" fieldPosition="0">
        <references count="3">
          <reference field="7" count="1" selected="0">
            <x v="756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983">
      <pivotArea dataOnly="0" labelOnly="1" outline="0" fieldPosition="0">
        <references count="3">
          <reference field="7" count="1" selected="0">
            <x v="75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982">
      <pivotArea dataOnly="0" labelOnly="1" outline="0" fieldPosition="0">
        <references count="3">
          <reference field="7" count="1" selected="0">
            <x v="75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981">
      <pivotArea dataOnly="0" labelOnly="1" outline="0" fieldPosition="0">
        <references count="3">
          <reference field="7" count="1" selected="0">
            <x v="759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980">
      <pivotArea dataOnly="0" labelOnly="1" outline="0" fieldPosition="0">
        <references count="3">
          <reference field="7" count="1" selected="0">
            <x v="760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979">
      <pivotArea dataOnly="0" labelOnly="1" outline="0" fieldPosition="0">
        <references count="3">
          <reference field="7" count="1" selected="0">
            <x v="761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978">
      <pivotArea dataOnly="0" labelOnly="1" outline="0" fieldPosition="0">
        <references count="3">
          <reference field="7" count="1" selected="0">
            <x v="10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977">
      <pivotArea dataOnly="0" labelOnly="1" outline="0" fieldPosition="0">
        <references count="3">
          <reference field="7" count="1" selected="0">
            <x v="11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976">
      <pivotArea dataOnly="0" labelOnly="1" outline="0" fieldPosition="0">
        <references count="3">
          <reference field="7" count="1" selected="0">
            <x v="327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975">
      <pivotArea dataOnly="0" labelOnly="1" outline="0" fieldPosition="0">
        <references count="3">
          <reference field="7" count="1" selected="0">
            <x v="59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974">
      <pivotArea dataOnly="0" labelOnly="1" outline="0" fieldPosition="0">
        <references count="3">
          <reference field="7" count="1" selected="0">
            <x v="762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973">
      <pivotArea dataOnly="0" labelOnly="1" outline="0" fieldPosition="0">
        <references count="3">
          <reference field="7" count="1" selected="0">
            <x v="763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972">
      <pivotArea dataOnly="0" labelOnly="1" outline="0" fieldPosition="0">
        <references count="3">
          <reference field="7" count="1" selected="0">
            <x v="764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971">
      <pivotArea dataOnly="0" labelOnly="1" outline="0" fieldPosition="0">
        <references count="3">
          <reference field="7" count="1" selected="0">
            <x v="76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970">
      <pivotArea dataOnly="0" labelOnly="1" outline="0" fieldPosition="0">
        <references count="3">
          <reference field="7" count="1" selected="0">
            <x v="766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969">
      <pivotArea dataOnly="0" labelOnly="1" outline="0" fieldPosition="0">
        <references count="3">
          <reference field="7" count="1" selected="0">
            <x v="772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968">
      <pivotArea dataOnly="0" labelOnly="1" outline="0" fieldPosition="0">
        <references count="3">
          <reference field="7" count="1" selected="0">
            <x v="767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967">
      <pivotArea dataOnly="0" labelOnly="1" outline="0" fieldPosition="0">
        <references count="3">
          <reference field="7" count="1" selected="0">
            <x v="768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966">
      <pivotArea dataOnly="0" labelOnly="1" outline="0" fieldPosition="0">
        <references count="3">
          <reference field="7" count="1" selected="0">
            <x v="770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965">
      <pivotArea dataOnly="0" labelOnly="1" outline="0" fieldPosition="0">
        <references count="3">
          <reference field="7" count="1" selected="0">
            <x v="771"/>
          </reference>
          <reference field="16" count="1" selected="0">
            <x v="20"/>
          </reference>
          <reference field="18" count="1">
            <x v="2"/>
          </reference>
        </references>
      </pivotArea>
    </format>
    <format dxfId="964">
      <pivotArea dataOnly="0" labelOnly="1" outline="0" fieldPosition="0">
        <references count="3">
          <reference field="7" count="1" selected="0">
            <x v="773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963">
      <pivotArea dataOnly="0" labelOnly="1" outline="0" fieldPosition="0">
        <references count="3">
          <reference field="7" count="1" selected="0">
            <x v="774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962">
      <pivotArea dataOnly="0" labelOnly="1" outline="0" fieldPosition="0">
        <references count="3">
          <reference field="7" count="1" selected="0">
            <x v="775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961">
      <pivotArea dataOnly="0" labelOnly="1" outline="0" fieldPosition="0">
        <references count="3">
          <reference field="7" count="1" selected="0">
            <x v="776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960">
      <pivotArea dataOnly="0" labelOnly="1" outline="0" fieldPosition="0">
        <references count="3">
          <reference field="7" count="1" selected="0">
            <x v="777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959">
      <pivotArea dataOnly="0" labelOnly="1" outline="0" fieldPosition="0">
        <references count="3">
          <reference field="7" count="1" selected="0">
            <x v="778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958">
      <pivotArea dataOnly="0" labelOnly="1" outline="0" fieldPosition="0">
        <references count="3">
          <reference field="7" count="1" selected="0">
            <x v="779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957">
      <pivotArea dataOnly="0" labelOnly="1" outline="0" fieldPosition="0">
        <references count="3">
          <reference field="7" count="1" selected="0">
            <x v="780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956">
      <pivotArea dataOnly="0" labelOnly="1" outline="0" fieldPosition="0">
        <references count="3">
          <reference field="7" count="1" selected="0">
            <x v="781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955">
      <pivotArea dataOnly="0" labelOnly="1" outline="0" fieldPosition="0">
        <references count="3">
          <reference field="7" count="1" selected="0">
            <x v="78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954">
      <pivotArea dataOnly="0" labelOnly="1" outline="0" fieldPosition="0">
        <references count="3">
          <reference field="7" count="1" selected="0">
            <x v="783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953">
      <pivotArea dataOnly="0" labelOnly="1" outline="0" fieldPosition="0">
        <references count="3">
          <reference field="7" count="1" selected="0">
            <x v="784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952">
      <pivotArea dataOnly="0" labelOnly="1" outline="0" fieldPosition="0">
        <references count="3">
          <reference field="7" count="1" selected="0">
            <x v="785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951">
      <pivotArea dataOnly="0" labelOnly="1" outline="0" fieldPosition="0">
        <references count="3">
          <reference field="7" count="1" selected="0">
            <x v="786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950">
      <pivotArea dataOnly="0" labelOnly="1" outline="0" fieldPosition="0">
        <references count="3">
          <reference field="7" count="1" selected="0">
            <x v="787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949">
      <pivotArea dataOnly="0" labelOnly="1" outline="0" fieldPosition="0">
        <references count="3">
          <reference field="7" count="1" selected="0">
            <x v="788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948">
      <pivotArea dataOnly="0" labelOnly="1" outline="0" fieldPosition="0">
        <references count="3">
          <reference field="7" count="1" selected="0">
            <x v="789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947">
      <pivotArea dataOnly="0" labelOnly="1" outline="0" fieldPosition="0">
        <references count="3">
          <reference field="7" count="1" selected="0">
            <x v="804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946">
      <pivotArea dataOnly="0" labelOnly="1" outline="0" fieldPosition="0">
        <references count="3">
          <reference field="7" count="1" selected="0">
            <x v="837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945">
      <pivotArea dataOnly="0" labelOnly="1" outline="0" fieldPosition="0">
        <references count="3">
          <reference field="7" count="1" selected="0">
            <x v="36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944">
      <pivotArea dataOnly="0" labelOnly="1" outline="0" fieldPosition="0">
        <references count="3">
          <reference field="7" count="1" selected="0">
            <x v="790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943">
      <pivotArea dataOnly="0" labelOnly="1" outline="0" fieldPosition="0">
        <references count="3">
          <reference field="7" count="1" selected="0">
            <x v="791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942">
      <pivotArea dataOnly="0" labelOnly="1" outline="0" fieldPosition="0">
        <references count="3">
          <reference field="7" count="1" selected="0">
            <x v="792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941">
      <pivotArea dataOnly="0" labelOnly="1" outline="0" fieldPosition="0">
        <references count="3">
          <reference field="7" count="1" selected="0">
            <x v="793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940">
      <pivotArea dataOnly="0" labelOnly="1" outline="0" fieldPosition="0">
        <references count="3">
          <reference field="7" count="1" selected="0">
            <x v="794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939">
      <pivotArea dataOnly="0" labelOnly="1" outline="0" fieldPosition="0">
        <references count="3">
          <reference field="7" count="1" selected="0">
            <x v="79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938">
      <pivotArea dataOnly="0" labelOnly="1" outline="0" fieldPosition="0">
        <references count="3">
          <reference field="7" count="1" selected="0">
            <x v="796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937">
      <pivotArea dataOnly="0" labelOnly="1" outline="0" fieldPosition="0">
        <references count="3">
          <reference field="7" count="1" selected="0">
            <x v="797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936">
      <pivotArea dataOnly="0" labelOnly="1" outline="0" fieldPosition="0">
        <references count="3">
          <reference field="7" count="1" selected="0">
            <x v="79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935">
      <pivotArea dataOnly="0" labelOnly="1" outline="0" fieldPosition="0">
        <references count="3">
          <reference field="7" count="1" selected="0">
            <x v="799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934">
      <pivotArea dataOnly="0" labelOnly="1" outline="0" fieldPosition="0">
        <references count="3">
          <reference field="7" count="1" selected="0">
            <x v="800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933">
      <pivotArea dataOnly="0" labelOnly="1" outline="0" fieldPosition="0">
        <references count="3">
          <reference field="7" count="1" selected="0">
            <x v="801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932">
      <pivotArea dataOnly="0" labelOnly="1" outline="0" fieldPosition="0">
        <references count="3">
          <reference field="7" count="1" selected="0">
            <x v="802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931">
      <pivotArea dataOnly="0" labelOnly="1" outline="0" fieldPosition="0">
        <references count="3">
          <reference field="7" count="1" selected="0">
            <x v="803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930">
      <pivotArea dataOnly="0" labelOnly="1" outline="0" fieldPosition="0">
        <references count="3">
          <reference field="7" count="1" selected="0">
            <x v="80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929">
      <pivotArea dataOnly="0" labelOnly="1" outline="0" fieldPosition="0">
        <references count="3">
          <reference field="7" count="1" selected="0">
            <x v="806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928">
      <pivotArea dataOnly="0" labelOnly="1" outline="0" fieldPosition="0">
        <references count="3">
          <reference field="7" count="1" selected="0">
            <x v="807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927">
      <pivotArea dataOnly="0" labelOnly="1" outline="0" fieldPosition="0">
        <references count="3">
          <reference field="7" count="1" selected="0">
            <x v="80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926">
      <pivotArea dataOnly="0" labelOnly="1" outline="0" fieldPosition="0">
        <references count="3">
          <reference field="7" count="1" selected="0">
            <x v="809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925">
      <pivotArea dataOnly="0" labelOnly="1" outline="0" fieldPosition="0">
        <references count="3">
          <reference field="7" count="1" selected="0">
            <x v="810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924">
      <pivotArea dataOnly="0" labelOnly="1" outline="0" fieldPosition="0">
        <references count="3">
          <reference field="7" count="1" selected="0">
            <x v="151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923">
      <pivotArea dataOnly="0" labelOnly="1" outline="0" fieldPosition="0">
        <references count="3">
          <reference field="7" count="1" selected="0">
            <x v="811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922">
      <pivotArea dataOnly="0" labelOnly="1" outline="0" fieldPosition="0">
        <references count="3">
          <reference field="7" count="1" selected="0">
            <x v="812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921">
      <pivotArea dataOnly="0" labelOnly="1" outline="0" fieldPosition="0">
        <references count="3">
          <reference field="7" count="1" selected="0">
            <x v="813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920">
      <pivotArea dataOnly="0" labelOnly="1" outline="0" fieldPosition="0">
        <references count="3">
          <reference field="7" count="1" selected="0">
            <x v="814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919">
      <pivotArea dataOnly="0" labelOnly="1" outline="0" fieldPosition="0">
        <references count="3">
          <reference field="7" count="1" selected="0">
            <x v="815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918">
      <pivotArea dataOnly="0" labelOnly="1" outline="0" fieldPosition="0">
        <references count="3">
          <reference field="7" count="1" selected="0">
            <x v="816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917">
      <pivotArea dataOnly="0" labelOnly="1" outline="0" fieldPosition="0">
        <references count="3">
          <reference field="7" count="1" selected="0">
            <x v="817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916">
      <pivotArea dataOnly="0" labelOnly="1" outline="0" fieldPosition="0">
        <references count="3">
          <reference field="7" count="1" selected="0">
            <x v="818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915">
      <pivotArea dataOnly="0" labelOnly="1" outline="0" fieldPosition="0">
        <references count="3">
          <reference field="7" count="1" selected="0">
            <x v="819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914">
      <pivotArea dataOnly="0" labelOnly="1" outline="0" fieldPosition="0">
        <references count="3">
          <reference field="7" count="1" selected="0">
            <x v="820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913">
      <pivotArea dataOnly="0" labelOnly="1" outline="0" fieldPosition="0">
        <references count="3">
          <reference field="7" count="1" selected="0">
            <x v="821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912">
      <pivotArea dataOnly="0" labelOnly="1" outline="0" fieldPosition="0">
        <references count="3">
          <reference field="7" count="1" selected="0">
            <x v="822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911">
      <pivotArea dataOnly="0" labelOnly="1" outline="0" fieldPosition="0">
        <references count="3">
          <reference field="7" count="1" selected="0">
            <x v="823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910">
      <pivotArea dataOnly="0" labelOnly="1" outline="0" fieldPosition="0">
        <references count="3">
          <reference field="7" count="1" selected="0">
            <x v="824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909">
      <pivotArea dataOnly="0" labelOnly="1" outline="0" fieldPosition="0">
        <references count="3">
          <reference field="7" count="1" selected="0">
            <x v="825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908">
      <pivotArea dataOnly="0" labelOnly="1" outline="0" fieldPosition="0">
        <references count="3">
          <reference field="7" count="1" selected="0">
            <x v="826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907">
      <pivotArea dataOnly="0" labelOnly="1" outline="0" fieldPosition="0">
        <references count="3">
          <reference field="7" count="1" selected="0">
            <x v="827"/>
          </reference>
          <reference field="16" count="1" selected="0">
            <x v="25"/>
          </reference>
          <reference field="18" count="1">
            <x v="3"/>
          </reference>
        </references>
      </pivotArea>
    </format>
    <format dxfId="906">
      <pivotArea dataOnly="0" labelOnly="1" outline="0" fieldPosition="0">
        <references count="3">
          <reference field="7" count="1" selected="0">
            <x v="828"/>
          </reference>
          <reference field="16" count="1" selected="0">
            <x v="25"/>
          </reference>
          <reference field="18" count="1">
            <x v="3"/>
          </reference>
        </references>
      </pivotArea>
    </format>
    <format dxfId="905">
      <pivotArea dataOnly="0" labelOnly="1" outline="0" fieldPosition="0">
        <references count="3">
          <reference field="7" count="1" selected="0">
            <x v="829"/>
          </reference>
          <reference field="16" count="1" selected="0">
            <x v="25"/>
          </reference>
          <reference field="18" count="1">
            <x v="3"/>
          </reference>
        </references>
      </pivotArea>
    </format>
    <format dxfId="904">
      <pivotArea dataOnly="0" labelOnly="1" outline="0" fieldPosition="0">
        <references count="3">
          <reference field="7" count="1" selected="0">
            <x v="830"/>
          </reference>
          <reference field="16" count="1" selected="0">
            <x v="25"/>
          </reference>
          <reference field="18" count="1">
            <x v="3"/>
          </reference>
        </references>
      </pivotArea>
    </format>
    <format dxfId="903">
      <pivotArea dataOnly="0" labelOnly="1" outline="0" fieldPosition="0">
        <references count="3">
          <reference field="7" count="1" selected="0">
            <x v="831"/>
          </reference>
          <reference field="16" count="1" selected="0">
            <x v="25"/>
          </reference>
          <reference field="18" count="1">
            <x v="3"/>
          </reference>
        </references>
      </pivotArea>
    </format>
    <format dxfId="902">
      <pivotArea dataOnly="0" labelOnly="1" outline="0" fieldPosition="0">
        <references count="3">
          <reference field="7" count="1" selected="0">
            <x v="832"/>
          </reference>
          <reference field="16" count="1" selected="0">
            <x v="25"/>
          </reference>
          <reference field="18" count="1">
            <x v="3"/>
          </reference>
        </references>
      </pivotArea>
    </format>
    <format dxfId="901">
      <pivotArea dataOnly="0" labelOnly="1" outline="0" fieldPosition="0">
        <references count="3">
          <reference field="7" count="1" selected="0">
            <x v="833"/>
          </reference>
          <reference field="16" count="1" selected="0">
            <x v="25"/>
          </reference>
          <reference field="18" count="1">
            <x v="3"/>
          </reference>
        </references>
      </pivotArea>
    </format>
    <format dxfId="900">
      <pivotArea dataOnly="0" labelOnly="1" outline="0" fieldPosition="0">
        <references count="1">
          <reference field="4294967294" count="10">
            <x v="1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899">
      <pivotArea dataOnly="0" labelOnly="1" outline="0" fieldPosition="0">
        <references count="3">
          <reference field="7" count="1" selected="0">
            <x v="176"/>
          </reference>
          <reference field="16" count="1" selected="0">
            <x v="9"/>
          </reference>
          <reference field="18" count="1">
            <x v="0"/>
          </reference>
        </references>
      </pivotArea>
    </format>
    <format dxfId="898">
      <pivotArea dataOnly="0" labelOnly="1" outline="0" fieldPosition="0">
        <references count="3">
          <reference field="7" count="1" selected="0">
            <x v="176"/>
          </reference>
          <reference field="16" count="1" selected="0">
            <x v="9"/>
          </reference>
          <reference field="18" count="1">
            <x v="0"/>
          </reference>
        </references>
      </pivotArea>
    </format>
    <format dxfId="897">
      <pivotArea dataOnly="0" labelOnly="1" outline="0" fieldPosition="0">
        <references count="3">
          <reference field="7" count="1" selected="0">
            <x v="880"/>
          </reference>
          <reference field="16" count="1" selected="0">
            <x v="10"/>
          </reference>
          <reference field="18" count="1">
            <x v="0"/>
          </reference>
        </references>
      </pivotArea>
    </format>
    <format dxfId="896">
      <pivotArea dataOnly="0" labelOnly="1" outline="0" fieldPosition="0">
        <references count="3">
          <reference field="7" count="1" selected="0">
            <x v="876"/>
          </reference>
          <reference field="16" count="1" selected="0">
            <x v="11"/>
          </reference>
          <reference field="18" count="1">
            <x v="0"/>
          </reference>
        </references>
      </pivotArea>
    </format>
    <format dxfId="895">
      <pivotArea dataOnly="0" labelOnly="1" outline="0" fieldPosition="0">
        <references count="3">
          <reference field="7" count="1" selected="0">
            <x v="875"/>
          </reference>
          <reference field="16" count="1" selected="0">
            <x v="12"/>
          </reference>
          <reference field="18" count="1">
            <x v="0"/>
          </reference>
        </references>
      </pivotArea>
    </format>
    <format dxfId="894">
      <pivotArea dataOnly="0" labelOnly="1" outline="0" fieldPosition="0">
        <references count="3">
          <reference field="7" count="1" selected="0">
            <x v="881"/>
          </reference>
          <reference field="16" count="1" selected="0">
            <x v="12"/>
          </reference>
          <reference field="18" count="1">
            <x v="0"/>
          </reference>
        </references>
      </pivotArea>
    </format>
    <format dxfId="893">
      <pivotArea dataOnly="0" labelOnly="1" outline="0" fieldPosition="0">
        <references count="3">
          <reference field="7" count="1" selected="0">
            <x v="869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892">
      <pivotArea dataOnly="0" labelOnly="1" outline="0" fieldPosition="0">
        <references count="3">
          <reference field="7" count="1" selected="0">
            <x v="870"/>
          </reference>
          <reference field="16" count="1" selected="0">
            <x v="14"/>
          </reference>
          <reference field="18" count="1">
            <x v="0"/>
          </reference>
        </references>
      </pivotArea>
    </format>
    <format dxfId="891">
      <pivotArea dataOnly="0" labelOnly="1" outline="0" fieldPosition="0">
        <references count="3">
          <reference field="7" count="1" selected="0">
            <x v="883"/>
          </reference>
          <reference field="16" count="1" selected="0">
            <x v="16"/>
          </reference>
          <reference field="18" count="1">
            <x v="0"/>
          </reference>
        </references>
      </pivotArea>
    </format>
    <format dxfId="890">
      <pivotArea dataOnly="0" labelOnly="1" outline="0" fieldPosition="0">
        <references count="3">
          <reference field="7" count="1" selected="0">
            <x v="851"/>
          </reference>
          <reference field="16" count="1" selected="0">
            <x v="20"/>
          </reference>
          <reference field="18" count="1">
            <x v="0"/>
          </reference>
        </references>
      </pivotArea>
    </format>
    <format dxfId="889">
      <pivotArea dataOnly="0" labelOnly="1" outline="0" fieldPosition="0">
        <references count="3">
          <reference field="7" count="1" selected="0">
            <x v="879"/>
          </reference>
          <reference field="16" count="1" selected="0">
            <x v="10"/>
          </reference>
          <reference field="18" count="0"/>
        </references>
      </pivotArea>
    </format>
    <format dxfId="888">
      <pivotArea dataOnly="0" labelOnly="1" outline="0" fieldPosition="0">
        <references count="3">
          <reference field="7" count="1" selected="0">
            <x v="879"/>
          </reference>
          <reference field="16" count="1" selected="0">
            <x v="10"/>
          </reference>
          <reference field="18" count="0"/>
        </references>
      </pivotArea>
    </format>
    <format dxfId="887">
      <pivotArea dataOnly="0" labelOnly="1" outline="0" fieldPosition="0">
        <references count="3">
          <reference field="7" count="1" selected="0">
            <x v="877"/>
          </reference>
          <reference field="16" count="1" selected="0">
            <x v="11"/>
          </reference>
          <reference field="18" count="0"/>
        </references>
      </pivotArea>
    </format>
    <format dxfId="886">
      <pivotArea dataOnly="0" labelOnly="1" outline="0" fieldPosition="0">
        <references count="3">
          <reference field="7" count="1" selected="0">
            <x v="871"/>
          </reference>
          <reference field="16" count="1" selected="0">
            <x v="13"/>
          </reference>
          <reference field="18" count="0"/>
        </references>
      </pivotArea>
    </format>
    <format dxfId="885">
      <pivotArea dataOnly="0" labelOnly="1" outline="0" fieldPosition="0">
        <references count="3">
          <reference field="7" count="1" selected="0">
            <x v="872"/>
          </reference>
          <reference field="16" count="1" selected="0">
            <x v="13"/>
          </reference>
          <reference field="18" count="0"/>
        </references>
      </pivotArea>
    </format>
    <format dxfId="884">
      <pivotArea dataOnly="0" labelOnly="1" outline="0" fieldPosition="0">
        <references count="3">
          <reference field="7" count="1" selected="0">
            <x v="873"/>
          </reference>
          <reference field="16" count="1" selected="0">
            <x v="13"/>
          </reference>
          <reference field="18" count="0"/>
        </references>
      </pivotArea>
    </format>
    <format dxfId="883">
      <pivotArea dataOnly="0" labelOnly="1" outline="0" fieldPosition="0">
        <references count="3">
          <reference field="7" count="1" selected="0">
            <x v="867"/>
          </reference>
          <reference field="16" count="1" selected="0">
            <x v="14"/>
          </reference>
          <reference field="18" count="0"/>
        </references>
      </pivotArea>
    </format>
    <format dxfId="882">
      <pivotArea dataOnly="0" labelOnly="1" outline="0" fieldPosition="0">
        <references count="3">
          <reference field="7" count="1" selected="0">
            <x v="866"/>
          </reference>
          <reference field="16" count="1" selected="0">
            <x v="15"/>
          </reference>
          <reference field="18" count="0"/>
        </references>
      </pivotArea>
    </format>
    <format dxfId="881">
      <pivotArea dataOnly="0" labelOnly="1" outline="0" fieldPosition="0">
        <references count="3">
          <reference field="7" count="1" selected="0">
            <x v="861"/>
          </reference>
          <reference field="16" count="1" selected="0">
            <x v="16"/>
          </reference>
          <reference field="18" count="0"/>
        </references>
      </pivotArea>
    </format>
    <format dxfId="880">
      <pivotArea dataOnly="0" labelOnly="1" outline="0" fieldPosition="0">
        <references count="3">
          <reference field="7" count="1" selected="0">
            <x v="862"/>
          </reference>
          <reference field="16" count="1" selected="0">
            <x v="16"/>
          </reference>
          <reference field="18" count="0"/>
        </references>
      </pivotArea>
    </format>
    <format dxfId="879">
      <pivotArea dataOnly="0" labelOnly="1" outline="0" fieldPosition="0">
        <references count="3">
          <reference field="7" count="1" selected="0">
            <x v="863"/>
          </reference>
          <reference field="16" count="1" selected="0">
            <x v="16"/>
          </reference>
          <reference field="18" count="0"/>
        </references>
      </pivotArea>
    </format>
    <format dxfId="878">
      <pivotArea dataOnly="0" labelOnly="1" outline="0" fieldPosition="0">
        <references count="3">
          <reference field="7" count="1" selected="0">
            <x v="864"/>
          </reference>
          <reference field="16" count="1" selected="0">
            <x v="16"/>
          </reference>
          <reference field="18" count="0"/>
        </references>
      </pivotArea>
    </format>
    <format dxfId="877">
      <pivotArea dataOnly="0" labelOnly="1" outline="0" fieldPosition="0">
        <references count="3">
          <reference field="7" count="1" selected="0">
            <x v="859"/>
          </reference>
          <reference field="16" count="1" selected="0">
            <x v="17"/>
          </reference>
          <reference field="18" count="0"/>
        </references>
      </pivotArea>
    </format>
    <format dxfId="876">
      <pivotArea dataOnly="0" labelOnly="1" outline="0" fieldPosition="0">
        <references count="3">
          <reference field="7" count="1" selected="0">
            <x v="882"/>
          </reference>
          <reference field="16" count="1" selected="0">
            <x v="17"/>
          </reference>
          <reference field="18" count="0"/>
        </references>
      </pivotArea>
    </format>
    <format dxfId="875">
      <pivotArea dataOnly="0" labelOnly="1" outline="0" fieldPosition="0">
        <references count="3">
          <reference field="7" count="1" selected="0">
            <x v="858"/>
          </reference>
          <reference field="16" count="1" selected="0">
            <x v="18"/>
          </reference>
          <reference field="18" count="0"/>
        </references>
      </pivotArea>
    </format>
    <format dxfId="874">
      <pivotArea dataOnly="0" labelOnly="1" outline="0" fieldPosition="0">
        <references count="3">
          <reference field="7" count="1" selected="0">
            <x v="849"/>
          </reference>
          <reference field="16" count="1" selected="0">
            <x v="21"/>
          </reference>
          <reference field="18" count="0"/>
        </references>
      </pivotArea>
    </format>
    <format dxfId="873">
      <pivotArea dataOnly="0" labelOnly="1" outline="0" fieldPosition="0">
        <references count="3">
          <reference field="7" count="1" selected="0">
            <x v="847"/>
          </reference>
          <reference field="16" count="1" selected="0">
            <x v="22"/>
          </reference>
          <reference field="18" count="0"/>
        </references>
      </pivotArea>
    </format>
    <format dxfId="872">
      <pivotArea dataOnly="0" labelOnly="1" outline="0" fieldPosition="0">
        <references count="3">
          <reference field="7" count="1" selected="0">
            <x v="878"/>
          </reference>
          <reference field="16" count="1" selected="0">
            <x v="10"/>
          </reference>
          <reference field="18" count="1">
            <x v="2"/>
          </reference>
        </references>
      </pivotArea>
    </format>
    <format dxfId="871">
      <pivotArea dataOnly="0" labelOnly="1" outline="0" fieldPosition="0">
        <references count="3">
          <reference field="7" count="1" selected="0">
            <x v="884"/>
          </reference>
          <reference field="16" count="1" selected="0">
            <x v="16"/>
          </reference>
          <reference field="18" count="0"/>
        </references>
      </pivotArea>
    </format>
    <format dxfId="870">
      <pivotArea dataOnly="0" labelOnly="1" outline="0" fieldPosition="0">
        <references count="3">
          <reference field="7" count="1" selected="0">
            <x v="884"/>
          </reference>
          <reference field="16" count="1" selected="0">
            <x v="16"/>
          </reference>
          <reference field="18" count="0"/>
        </references>
      </pivotArea>
    </format>
    <format dxfId="869">
      <pivotArea dataOnly="0" labelOnly="1" outline="0" fieldPosition="0">
        <references count="3">
          <reference field="7" count="1" selected="0">
            <x v="365"/>
          </reference>
          <reference field="16" count="1" selected="0">
            <x v="19"/>
          </reference>
          <reference field="18" count="0"/>
        </references>
      </pivotArea>
    </format>
    <format dxfId="868">
      <pivotArea dataOnly="0" labelOnly="1" outline="0" fieldPosition="0">
        <references count="3">
          <reference field="7" count="1" selected="0">
            <x v="852"/>
          </reference>
          <reference field="16" count="1" selected="0">
            <x v="19"/>
          </reference>
          <reference field="18" count="0"/>
        </references>
      </pivotArea>
    </format>
    <format dxfId="867">
      <pivotArea dataOnly="0" labelOnly="1" outline="0" fieldPosition="0">
        <references count="3">
          <reference field="7" count="1" selected="0">
            <x v="854"/>
          </reference>
          <reference field="16" count="1" selected="0">
            <x v="19"/>
          </reference>
          <reference field="18" count="0"/>
        </references>
      </pivotArea>
    </format>
    <format dxfId="866">
      <pivotArea dataOnly="0" labelOnly="1" outline="0" fieldPosition="0">
        <references count="3">
          <reference field="7" count="1" selected="0">
            <x v="845"/>
          </reference>
          <reference field="16" count="1" selected="0">
            <x v="23"/>
          </reference>
          <reference field="18" count="0"/>
        </references>
      </pivotArea>
    </format>
    <format dxfId="865">
      <pivotArea dataOnly="0" labelOnly="1" outline="0" fieldPosition="0">
        <references count="3">
          <reference field="7" count="1" selected="0">
            <x v="843"/>
          </reference>
          <reference field="16" count="1" selected="0">
            <x v="25"/>
          </reference>
          <reference field="18" count="0"/>
        </references>
      </pivotArea>
    </format>
    <format dxfId="864">
      <pivotArea dataOnly="0" labelOnly="1" outline="0" fieldPosition="0">
        <references count="3">
          <reference field="7" count="1" selected="0">
            <x v="270"/>
          </reference>
          <reference field="16" count="1" selected="0">
            <x v="13"/>
          </reference>
          <reference field="18" count="0"/>
        </references>
      </pivotArea>
    </format>
    <format dxfId="863">
      <pivotArea dataOnly="0" labelOnly="1" outline="0" fieldPosition="0">
        <references count="3">
          <reference field="7" count="1" selected="0">
            <x v="270"/>
          </reference>
          <reference field="16" count="1" selected="0">
            <x v="13"/>
          </reference>
          <reference field="18" count="0"/>
        </references>
      </pivotArea>
    </format>
    <format dxfId="862">
      <pivotArea dataOnly="0" labelOnly="1" outline="0" fieldPosition="0">
        <references count="3">
          <reference field="7" count="1" selected="0">
            <x v="868"/>
          </reference>
          <reference field="16" count="1" selected="0">
            <x v="14"/>
          </reference>
          <reference field="18" count="0"/>
        </references>
      </pivotArea>
    </format>
    <format dxfId="861">
      <pivotArea dataOnly="0" labelOnly="1" outline="0" fieldPosition="0">
        <references count="3">
          <reference field="7" count="1" selected="0">
            <x v="341"/>
          </reference>
          <reference field="16" count="1" selected="0">
            <x v="16"/>
          </reference>
          <reference field="18" count="0"/>
        </references>
      </pivotArea>
    </format>
    <format dxfId="860">
      <pivotArea dataOnly="0" labelOnly="1" outline="0" fieldPosition="0">
        <references count="3">
          <reference field="7" count="1" selected="0">
            <x v="649"/>
          </reference>
          <reference field="16" count="1" selected="0">
            <x v="16"/>
          </reference>
          <reference field="18" count="0"/>
        </references>
      </pivotArea>
    </format>
    <format dxfId="859">
      <pivotArea dataOnly="0" labelOnly="1" outline="0" fieldPosition="0">
        <references count="3">
          <reference field="7" count="1" selected="0">
            <x v="860"/>
          </reference>
          <reference field="16" count="1" selected="0">
            <x v="16"/>
          </reference>
          <reference field="18" count="0"/>
        </references>
      </pivotArea>
    </format>
    <format dxfId="858">
      <pivotArea dataOnly="0" labelOnly="1" outline="0" fieldPosition="0">
        <references count="3">
          <reference field="7" count="1" selected="0">
            <x v="788"/>
          </reference>
          <reference field="16" count="1" selected="0">
            <x v="19"/>
          </reference>
          <reference field="18" count="0"/>
        </references>
      </pivotArea>
    </format>
    <format dxfId="857">
      <pivotArea dataOnly="0" labelOnly="1" outline="0" fieldPosition="0">
        <references count="3">
          <reference field="7" count="1" selected="0">
            <x v="853"/>
          </reference>
          <reference field="16" count="1" selected="0">
            <x v="19"/>
          </reference>
          <reference field="18" count="0"/>
        </references>
      </pivotArea>
    </format>
    <format dxfId="856">
      <pivotArea dataOnly="0" labelOnly="1" outline="0" fieldPosition="0">
        <references count="3">
          <reference field="7" count="1" selected="0">
            <x v="855"/>
          </reference>
          <reference field="16" count="1" selected="0">
            <x v="19"/>
          </reference>
          <reference field="18" count="0"/>
        </references>
      </pivotArea>
    </format>
    <format dxfId="855">
      <pivotArea dataOnly="0" labelOnly="1" outline="0" fieldPosition="0">
        <references count="3">
          <reference field="7" count="1" selected="0">
            <x v="856"/>
          </reference>
          <reference field="16" count="1" selected="0">
            <x v="19"/>
          </reference>
          <reference field="18" count="0"/>
        </references>
      </pivotArea>
    </format>
    <format dxfId="854">
      <pivotArea dataOnly="0" labelOnly="1" outline="0" fieldPosition="0">
        <references count="3">
          <reference field="7" count="1" selected="0">
            <x v="857"/>
          </reference>
          <reference field="16" count="1" selected="0">
            <x v="19"/>
          </reference>
          <reference field="18" count="0"/>
        </references>
      </pivotArea>
    </format>
    <format dxfId="853">
      <pivotArea dataOnly="0" labelOnly="1" outline="0" fieldPosition="0">
        <references count="3">
          <reference field="7" count="1" selected="0">
            <x v="51"/>
          </reference>
          <reference field="16" count="1" selected="0">
            <x v="21"/>
          </reference>
          <reference field="18" count="0"/>
        </references>
      </pivotArea>
    </format>
    <format dxfId="852">
      <pivotArea dataOnly="0" labelOnly="1" outline="0" fieldPosition="0">
        <references count="3">
          <reference field="7" count="1" selected="0">
            <x v="458"/>
          </reference>
          <reference field="16" count="1" selected="0">
            <x v="21"/>
          </reference>
          <reference field="18" count="0"/>
        </references>
      </pivotArea>
    </format>
    <format dxfId="851">
      <pivotArea dataOnly="0" labelOnly="1" outline="0" fieldPosition="0">
        <references count="3">
          <reference field="7" count="1" selected="0">
            <x v="850"/>
          </reference>
          <reference field="16" count="1" selected="0">
            <x v="21"/>
          </reference>
          <reference field="18" count="0"/>
        </references>
      </pivotArea>
    </format>
    <format dxfId="850">
      <pivotArea dataOnly="0" labelOnly="1" outline="0" fieldPosition="0">
        <references count="3">
          <reference field="7" count="1" selected="0">
            <x v="848"/>
          </reference>
          <reference field="16" count="1" selected="0">
            <x v="22"/>
          </reference>
          <reference field="18" count="0"/>
        </references>
      </pivotArea>
    </format>
    <format dxfId="849">
      <pivotArea dataOnly="0" labelOnly="1" outline="0" fieldPosition="0">
        <references count="3">
          <reference field="7" count="1" selected="0">
            <x v="151"/>
          </reference>
          <reference field="16" count="1" selected="0">
            <x v="23"/>
          </reference>
          <reference field="18" count="0"/>
        </references>
      </pivotArea>
    </format>
    <format dxfId="848">
      <pivotArea dataOnly="0" labelOnly="1" outline="0" fieldPosition="0">
        <references count="3">
          <reference field="7" count="1" selected="0">
            <x v="614"/>
          </reference>
          <reference field="16" count="1" selected="0">
            <x v="23"/>
          </reference>
          <reference field="18" count="0"/>
        </references>
      </pivotArea>
    </format>
    <format dxfId="847">
      <pivotArea dataOnly="0" labelOnly="1" outline="0" fieldPosition="0">
        <references count="3">
          <reference field="7" count="1" selected="0">
            <x v="846"/>
          </reference>
          <reference field="16" count="1" selected="0">
            <x v="23"/>
          </reference>
          <reference field="18" count="0"/>
        </references>
      </pivotArea>
    </format>
    <format dxfId="846">
      <pivotArea dataOnly="0" labelOnly="1" outline="0" fieldPosition="0">
        <references count="3">
          <reference field="7" count="1" selected="0">
            <x v="611"/>
          </reference>
          <reference field="16" count="1" selected="0">
            <x v="24"/>
          </reference>
          <reference field="18" count="0"/>
        </references>
      </pivotArea>
    </format>
    <format dxfId="845">
      <pivotArea dataOnly="0" labelOnly="1" outline="0" fieldPosition="0">
        <references count="3">
          <reference field="7" count="1" selected="0">
            <x v="844"/>
          </reference>
          <reference field="16" count="1" selected="0">
            <x v="25"/>
          </reference>
          <reference field="18" count="0"/>
        </references>
      </pivotArea>
    </format>
    <format dxfId="844">
      <pivotArea dataOnly="0" labelOnly="1" outline="0" fieldPosition="0">
        <references count="3">
          <reference field="7" count="1" selected="0">
            <x v="874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843">
      <pivotArea dataOnly="0" labelOnly="1" outline="0" fieldPosition="0">
        <references count="3">
          <reference field="7" count="1" selected="0">
            <x v="865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842">
      <pivotArea dataOnly="0" labelOnly="1" outline="0" fieldPosition="0">
        <references count="3">
          <reference field="7" count="1" selected="0">
            <x v="745"/>
          </reference>
          <reference field="16" count="1" selected="0">
            <x v="17"/>
          </reference>
          <reference field="18" count="1">
            <x v="2"/>
          </reference>
        </references>
      </pivotArea>
    </format>
    <format dxfId="841">
      <pivotArea dataOnly="0" labelOnly="1" outline="0" fieldPosition="0">
        <references count="3">
          <reference field="7" count="1" selected="0">
            <x v="745"/>
          </reference>
          <reference field="16" count="1" selected="0">
            <x v="17"/>
          </reference>
          <reference field="18" count="1">
            <x v="2"/>
          </reference>
        </references>
      </pivotArea>
    </format>
    <format dxfId="84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39">
      <pivotArea outline="0" fieldPosition="0">
        <references count="1">
          <reference field="4294967294" count="1" selected="0">
            <x v="2"/>
          </reference>
        </references>
      </pivotArea>
    </format>
    <format dxfId="83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37">
      <pivotArea dataOnly="0" labelOnly="1" outline="0" fieldPosition="0">
        <references count="3">
          <reference field="7" count="1" selected="0">
            <x v="177"/>
          </reference>
          <reference field="16" count="1" selected="0">
            <x v="6"/>
          </reference>
          <reference field="18" count="1">
            <x v="0"/>
          </reference>
        </references>
      </pivotArea>
    </format>
    <format dxfId="836">
      <pivotArea dataOnly="0" labelOnly="1" outline="0" fieldPosition="0">
        <references count="3">
          <reference field="7" count="1" selected="0">
            <x v="1093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835">
      <pivotArea dataOnly="0" labelOnly="1" outline="0" fieldPosition="0">
        <references count="3">
          <reference field="7" count="1" selected="0">
            <x v="273"/>
          </reference>
          <reference field="16" count="1" selected="0">
            <x v="12"/>
          </reference>
          <reference field="18" count="1">
            <x v="0"/>
          </reference>
        </references>
      </pivotArea>
    </format>
    <format dxfId="834">
      <pivotArea dataOnly="0" labelOnly="1" outline="0" fieldPosition="0">
        <references count="3">
          <reference field="7" count="1" selected="0">
            <x v="1090"/>
          </reference>
          <reference field="16" count="1" selected="0">
            <x v="12"/>
          </reference>
          <reference field="18" count="1">
            <x v="0"/>
          </reference>
        </references>
      </pivotArea>
    </format>
    <format dxfId="833">
      <pivotArea dataOnly="0" labelOnly="1" outline="0" fieldPosition="0">
        <references count="3">
          <reference field="7" count="1" selected="0">
            <x v="1091"/>
          </reference>
          <reference field="16" count="1" selected="0">
            <x v="12"/>
          </reference>
          <reference field="18" count="1">
            <x v="0"/>
          </reference>
        </references>
      </pivotArea>
    </format>
    <format dxfId="832">
      <pivotArea dataOnly="0" labelOnly="1" outline="0" fieldPosition="0">
        <references count="3">
          <reference field="7" count="1" selected="0">
            <x v="1092"/>
          </reference>
          <reference field="16" count="1" selected="0">
            <x v="12"/>
          </reference>
          <reference field="18" count="1">
            <x v="0"/>
          </reference>
        </references>
      </pivotArea>
    </format>
    <format dxfId="831">
      <pivotArea dataOnly="0" labelOnly="1" outline="0" fieldPosition="0">
        <references count="3">
          <reference field="7" count="1" selected="0">
            <x v="129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830">
      <pivotArea dataOnly="0" labelOnly="1" outline="0" fieldPosition="0">
        <references count="3">
          <reference field="7" count="1" selected="0">
            <x v="870"/>
          </reference>
          <reference field="16" count="1" selected="0">
            <x v="13"/>
          </reference>
          <reference field="18" count="1">
            <x v="2"/>
          </reference>
        </references>
      </pivotArea>
    </format>
    <format dxfId="829">
      <pivotArea dataOnly="0" labelOnly="1" outline="0" fieldPosition="0">
        <references count="3">
          <reference field="7" count="1" selected="0">
            <x v="1089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828">
      <pivotArea dataOnly="0" labelOnly="1" outline="0" fieldPosition="0">
        <references count="3">
          <reference field="7" count="1" selected="0">
            <x v="860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827">
      <pivotArea dataOnly="0" labelOnly="1" outline="0" fieldPosition="0">
        <references count="3">
          <reference field="7" count="1" selected="0">
            <x v="101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826">
      <pivotArea dataOnly="0" labelOnly="1" outline="0" fieldPosition="0">
        <references count="3">
          <reference field="7" count="1" selected="0">
            <x v="318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825">
      <pivotArea dataOnly="0" labelOnly="1" outline="0" fieldPosition="0">
        <references count="3">
          <reference field="7" count="1" selected="0">
            <x v="1086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824">
      <pivotArea dataOnly="0" labelOnly="1" outline="0" fieldPosition="0">
        <references count="3">
          <reference field="7" count="1" selected="0">
            <x v="1087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823">
      <pivotArea dataOnly="0" labelOnly="1" outline="0" fieldPosition="0">
        <references count="3">
          <reference field="7" count="1" selected="0">
            <x v="1088"/>
          </reference>
          <reference field="16" count="1" selected="0">
            <x v="17"/>
          </reference>
          <reference field="18" count="1">
            <x v="0"/>
          </reference>
        </references>
      </pivotArea>
    </format>
    <format dxfId="822">
      <pivotArea dataOnly="0" labelOnly="1" outline="0" fieldPosition="0">
        <references count="3">
          <reference field="7" count="1" selected="0">
            <x v="1081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821">
      <pivotArea dataOnly="0" labelOnly="1" outline="0" fieldPosition="0">
        <references count="3">
          <reference field="7" count="1" selected="0">
            <x v="1082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820">
      <pivotArea dataOnly="0" labelOnly="1" outline="0" fieldPosition="0">
        <references count="3">
          <reference field="7" count="1" selected="0">
            <x v="1083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819">
      <pivotArea dataOnly="0" labelOnly="1" outline="0" fieldPosition="0">
        <references count="3">
          <reference field="7" count="1" selected="0">
            <x v="1084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818">
      <pivotArea dataOnly="0" labelOnly="1" outline="0" fieldPosition="0">
        <references count="3">
          <reference field="7" count="1" selected="0">
            <x v="1085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817">
      <pivotArea dataOnly="0" labelOnly="1" outline="0" fieldPosition="0">
        <references count="3">
          <reference field="7" count="1" selected="0">
            <x v="1038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816">
      <pivotArea dataOnly="0" labelOnly="1" outline="0" fieldPosition="0">
        <references count="3">
          <reference field="7" count="1" selected="0">
            <x v="1076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815">
      <pivotArea dataOnly="0" labelOnly="1" outline="0" fieldPosition="0">
        <references count="3">
          <reference field="7" count="1" selected="0">
            <x v="1077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814">
      <pivotArea dataOnly="0" labelOnly="1" outline="0" fieldPosition="0">
        <references count="3">
          <reference field="7" count="1" selected="0">
            <x v="107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813">
      <pivotArea dataOnly="0" labelOnly="1" outline="0" fieldPosition="0">
        <references count="3">
          <reference field="7" count="1" selected="0">
            <x v="1079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812">
      <pivotArea dataOnly="0" labelOnly="1" outline="0" fieldPosition="0">
        <references count="3">
          <reference field="7" count="1" selected="0">
            <x v="1080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811">
      <pivotArea dataOnly="0" labelOnly="1" outline="0" fieldPosition="0">
        <references count="3">
          <reference field="7" count="1" selected="0">
            <x v="1075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810">
      <pivotArea dataOnly="0" labelOnly="1" outline="0" fieldPosition="0">
        <references count="3">
          <reference field="7" count="1" selected="0">
            <x v="45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809">
      <pivotArea dataOnly="0" labelOnly="1" outline="0" fieldPosition="0">
        <references count="3">
          <reference field="7" count="1" selected="0">
            <x v="1074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808">
      <pivotArea dataOnly="0" labelOnly="1" outline="0" fieldPosition="0">
        <references count="3">
          <reference field="7" count="1" selected="0">
            <x v="413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807">
      <pivotArea dataOnly="0" labelOnly="1" outline="0" fieldPosition="0">
        <references count="3">
          <reference field="7" count="1" selected="0">
            <x v="1063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806">
      <pivotArea dataOnly="0" labelOnly="1" outline="0" fieldPosition="0">
        <references count="3">
          <reference field="7" count="1" selected="0">
            <x v="1064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805">
      <pivotArea dataOnly="0" labelOnly="1" outline="0" fieldPosition="0">
        <references count="3">
          <reference field="7" count="1" selected="0">
            <x v="1065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804">
      <pivotArea dataOnly="0" labelOnly="1" outline="0" fieldPosition="0">
        <references count="3">
          <reference field="7" count="1" selected="0">
            <x v="1066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803">
      <pivotArea dataOnly="0" labelOnly="1" outline="0" fieldPosition="0">
        <references count="3">
          <reference field="7" count="1" selected="0">
            <x v="1067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802">
      <pivotArea dataOnly="0" labelOnly="1" outline="0" fieldPosition="0">
        <references count="3">
          <reference field="7" count="1" selected="0">
            <x v="1068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801">
      <pivotArea dataOnly="0" labelOnly="1" outline="0" fieldPosition="0">
        <references count="3">
          <reference field="7" count="1" selected="0">
            <x v="1069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800">
      <pivotArea dataOnly="0" labelOnly="1" outline="0" fieldPosition="0">
        <references count="3">
          <reference field="7" count="1" selected="0">
            <x v="1070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799">
      <pivotArea dataOnly="0" labelOnly="1" outline="0" fieldPosition="0">
        <references count="3">
          <reference field="7" count="1" selected="0">
            <x v="1071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798">
      <pivotArea dataOnly="0" labelOnly="1" outline="0" fieldPosition="0">
        <references count="3">
          <reference field="7" count="1" selected="0">
            <x v="1072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797">
      <pivotArea dataOnly="0" labelOnly="1" outline="0" fieldPosition="0">
        <references count="3">
          <reference field="7" count="1" selected="0">
            <x v="1073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796">
      <pivotArea dataOnly="0" labelOnly="1" outline="0" fieldPosition="0">
        <references count="3">
          <reference field="7" count="1" selected="0">
            <x v="423"/>
          </reference>
          <reference field="16" count="1" selected="0">
            <x v="8"/>
          </reference>
          <reference field="18" count="1">
            <x v="2"/>
          </reference>
        </references>
      </pivotArea>
    </format>
    <format dxfId="795">
      <pivotArea dataOnly="0" labelOnly="1" outline="0" fieldPosition="0">
        <references count="3">
          <reference field="7" count="1" selected="0">
            <x v="1173"/>
          </reference>
          <reference field="16" count="1" selected="0">
            <x v="10"/>
          </reference>
          <reference field="18" count="1">
            <x v="2"/>
          </reference>
        </references>
      </pivotArea>
    </format>
    <format dxfId="794">
      <pivotArea dataOnly="0" labelOnly="1" outline="0" fieldPosition="0">
        <references count="3">
          <reference field="7" count="1" selected="0">
            <x v="176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793">
      <pivotArea dataOnly="0" labelOnly="1" outline="0" fieldPosition="0">
        <references count="3">
          <reference field="7" count="1" selected="0">
            <x v="1172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792">
      <pivotArea dataOnly="0" labelOnly="1" outline="0" fieldPosition="0">
        <references count="3">
          <reference field="7" count="1" selected="0">
            <x v="1171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791">
      <pivotArea dataOnly="0" labelOnly="1" outline="0" fieldPosition="0">
        <references count="3">
          <reference field="7" count="1" selected="0">
            <x v="1049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790">
      <pivotArea dataOnly="0" labelOnly="1" outline="0" fieldPosition="0">
        <references count="3">
          <reference field="7" count="1" selected="0">
            <x v="1164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789">
      <pivotArea dataOnly="0" labelOnly="1" outline="0" fieldPosition="0">
        <references count="3">
          <reference field="7" count="1" selected="0">
            <x v="1165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788">
      <pivotArea dataOnly="0" labelOnly="1" outline="0" fieldPosition="0">
        <references count="3">
          <reference field="7" count="1" selected="0">
            <x v="1166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787">
      <pivotArea dataOnly="0" labelOnly="1" outline="0" fieldPosition="0">
        <references count="3">
          <reference field="7" count="1" selected="0">
            <x v="1167"/>
          </reference>
          <reference field="16" count="1" selected="0">
            <x v="13"/>
          </reference>
          <reference field="18" count="1">
            <x v="0"/>
          </reference>
        </references>
      </pivotArea>
    </format>
    <format dxfId="786">
      <pivotArea dataOnly="0" labelOnly="1" outline="0" fieldPosition="0">
        <references count="3">
          <reference field="7" count="1" selected="0">
            <x v="1168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785">
      <pivotArea dataOnly="0" labelOnly="1" outline="0" fieldPosition="0">
        <references count="3">
          <reference field="7" count="1" selected="0">
            <x v="1169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784">
      <pivotArea dataOnly="0" labelOnly="1" outline="0" fieldPosition="0">
        <references count="3">
          <reference field="7" count="1" selected="0">
            <x v="1170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783">
      <pivotArea dataOnly="0" labelOnly="1" outline="0" fieldPosition="0">
        <references count="3">
          <reference field="7" count="1" selected="0">
            <x v="867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782">
      <pivotArea dataOnly="0" labelOnly="1" outline="0" fieldPosition="0">
        <references count="3">
          <reference field="7" count="1" selected="0">
            <x v="1158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781">
      <pivotArea dataOnly="0" labelOnly="1" outline="0" fieldPosition="0">
        <references count="3">
          <reference field="7" count="1" selected="0">
            <x v="1159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780">
      <pivotArea dataOnly="0" labelOnly="1" outline="0" fieldPosition="0">
        <references count="3">
          <reference field="7" count="1" selected="0">
            <x v="1160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779">
      <pivotArea dataOnly="0" labelOnly="1" outline="0" fieldPosition="0">
        <references count="3">
          <reference field="7" count="1" selected="0">
            <x v="1161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778">
      <pivotArea dataOnly="0" labelOnly="1" outline="0" fieldPosition="0">
        <references count="3">
          <reference field="7" count="1" selected="0">
            <x v="1162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777">
      <pivotArea dataOnly="0" labelOnly="1" outline="0" fieldPosition="0">
        <references count="3">
          <reference field="7" count="1" selected="0">
            <x v="1163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776">
      <pivotArea dataOnly="0" labelOnly="1" outline="0" fieldPosition="0">
        <references count="3">
          <reference field="7" count="1" selected="0">
            <x v="1152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775">
      <pivotArea dataOnly="0" labelOnly="1" outline="0" fieldPosition="0">
        <references count="3">
          <reference field="7" count="1" selected="0">
            <x v="1153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774">
      <pivotArea dataOnly="0" labelOnly="1" outline="0" fieldPosition="0">
        <references count="3">
          <reference field="7" count="1" selected="0">
            <x v="1154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773">
      <pivotArea dataOnly="0" labelOnly="1" outline="0" fieldPosition="0">
        <references count="3">
          <reference field="7" count="1" selected="0">
            <x v="1155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772">
      <pivotArea dataOnly="0" labelOnly="1" outline="0" fieldPosition="0">
        <references count="3">
          <reference field="7" count="1" selected="0">
            <x v="1156"/>
          </reference>
          <reference field="16" count="1" selected="0">
            <x v="15"/>
          </reference>
          <reference field="18" count="1">
            <x v="2"/>
          </reference>
        </references>
      </pivotArea>
    </format>
    <format dxfId="771">
      <pivotArea dataOnly="0" labelOnly="1" outline="0" fieldPosition="0">
        <references count="3">
          <reference field="7" count="1" selected="0">
            <x v="1157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770">
      <pivotArea dataOnly="0" labelOnly="1" outline="0" fieldPosition="0">
        <references count="3">
          <reference field="7" count="1" selected="0">
            <x v="1151"/>
          </reference>
          <reference field="16" count="1" selected="0">
            <x v="16"/>
          </reference>
          <reference field="18" count="1">
            <x v="2"/>
          </reference>
        </references>
      </pivotArea>
    </format>
    <format dxfId="769">
      <pivotArea dataOnly="0" labelOnly="1" outline="0" fieldPosition="0">
        <references count="3">
          <reference field="7" count="1" selected="0">
            <x v="1144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768">
      <pivotArea dataOnly="0" labelOnly="1" outline="0" fieldPosition="0">
        <references count="3">
          <reference field="7" count="1" selected="0">
            <x v="1145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767">
      <pivotArea dataOnly="0" labelOnly="1" outline="0" fieldPosition="0">
        <references count="3">
          <reference field="7" count="1" selected="0">
            <x v="1146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766">
      <pivotArea dataOnly="0" labelOnly="1" outline="0" fieldPosition="0">
        <references count="3">
          <reference field="7" count="1" selected="0">
            <x v="1147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765">
      <pivotArea dataOnly="0" labelOnly="1" outline="0" fieldPosition="0">
        <references count="3">
          <reference field="7" count="1" selected="0">
            <x v="1148"/>
          </reference>
          <reference field="16" count="1" selected="0">
            <x v="17"/>
          </reference>
          <reference field="18" count="1">
            <x v="2"/>
          </reference>
        </references>
      </pivotArea>
    </format>
    <format dxfId="764">
      <pivotArea dataOnly="0" labelOnly="1" outline="0" fieldPosition="0">
        <references count="3">
          <reference field="7" count="1" selected="0">
            <x v="1149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763">
      <pivotArea dataOnly="0" labelOnly="1" outline="0" fieldPosition="0">
        <references count="3">
          <reference field="7" count="1" selected="0">
            <x v="1150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762">
      <pivotArea dataOnly="0" labelOnly="1" outline="0" fieldPosition="0">
        <references count="3">
          <reference field="7" count="1" selected="0">
            <x v="12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761">
      <pivotArea dataOnly="0" labelOnly="1" outline="0" fieldPosition="0">
        <references count="3">
          <reference field="7" count="1" selected="0">
            <x v="34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760">
      <pivotArea dataOnly="0" labelOnly="1" outline="0" fieldPosition="0">
        <references count="3">
          <reference field="7" count="1" selected="0">
            <x v="354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759">
      <pivotArea dataOnly="0" labelOnly="1" outline="0" fieldPosition="0">
        <references count="3">
          <reference field="7" count="1" selected="0">
            <x v="365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758">
      <pivotArea dataOnly="0" labelOnly="1" outline="0" fieldPosition="0">
        <references count="3">
          <reference field="7" count="1" selected="0">
            <x v="378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757">
      <pivotArea dataOnly="0" labelOnly="1" outline="0" fieldPosition="0">
        <references count="3">
          <reference field="7" count="1" selected="0">
            <x v="44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756">
      <pivotArea dataOnly="0" labelOnly="1" outline="0" fieldPosition="0">
        <references count="3">
          <reference field="7" count="1" selected="0">
            <x v="667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755">
      <pivotArea dataOnly="0" labelOnly="1" outline="0" fieldPosition="0">
        <references count="3">
          <reference field="7" count="1" selected="0">
            <x v="112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754">
      <pivotArea dataOnly="0" labelOnly="1" outline="0" fieldPosition="0">
        <references count="3">
          <reference field="7" count="1" selected="0">
            <x v="1128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753">
      <pivotArea dataOnly="0" labelOnly="1" outline="0" fieldPosition="0">
        <references count="3">
          <reference field="7" count="1" selected="0">
            <x v="1129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752">
      <pivotArea dataOnly="0" labelOnly="1" outline="0" fieldPosition="0">
        <references count="3">
          <reference field="7" count="1" selected="0">
            <x v="1130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751">
      <pivotArea dataOnly="0" labelOnly="1" outline="0" fieldPosition="0">
        <references count="3">
          <reference field="7" count="1" selected="0">
            <x v="1131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750">
      <pivotArea dataOnly="0" labelOnly="1" outline="0" fieldPosition="0">
        <references count="3">
          <reference field="7" count="1" selected="0">
            <x v="1132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749">
      <pivotArea dataOnly="0" labelOnly="1" outline="0" fieldPosition="0">
        <references count="3">
          <reference field="7" count="1" selected="0">
            <x v="1133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748">
      <pivotArea dataOnly="0" labelOnly="1" outline="0" fieldPosition="0">
        <references count="3">
          <reference field="7" count="1" selected="0">
            <x v="1134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747">
      <pivotArea dataOnly="0" labelOnly="1" outline="0" fieldPosition="0">
        <references count="3">
          <reference field="7" count="1" selected="0">
            <x v="1135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746">
      <pivotArea dataOnly="0" labelOnly="1" outline="0" fieldPosition="0">
        <references count="3">
          <reference field="7" count="1" selected="0">
            <x v="1136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745">
      <pivotArea dataOnly="0" labelOnly="1" outline="0" fieldPosition="0">
        <references count="3">
          <reference field="7" count="1" selected="0">
            <x v="1137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744">
      <pivotArea dataOnly="0" labelOnly="1" outline="0" fieldPosition="0">
        <references count="3">
          <reference field="7" count="1" selected="0">
            <x v="113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743">
      <pivotArea dataOnly="0" labelOnly="1" outline="0" fieldPosition="0">
        <references count="3">
          <reference field="7" count="1" selected="0">
            <x v="1139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742">
      <pivotArea dataOnly="0" labelOnly="1" outline="0" fieldPosition="0">
        <references count="3">
          <reference field="7" count="1" selected="0">
            <x v="1140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741">
      <pivotArea dataOnly="0" labelOnly="1" outline="0" fieldPosition="0">
        <references count="3">
          <reference field="7" count="1" selected="0">
            <x v="1141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740">
      <pivotArea dataOnly="0" labelOnly="1" outline="0" fieldPosition="0">
        <references count="3">
          <reference field="7" count="1" selected="0">
            <x v="1142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739">
      <pivotArea dataOnly="0" labelOnly="1" outline="0" fieldPosition="0">
        <references count="3">
          <reference field="7" count="1" selected="0">
            <x v="1143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738">
      <pivotArea dataOnly="0" labelOnly="1" outline="0" fieldPosition="0">
        <references count="3">
          <reference field="7" count="1" selected="0">
            <x v="4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737">
      <pivotArea dataOnly="0" labelOnly="1" outline="0" fieldPosition="0">
        <references count="3">
          <reference field="7" count="1" selected="0">
            <x v="35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736">
      <pivotArea dataOnly="0" labelOnly="1" outline="0" fieldPosition="0">
        <references count="3">
          <reference field="7" count="1" selected="0">
            <x v="1116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735">
      <pivotArea dataOnly="0" labelOnly="1" outline="0" fieldPosition="0">
        <references count="3">
          <reference field="7" count="1" selected="0">
            <x v="1117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734">
      <pivotArea dataOnly="0" labelOnly="1" outline="0" fieldPosition="0">
        <references count="3">
          <reference field="7" count="1" selected="0">
            <x v="111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733">
      <pivotArea dataOnly="0" labelOnly="1" outline="0" fieldPosition="0">
        <references count="3">
          <reference field="7" count="1" selected="0">
            <x v="111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732">
      <pivotArea dataOnly="0" labelOnly="1" outline="0" fieldPosition="0">
        <references count="3">
          <reference field="7" count="1" selected="0">
            <x v="1120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731">
      <pivotArea dataOnly="0" labelOnly="1" outline="0" fieldPosition="0">
        <references count="3">
          <reference field="7" count="1" selected="0">
            <x v="1121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730">
      <pivotArea dataOnly="0" labelOnly="1" outline="0" fieldPosition="0">
        <references count="3">
          <reference field="7" count="1" selected="0">
            <x v="1122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729">
      <pivotArea dataOnly="0" labelOnly="1" outline="0" fieldPosition="0">
        <references count="3">
          <reference field="7" count="1" selected="0">
            <x v="1123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728">
      <pivotArea dataOnly="0" labelOnly="1" outline="0" fieldPosition="0">
        <references count="3">
          <reference field="7" count="1" selected="0">
            <x v="1124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727">
      <pivotArea dataOnly="0" labelOnly="1" outline="0" fieldPosition="0">
        <references count="3">
          <reference field="7" count="1" selected="0">
            <x v="112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726">
      <pivotArea dataOnly="0" labelOnly="1" outline="0" fieldPosition="0">
        <references count="3">
          <reference field="7" count="1" selected="0">
            <x v="1126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725">
      <pivotArea dataOnly="0" labelOnly="1" outline="0" fieldPosition="0">
        <references count="3">
          <reference field="7" count="1" selected="0">
            <x v="111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724">
      <pivotArea dataOnly="0" labelOnly="1" outline="0" fieldPosition="0">
        <references count="3">
          <reference field="7" count="1" selected="0">
            <x v="1113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723">
      <pivotArea dataOnly="0" labelOnly="1" outline="0" fieldPosition="0">
        <references count="3">
          <reference field="7" count="1" selected="0">
            <x v="1114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722">
      <pivotArea dataOnly="0" labelOnly="1" outline="0" fieldPosition="0">
        <references count="3">
          <reference field="7" count="1" selected="0">
            <x v="1115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721">
      <pivotArea dataOnly="0" labelOnly="1" outline="0" fieldPosition="0">
        <references count="3">
          <reference field="7" count="1" selected="0">
            <x v="1110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720">
      <pivotArea dataOnly="0" labelOnly="1" outline="0" fieldPosition="0">
        <references count="3">
          <reference field="7" count="1" selected="0">
            <x v="1111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719">
      <pivotArea dataOnly="0" labelOnly="1" outline="0" fieldPosition="0">
        <references count="3">
          <reference field="7" count="1" selected="0">
            <x v="394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718">
      <pivotArea dataOnly="0" labelOnly="1" outline="0" fieldPosition="0">
        <references count="3">
          <reference field="7" count="1" selected="0">
            <x v="413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717">
      <pivotArea dataOnly="0" labelOnly="1" outline="0" fieldPosition="0">
        <references count="3">
          <reference field="7" count="1" selected="0">
            <x v="1078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716">
      <pivotArea dataOnly="0" labelOnly="1" outline="0" fieldPosition="0">
        <references count="3">
          <reference field="7" count="1" selected="0">
            <x v="1103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715">
      <pivotArea dataOnly="0" labelOnly="1" outline="0" fieldPosition="0">
        <references count="3">
          <reference field="7" count="1" selected="0">
            <x v="1104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714">
      <pivotArea dataOnly="0" labelOnly="1" outline="0" fieldPosition="0">
        <references count="3">
          <reference field="7" count="1" selected="0">
            <x v="1105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713">
      <pivotArea dataOnly="0" labelOnly="1" outline="0" fieldPosition="0">
        <references count="3">
          <reference field="7" count="1" selected="0">
            <x v="1106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712">
      <pivotArea dataOnly="0" labelOnly="1" outline="0" fieldPosition="0">
        <references count="3">
          <reference field="7" count="1" selected="0">
            <x v="1107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711">
      <pivotArea dataOnly="0" labelOnly="1" outline="0" fieldPosition="0">
        <references count="3">
          <reference field="7" count="1" selected="0">
            <x v="1108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710">
      <pivotArea dataOnly="0" labelOnly="1" outline="0" fieldPosition="0">
        <references count="3">
          <reference field="7" count="1" selected="0">
            <x v="1109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709">
      <pivotArea dataOnly="0" labelOnly="1" outline="0" fieldPosition="0">
        <references count="3">
          <reference field="7" count="1" selected="0">
            <x v="404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708">
      <pivotArea dataOnly="0" labelOnly="1" outline="0" fieldPosition="0">
        <references count="3">
          <reference field="7" count="1" selected="0">
            <x v="458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707">
      <pivotArea dataOnly="0" labelOnly="1" outline="0" fieldPosition="0">
        <references count="3">
          <reference field="7" count="1" selected="0">
            <x v="465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706">
      <pivotArea dataOnly="0" labelOnly="1" outline="0" fieldPosition="0">
        <references count="3">
          <reference field="7" count="1" selected="0">
            <x v="1095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705">
      <pivotArea dataOnly="0" labelOnly="1" outline="0" fieldPosition="0">
        <references count="3">
          <reference field="7" count="1" selected="0">
            <x v="1096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704">
      <pivotArea dataOnly="0" labelOnly="1" outline="0" fieldPosition="0">
        <references count="3">
          <reference field="7" count="1" selected="0">
            <x v="1097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703">
      <pivotArea dataOnly="0" labelOnly="1" outline="0" fieldPosition="0">
        <references count="3">
          <reference field="7" count="1" selected="0">
            <x v="1098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702">
      <pivotArea dataOnly="0" labelOnly="1" outline="0" fieldPosition="0">
        <references count="3">
          <reference field="7" count="1" selected="0">
            <x v="1099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701">
      <pivotArea dataOnly="0" labelOnly="1" outline="0" fieldPosition="0">
        <references count="3">
          <reference field="7" count="1" selected="0">
            <x v="1100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700">
      <pivotArea dataOnly="0" labelOnly="1" outline="0" fieldPosition="0">
        <references count="3">
          <reference field="7" count="1" selected="0">
            <x v="1101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699">
      <pivotArea dataOnly="0" labelOnly="1" outline="0" fieldPosition="0">
        <references count="3">
          <reference field="7" count="1" selected="0">
            <x v="1102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698">
      <pivotArea dataOnly="0" labelOnly="1" outline="0" fieldPosition="0">
        <references count="3">
          <reference field="7" count="1" selected="0">
            <x v="151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697">
      <pivotArea dataOnly="0" labelOnly="1" outline="0" fieldPosition="0">
        <references count="3">
          <reference field="7" count="1" selected="0">
            <x v="1094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696">
      <pivotArea dataOnly="0" labelOnly="1" outline="0" fieldPosition="0">
        <references count="3">
          <reference field="7" count="1" selected="0">
            <x v="151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695">
      <pivotArea type="all" dataOnly="0" outline="0" fieldPosition="0"/>
    </format>
    <format dxfId="694">
      <pivotArea outline="0" collapsedLevelsAreSubtotals="1" fieldPosition="0"/>
    </format>
    <format dxfId="693">
      <pivotArea field="16" type="button" dataOnly="0" labelOnly="1" outline="0" axis="axisRow" fieldPosition="0"/>
    </format>
    <format dxfId="692">
      <pivotArea field="7" type="button" dataOnly="0" labelOnly="1" outline="0" axis="axisRow" fieldPosition="1"/>
    </format>
    <format dxfId="691">
      <pivotArea field="18" type="button" dataOnly="0" labelOnly="1" outline="0" axis="axisRow" fieldPosition="2"/>
    </format>
    <format dxfId="690">
      <pivotArea dataOnly="0" labelOnly="1" outline="0" fieldPosition="0">
        <references count="1">
          <reference field="16" count="0"/>
        </references>
      </pivotArea>
    </format>
    <format dxfId="689">
      <pivotArea dataOnly="0" labelOnly="1" outline="0" fieldPosition="0">
        <references count="2">
          <reference field="7" count="1">
            <x v="423"/>
          </reference>
          <reference field="16" count="1" selected="0">
            <x v="8"/>
          </reference>
        </references>
      </pivotArea>
    </format>
    <format dxfId="688">
      <pivotArea dataOnly="0" labelOnly="1" outline="0" fieldPosition="0">
        <references count="2">
          <reference field="7" count="1">
            <x v="1173"/>
          </reference>
          <reference field="16" count="1" selected="0">
            <x v="10"/>
          </reference>
        </references>
      </pivotArea>
    </format>
    <format dxfId="687">
      <pivotArea dataOnly="0" labelOnly="1" outline="0" fieldPosition="0">
        <references count="2">
          <reference field="7" count="2">
            <x v="176"/>
            <x v="1172"/>
          </reference>
          <reference field="16" count="1" selected="0">
            <x v="11"/>
          </reference>
        </references>
      </pivotArea>
    </format>
    <format dxfId="686">
      <pivotArea dataOnly="0" labelOnly="1" outline="0" fieldPosition="0">
        <references count="2">
          <reference field="7" count="1">
            <x v="1171"/>
          </reference>
          <reference field="16" count="1" selected="0">
            <x v="12"/>
          </reference>
        </references>
      </pivotArea>
    </format>
    <format dxfId="685">
      <pivotArea dataOnly="0" labelOnly="1" outline="0" fieldPosition="0">
        <references count="2">
          <reference field="7" count="8">
            <x v="1049"/>
            <x v="1164"/>
            <x v="1165"/>
            <x v="1166"/>
            <x v="1167"/>
            <x v="1168"/>
            <x v="1169"/>
            <x v="1170"/>
          </reference>
          <reference field="16" count="1" selected="0">
            <x v="13"/>
          </reference>
        </references>
      </pivotArea>
    </format>
    <format dxfId="684">
      <pivotArea dataOnly="0" labelOnly="1" outline="0" fieldPosition="0">
        <references count="2">
          <reference field="7" count="8">
            <x v="646"/>
            <x v="867"/>
            <x v="1158"/>
            <x v="1159"/>
            <x v="1160"/>
            <x v="1161"/>
            <x v="1162"/>
            <x v="1163"/>
          </reference>
          <reference field="16" count="1" selected="0">
            <x v="14"/>
          </reference>
        </references>
      </pivotArea>
    </format>
    <format dxfId="683">
      <pivotArea dataOnly="0" labelOnly="1" outline="0" fieldPosition="0">
        <references count="2">
          <reference field="7" count="6">
            <x v="1152"/>
            <x v="1153"/>
            <x v="1154"/>
            <x v="1155"/>
            <x v="1156"/>
            <x v="1157"/>
          </reference>
          <reference field="16" count="1" selected="0">
            <x v="15"/>
          </reference>
        </references>
      </pivotArea>
    </format>
    <format dxfId="682">
      <pivotArea dataOnly="0" labelOnly="1" outline="0" fieldPosition="0">
        <references count="2">
          <reference field="7" count="1">
            <x v="1151"/>
          </reference>
          <reference field="16" count="1" selected="0">
            <x v="16"/>
          </reference>
        </references>
      </pivotArea>
    </format>
    <format dxfId="681">
      <pivotArea dataOnly="0" labelOnly="1" outline="0" fieldPosition="0">
        <references count="2">
          <reference field="7" count="7">
            <x v="1144"/>
            <x v="1145"/>
            <x v="1146"/>
            <x v="1147"/>
            <x v="1148"/>
            <x v="1149"/>
            <x v="1150"/>
          </reference>
          <reference field="16" count="1" selected="0">
            <x v="17"/>
          </reference>
        </references>
      </pivotArea>
    </format>
    <format dxfId="680">
      <pivotArea dataOnly="0" labelOnly="1" outline="0" fieldPosition="0">
        <references count="2">
          <reference field="7" count="24">
            <x v="12"/>
            <x v="347"/>
            <x v="354"/>
            <x v="365"/>
            <x v="378"/>
            <x v="448"/>
            <x v="667"/>
            <x v="1110"/>
            <x v="1127"/>
            <x v="1128"/>
            <x v="1129"/>
            <x v="1130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</reference>
          <reference field="16" count="1" selected="0">
            <x v="18"/>
          </reference>
        </references>
      </pivotArea>
    </format>
    <format dxfId="679">
      <pivotArea dataOnly="0" labelOnly="1" outline="0" fieldPosition="0">
        <references count="2">
          <reference field="7" count="15">
            <x v="49"/>
            <x v="358"/>
            <x v="1109"/>
            <x v="1114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</reference>
          <reference field="16" count="1" selected="0">
            <x v="19"/>
          </reference>
        </references>
      </pivotArea>
    </format>
    <format dxfId="678">
      <pivotArea dataOnly="0" labelOnly="1" outline="0" fieldPosition="0">
        <references count="2">
          <reference field="7" count="11">
            <x v="394"/>
            <x v="1097"/>
            <x v="1102"/>
            <x v="1104"/>
            <x v="1106"/>
            <x v="1108"/>
            <x v="1111"/>
            <x v="1112"/>
            <x v="1113"/>
            <x v="1115"/>
            <x v="1131"/>
          </reference>
          <reference field="16" count="1" selected="0">
            <x v="20"/>
          </reference>
        </references>
      </pivotArea>
    </format>
    <format dxfId="677">
      <pivotArea dataOnly="0" labelOnly="1" outline="0" fieldPosition="0">
        <references count="2">
          <reference field="7" count="11">
            <x v="404"/>
            <x v="413"/>
            <x v="458"/>
            <x v="465"/>
            <x v="1078"/>
            <x v="1098"/>
            <x v="1099"/>
            <x v="1100"/>
            <x v="1101"/>
            <x v="1105"/>
            <x v="1107"/>
          </reference>
          <reference field="16" count="1" selected="0">
            <x v="21"/>
          </reference>
        </references>
      </pivotArea>
    </format>
    <format dxfId="676">
      <pivotArea dataOnly="0" labelOnly="1" outline="0" fieldPosition="0">
        <references count="2">
          <reference field="7" count="3">
            <x v="1095"/>
            <x v="1096"/>
            <x v="1103"/>
          </reference>
          <reference field="16" count="1" selected="0">
            <x v="22"/>
          </reference>
        </references>
      </pivotArea>
    </format>
    <format dxfId="675">
      <pivotArea dataOnly="0" labelOnly="1" outline="0" fieldPosition="0">
        <references count="2">
          <reference field="7" count="1">
            <x v="151"/>
          </reference>
          <reference field="16" count="1" selected="0">
            <x v="23"/>
          </reference>
        </references>
      </pivotArea>
    </format>
    <format dxfId="674">
      <pivotArea dataOnly="0" labelOnly="1" outline="0" fieldPosition="0">
        <references count="2">
          <reference field="7" count="1">
            <x v="1094"/>
          </reference>
          <reference field="16" count="1" selected="0">
            <x v="24"/>
          </reference>
        </references>
      </pivotArea>
    </format>
    <format dxfId="673">
      <pivotArea dataOnly="0" labelOnly="1" outline="0" fieldPosition="0">
        <references count="3">
          <reference field="7" count="1" selected="0">
            <x v="423"/>
          </reference>
          <reference field="16" count="1" selected="0">
            <x v="8"/>
          </reference>
          <reference field="18" count="1">
            <x v="2"/>
          </reference>
        </references>
      </pivotArea>
    </format>
    <format dxfId="672">
      <pivotArea dataOnly="0" labelOnly="1" outline="0" fieldPosition="0">
        <references count="3">
          <reference field="7" count="1" selected="0">
            <x v="1173"/>
          </reference>
          <reference field="16" count="1" selected="0">
            <x v="10"/>
          </reference>
          <reference field="18" count="1">
            <x v="2"/>
          </reference>
        </references>
      </pivotArea>
    </format>
    <format dxfId="671">
      <pivotArea dataOnly="0" labelOnly="1" outline="0" fieldPosition="0">
        <references count="3">
          <reference field="7" count="1" selected="0">
            <x v="176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670">
      <pivotArea dataOnly="0" labelOnly="1" outline="0" fieldPosition="0">
        <references count="3">
          <reference field="7" count="1" selected="0">
            <x v="1172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669">
      <pivotArea dataOnly="0" labelOnly="1" outline="0" fieldPosition="0">
        <references count="3">
          <reference field="7" count="1" selected="0">
            <x v="1171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668">
      <pivotArea dataOnly="0" labelOnly="1" outline="0" fieldPosition="0">
        <references count="3">
          <reference field="7" count="1" selected="0">
            <x v="1049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667">
      <pivotArea dataOnly="0" labelOnly="1" outline="0" fieldPosition="0">
        <references count="3">
          <reference field="7" count="1" selected="0">
            <x v="1164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666">
      <pivotArea dataOnly="0" labelOnly="1" outline="0" fieldPosition="0">
        <references count="3">
          <reference field="7" count="1" selected="0">
            <x v="1165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665">
      <pivotArea dataOnly="0" labelOnly="1" outline="0" fieldPosition="0">
        <references count="3">
          <reference field="7" count="1" selected="0">
            <x v="1166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664">
      <pivotArea dataOnly="0" labelOnly="1" outline="0" fieldPosition="0">
        <references count="3">
          <reference field="7" count="1" selected="0">
            <x v="1167"/>
          </reference>
          <reference field="16" count="1" selected="0">
            <x v="13"/>
          </reference>
          <reference field="18" count="1">
            <x v="0"/>
          </reference>
        </references>
      </pivotArea>
    </format>
    <format dxfId="663">
      <pivotArea dataOnly="0" labelOnly="1" outline="0" fieldPosition="0">
        <references count="3">
          <reference field="7" count="1" selected="0">
            <x v="1168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662">
      <pivotArea dataOnly="0" labelOnly="1" outline="0" fieldPosition="0">
        <references count="3">
          <reference field="7" count="1" selected="0">
            <x v="1169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661">
      <pivotArea dataOnly="0" labelOnly="1" outline="0" fieldPosition="0">
        <references count="3">
          <reference field="7" count="1" selected="0">
            <x v="1170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660">
      <pivotArea dataOnly="0" labelOnly="1" outline="0" fieldPosition="0">
        <references count="3">
          <reference field="7" count="1" selected="0">
            <x v="646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659">
      <pivotArea dataOnly="0" labelOnly="1" outline="0" fieldPosition="0">
        <references count="3">
          <reference field="7" count="1" selected="0">
            <x v="867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658">
      <pivotArea dataOnly="0" labelOnly="1" outline="0" fieldPosition="0">
        <references count="3">
          <reference field="7" count="1" selected="0">
            <x v="1158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657">
      <pivotArea dataOnly="0" labelOnly="1" outline="0" fieldPosition="0">
        <references count="3">
          <reference field="7" count="1" selected="0">
            <x v="1159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656">
      <pivotArea dataOnly="0" labelOnly="1" outline="0" fieldPosition="0">
        <references count="3">
          <reference field="7" count="1" selected="0">
            <x v="1160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655">
      <pivotArea dataOnly="0" labelOnly="1" outline="0" fieldPosition="0">
        <references count="3">
          <reference field="7" count="1" selected="0">
            <x v="1161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654">
      <pivotArea dataOnly="0" labelOnly="1" outline="0" fieldPosition="0">
        <references count="3">
          <reference field="7" count="1" selected="0">
            <x v="1162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653">
      <pivotArea dataOnly="0" labelOnly="1" outline="0" fieldPosition="0">
        <references count="3">
          <reference field="7" count="1" selected="0">
            <x v="1163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652">
      <pivotArea dataOnly="0" labelOnly="1" outline="0" fieldPosition="0">
        <references count="3">
          <reference field="7" count="1" selected="0">
            <x v="1152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651">
      <pivotArea dataOnly="0" labelOnly="1" outline="0" fieldPosition="0">
        <references count="3">
          <reference field="7" count="1" selected="0">
            <x v="1153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650">
      <pivotArea dataOnly="0" labelOnly="1" outline="0" fieldPosition="0">
        <references count="3">
          <reference field="7" count="1" selected="0">
            <x v="1154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649">
      <pivotArea dataOnly="0" labelOnly="1" outline="0" fieldPosition="0">
        <references count="3">
          <reference field="7" count="1" selected="0">
            <x v="1155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648">
      <pivotArea dataOnly="0" labelOnly="1" outline="0" fieldPosition="0">
        <references count="3">
          <reference field="7" count="1" selected="0">
            <x v="1156"/>
          </reference>
          <reference field="16" count="1" selected="0">
            <x v="15"/>
          </reference>
          <reference field="18" count="1">
            <x v="2"/>
          </reference>
        </references>
      </pivotArea>
    </format>
    <format dxfId="647">
      <pivotArea dataOnly="0" labelOnly="1" outline="0" fieldPosition="0">
        <references count="3">
          <reference field="7" count="1" selected="0">
            <x v="1157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646">
      <pivotArea dataOnly="0" labelOnly="1" outline="0" fieldPosition="0">
        <references count="3">
          <reference field="7" count="1" selected="0">
            <x v="1151"/>
          </reference>
          <reference field="16" count="1" selected="0">
            <x v="16"/>
          </reference>
          <reference field="18" count="1">
            <x v="2"/>
          </reference>
        </references>
      </pivotArea>
    </format>
    <format dxfId="645">
      <pivotArea dataOnly="0" labelOnly="1" outline="0" fieldPosition="0">
        <references count="3">
          <reference field="7" count="1" selected="0">
            <x v="1144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644">
      <pivotArea dataOnly="0" labelOnly="1" outline="0" fieldPosition="0">
        <references count="3">
          <reference field="7" count="1" selected="0">
            <x v="1145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643">
      <pivotArea dataOnly="0" labelOnly="1" outline="0" fieldPosition="0">
        <references count="3">
          <reference field="7" count="1" selected="0">
            <x v="1146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642">
      <pivotArea dataOnly="0" labelOnly="1" outline="0" fieldPosition="0">
        <references count="3">
          <reference field="7" count="1" selected="0">
            <x v="1147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641">
      <pivotArea dataOnly="0" labelOnly="1" outline="0" fieldPosition="0">
        <references count="3">
          <reference field="7" count="1" selected="0">
            <x v="1148"/>
          </reference>
          <reference field="16" count="1" selected="0">
            <x v="17"/>
          </reference>
          <reference field="18" count="1">
            <x v="2"/>
          </reference>
        </references>
      </pivotArea>
    </format>
    <format dxfId="640">
      <pivotArea dataOnly="0" labelOnly="1" outline="0" fieldPosition="0">
        <references count="3">
          <reference field="7" count="1" selected="0">
            <x v="1149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639">
      <pivotArea dataOnly="0" labelOnly="1" outline="0" fieldPosition="0">
        <references count="3">
          <reference field="7" count="1" selected="0">
            <x v="1150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638">
      <pivotArea dataOnly="0" labelOnly="1" outline="0" fieldPosition="0">
        <references count="3">
          <reference field="7" count="1" selected="0">
            <x v="12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637">
      <pivotArea dataOnly="0" labelOnly="1" outline="0" fieldPosition="0">
        <references count="3">
          <reference field="7" count="1" selected="0">
            <x v="34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636">
      <pivotArea dataOnly="0" labelOnly="1" outline="0" fieldPosition="0">
        <references count="3">
          <reference field="7" count="1" selected="0">
            <x v="354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635">
      <pivotArea dataOnly="0" labelOnly="1" outline="0" fieldPosition="0">
        <references count="3">
          <reference field="7" count="1" selected="0">
            <x v="365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634">
      <pivotArea dataOnly="0" labelOnly="1" outline="0" fieldPosition="0">
        <references count="3">
          <reference field="7" count="1" selected="0">
            <x v="378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633">
      <pivotArea dataOnly="0" labelOnly="1" outline="0" fieldPosition="0">
        <references count="3">
          <reference field="7" count="1" selected="0">
            <x v="44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632">
      <pivotArea dataOnly="0" labelOnly="1" outline="0" fieldPosition="0">
        <references count="3">
          <reference field="7" count="1" selected="0">
            <x v="667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631">
      <pivotArea dataOnly="0" labelOnly="1" outline="0" fieldPosition="0">
        <references count="3">
          <reference field="7" count="1" selected="0">
            <x v="1110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630">
      <pivotArea dataOnly="0" labelOnly="1" outline="0" fieldPosition="0">
        <references count="3">
          <reference field="7" count="1" selected="0">
            <x v="112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629">
      <pivotArea dataOnly="0" labelOnly="1" outline="0" fieldPosition="0">
        <references count="3">
          <reference field="7" count="1" selected="0">
            <x v="1128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628">
      <pivotArea dataOnly="0" labelOnly="1" outline="0" fieldPosition="0">
        <references count="3">
          <reference field="7" count="1" selected="0">
            <x v="1129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627">
      <pivotArea dataOnly="0" labelOnly="1" outline="0" fieldPosition="0">
        <references count="3">
          <reference field="7" count="1" selected="0">
            <x v="1130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626">
      <pivotArea dataOnly="0" labelOnly="1" outline="0" fieldPosition="0">
        <references count="3">
          <reference field="7" count="1" selected="0">
            <x v="1132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625">
      <pivotArea dataOnly="0" labelOnly="1" outline="0" fieldPosition="0">
        <references count="3">
          <reference field="7" count="1" selected="0">
            <x v="1133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624">
      <pivotArea dataOnly="0" labelOnly="1" outline="0" fieldPosition="0">
        <references count="3">
          <reference field="7" count="1" selected="0">
            <x v="1134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623">
      <pivotArea dataOnly="0" labelOnly="1" outline="0" fieldPosition="0">
        <references count="3">
          <reference field="7" count="1" selected="0">
            <x v="1135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622">
      <pivotArea dataOnly="0" labelOnly="1" outline="0" fieldPosition="0">
        <references count="3">
          <reference field="7" count="1" selected="0">
            <x v="1136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621">
      <pivotArea dataOnly="0" labelOnly="1" outline="0" fieldPosition="0">
        <references count="3">
          <reference field="7" count="1" selected="0">
            <x v="1137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620">
      <pivotArea dataOnly="0" labelOnly="1" outline="0" fieldPosition="0">
        <references count="3">
          <reference field="7" count="1" selected="0">
            <x v="113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619">
      <pivotArea dataOnly="0" labelOnly="1" outline="0" fieldPosition="0">
        <references count="3">
          <reference field="7" count="1" selected="0">
            <x v="1139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618">
      <pivotArea dataOnly="0" labelOnly="1" outline="0" fieldPosition="0">
        <references count="3">
          <reference field="7" count="1" selected="0">
            <x v="1140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617">
      <pivotArea dataOnly="0" labelOnly="1" outline="0" fieldPosition="0">
        <references count="3">
          <reference field="7" count="1" selected="0">
            <x v="1141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616">
      <pivotArea dataOnly="0" labelOnly="1" outline="0" fieldPosition="0">
        <references count="3">
          <reference field="7" count="1" selected="0">
            <x v="1142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615">
      <pivotArea dataOnly="0" labelOnly="1" outline="0" fieldPosition="0">
        <references count="3">
          <reference field="7" count="1" selected="0">
            <x v="1143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614">
      <pivotArea dataOnly="0" labelOnly="1" outline="0" fieldPosition="0">
        <references count="3">
          <reference field="7" count="1" selected="0">
            <x v="4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613">
      <pivotArea dataOnly="0" labelOnly="1" outline="0" fieldPosition="0">
        <references count="3">
          <reference field="7" count="1" selected="0">
            <x v="35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612">
      <pivotArea dataOnly="0" labelOnly="1" outline="0" fieldPosition="0">
        <references count="3">
          <reference field="7" count="1" selected="0">
            <x v="110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611">
      <pivotArea dataOnly="0" labelOnly="1" outline="0" fieldPosition="0">
        <references count="3">
          <reference field="7" count="1" selected="0">
            <x v="1114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610">
      <pivotArea dataOnly="0" labelOnly="1" outline="0" fieldPosition="0">
        <references count="3">
          <reference field="7" count="1" selected="0">
            <x v="1116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609">
      <pivotArea dataOnly="0" labelOnly="1" outline="0" fieldPosition="0">
        <references count="3">
          <reference field="7" count="1" selected="0">
            <x v="1117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608">
      <pivotArea dataOnly="0" labelOnly="1" outline="0" fieldPosition="0">
        <references count="3">
          <reference field="7" count="1" selected="0">
            <x v="111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607">
      <pivotArea dataOnly="0" labelOnly="1" outline="0" fieldPosition="0">
        <references count="3">
          <reference field="7" count="1" selected="0">
            <x v="111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606">
      <pivotArea dataOnly="0" labelOnly="1" outline="0" fieldPosition="0">
        <references count="3">
          <reference field="7" count="1" selected="0">
            <x v="1120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605">
      <pivotArea dataOnly="0" labelOnly="1" outline="0" fieldPosition="0">
        <references count="3">
          <reference field="7" count="1" selected="0">
            <x v="1121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604">
      <pivotArea dataOnly="0" labelOnly="1" outline="0" fieldPosition="0">
        <references count="3">
          <reference field="7" count="1" selected="0">
            <x v="1122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603">
      <pivotArea dataOnly="0" labelOnly="1" outline="0" fieldPosition="0">
        <references count="3">
          <reference field="7" count="1" selected="0">
            <x v="1123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602">
      <pivotArea dataOnly="0" labelOnly="1" outline="0" fieldPosition="0">
        <references count="3">
          <reference field="7" count="1" selected="0">
            <x v="1124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601">
      <pivotArea dataOnly="0" labelOnly="1" outline="0" fieldPosition="0">
        <references count="3">
          <reference field="7" count="1" selected="0">
            <x v="112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600">
      <pivotArea dataOnly="0" labelOnly="1" outline="0" fieldPosition="0">
        <references count="3">
          <reference field="7" count="1" selected="0">
            <x v="1126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599">
      <pivotArea dataOnly="0" labelOnly="1" outline="0" fieldPosition="0">
        <references count="3">
          <reference field="7" count="1" selected="0">
            <x v="394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598">
      <pivotArea dataOnly="0" labelOnly="1" outline="0" fieldPosition="0">
        <references count="3">
          <reference field="7" count="1" selected="0">
            <x v="1097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597">
      <pivotArea dataOnly="0" labelOnly="1" outline="0" fieldPosition="0">
        <references count="3">
          <reference field="7" count="1" selected="0">
            <x v="1102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596">
      <pivotArea dataOnly="0" labelOnly="1" outline="0" fieldPosition="0">
        <references count="3">
          <reference field="7" count="1" selected="0">
            <x v="1104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595">
      <pivotArea dataOnly="0" labelOnly="1" outline="0" fieldPosition="0">
        <references count="3">
          <reference field="7" count="1" selected="0">
            <x v="1106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594">
      <pivotArea dataOnly="0" labelOnly="1" outline="0" fieldPosition="0">
        <references count="3">
          <reference field="7" count="1" selected="0">
            <x v="1108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593">
      <pivotArea dataOnly="0" labelOnly="1" outline="0" fieldPosition="0">
        <references count="3">
          <reference field="7" count="1" selected="0">
            <x v="1111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592">
      <pivotArea dataOnly="0" labelOnly="1" outline="0" fieldPosition="0">
        <references count="3">
          <reference field="7" count="1" selected="0">
            <x v="111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591">
      <pivotArea dataOnly="0" labelOnly="1" outline="0" fieldPosition="0">
        <references count="3">
          <reference field="7" count="1" selected="0">
            <x v="1113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590">
      <pivotArea dataOnly="0" labelOnly="1" outline="0" fieldPosition="0">
        <references count="3">
          <reference field="7" count="1" selected="0">
            <x v="1115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589">
      <pivotArea dataOnly="0" labelOnly="1" outline="0" fieldPosition="0">
        <references count="3">
          <reference field="7" count="1" selected="0">
            <x v="1131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588">
      <pivotArea dataOnly="0" labelOnly="1" outline="0" fieldPosition="0">
        <references count="3">
          <reference field="7" count="1" selected="0">
            <x v="404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587">
      <pivotArea dataOnly="0" labelOnly="1" outline="0" fieldPosition="0">
        <references count="3">
          <reference field="7" count="1" selected="0">
            <x v="413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586">
      <pivotArea dataOnly="0" labelOnly="1" outline="0" fieldPosition="0">
        <references count="3">
          <reference field="7" count="1" selected="0">
            <x v="45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585">
      <pivotArea dataOnly="0" labelOnly="1" outline="0" fieldPosition="0">
        <references count="3">
          <reference field="7" count="1" selected="0">
            <x v="46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584">
      <pivotArea dataOnly="0" labelOnly="1" outline="0" fieldPosition="0">
        <references count="3">
          <reference field="7" count="1" selected="0">
            <x v="107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583">
      <pivotArea dataOnly="0" labelOnly="1" outline="0" fieldPosition="0">
        <references count="3">
          <reference field="7" count="1" selected="0">
            <x v="109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582">
      <pivotArea dataOnly="0" labelOnly="1" outline="0" fieldPosition="0">
        <references count="3">
          <reference field="7" count="1" selected="0">
            <x v="1099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581">
      <pivotArea dataOnly="0" labelOnly="1" outline="0" fieldPosition="0">
        <references count="3">
          <reference field="7" count="1" selected="0">
            <x v="1100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580">
      <pivotArea dataOnly="0" labelOnly="1" outline="0" fieldPosition="0">
        <references count="3">
          <reference field="7" count="1" selected="0">
            <x v="1101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579">
      <pivotArea dataOnly="0" labelOnly="1" outline="0" fieldPosition="0">
        <references count="3">
          <reference field="7" count="1" selected="0">
            <x v="110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578">
      <pivotArea dataOnly="0" labelOnly="1" outline="0" fieldPosition="0">
        <references count="3">
          <reference field="7" count="1" selected="0">
            <x v="1107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577">
      <pivotArea dataOnly="0" labelOnly="1" outline="0" fieldPosition="0">
        <references count="3">
          <reference field="7" count="1" selected="0">
            <x v="1095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576">
      <pivotArea dataOnly="0" labelOnly="1" outline="0" fieldPosition="0">
        <references count="3">
          <reference field="7" count="1" selected="0">
            <x v="1096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575">
      <pivotArea dataOnly="0" labelOnly="1" outline="0" fieldPosition="0">
        <references count="3">
          <reference field="7" count="1" selected="0">
            <x v="1103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574">
      <pivotArea dataOnly="0" labelOnly="1" outline="0" fieldPosition="0">
        <references count="3">
          <reference field="7" count="1" selected="0">
            <x v="151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573">
      <pivotArea dataOnly="0" labelOnly="1" outline="0" fieldPosition="0">
        <references count="3">
          <reference field="7" count="1" selected="0">
            <x v="1094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572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571">
      <pivotArea type="all" dataOnly="0" outline="0" fieldPosition="0"/>
    </format>
    <format dxfId="570">
      <pivotArea outline="0" collapsedLevelsAreSubtotals="1" fieldPosition="0"/>
    </format>
    <format dxfId="569">
      <pivotArea field="16" type="button" dataOnly="0" labelOnly="1" outline="0" axis="axisRow" fieldPosition="0"/>
    </format>
    <format dxfId="568">
      <pivotArea field="7" type="button" dataOnly="0" labelOnly="1" outline="0" axis="axisRow" fieldPosition="1"/>
    </format>
    <format dxfId="567">
      <pivotArea field="18" type="button" dataOnly="0" labelOnly="1" outline="0" axis="axisRow" fieldPosition="2"/>
    </format>
    <format dxfId="566">
      <pivotArea dataOnly="0" labelOnly="1" outline="0" fieldPosition="0">
        <references count="1">
          <reference field="16" count="0"/>
        </references>
      </pivotArea>
    </format>
    <format dxfId="565">
      <pivotArea dataOnly="0" labelOnly="1" outline="0" fieldPosition="0">
        <references count="2">
          <reference field="7" count="1">
            <x v="423"/>
          </reference>
          <reference field="16" count="1" selected="0">
            <x v="8"/>
          </reference>
        </references>
      </pivotArea>
    </format>
    <format dxfId="564">
      <pivotArea dataOnly="0" labelOnly="1" outline="0" fieldPosition="0">
        <references count="2">
          <reference field="7" count="1">
            <x v="1173"/>
          </reference>
          <reference field="16" count="1" selected="0">
            <x v="10"/>
          </reference>
        </references>
      </pivotArea>
    </format>
    <format dxfId="563">
      <pivotArea dataOnly="0" labelOnly="1" outline="0" fieldPosition="0">
        <references count="2">
          <reference field="7" count="2">
            <x v="176"/>
            <x v="1172"/>
          </reference>
          <reference field="16" count="1" selected="0">
            <x v="11"/>
          </reference>
        </references>
      </pivotArea>
    </format>
    <format dxfId="562">
      <pivotArea dataOnly="0" labelOnly="1" outline="0" fieldPosition="0">
        <references count="2">
          <reference field="7" count="1">
            <x v="1171"/>
          </reference>
          <reference field="16" count="1" selected="0">
            <x v="12"/>
          </reference>
        </references>
      </pivotArea>
    </format>
    <format dxfId="561">
      <pivotArea dataOnly="0" labelOnly="1" outline="0" fieldPosition="0">
        <references count="2">
          <reference field="7" count="8">
            <x v="1049"/>
            <x v="1164"/>
            <x v="1165"/>
            <x v="1166"/>
            <x v="1167"/>
            <x v="1168"/>
            <x v="1169"/>
            <x v="1170"/>
          </reference>
          <reference field="16" count="1" selected="0">
            <x v="13"/>
          </reference>
        </references>
      </pivotArea>
    </format>
    <format dxfId="560">
      <pivotArea dataOnly="0" labelOnly="1" outline="0" fieldPosition="0">
        <references count="2">
          <reference field="7" count="8">
            <x v="646"/>
            <x v="867"/>
            <x v="1158"/>
            <x v="1159"/>
            <x v="1160"/>
            <x v="1161"/>
            <x v="1162"/>
            <x v="1163"/>
          </reference>
          <reference field="16" count="1" selected="0">
            <x v="14"/>
          </reference>
        </references>
      </pivotArea>
    </format>
    <format dxfId="559">
      <pivotArea dataOnly="0" labelOnly="1" outline="0" fieldPosition="0">
        <references count="2">
          <reference field="7" count="6">
            <x v="1152"/>
            <x v="1153"/>
            <x v="1154"/>
            <x v="1155"/>
            <x v="1156"/>
            <x v="1157"/>
          </reference>
          <reference field="16" count="1" selected="0">
            <x v="15"/>
          </reference>
        </references>
      </pivotArea>
    </format>
    <format dxfId="558">
      <pivotArea dataOnly="0" labelOnly="1" outline="0" fieldPosition="0">
        <references count="2">
          <reference field="7" count="1">
            <x v="1151"/>
          </reference>
          <reference field="16" count="1" selected="0">
            <x v="16"/>
          </reference>
        </references>
      </pivotArea>
    </format>
    <format dxfId="557">
      <pivotArea dataOnly="0" labelOnly="1" outline="0" fieldPosition="0">
        <references count="2">
          <reference field="7" count="7">
            <x v="1144"/>
            <x v="1145"/>
            <x v="1146"/>
            <x v="1147"/>
            <x v="1148"/>
            <x v="1149"/>
            <x v="1150"/>
          </reference>
          <reference field="16" count="1" selected="0">
            <x v="17"/>
          </reference>
        </references>
      </pivotArea>
    </format>
    <format dxfId="556">
      <pivotArea dataOnly="0" labelOnly="1" outline="0" fieldPosition="0">
        <references count="2">
          <reference field="7" count="24">
            <x v="12"/>
            <x v="347"/>
            <x v="354"/>
            <x v="365"/>
            <x v="378"/>
            <x v="448"/>
            <x v="667"/>
            <x v="1110"/>
            <x v="1127"/>
            <x v="1128"/>
            <x v="1129"/>
            <x v="1130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</reference>
          <reference field="16" count="1" selected="0">
            <x v="18"/>
          </reference>
        </references>
      </pivotArea>
    </format>
    <format dxfId="555">
      <pivotArea dataOnly="0" labelOnly="1" outline="0" fieldPosition="0">
        <references count="2">
          <reference field="7" count="15">
            <x v="49"/>
            <x v="358"/>
            <x v="1109"/>
            <x v="1114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</reference>
          <reference field="16" count="1" selected="0">
            <x v="19"/>
          </reference>
        </references>
      </pivotArea>
    </format>
    <format dxfId="554">
      <pivotArea dataOnly="0" labelOnly="1" outline="0" fieldPosition="0">
        <references count="2">
          <reference field="7" count="11">
            <x v="394"/>
            <x v="1097"/>
            <x v="1102"/>
            <x v="1104"/>
            <x v="1106"/>
            <x v="1108"/>
            <x v="1111"/>
            <x v="1112"/>
            <x v="1113"/>
            <x v="1115"/>
            <x v="1131"/>
          </reference>
          <reference field="16" count="1" selected="0">
            <x v="20"/>
          </reference>
        </references>
      </pivotArea>
    </format>
    <format dxfId="553">
      <pivotArea dataOnly="0" labelOnly="1" outline="0" fieldPosition="0">
        <references count="2">
          <reference field="7" count="11">
            <x v="404"/>
            <x v="413"/>
            <x v="458"/>
            <x v="465"/>
            <x v="1078"/>
            <x v="1098"/>
            <x v="1099"/>
            <x v="1100"/>
            <x v="1101"/>
            <x v="1105"/>
            <x v="1107"/>
          </reference>
          <reference field="16" count="1" selected="0">
            <x v="21"/>
          </reference>
        </references>
      </pivotArea>
    </format>
    <format dxfId="552">
      <pivotArea dataOnly="0" labelOnly="1" outline="0" fieldPosition="0">
        <references count="2">
          <reference field="7" count="3">
            <x v="1095"/>
            <x v="1096"/>
            <x v="1103"/>
          </reference>
          <reference field="16" count="1" selected="0">
            <x v="22"/>
          </reference>
        </references>
      </pivotArea>
    </format>
    <format dxfId="551">
      <pivotArea dataOnly="0" labelOnly="1" outline="0" fieldPosition="0">
        <references count="2">
          <reference field="7" count="1">
            <x v="151"/>
          </reference>
          <reference field="16" count="1" selected="0">
            <x v="23"/>
          </reference>
        </references>
      </pivotArea>
    </format>
    <format dxfId="550">
      <pivotArea dataOnly="0" labelOnly="1" outline="0" fieldPosition="0">
        <references count="2">
          <reference field="7" count="1">
            <x v="1094"/>
          </reference>
          <reference field="16" count="1" selected="0">
            <x v="24"/>
          </reference>
        </references>
      </pivotArea>
    </format>
    <format dxfId="549">
      <pivotArea dataOnly="0" labelOnly="1" outline="0" fieldPosition="0">
        <references count="3">
          <reference field="7" count="1" selected="0">
            <x v="423"/>
          </reference>
          <reference field="16" count="1" selected="0">
            <x v="8"/>
          </reference>
          <reference field="18" count="1">
            <x v="2"/>
          </reference>
        </references>
      </pivotArea>
    </format>
    <format dxfId="548">
      <pivotArea dataOnly="0" labelOnly="1" outline="0" fieldPosition="0">
        <references count="3">
          <reference field="7" count="1" selected="0">
            <x v="1173"/>
          </reference>
          <reference field="16" count="1" selected="0">
            <x v="10"/>
          </reference>
          <reference field="18" count="1">
            <x v="2"/>
          </reference>
        </references>
      </pivotArea>
    </format>
    <format dxfId="547">
      <pivotArea dataOnly="0" labelOnly="1" outline="0" fieldPosition="0">
        <references count="3">
          <reference field="7" count="1" selected="0">
            <x v="176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546">
      <pivotArea dataOnly="0" labelOnly="1" outline="0" fieldPosition="0">
        <references count="3">
          <reference field="7" count="1" selected="0">
            <x v="1172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545">
      <pivotArea dataOnly="0" labelOnly="1" outline="0" fieldPosition="0">
        <references count="3">
          <reference field="7" count="1" selected="0">
            <x v="1171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544">
      <pivotArea dataOnly="0" labelOnly="1" outline="0" fieldPosition="0">
        <references count="3">
          <reference field="7" count="1" selected="0">
            <x v="1049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543">
      <pivotArea dataOnly="0" labelOnly="1" outline="0" fieldPosition="0">
        <references count="3">
          <reference field="7" count="1" selected="0">
            <x v="1164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542">
      <pivotArea dataOnly="0" labelOnly="1" outline="0" fieldPosition="0">
        <references count="3">
          <reference field="7" count="1" selected="0">
            <x v="1165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541">
      <pivotArea dataOnly="0" labelOnly="1" outline="0" fieldPosition="0">
        <references count="3">
          <reference field="7" count="1" selected="0">
            <x v="1166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540">
      <pivotArea dataOnly="0" labelOnly="1" outline="0" fieldPosition="0">
        <references count="3">
          <reference field="7" count="1" selected="0">
            <x v="1167"/>
          </reference>
          <reference field="16" count="1" selected="0">
            <x v="13"/>
          </reference>
          <reference field="18" count="1">
            <x v="0"/>
          </reference>
        </references>
      </pivotArea>
    </format>
    <format dxfId="539">
      <pivotArea dataOnly="0" labelOnly="1" outline="0" fieldPosition="0">
        <references count="3">
          <reference field="7" count="1" selected="0">
            <x v="1168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538">
      <pivotArea dataOnly="0" labelOnly="1" outline="0" fieldPosition="0">
        <references count="3">
          <reference field="7" count="1" selected="0">
            <x v="1169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537">
      <pivotArea dataOnly="0" labelOnly="1" outline="0" fieldPosition="0">
        <references count="3">
          <reference field="7" count="1" selected="0">
            <x v="1170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536">
      <pivotArea dataOnly="0" labelOnly="1" outline="0" fieldPosition="0">
        <references count="3">
          <reference field="7" count="1" selected="0">
            <x v="646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535">
      <pivotArea dataOnly="0" labelOnly="1" outline="0" fieldPosition="0">
        <references count="3">
          <reference field="7" count="1" selected="0">
            <x v="867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534">
      <pivotArea dataOnly="0" labelOnly="1" outline="0" fieldPosition="0">
        <references count="3">
          <reference field="7" count="1" selected="0">
            <x v="1158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533">
      <pivotArea dataOnly="0" labelOnly="1" outline="0" fieldPosition="0">
        <references count="3">
          <reference field="7" count="1" selected="0">
            <x v="1159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532">
      <pivotArea dataOnly="0" labelOnly="1" outline="0" fieldPosition="0">
        <references count="3">
          <reference field="7" count="1" selected="0">
            <x v="1160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531">
      <pivotArea dataOnly="0" labelOnly="1" outline="0" fieldPosition="0">
        <references count="3">
          <reference field="7" count="1" selected="0">
            <x v="1161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530">
      <pivotArea dataOnly="0" labelOnly="1" outline="0" fieldPosition="0">
        <references count="3">
          <reference field="7" count="1" selected="0">
            <x v="1162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529">
      <pivotArea dataOnly="0" labelOnly="1" outline="0" fieldPosition="0">
        <references count="3">
          <reference field="7" count="1" selected="0">
            <x v="1163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528">
      <pivotArea dataOnly="0" labelOnly="1" outline="0" fieldPosition="0">
        <references count="3">
          <reference field="7" count="1" selected="0">
            <x v="1152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527">
      <pivotArea dataOnly="0" labelOnly="1" outline="0" fieldPosition="0">
        <references count="3">
          <reference field="7" count="1" selected="0">
            <x v="1153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526">
      <pivotArea dataOnly="0" labelOnly="1" outline="0" fieldPosition="0">
        <references count="3">
          <reference field="7" count="1" selected="0">
            <x v="1154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525">
      <pivotArea dataOnly="0" labelOnly="1" outline="0" fieldPosition="0">
        <references count="3">
          <reference field="7" count="1" selected="0">
            <x v="1155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524">
      <pivotArea dataOnly="0" labelOnly="1" outline="0" fieldPosition="0">
        <references count="3">
          <reference field="7" count="1" selected="0">
            <x v="1156"/>
          </reference>
          <reference field="16" count="1" selected="0">
            <x v="15"/>
          </reference>
          <reference field="18" count="1">
            <x v="2"/>
          </reference>
        </references>
      </pivotArea>
    </format>
    <format dxfId="523">
      <pivotArea dataOnly="0" labelOnly="1" outline="0" fieldPosition="0">
        <references count="3">
          <reference field="7" count="1" selected="0">
            <x v="1157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522">
      <pivotArea dataOnly="0" labelOnly="1" outline="0" fieldPosition="0">
        <references count="3">
          <reference field="7" count="1" selected="0">
            <x v="1151"/>
          </reference>
          <reference field="16" count="1" selected="0">
            <x v="16"/>
          </reference>
          <reference field="18" count="1">
            <x v="2"/>
          </reference>
        </references>
      </pivotArea>
    </format>
    <format dxfId="521">
      <pivotArea dataOnly="0" labelOnly="1" outline="0" fieldPosition="0">
        <references count="3">
          <reference field="7" count="1" selected="0">
            <x v="1144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520">
      <pivotArea dataOnly="0" labelOnly="1" outline="0" fieldPosition="0">
        <references count="3">
          <reference field="7" count="1" selected="0">
            <x v="1145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519">
      <pivotArea dataOnly="0" labelOnly="1" outline="0" fieldPosition="0">
        <references count="3">
          <reference field="7" count="1" selected="0">
            <x v="1146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518">
      <pivotArea dataOnly="0" labelOnly="1" outline="0" fieldPosition="0">
        <references count="3">
          <reference field="7" count="1" selected="0">
            <x v="1147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517">
      <pivotArea dataOnly="0" labelOnly="1" outline="0" fieldPosition="0">
        <references count="3">
          <reference field="7" count="1" selected="0">
            <x v="1148"/>
          </reference>
          <reference field="16" count="1" selected="0">
            <x v="17"/>
          </reference>
          <reference field="18" count="1">
            <x v="2"/>
          </reference>
        </references>
      </pivotArea>
    </format>
    <format dxfId="516">
      <pivotArea dataOnly="0" labelOnly="1" outline="0" fieldPosition="0">
        <references count="3">
          <reference field="7" count="1" selected="0">
            <x v="1149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515">
      <pivotArea dataOnly="0" labelOnly="1" outline="0" fieldPosition="0">
        <references count="3">
          <reference field="7" count="1" selected="0">
            <x v="1150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514">
      <pivotArea dataOnly="0" labelOnly="1" outline="0" fieldPosition="0">
        <references count="3">
          <reference field="7" count="1" selected="0">
            <x v="12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513">
      <pivotArea dataOnly="0" labelOnly="1" outline="0" fieldPosition="0">
        <references count="3">
          <reference field="7" count="1" selected="0">
            <x v="34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512">
      <pivotArea dataOnly="0" labelOnly="1" outline="0" fieldPosition="0">
        <references count="3">
          <reference field="7" count="1" selected="0">
            <x v="354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511">
      <pivotArea dataOnly="0" labelOnly="1" outline="0" fieldPosition="0">
        <references count="3">
          <reference field="7" count="1" selected="0">
            <x v="365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510">
      <pivotArea dataOnly="0" labelOnly="1" outline="0" fieldPosition="0">
        <references count="3">
          <reference field="7" count="1" selected="0">
            <x v="378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509">
      <pivotArea dataOnly="0" labelOnly="1" outline="0" fieldPosition="0">
        <references count="3">
          <reference field="7" count="1" selected="0">
            <x v="44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508">
      <pivotArea dataOnly="0" labelOnly="1" outline="0" fieldPosition="0">
        <references count="3">
          <reference field="7" count="1" selected="0">
            <x v="667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507">
      <pivotArea dataOnly="0" labelOnly="1" outline="0" fieldPosition="0">
        <references count="3">
          <reference field="7" count="1" selected="0">
            <x v="1110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506">
      <pivotArea dataOnly="0" labelOnly="1" outline="0" fieldPosition="0">
        <references count="3">
          <reference field="7" count="1" selected="0">
            <x v="112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505">
      <pivotArea dataOnly="0" labelOnly="1" outline="0" fieldPosition="0">
        <references count="3">
          <reference field="7" count="1" selected="0">
            <x v="1128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504">
      <pivotArea dataOnly="0" labelOnly="1" outline="0" fieldPosition="0">
        <references count="3">
          <reference field="7" count="1" selected="0">
            <x v="1129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503">
      <pivotArea dataOnly="0" labelOnly="1" outline="0" fieldPosition="0">
        <references count="3">
          <reference field="7" count="1" selected="0">
            <x v="1130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502">
      <pivotArea dataOnly="0" labelOnly="1" outline="0" fieldPosition="0">
        <references count="3">
          <reference field="7" count="1" selected="0">
            <x v="1132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501">
      <pivotArea dataOnly="0" labelOnly="1" outline="0" fieldPosition="0">
        <references count="3">
          <reference field="7" count="1" selected="0">
            <x v="1133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500">
      <pivotArea dataOnly="0" labelOnly="1" outline="0" fieldPosition="0">
        <references count="3">
          <reference field="7" count="1" selected="0">
            <x v="1134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499">
      <pivotArea dataOnly="0" labelOnly="1" outline="0" fieldPosition="0">
        <references count="3">
          <reference field="7" count="1" selected="0">
            <x v="1135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498">
      <pivotArea dataOnly="0" labelOnly="1" outline="0" fieldPosition="0">
        <references count="3">
          <reference field="7" count="1" selected="0">
            <x v="1136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497">
      <pivotArea dataOnly="0" labelOnly="1" outline="0" fieldPosition="0">
        <references count="3">
          <reference field="7" count="1" selected="0">
            <x v="1137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496">
      <pivotArea dataOnly="0" labelOnly="1" outline="0" fieldPosition="0">
        <references count="3">
          <reference field="7" count="1" selected="0">
            <x v="113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495">
      <pivotArea dataOnly="0" labelOnly="1" outline="0" fieldPosition="0">
        <references count="3">
          <reference field="7" count="1" selected="0">
            <x v="1139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494">
      <pivotArea dataOnly="0" labelOnly="1" outline="0" fieldPosition="0">
        <references count="3">
          <reference field="7" count="1" selected="0">
            <x v="1140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493">
      <pivotArea dataOnly="0" labelOnly="1" outline="0" fieldPosition="0">
        <references count="3">
          <reference field="7" count="1" selected="0">
            <x v="1141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492">
      <pivotArea dataOnly="0" labelOnly="1" outline="0" fieldPosition="0">
        <references count="3">
          <reference field="7" count="1" selected="0">
            <x v="1142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491">
      <pivotArea dataOnly="0" labelOnly="1" outline="0" fieldPosition="0">
        <references count="3">
          <reference field="7" count="1" selected="0">
            <x v="1143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490">
      <pivotArea dataOnly="0" labelOnly="1" outline="0" fieldPosition="0">
        <references count="3">
          <reference field="7" count="1" selected="0">
            <x v="4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489">
      <pivotArea dataOnly="0" labelOnly="1" outline="0" fieldPosition="0">
        <references count="3">
          <reference field="7" count="1" selected="0">
            <x v="35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488">
      <pivotArea dataOnly="0" labelOnly="1" outline="0" fieldPosition="0">
        <references count="3">
          <reference field="7" count="1" selected="0">
            <x v="110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487">
      <pivotArea dataOnly="0" labelOnly="1" outline="0" fieldPosition="0">
        <references count="3">
          <reference field="7" count="1" selected="0">
            <x v="1114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486">
      <pivotArea dataOnly="0" labelOnly="1" outline="0" fieldPosition="0">
        <references count="3">
          <reference field="7" count="1" selected="0">
            <x v="1116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485">
      <pivotArea dataOnly="0" labelOnly="1" outline="0" fieldPosition="0">
        <references count="3">
          <reference field="7" count="1" selected="0">
            <x v="1117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484">
      <pivotArea dataOnly="0" labelOnly="1" outline="0" fieldPosition="0">
        <references count="3">
          <reference field="7" count="1" selected="0">
            <x v="111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483">
      <pivotArea dataOnly="0" labelOnly="1" outline="0" fieldPosition="0">
        <references count="3">
          <reference field="7" count="1" selected="0">
            <x v="111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482">
      <pivotArea dataOnly="0" labelOnly="1" outline="0" fieldPosition="0">
        <references count="3">
          <reference field="7" count="1" selected="0">
            <x v="1120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481">
      <pivotArea dataOnly="0" labelOnly="1" outline="0" fieldPosition="0">
        <references count="3">
          <reference field="7" count="1" selected="0">
            <x v="1121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480">
      <pivotArea dataOnly="0" labelOnly="1" outline="0" fieldPosition="0">
        <references count="3">
          <reference field="7" count="1" selected="0">
            <x v="1122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479">
      <pivotArea dataOnly="0" labelOnly="1" outline="0" fieldPosition="0">
        <references count="3">
          <reference field="7" count="1" selected="0">
            <x v="1123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478">
      <pivotArea dataOnly="0" labelOnly="1" outline="0" fieldPosition="0">
        <references count="3">
          <reference field="7" count="1" selected="0">
            <x v="1124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477">
      <pivotArea dataOnly="0" labelOnly="1" outline="0" fieldPosition="0">
        <references count="3">
          <reference field="7" count="1" selected="0">
            <x v="112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476">
      <pivotArea dataOnly="0" labelOnly="1" outline="0" fieldPosition="0">
        <references count="3">
          <reference field="7" count="1" selected="0">
            <x v="1126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475">
      <pivotArea dataOnly="0" labelOnly="1" outline="0" fieldPosition="0">
        <references count="3">
          <reference field="7" count="1" selected="0">
            <x v="394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474">
      <pivotArea dataOnly="0" labelOnly="1" outline="0" fieldPosition="0">
        <references count="3">
          <reference field="7" count="1" selected="0">
            <x v="1097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473">
      <pivotArea dataOnly="0" labelOnly="1" outline="0" fieldPosition="0">
        <references count="3">
          <reference field="7" count="1" selected="0">
            <x v="1102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472">
      <pivotArea dataOnly="0" labelOnly="1" outline="0" fieldPosition="0">
        <references count="3">
          <reference field="7" count="1" selected="0">
            <x v="1104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471">
      <pivotArea dataOnly="0" labelOnly="1" outline="0" fieldPosition="0">
        <references count="3">
          <reference field="7" count="1" selected="0">
            <x v="1106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470">
      <pivotArea dataOnly="0" labelOnly="1" outline="0" fieldPosition="0">
        <references count="3">
          <reference field="7" count="1" selected="0">
            <x v="1108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469">
      <pivotArea dataOnly="0" labelOnly="1" outline="0" fieldPosition="0">
        <references count="3">
          <reference field="7" count="1" selected="0">
            <x v="1111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468">
      <pivotArea dataOnly="0" labelOnly="1" outline="0" fieldPosition="0">
        <references count="3">
          <reference field="7" count="1" selected="0">
            <x v="111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467">
      <pivotArea dataOnly="0" labelOnly="1" outline="0" fieldPosition="0">
        <references count="3">
          <reference field="7" count="1" selected="0">
            <x v="1113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466">
      <pivotArea dataOnly="0" labelOnly="1" outline="0" fieldPosition="0">
        <references count="3">
          <reference field="7" count="1" selected="0">
            <x v="1115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465">
      <pivotArea dataOnly="0" labelOnly="1" outline="0" fieldPosition="0">
        <references count="3">
          <reference field="7" count="1" selected="0">
            <x v="1131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464">
      <pivotArea dataOnly="0" labelOnly="1" outline="0" fieldPosition="0">
        <references count="3">
          <reference field="7" count="1" selected="0">
            <x v="404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463">
      <pivotArea dataOnly="0" labelOnly="1" outline="0" fieldPosition="0">
        <references count="3">
          <reference field="7" count="1" selected="0">
            <x v="413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462">
      <pivotArea dataOnly="0" labelOnly="1" outline="0" fieldPosition="0">
        <references count="3">
          <reference field="7" count="1" selected="0">
            <x v="45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461">
      <pivotArea dataOnly="0" labelOnly="1" outline="0" fieldPosition="0">
        <references count="3">
          <reference field="7" count="1" selected="0">
            <x v="46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460">
      <pivotArea dataOnly="0" labelOnly="1" outline="0" fieldPosition="0">
        <references count="3">
          <reference field="7" count="1" selected="0">
            <x v="107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459">
      <pivotArea dataOnly="0" labelOnly="1" outline="0" fieldPosition="0">
        <references count="3">
          <reference field="7" count="1" selected="0">
            <x v="109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458">
      <pivotArea dataOnly="0" labelOnly="1" outline="0" fieldPosition="0">
        <references count="3">
          <reference field="7" count="1" selected="0">
            <x v="1099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457">
      <pivotArea dataOnly="0" labelOnly="1" outline="0" fieldPosition="0">
        <references count="3">
          <reference field="7" count="1" selected="0">
            <x v="1100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456">
      <pivotArea dataOnly="0" labelOnly="1" outline="0" fieldPosition="0">
        <references count="3">
          <reference field="7" count="1" selected="0">
            <x v="1101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455">
      <pivotArea dataOnly="0" labelOnly="1" outline="0" fieldPosition="0">
        <references count="3">
          <reference field="7" count="1" selected="0">
            <x v="110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454">
      <pivotArea dataOnly="0" labelOnly="1" outline="0" fieldPosition="0">
        <references count="3">
          <reference field="7" count="1" selected="0">
            <x v="1107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453">
      <pivotArea dataOnly="0" labelOnly="1" outline="0" fieldPosition="0">
        <references count="3">
          <reference field="7" count="1" selected="0">
            <x v="1095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452">
      <pivotArea dataOnly="0" labelOnly="1" outline="0" fieldPosition="0">
        <references count="3">
          <reference field="7" count="1" selected="0">
            <x v="1096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451">
      <pivotArea dataOnly="0" labelOnly="1" outline="0" fieldPosition="0">
        <references count="3">
          <reference field="7" count="1" selected="0">
            <x v="1103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450">
      <pivotArea dataOnly="0" labelOnly="1" outline="0" fieldPosition="0">
        <references count="3">
          <reference field="7" count="1" selected="0">
            <x v="151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449">
      <pivotArea dataOnly="0" labelOnly="1" outline="0" fieldPosition="0">
        <references count="3">
          <reference field="7" count="1" selected="0">
            <x v="1094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448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447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  <format dxfId="446">
      <pivotArea dataOnly="0" labelOnly="1" outline="0" fieldPosition="0">
        <references count="1">
          <reference field="4294967294" count="2">
            <x v="6"/>
            <x v="7"/>
          </reference>
        </references>
      </pivotArea>
    </format>
    <format dxfId="445">
      <pivotArea dataOnly="0" labelOnly="1" outline="0" fieldPosition="0">
        <references count="1">
          <reference field="4294967294" count="2">
            <x v="9"/>
            <x v="10"/>
          </reference>
        </references>
      </pivotArea>
    </format>
    <format dxfId="444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  <format dxfId="443">
      <pivotArea dataOnly="0" labelOnly="1" outline="0" fieldPosition="0">
        <references count="1">
          <reference field="4294967294" count="2">
            <x v="6"/>
            <x v="7"/>
          </reference>
        </references>
      </pivotArea>
    </format>
    <format dxfId="442">
      <pivotArea dataOnly="0" labelOnly="1" outline="0" fieldPosition="0">
        <references count="1">
          <reference field="4294967294" count="2">
            <x v="9"/>
            <x v="10"/>
          </reference>
        </references>
      </pivotArea>
    </format>
    <format dxfId="441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  <format dxfId="440">
      <pivotArea dataOnly="0" labelOnly="1" outline="0" fieldPosition="0">
        <references count="1">
          <reference field="4294967294" count="2">
            <x v="6"/>
            <x v="7"/>
          </reference>
        </references>
      </pivotArea>
    </format>
    <format dxfId="439">
      <pivotArea dataOnly="0" labelOnly="1" outline="0" fieldPosition="0">
        <references count="1">
          <reference field="4294967294" count="2">
            <x v="9"/>
            <x v="10"/>
          </reference>
        </references>
      </pivotArea>
    </format>
    <format dxfId="438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  <format dxfId="437">
      <pivotArea dataOnly="0" labelOnly="1" outline="0" fieldPosition="0">
        <references count="1">
          <reference field="4294967294" count="2">
            <x v="6"/>
            <x v="7"/>
          </reference>
        </references>
      </pivotArea>
    </format>
    <format dxfId="436">
      <pivotArea dataOnly="0" labelOnly="1" outline="0" fieldPosition="0">
        <references count="1">
          <reference field="4294967294" count="2">
            <x v="9"/>
            <x v="10"/>
          </reference>
        </references>
      </pivotArea>
    </format>
    <format dxfId="435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  <format dxfId="434">
      <pivotArea dataOnly="0" labelOnly="1" outline="0" fieldPosition="0">
        <references count="1">
          <reference field="4294967294" count="2">
            <x v="6"/>
            <x v="7"/>
          </reference>
        </references>
      </pivotArea>
    </format>
    <format dxfId="433">
      <pivotArea dataOnly="0" labelOnly="1" outline="0" fieldPosition="0">
        <references count="1">
          <reference field="4294967294" count="2">
            <x v="9"/>
            <x v="10"/>
          </reference>
        </references>
      </pivotArea>
    </format>
    <format dxfId="432">
      <pivotArea dataOnly="0" labelOnly="1" outline="0" fieldPosition="0">
        <references count="1">
          <reference field="4294967294" count="2">
            <x v="9"/>
            <x v="10"/>
          </reference>
        </references>
      </pivotArea>
    </format>
    <format dxfId="431">
      <pivotArea dataOnly="0" labelOnly="1" outline="0" fieldPosition="0">
        <references count="1">
          <reference field="4294967294" count="2">
            <x v="9"/>
            <x v="10"/>
          </reference>
        </references>
      </pivotArea>
    </format>
    <format dxfId="430">
      <pivotArea outline="0" collapsedLevelsAreSubtotals="1" fieldPosition="0"/>
    </format>
    <format dxfId="429">
      <pivotArea dataOnly="0" labelOnly="1" outline="0" fieldPosition="0">
        <references count="1">
          <reference field="16" count="0"/>
        </references>
      </pivotArea>
    </format>
    <format dxfId="428">
      <pivotArea dataOnly="0" labelOnly="1" outline="0" fieldPosition="0">
        <references count="2">
          <reference field="7" count="1">
            <x v="423"/>
          </reference>
          <reference field="16" count="1" selected="0">
            <x v="8"/>
          </reference>
        </references>
      </pivotArea>
    </format>
    <format dxfId="427">
      <pivotArea dataOnly="0" labelOnly="1" outline="0" fieldPosition="0">
        <references count="2">
          <reference field="7" count="1">
            <x v="1173"/>
          </reference>
          <reference field="16" count="1" selected="0">
            <x v="10"/>
          </reference>
        </references>
      </pivotArea>
    </format>
    <format dxfId="426">
      <pivotArea dataOnly="0" labelOnly="1" outline="0" fieldPosition="0">
        <references count="2">
          <reference field="7" count="2">
            <x v="176"/>
            <x v="1172"/>
          </reference>
          <reference field="16" count="1" selected="0">
            <x v="11"/>
          </reference>
        </references>
      </pivotArea>
    </format>
    <format dxfId="425">
      <pivotArea dataOnly="0" labelOnly="1" outline="0" fieldPosition="0">
        <references count="2">
          <reference field="7" count="1">
            <x v="1171"/>
          </reference>
          <reference field="16" count="1" selected="0">
            <x v="12"/>
          </reference>
        </references>
      </pivotArea>
    </format>
    <format dxfId="424">
      <pivotArea dataOnly="0" labelOnly="1" outline="0" fieldPosition="0">
        <references count="2">
          <reference field="7" count="8">
            <x v="1049"/>
            <x v="1164"/>
            <x v="1165"/>
            <x v="1166"/>
            <x v="1167"/>
            <x v="1168"/>
            <x v="1169"/>
            <x v="1170"/>
          </reference>
          <reference field="16" count="1" selected="0">
            <x v="13"/>
          </reference>
        </references>
      </pivotArea>
    </format>
    <format dxfId="423">
      <pivotArea dataOnly="0" labelOnly="1" outline="0" fieldPosition="0">
        <references count="2">
          <reference field="7" count="8">
            <x v="646"/>
            <x v="867"/>
            <x v="1158"/>
            <x v="1159"/>
            <x v="1160"/>
            <x v="1161"/>
            <x v="1162"/>
            <x v="1163"/>
          </reference>
          <reference field="16" count="1" selected="0">
            <x v="14"/>
          </reference>
        </references>
      </pivotArea>
    </format>
    <format dxfId="422">
      <pivotArea dataOnly="0" labelOnly="1" outline="0" fieldPosition="0">
        <references count="2">
          <reference field="7" count="6">
            <x v="1152"/>
            <x v="1153"/>
            <x v="1154"/>
            <x v="1155"/>
            <x v="1156"/>
            <x v="1157"/>
          </reference>
          <reference field="16" count="1" selected="0">
            <x v="15"/>
          </reference>
        </references>
      </pivotArea>
    </format>
    <format dxfId="421">
      <pivotArea dataOnly="0" labelOnly="1" outline="0" fieldPosition="0">
        <references count="2">
          <reference field="7" count="1">
            <x v="1151"/>
          </reference>
          <reference field="16" count="1" selected="0">
            <x v="16"/>
          </reference>
        </references>
      </pivotArea>
    </format>
    <format dxfId="420">
      <pivotArea dataOnly="0" labelOnly="1" outline="0" fieldPosition="0">
        <references count="2">
          <reference field="7" count="7">
            <x v="1144"/>
            <x v="1145"/>
            <x v="1146"/>
            <x v="1147"/>
            <x v="1148"/>
            <x v="1149"/>
            <x v="1150"/>
          </reference>
          <reference field="16" count="1" selected="0">
            <x v="17"/>
          </reference>
        </references>
      </pivotArea>
    </format>
    <format dxfId="419">
      <pivotArea dataOnly="0" labelOnly="1" outline="0" fieldPosition="0">
        <references count="2">
          <reference field="7" count="24">
            <x v="12"/>
            <x v="347"/>
            <x v="354"/>
            <x v="365"/>
            <x v="378"/>
            <x v="448"/>
            <x v="667"/>
            <x v="1110"/>
            <x v="1127"/>
            <x v="1128"/>
            <x v="1129"/>
            <x v="1130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</reference>
          <reference field="16" count="1" selected="0">
            <x v="18"/>
          </reference>
        </references>
      </pivotArea>
    </format>
    <format dxfId="418">
      <pivotArea dataOnly="0" labelOnly="1" outline="0" fieldPosition="0">
        <references count="2">
          <reference field="7" count="15">
            <x v="49"/>
            <x v="358"/>
            <x v="1109"/>
            <x v="1114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</reference>
          <reference field="16" count="1" selected="0">
            <x v="19"/>
          </reference>
        </references>
      </pivotArea>
    </format>
    <format dxfId="417">
      <pivotArea dataOnly="0" labelOnly="1" outline="0" fieldPosition="0">
        <references count="2">
          <reference field="7" count="11">
            <x v="394"/>
            <x v="1097"/>
            <x v="1102"/>
            <x v="1104"/>
            <x v="1106"/>
            <x v="1108"/>
            <x v="1111"/>
            <x v="1112"/>
            <x v="1113"/>
            <x v="1115"/>
            <x v="1131"/>
          </reference>
          <reference field="16" count="1" selected="0">
            <x v="20"/>
          </reference>
        </references>
      </pivotArea>
    </format>
    <format dxfId="416">
      <pivotArea dataOnly="0" labelOnly="1" outline="0" fieldPosition="0">
        <references count="2">
          <reference field="7" count="11">
            <x v="404"/>
            <x v="413"/>
            <x v="458"/>
            <x v="465"/>
            <x v="1078"/>
            <x v="1098"/>
            <x v="1099"/>
            <x v="1100"/>
            <x v="1101"/>
            <x v="1105"/>
            <x v="1107"/>
          </reference>
          <reference field="16" count="1" selected="0">
            <x v="21"/>
          </reference>
        </references>
      </pivotArea>
    </format>
    <format dxfId="415">
      <pivotArea dataOnly="0" labelOnly="1" outline="0" fieldPosition="0">
        <references count="2">
          <reference field="7" count="3">
            <x v="1095"/>
            <x v="1096"/>
            <x v="1103"/>
          </reference>
          <reference field="16" count="1" selected="0">
            <x v="22"/>
          </reference>
        </references>
      </pivotArea>
    </format>
    <format dxfId="414">
      <pivotArea dataOnly="0" labelOnly="1" outline="0" fieldPosition="0">
        <references count="2">
          <reference field="7" count="1">
            <x v="151"/>
          </reference>
          <reference field="16" count="1" selected="0">
            <x v="23"/>
          </reference>
        </references>
      </pivotArea>
    </format>
    <format dxfId="413">
      <pivotArea dataOnly="0" labelOnly="1" outline="0" fieldPosition="0">
        <references count="2">
          <reference field="7" count="1">
            <x v="1094"/>
          </reference>
          <reference field="16" count="1" selected="0">
            <x v="24"/>
          </reference>
        </references>
      </pivotArea>
    </format>
    <format dxfId="412">
      <pivotArea dataOnly="0" labelOnly="1" outline="0" fieldPosition="0">
        <references count="3">
          <reference field="7" count="1" selected="0">
            <x v="423"/>
          </reference>
          <reference field="16" count="1" selected="0">
            <x v="8"/>
          </reference>
          <reference field="18" count="1">
            <x v="2"/>
          </reference>
        </references>
      </pivotArea>
    </format>
    <format dxfId="411">
      <pivotArea dataOnly="0" labelOnly="1" outline="0" fieldPosition="0">
        <references count="3">
          <reference field="7" count="1" selected="0">
            <x v="1173"/>
          </reference>
          <reference field="16" count="1" selected="0">
            <x v="10"/>
          </reference>
          <reference field="18" count="1">
            <x v="2"/>
          </reference>
        </references>
      </pivotArea>
    </format>
    <format dxfId="410">
      <pivotArea dataOnly="0" labelOnly="1" outline="0" fieldPosition="0">
        <references count="3">
          <reference field="7" count="1" selected="0">
            <x v="176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409">
      <pivotArea dataOnly="0" labelOnly="1" outline="0" fieldPosition="0">
        <references count="3">
          <reference field="7" count="1" selected="0">
            <x v="1172"/>
          </reference>
          <reference field="16" count="1" selected="0">
            <x v="11"/>
          </reference>
          <reference field="18" count="1">
            <x v="2"/>
          </reference>
        </references>
      </pivotArea>
    </format>
    <format dxfId="408">
      <pivotArea dataOnly="0" labelOnly="1" outline="0" fieldPosition="0">
        <references count="3">
          <reference field="7" count="1" selected="0">
            <x v="1171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407">
      <pivotArea dataOnly="0" labelOnly="1" outline="0" fieldPosition="0">
        <references count="3">
          <reference field="7" count="1" selected="0">
            <x v="1049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406">
      <pivotArea dataOnly="0" labelOnly="1" outline="0" fieldPosition="0">
        <references count="3">
          <reference field="7" count="1" selected="0">
            <x v="1164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405">
      <pivotArea dataOnly="0" labelOnly="1" outline="0" fieldPosition="0">
        <references count="3">
          <reference field="7" count="1" selected="0">
            <x v="1165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404">
      <pivotArea dataOnly="0" labelOnly="1" outline="0" fieldPosition="0">
        <references count="3">
          <reference field="7" count="1" selected="0">
            <x v="1166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403">
      <pivotArea dataOnly="0" labelOnly="1" outline="0" fieldPosition="0">
        <references count="3">
          <reference field="7" count="1" selected="0">
            <x v="1167"/>
          </reference>
          <reference field="16" count="1" selected="0">
            <x v="13"/>
          </reference>
          <reference field="18" count="1">
            <x v="0"/>
          </reference>
        </references>
      </pivotArea>
    </format>
    <format dxfId="402">
      <pivotArea dataOnly="0" labelOnly="1" outline="0" fieldPosition="0">
        <references count="3">
          <reference field="7" count="1" selected="0">
            <x v="1168"/>
          </reference>
          <reference field="16" count="1" selected="0">
            <x v="13"/>
          </reference>
          <reference field="18" count="1">
            <x v="3"/>
          </reference>
        </references>
      </pivotArea>
    </format>
    <format dxfId="401">
      <pivotArea dataOnly="0" labelOnly="1" outline="0" fieldPosition="0">
        <references count="3">
          <reference field="7" count="1" selected="0">
            <x v="1169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400">
      <pivotArea dataOnly="0" labelOnly="1" outline="0" fieldPosition="0">
        <references count="3">
          <reference field="7" count="1" selected="0">
            <x v="1170"/>
          </reference>
          <reference field="16" count="1" selected="0">
            <x v="13"/>
          </reference>
          <reference field="18" count="1">
            <x v="1"/>
          </reference>
        </references>
      </pivotArea>
    </format>
    <format dxfId="399">
      <pivotArea dataOnly="0" labelOnly="1" outline="0" fieldPosition="0">
        <references count="3">
          <reference field="7" count="1" selected="0">
            <x v="646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398">
      <pivotArea dataOnly="0" labelOnly="1" outline="0" fieldPosition="0">
        <references count="3">
          <reference field="7" count="1" selected="0">
            <x v="867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397">
      <pivotArea dataOnly="0" labelOnly="1" outline="0" fieldPosition="0">
        <references count="3">
          <reference field="7" count="1" selected="0">
            <x v="1158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396">
      <pivotArea dataOnly="0" labelOnly="1" outline="0" fieldPosition="0">
        <references count="3">
          <reference field="7" count="1" selected="0">
            <x v="1159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395">
      <pivotArea dataOnly="0" labelOnly="1" outline="0" fieldPosition="0">
        <references count="3">
          <reference field="7" count="1" selected="0">
            <x v="1160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394">
      <pivotArea dataOnly="0" labelOnly="1" outline="0" fieldPosition="0">
        <references count="3">
          <reference field="7" count="1" selected="0">
            <x v="1161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393">
      <pivotArea dataOnly="0" labelOnly="1" outline="0" fieldPosition="0">
        <references count="3">
          <reference field="7" count="1" selected="0">
            <x v="1162"/>
          </reference>
          <reference field="16" count="1" selected="0">
            <x v="14"/>
          </reference>
          <reference field="18" count="1">
            <x v="3"/>
          </reference>
        </references>
      </pivotArea>
    </format>
    <format dxfId="392">
      <pivotArea dataOnly="0" labelOnly="1" outline="0" fieldPosition="0">
        <references count="3">
          <reference field="7" count="1" selected="0">
            <x v="1163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391">
      <pivotArea dataOnly="0" labelOnly="1" outline="0" fieldPosition="0">
        <references count="3">
          <reference field="7" count="1" selected="0">
            <x v="1152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90">
      <pivotArea dataOnly="0" labelOnly="1" outline="0" fieldPosition="0">
        <references count="3">
          <reference field="7" count="1" selected="0">
            <x v="1153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389">
      <pivotArea dataOnly="0" labelOnly="1" outline="0" fieldPosition="0">
        <references count="3">
          <reference field="7" count="1" selected="0">
            <x v="1154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88">
      <pivotArea dataOnly="0" labelOnly="1" outline="0" fieldPosition="0">
        <references count="3">
          <reference field="7" count="1" selected="0">
            <x v="1155"/>
          </reference>
          <reference field="16" count="1" selected="0">
            <x v="15"/>
          </reference>
          <reference field="18" count="1">
            <x v="3"/>
          </reference>
        </references>
      </pivotArea>
    </format>
    <format dxfId="387">
      <pivotArea dataOnly="0" labelOnly="1" outline="0" fieldPosition="0">
        <references count="3">
          <reference field="7" count="1" selected="0">
            <x v="1156"/>
          </reference>
          <reference field="16" count="1" selected="0">
            <x v="15"/>
          </reference>
          <reference field="18" count="1">
            <x v="2"/>
          </reference>
        </references>
      </pivotArea>
    </format>
    <format dxfId="386">
      <pivotArea dataOnly="0" labelOnly="1" outline="0" fieldPosition="0">
        <references count="3">
          <reference field="7" count="1" selected="0">
            <x v="1157"/>
          </reference>
          <reference field="16" count="1" selected="0">
            <x v="15"/>
          </reference>
          <reference field="18" count="1">
            <x v="1"/>
          </reference>
        </references>
      </pivotArea>
    </format>
    <format dxfId="385">
      <pivotArea dataOnly="0" labelOnly="1" outline="0" fieldPosition="0">
        <references count="3">
          <reference field="7" count="1" selected="0">
            <x v="1151"/>
          </reference>
          <reference field="16" count="1" selected="0">
            <x v="16"/>
          </reference>
          <reference field="18" count="1">
            <x v="2"/>
          </reference>
        </references>
      </pivotArea>
    </format>
    <format dxfId="384">
      <pivotArea dataOnly="0" labelOnly="1" outline="0" fieldPosition="0">
        <references count="3">
          <reference field="7" count="1" selected="0">
            <x v="1144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83">
      <pivotArea dataOnly="0" labelOnly="1" outline="0" fieldPosition="0">
        <references count="3">
          <reference field="7" count="1" selected="0">
            <x v="1145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82">
      <pivotArea dataOnly="0" labelOnly="1" outline="0" fieldPosition="0">
        <references count="3">
          <reference field="7" count="1" selected="0">
            <x v="1146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81">
      <pivotArea dataOnly="0" labelOnly="1" outline="0" fieldPosition="0">
        <references count="3">
          <reference field="7" count="1" selected="0">
            <x v="1147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80">
      <pivotArea dataOnly="0" labelOnly="1" outline="0" fieldPosition="0">
        <references count="3">
          <reference field="7" count="1" selected="0">
            <x v="1148"/>
          </reference>
          <reference field="16" count="1" selected="0">
            <x v="17"/>
          </reference>
          <reference field="18" count="1">
            <x v="2"/>
          </reference>
        </references>
      </pivotArea>
    </format>
    <format dxfId="379">
      <pivotArea dataOnly="0" labelOnly="1" outline="0" fieldPosition="0">
        <references count="3">
          <reference field="7" count="1" selected="0">
            <x v="1149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378">
      <pivotArea dataOnly="0" labelOnly="1" outline="0" fieldPosition="0">
        <references count="3">
          <reference field="7" count="1" selected="0">
            <x v="1150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377">
      <pivotArea dataOnly="0" labelOnly="1" outline="0" fieldPosition="0">
        <references count="3">
          <reference field="7" count="1" selected="0">
            <x v="12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76">
      <pivotArea dataOnly="0" labelOnly="1" outline="0" fieldPosition="0">
        <references count="3">
          <reference field="7" count="1" selected="0">
            <x v="34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75">
      <pivotArea dataOnly="0" labelOnly="1" outline="0" fieldPosition="0">
        <references count="3">
          <reference field="7" count="1" selected="0">
            <x v="354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74">
      <pivotArea dataOnly="0" labelOnly="1" outline="0" fieldPosition="0">
        <references count="3">
          <reference field="7" count="1" selected="0">
            <x v="365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73">
      <pivotArea dataOnly="0" labelOnly="1" outline="0" fieldPosition="0">
        <references count="3">
          <reference field="7" count="1" selected="0">
            <x v="378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72">
      <pivotArea dataOnly="0" labelOnly="1" outline="0" fieldPosition="0">
        <references count="3">
          <reference field="7" count="1" selected="0">
            <x v="44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71">
      <pivotArea dataOnly="0" labelOnly="1" outline="0" fieldPosition="0">
        <references count="3">
          <reference field="7" count="1" selected="0">
            <x v="667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70">
      <pivotArea dataOnly="0" labelOnly="1" outline="0" fieldPosition="0">
        <references count="3">
          <reference field="7" count="1" selected="0">
            <x v="1110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69">
      <pivotArea dataOnly="0" labelOnly="1" outline="0" fieldPosition="0">
        <references count="3">
          <reference field="7" count="1" selected="0">
            <x v="1127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68">
      <pivotArea dataOnly="0" labelOnly="1" outline="0" fieldPosition="0">
        <references count="3">
          <reference field="7" count="1" selected="0">
            <x v="1128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67">
      <pivotArea dataOnly="0" labelOnly="1" outline="0" fieldPosition="0">
        <references count="3">
          <reference field="7" count="1" selected="0">
            <x v="1129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66">
      <pivotArea dataOnly="0" labelOnly="1" outline="0" fieldPosition="0">
        <references count="3">
          <reference field="7" count="1" selected="0">
            <x v="1130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65">
      <pivotArea dataOnly="0" labelOnly="1" outline="0" fieldPosition="0">
        <references count="3">
          <reference field="7" count="1" selected="0">
            <x v="1132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64">
      <pivotArea dataOnly="0" labelOnly="1" outline="0" fieldPosition="0">
        <references count="3">
          <reference field="7" count="1" selected="0">
            <x v="1133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63">
      <pivotArea dataOnly="0" labelOnly="1" outline="0" fieldPosition="0">
        <references count="3">
          <reference field="7" count="1" selected="0">
            <x v="1134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62">
      <pivotArea dataOnly="0" labelOnly="1" outline="0" fieldPosition="0">
        <references count="3">
          <reference field="7" count="1" selected="0">
            <x v="1135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61">
      <pivotArea dataOnly="0" labelOnly="1" outline="0" fieldPosition="0">
        <references count="3">
          <reference field="7" count="1" selected="0">
            <x v="1136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60">
      <pivotArea dataOnly="0" labelOnly="1" outline="0" fieldPosition="0">
        <references count="3">
          <reference field="7" count="1" selected="0">
            <x v="1137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59">
      <pivotArea dataOnly="0" labelOnly="1" outline="0" fieldPosition="0">
        <references count="3">
          <reference field="7" count="1" selected="0">
            <x v="1138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8">
      <pivotArea dataOnly="0" labelOnly="1" outline="0" fieldPosition="0">
        <references count="3">
          <reference field="7" count="1" selected="0">
            <x v="1139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7">
      <pivotArea dataOnly="0" labelOnly="1" outline="0" fieldPosition="0">
        <references count="3">
          <reference field="7" count="1" selected="0">
            <x v="1140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356">
      <pivotArea dataOnly="0" labelOnly="1" outline="0" fieldPosition="0">
        <references count="3">
          <reference field="7" count="1" selected="0">
            <x v="1141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55">
      <pivotArea dataOnly="0" labelOnly="1" outline="0" fieldPosition="0">
        <references count="3">
          <reference field="7" count="1" selected="0">
            <x v="1142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54">
      <pivotArea dataOnly="0" labelOnly="1" outline="0" fieldPosition="0">
        <references count="3">
          <reference field="7" count="1" selected="0">
            <x v="1143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353">
      <pivotArea dataOnly="0" labelOnly="1" outline="0" fieldPosition="0">
        <references count="3">
          <reference field="7" count="1" selected="0">
            <x v="4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52">
      <pivotArea dataOnly="0" labelOnly="1" outline="0" fieldPosition="0">
        <references count="3">
          <reference field="7" count="1" selected="0">
            <x v="35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51">
      <pivotArea dataOnly="0" labelOnly="1" outline="0" fieldPosition="0">
        <references count="3">
          <reference field="7" count="1" selected="0">
            <x v="110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50">
      <pivotArea dataOnly="0" labelOnly="1" outline="0" fieldPosition="0">
        <references count="3">
          <reference field="7" count="1" selected="0">
            <x v="1114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49">
      <pivotArea dataOnly="0" labelOnly="1" outline="0" fieldPosition="0">
        <references count="3">
          <reference field="7" count="1" selected="0">
            <x v="1116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48">
      <pivotArea dataOnly="0" labelOnly="1" outline="0" fieldPosition="0">
        <references count="3">
          <reference field="7" count="1" selected="0">
            <x v="1117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47">
      <pivotArea dataOnly="0" labelOnly="1" outline="0" fieldPosition="0">
        <references count="3">
          <reference field="7" count="1" selected="0">
            <x v="111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46">
      <pivotArea dataOnly="0" labelOnly="1" outline="0" fieldPosition="0">
        <references count="3">
          <reference field="7" count="1" selected="0">
            <x v="111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45">
      <pivotArea dataOnly="0" labelOnly="1" outline="0" fieldPosition="0">
        <references count="3">
          <reference field="7" count="1" selected="0">
            <x v="1120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44">
      <pivotArea dataOnly="0" labelOnly="1" outline="0" fieldPosition="0">
        <references count="3">
          <reference field="7" count="1" selected="0">
            <x v="1121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43">
      <pivotArea dataOnly="0" labelOnly="1" outline="0" fieldPosition="0">
        <references count="3">
          <reference field="7" count="1" selected="0">
            <x v="1122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42">
      <pivotArea dataOnly="0" labelOnly="1" outline="0" fieldPosition="0">
        <references count="3">
          <reference field="7" count="1" selected="0">
            <x v="1123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341">
      <pivotArea dataOnly="0" labelOnly="1" outline="0" fieldPosition="0">
        <references count="3">
          <reference field="7" count="1" selected="0">
            <x v="1124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40">
      <pivotArea dataOnly="0" labelOnly="1" outline="0" fieldPosition="0">
        <references count="3">
          <reference field="7" count="1" selected="0">
            <x v="112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39">
      <pivotArea dataOnly="0" labelOnly="1" outline="0" fieldPosition="0">
        <references count="3">
          <reference field="7" count="1" selected="0">
            <x v="1126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338">
      <pivotArea dataOnly="0" labelOnly="1" outline="0" fieldPosition="0">
        <references count="3">
          <reference field="7" count="1" selected="0">
            <x v="394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337">
      <pivotArea dataOnly="0" labelOnly="1" outline="0" fieldPosition="0">
        <references count="3">
          <reference field="7" count="1" selected="0">
            <x v="1097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336">
      <pivotArea dataOnly="0" labelOnly="1" outline="0" fieldPosition="0">
        <references count="3">
          <reference field="7" count="1" selected="0">
            <x v="1102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335">
      <pivotArea dataOnly="0" labelOnly="1" outline="0" fieldPosition="0">
        <references count="3">
          <reference field="7" count="1" selected="0">
            <x v="1104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334">
      <pivotArea dataOnly="0" labelOnly="1" outline="0" fieldPosition="0">
        <references count="3">
          <reference field="7" count="1" selected="0">
            <x v="1106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33">
      <pivotArea dataOnly="0" labelOnly="1" outline="0" fieldPosition="0">
        <references count="3">
          <reference field="7" count="1" selected="0">
            <x v="1108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332">
      <pivotArea dataOnly="0" labelOnly="1" outline="0" fieldPosition="0">
        <references count="3">
          <reference field="7" count="1" selected="0">
            <x v="1111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331">
      <pivotArea dataOnly="0" labelOnly="1" outline="0" fieldPosition="0">
        <references count="3">
          <reference field="7" count="1" selected="0">
            <x v="111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30">
      <pivotArea dataOnly="0" labelOnly="1" outline="0" fieldPosition="0">
        <references count="3">
          <reference field="7" count="1" selected="0">
            <x v="1113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29">
      <pivotArea dataOnly="0" labelOnly="1" outline="0" fieldPosition="0">
        <references count="3">
          <reference field="7" count="1" selected="0">
            <x v="1115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28">
      <pivotArea dataOnly="0" labelOnly="1" outline="0" fieldPosition="0">
        <references count="3">
          <reference field="7" count="1" selected="0">
            <x v="1131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327">
      <pivotArea dataOnly="0" labelOnly="1" outline="0" fieldPosition="0">
        <references count="3">
          <reference field="7" count="1" selected="0">
            <x v="404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26">
      <pivotArea dataOnly="0" labelOnly="1" outline="0" fieldPosition="0">
        <references count="3">
          <reference field="7" count="1" selected="0">
            <x v="413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25">
      <pivotArea dataOnly="0" labelOnly="1" outline="0" fieldPosition="0">
        <references count="3">
          <reference field="7" count="1" selected="0">
            <x v="45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24">
      <pivotArea dataOnly="0" labelOnly="1" outline="0" fieldPosition="0">
        <references count="3">
          <reference field="7" count="1" selected="0">
            <x v="46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23">
      <pivotArea dataOnly="0" labelOnly="1" outline="0" fieldPosition="0">
        <references count="3">
          <reference field="7" count="1" selected="0">
            <x v="107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22">
      <pivotArea dataOnly="0" labelOnly="1" outline="0" fieldPosition="0">
        <references count="3">
          <reference field="7" count="1" selected="0">
            <x v="109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21">
      <pivotArea dataOnly="0" labelOnly="1" outline="0" fieldPosition="0">
        <references count="3">
          <reference field="7" count="1" selected="0">
            <x v="1099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20">
      <pivotArea dataOnly="0" labelOnly="1" outline="0" fieldPosition="0">
        <references count="3">
          <reference field="7" count="1" selected="0">
            <x v="1100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19">
      <pivotArea dataOnly="0" labelOnly="1" outline="0" fieldPosition="0">
        <references count="3">
          <reference field="7" count="1" selected="0">
            <x v="1101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318">
      <pivotArea dataOnly="0" labelOnly="1" outline="0" fieldPosition="0">
        <references count="3">
          <reference field="7" count="1" selected="0">
            <x v="110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17">
      <pivotArea dataOnly="0" labelOnly="1" outline="0" fieldPosition="0">
        <references count="3">
          <reference field="7" count="1" selected="0">
            <x v="1107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316">
      <pivotArea dataOnly="0" labelOnly="1" outline="0" fieldPosition="0">
        <references count="3">
          <reference field="7" count="1" selected="0">
            <x v="1095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315">
      <pivotArea dataOnly="0" labelOnly="1" outline="0" fieldPosition="0">
        <references count="3">
          <reference field="7" count="1" selected="0">
            <x v="1096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314">
      <pivotArea dataOnly="0" labelOnly="1" outline="0" fieldPosition="0">
        <references count="3">
          <reference field="7" count="1" selected="0">
            <x v="1103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313">
      <pivotArea dataOnly="0" labelOnly="1" outline="0" fieldPosition="0">
        <references count="3">
          <reference field="7" count="1" selected="0">
            <x v="151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312">
      <pivotArea dataOnly="0" labelOnly="1" outline="0" fieldPosition="0">
        <references count="3">
          <reference field="7" count="1" selected="0">
            <x v="1094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311">
      <pivotArea field="16" type="button" dataOnly="0" labelOnly="1" outline="0" axis="axisRow" fieldPosition="0"/>
    </format>
    <format dxfId="310">
      <pivotArea field="7" type="button" dataOnly="0" labelOnly="1" outline="0" axis="axisRow" fieldPosition="1"/>
    </format>
    <format dxfId="309">
      <pivotArea field="18" type="button" dataOnly="0" labelOnly="1" outline="0" axis="axisRow" fieldPosition="2"/>
    </format>
    <format dxfId="308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30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03">
      <pivotArea outline="0" collapsedLevelsAreSubtotals="1" fieldPosition="0"/>
    </format>
    <format dxfId="302">
      <pivotArea dataOnly="0" labelOnly="1" outline="0" fieldPosition="0">
        <references count="1">
          <reference field="16" count="0"/>
        </references>
      </pivotArea>
    </format>
    <format dxfId="301">
      <pivotArea dataOnly="0" labelOnly="1" outline="0" fieldPosition="0">
        <references count="2">
          <reference field="7" count="1">
            <x v="177"/>
          </reference>
          <reference field="16" count="1" selected="0">
            <x v="7"/>
          </reference>
        </references>
      </pivotArea>
    </format>
    <format dxfId="300">
      <pivotArea dataOnly="0" labelOnly="1" outline="0" fieldPosition="0">
        <references count="2">
          <reference field="7" count="4">
            <x v="1221"/>
            <x v="1222"/>
            <x v="1223"/>
            <x v="1224"/>
          </reference>
          <reference field="16" count="1" selected="0">
            <x v="12"/>
          </reference>
        </references>
      </pivotArea>
    </format>
    <format dxfId="299">
      <pivotArea dataOnly="0" labelOnly="1" outline="0" fieldPosition="0">
        <references count="2">
          <reference field="7" count="5">
            <x v="1216"/>
            <x v="1217"/>
            <x v="1218"/>
            <x v="1219"/>
            <x v="1220"/>
          </reference>
          <reference field="16" count="1" selected="0">
            <x v="14"/>
          </reference>
        </references>
      </pivotArea>
    </format>
    <format dxfId="298">
      <pivotArea dataOnly="0" labelOnly="1" outline="0" fieldPosition="0">
        <references count="2">
          <reference field="7" count="7">
            <x v="262"/>
            <x v="1210"/>
            <x v="1211"/>
            <x v="1212"/>
            <x v="1213"/>
            <x v="1214"/>
            <x v="1215"/>
          </reference>
          <reference field="16" count="1" selected="0">
            <x v="16"/>
          </reference>
        </references>
      </pivotArea>
    </format>
    <format dxfId="297">
      <pivotArea dataOnly="0" labelOnly="1" outline="0" fieldPosition="0">
        <references count="2">
          <reference field="7" count="5">
            <x v="318"/>
            <x v="713"/>
            <x v="1207"/>
            <x v="1208"/>
            <x v="1209"/>
          </reference>
          <reference field="16" count="1" selected="0">
            <x v="17"/>
          </reference>
        </references>
      </pivotArea>
    </format>
    <format dxfId="296">
      <pivotArea dataOnly="0" labelOnly="1" outline="0" fieldPosition="0">
        <references count="2">
          <reference field="7" count="7">
            <x v="23"/>
            <x v="1201"/>
            <x v="1202"/>
            <x v="1203"/>
            <x v="1204"/>
            <x v="1205"/>
            <x v="1206"/>
          </reference>
          <reference field="16" count="1" selected="0">
            <x v="18"/>
          </reference>
        </references>
      </pivotArea>
    </format>
    <format dxfId="295">
      <pivotArea dataOnly="0" labelOnly="1" outline="0" fieldPosition="0">
        <references count="2">
          <reference field="7" count="8">
            <x v="1058"/>
            <x v="1127"/>
            <x v="1195"/>
            <x v="1196"/>
            <x v="1197"/>
            <x v="1198"/>
            <x v="1199"/>
            <x v="1200"/>
          </reference>
          <reference field="16" count="1" selected="0">
            <x v="19"/>
          </reference>
        </references>
      </pivotArea>
    </format>
    <format dxfId="294">
      <pivotArea dataOnly="0" labelOnly="1" outline="0" fieldPosition="0">
        <references count="2">
          <reference field="7" count="7">
            <x v="12"/>
            <x v="1130"/>
            <x v="1190"/>
            <x v="1191"/>
            <x v="1192"/>
            <x v="1193"/>
            <x v="1194"/>
          </reference>
          <reference field="16" count="1" selected="0">
            <x v="20"/>
          </reference>
        </references>
      </pivotArea>
    </format>
    <format dxfId="293">
      <pivotArea dataOnly="0" labelOnly="1" outline="0" fieldPosition="0">
        <references count="2">
          <reference field="7" count="9">
            <x v="413"/>
            <x v="458"/>
            <x v="769"/>
            <x v="785"/>
            <x v="1185"/>
            <x v="1186"/>
            <x v="1187"/>
            <x v="1188"/>
            <x v="1189"/>
          </reference>
          <reference field="16" count="1" selected="0">
            <x v="21"/>
          </reference>
        </references>
      </pivotArea>
    </format>
    <format dxfId="292">
      <pivotArea dataOnly="0" labelOnly="1" outline="0" fieldPosition="0">
        <references count="2">
          <reference field="7" count="9">
            <x v="151"/>
            <x v="409"/>
            <x v="414"/>
            <x v="465"/>
            <x v="1180"/>
            <x v="1181"/>
            <x v="1182"/>
            <x v="1183"/>
            <x v="1184"/>
          </reference>
          <reference field="16" count="1" selected="0">
            <x v="22"/>
          </reference>
        </references>
      </pivotArea>
    </format>
    <format dxfId="291">
      <pivotArea dataOnly="0" labelOnly="1" outline="0" fieldPosition="0">
        <references count="2">
          <reference field="7" count="6">
            <x v="1174"/>
            <x v="1175"/>
            <x v="1176"/>
            <x v="1177"/>
            <x v="1178"/>
            <x v="1179"/>
          </reference>
          <reference field="16" count="1" selected="0">
            <x v="23"/>
          </reference>
        </references>
      </pivotArea>
    </format>
    <format dxfId="290">
      <pivotArea dataOnly="0" labelOnly="1" outline="0" fieldPosition="0">
        <references count="2">
          <reference field="7" count="1">
            <x v="565"/>
          </reference>
          <reference field="16" count="1" selected="0">
            <x v="24"/>
          </reference>
        </references>
      </pivotArea>
    </format>
    <format dxfId="289">
      <pivotArea dataOnly="0" labelOnly="1" outline="0" fieldPosition="0">
        <references count="3">
          <reference field="7" count="1" selected="0">
            <x v="177"/>
          </reference>
          <reference field="16" count="1" selected="0">
            <x v="7"/>
          </reference>
          <reference field="18" count="1">
            <x v="0"/>
          </reference>
        </references>
      </pivotArea>
    </format>
    <format dxfId="288">
      <pivotArea dataOnly="0" labelOnly="1" outline="0" fieldPosition="0">
        <references count="3">
          <reference field="7" count="1" selected="0">
            <x v="1221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287">
      <pivotArea dataOnly="0" labelOnly="1" outline="0" fieldPosition="0">
        <references count="3">
          <reference field="7" count="1" selected="0">
            <x v="1222"/>
          </reference>
          <reference field="16" count="1" selected="0">
            <x v="12"/>
          </reference>
          <reference field="18" count="1">
            <x v="1"/>
          </reference>
        </references>
      </pivotArea>
    </format>
    <format dxfId="286">
      <pivotArea dataOnly="0" labelOnly="1" outline="0" fieldPosition="0">
        <references count="3">
          <reference field="7" count="1" selected="0">
            <x v="1223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285">
      <pivotArea dataOnly="0" labelOnly="1" outline="0" fieldPosition="0">
        <references count="3">
          <reference field="7" count="1" selected="0">
            <x v="1224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284">
      <pivotArea dataOnly="0" labelOnly="1" outline="0" fieldPosition="0">
        <references count="3">
          <reference field="7" count="1" selected="0">
            <x v="1216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283">
      <pivotArea dataOnly="0" labelOnly="1" outline="0" fieldPosition="0">
        <references count="3">
          <reference field="7" count="1" selected="0">
            <x v="1217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282">
      <pivotArea dataOnly="0" labelOnly="1" outline="0" fieldPosition="0">
        <references count="3">
          <reference field="7" count="1" selected="0">
            <x v="1218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281">
      <pivotArea dataOnly="0" labelOnly="1" outline="0" fieldPosition="0">
        <references count="3">
          <reference field="7" count="1" selected="0">
            <x v="1219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280">
      <pivotArea dataOnly="0" labelOnly="1" outline="0" fieldPosition="0">
        <references count="3">
          <reference field="7" count="1" selected="0">
            <x v="1220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279">
      <pivotArea dataOnly="0" labelOnly="1" outline="0" fieldPosition="0">
        <references count="3">
          <reference field="7" count="1" selected="0">
            <x v="262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78">
      <pivotArea dataOnly="0" labelOnly="1" outline="0" fieldPosition="0">
        <references count="3">
          <reference field="7" count="1" selected="0">
            <x v="1210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277">
      <pivotArea dataOnly="0" labelOnly="1" outline="0" fieldPosition="0">
        <references count="3">
          <reference field="7" count="1" selected="0">
            <x v="1211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276">
      <pivotArea dataOnly="0" labelOnly="1" outline="0" fieldPosition="0">
        <references count="3">
          <reference field="7" count="1" selected="0">
            <x v="1212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75">
      <pivotArea dataOnly="0" labelOnly="1" outline="0" fieldPosition="0">
        <references count="3">
          <reference field="7" count="1" selected="0">
            <x v="1213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74">
      <pivotArea dataOnly="0" labelOnly="1" outline="0" fieldPosition="0">
        <references count="3">
          <reference field="7" count="1" selected="0">
            <x v="1214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73">
      <pivotArea dataOnly="0" labelOnly="1" outline="0" fieldPosition="0">
        <references count="3">
          <reference field="7" count="1" selected="0">
            <x v="1215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272">
      <pivotArea dataOnly="0" labelOnly="1" outline="0" fieldPosition="0">
        <references count="3">
          <reference field="7" count="1" selected="0">
            <x v="318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271">
      <pivotArea dataOnly="0" labelOnly="1" outline="0" fieldPosition="0">
        <references count="3">
          <reference field="7" count="1" selected="0">
            <x v="713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70">
      <pivotArea dataOnly="0" labelOnly="1" outline="0" fieldPosition="0">
        <references count="3">
          <reference field="7" count="1" selected="0">
            <x v="1207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69">
      <pivotArea dataOnly="0" labelOnly="1" outline="0" fieldPosition="0">
        <references count="3">
          <reference field="7" count="1" selected="0">
            <x v="1208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268">
      <pivotArea dataOnly="0" labelOnly="1" outline="0" fieldPosition="0">
        <references count="3">
          <reference field="7" count="1" selected="0">
            <x v="1209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267">
      <pivotArea dataOnly="0" labelOnly="1" outline="0" fieldPosition="0">
        <references count="3">
          <reference field="7" count="1" selected="0">
            <x v="23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66">
      <pivotArea dataOnly="0" labelOnly="1" outline="0" fieldPosition="0">
        <references count="3">
          <reference field="7" count="1" selected="0">
            <x v="1201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65">
      <pivotArea dataOnly="0" labelOnly="1" outline="0" fieldPosition="0">
        <references count="3">
          <reference field="7" count="1" selected="0">
            <x v="1202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264">
      <pivotArea dataOnly="0" labelOnly="1" outline="0" fieldPosition="0">
        <references count="3">
          <reference field="7" count="1" selected="0">
            <x v="1203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63">
      <pivotArea dataOnly="0" labelOnly="1" outline="0" fieldPosition="0">
        <references count="3">
          <reference field="7" count="1" selected="0">
            <x v="1204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62">
      <pivotArea dataOnly="0" labelOnly="1" outline="0" fieldPosition="0">
        <references count="3">
          <reference field="7" count="1" selected="0">
            <x v="1205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61">
      <pivotArea dataOnly="0" labelOnly="1" outline="0" fieldPosition="0">
        <references count="3">
          <reference field="7" count="1" selected="0">
            <x v="1206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260">
      <pivotArea dataOnly="0" labelOnly="1" outline="0" fieldPosition="0">
        <references count="3">
          <reference field="7" count="1" selected="0">
            <x v="105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59">
      <pivotArea dataOnly="0" labelOnly="1" outline="0" fieldPosition="0">
        <references count="3">
          <reference field="7" count="1" selected="0">
            <x v="1127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58">
      <pivotArea dataOnly="0" labelOnly="1" outline="0" fieldPosition="0">
        <references count="3">
          <reference field="7" count="1" selected="0">
            <x v="119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57">
      <pivotArea dataOnly="0" labelOnly="1" outline="0" fieldPosition="0">
        <references count="3">
          <reference field="7" count="1" selected="0">
            <x v="1196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56">
      <pivotArea dataOnly="0" labelOnly="1" outline="0" fieldPosition="0">
        <references count="3">
          <reference field="7" count="1" selected="0">
            <x v="1197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55">
      <pivotArea dataOnly="0" labelOnly="1" outline="0" fieldPosition="0">
        <references count="3">
          <reference field="7" count="1" selected="0">
            <x v="1198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254">
      <pivotArea dataOnly="0" labelOnly="1" outline="0" fieldPosition="0">
        <references count="3">
          <reference field="7" count="1" selected="0">
            <x v="119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53">
      <pivotArea dataOnly="0" labelOnly="1" outline="0" fieldPosition="0">
        <references count="3">
          <reference field="7" count="1" selected="0">
            <x v="1200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252">
      <pivotArea dataOnly="0" labelOnly="1" outline="0" fieldPosition="0">
        <references count="3">
          <reference field="7" count="1" selected="0">
            <x v="1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51">
      <pivotArea dataOnly="0" labelOnly="1" outline="0" fieldPosition="0">
        <references count="3">
          <reference field="7" count="1" selected="0">
            <x v="1130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50">
      <pivotArea dataOnly="0" labelOnly="1" outline="0" fieldPosition="0">
        <references count="3">
          <reference field="7" count="1" selected="0">
            <x v="1190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49">
      <pivotArea dataOnly="0" labelOnly="1" outline="0" fieldPosition="0">
        <references count="3">
          <reference field="7" count="1" selected="0">
            <x v="1191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48">
      <pivotArea dataOnly="0" labelOnly="1" outline="0" fieldPosition="0">
        <references count="3">
          <reference field="7" count="1" selected="0">
            <x v="1192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247">
      <pivotArea dataOnly="0" labelOnly="1" outline="0" fieldPosition="0">
        <references count="3">
          <reference field="7" count="1" selected="0">
            <x v="1193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46">
      <pivotArea dataOnly="0" labelOnly="1" outline="0" fieldPosition="0">
        <references count="3">
          <reference field="7" count="1" selected="0">
            <x v="1194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245">
      <pivotArea dataOnly="0" labelOnly="1" outline="0" fieldPosition="0">
        <references count="3">
          <reference field="7" count="1" selected="0">
            <x v="413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244">
      <pivotArea dataOnly="0" labelOnly="1" outline="0" fieldPosition="0">
        <references count="3">
          <reference field="7" count="1" selected="0">
            <x v="45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43">
      <pivotArea dataOnly="0" labelOnly="1" outline="0" fieldPosition="0">
        <references count="3">
          <reference field="7" count="1" selected="0">
            <x v="769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242">
      <pivotArea dataOnly="0" labelOnly="1" outline="0" fieldPosition="0">
        <references count="3">
          <reference field="7" count="1" selected="0">
            <x v="78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41">
      <pivotArea dataOnly="0" labelOnly="1" outline="0" fieldPosition="0">
        <references count="3">
          <reference field="7" count="1" selected="0">
            <x v="118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40">
      <pivotArea dataOnly="0" labelOnly="1" outline="0" fieldPosition="0">
        <references count="3">
          <reference field="7" count="1" selected="0">
            <x v="1186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39">
      <pivotArea dataOnly="0" labelOnly="1" outline="0" fieldPosition="0">
        <references count="3">
          <reference field="7" count="1" selected="0">
            <x v="1187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38">
      <pivotArea dataOnly="0" labelOnly="1" outline="0" fieldPosition="0">
        <references count="3">
          <reference field="7" count="1" selected="0">
            <x v="118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37">
      <pivotArea dataOnly="0" labelOnly="1" outline="0" fieldPosition="0">
        <references count="3">
          <reference field="7" count="1" selected="0">
            <x v="1189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236">
      <pivotArea dataOnly="0" labelOnly="1" outline="0" fieldPosition="0">
        <references count="3">
          <reference field="7" count="1" selected="0">
            <x v="151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35">
      <pivotArea dataOnly="0" labelOnly="1" outline="0" fieldPosition="0">
        <references count="3">
          <reference field="7" count="1" selected="0">
            <x v="409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34">
      <pivotArea dataOnly="0" labelOnly="1" outline="0" fieldPosition="0">
        <references count="3">
          <reference field="7" count="1" selected="0">
            <x v="414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33">
      <pivotArea dataOnly="0" labelOnly="1" outline="0" fieldPosition="0">
        <references count="3">
          <reference field="7" count="1" selected="0">
            <x v="465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32">
      <pivotArea dataOnly="0" labelOnly="1" outline="0" fieldPosition="0">
        <references count="3">
          <reference field="7" count="1" selected="0">
            <x v="1180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231">
      <pivotArea dataOnly="0" labelOnly="1" outline="0" fieldPosition="0">
        <references count="3">
          <reference field="7" count="1" selected="0">
            <x v="1181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230">
      <pivotArea dataOnly="0" labelOnly="1" outline="0" fieldPosition="0">
        <references count="3">
          <reference field="7" count="1" selected="0">
            <x v="1182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29">
      <pivotArea dataOnly="0" labelOnly="1" outline="0" fieldPosition="0">
        <references count="3">
          <reference field="7" count="1" selected="0">
            <x v="1183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228">
      <pivotArea dataOnly="0" labelOnly="1" outline="0" fieldPosition="0">
        <references count="3">
          <reference field="7" count="1" selected="0">
            <x v="1184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227">
      <pivotArea dataOnly="0" labelOnly="1" outline="0" fieldPosition="0">
        <references count="3">
          <reference field="7" count="1" selected="0">
            <x v="1174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226">
      <pivotArea dataOnly="0" labelOnly="1" outline="0" fieldPosition="0">
        <references count="3">
          <reference field="7" count="1" selected="0">
            <x v="1175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225">
      <pivotArea dataOnly="0" labelOnly="1" outline="0" fieldPosition="0">
        <references count="3">
          <reference field="7" count="1" selected="0">
            <x v="1176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224">
      <pivotArea dataOnly="0" labelOnly="1" outline="0" fieldPosition="0">
        <references count="3">
          <reference field="7" count="1" selected="0">
            <x v="1177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223">
      <pivotArea dataOnly="0" labelOnly="1" outline="0" fieldPosition="0">
        <references count="3">
          <reference field="7" count="1" selected="0">
            <x v="1178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222">
      <pivotArea dataOnly="0" labelOnly="1" outline="0" fieldPosition="0">
        <references count="3">
          <reference field="7" count="1" selected="0">
            <x v="1179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221">
      <pivotArea dataOnly="0" labelOnly="1" outline="0" fieldPosition="0">
        <references count="3">
          <reference field="7" count="1" selected="0">
            <x v="565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220">
      <pivotArea outline="0" collapsedLevelsAreSubtotals="1" fieldPosition="0"/>
    </format>
    <format dxfId="219">
      <pivotArea dataOnly="0" labelOnly="1" outline="0" fieldPosition="0">
        <references count="1">
          <reference field="16" count="0"/>
        </references>
      </pivotArea>
    </format>
    <format dxfId="218">
      <pivotArea dataOnly="0" labelOnly="1" outline="0" fieldPosition="0">
        <references count="2">
          <reference field="7" count="1">
            <x v="177"/>
          </reference>
          <reference field="16" count="1" selected="0">
            <x v="7"/>
          </reference>
        </references>
      </pivotArea>
    </format>
    <format dxfId="217">
      <pivotArea dataOnly="0" labelOnly="1" outline="0" fieldPosition="0">
        <references count="2">
          <reference field="7" count="4">
            <x v="1221"/>
            <x v="1222"/>
            <x v="1223"/>
            <x v="1224"/>
          </reference>
          <reference field="16" count="1" selected="0">
            <x v="12"/>
          </reference>
        </references>
      </pivotArea>
    </format>
    <format dxfId="216">
      <pivotArea dataOnly="0" labelOnly="1" outline="0" fieldPosition="0">
        <references count="2">
          <reference field="7" count="5">
            <x v="1216"/>
            <x v="1217"/>
            <x v="1218"/>
            <x v="1219"/>
            <x v="1220"/>
          </reference>
          <reference field="16" count="1" selected="0">
            <x v="14"/>
          </reference>
        </references>
      </pivotArea>
    </format>
    <format dxfId="215">
      <pivotArea dataOnly="0" labelOnly="1" outline="0" fieldPosition="0">
        <references count="2">
          <reference field="7" count="7">
            <x v="262"/>
            <x v="1210"/>
            <x v="1211"/>
            <x v="1212"/>
            <x v="1213"/>
            <x v="1214"/>
            <x v="1215"/>
          </reference>
          <reference field="16" count="1" selected="0">
            <x v="16"/>
          </reference>
        </references>
      </pivotArea>
    </format>
    <format dxfId="214">
      <pivotArea dataOnly="0" labelOnly="1" outline="0" fieldPosition="0">
        <references count="2">
          <reference field="7" count="5">
            <x v="318"/>
            <x v="713"/>
            <x v="1207"/>
            <x v="1208"/>
            <x v="1209"/>
          </reference>
          <reference field="16" count="1" selected="0">
            <x v="17"/>
          </reference>
        </references>
      </pivotArea>
    </format>
    <format dxfId="213">
      <pivotArea dataOnly="0" labelOnly="1" outline="0" fieldPosition="0">
        <references count="2">
          <reference field="7" count="7">
            <x v="23"/>
            <x v="1201"/>
            <x v="1202"/>
            <x v="1203"/>
            <x v="1204"/>
            <x v="1205"/>
            <x v="1206"/>
          </reference>
          <reference field="16" count="1" selected="0">
            <x v="18"/>
          </reference>
        </references>
      </pivotArea>
    </format>
    <format dxfId="212">
      <pivotArea dataOnly="0" labelOnly="1" outline="0" fieldPosition="0">
        <references count="2">
          <reference field="7" count="8">
            <x v="1058"/>
            <x v="1127"/>
            <x v="1195"/>
            <x v="1196"/>
            <x v="1197"/>
            <x v="1198"/>
            <x v="1199"/>
            <x v="1200"/>
          </reference>
          <reference field="16" count="1" selected="0">
            <x v="19"/>
          </reference>
        </references>
      </pivotArea>
    </format>
    <format dxfId="211">
      <pivotArea dataOnly="0" labelOnly="1" outline="0" fieldPosition="0">
        <references count="2">
          <reference field="7" count="7">
            <x v="12"/>
            <x v="1130"/>
            <x v="1190"/>
            <x v="1191"/>
            <x v="1192"/>
            <x v="1193"/>
            <x v="1194"/>
          </reference>
          <reference field="16" count="1" selected="0">
            <x v="20"/>
          </reference>
        </references>
      </pivotArea>
    </format>
    <format dxfId="210">
      <pivotArea dataOnly="0" labelOnly="1" outline="0" fieldPosition="0">
        <references count="2">
          <reference field="7" count="9">
            <x v="413"/>
            <x v="458"/>
            <x v="769"/>
            <x v="785"/>
            <x v="1185"/>
            <x v="1186"/>
            <x v="1187"/>
            <x v="1188"/>
            <x v="1189"/>
          </reference>
          <reference field="16" count="1" selected="0">
            <x v="21"/>
          </reference>
        </references>
      </pivotArea>
    </format>
    <format dxfId="209">
      <pivotArea dataOnly="0" labelOnly="1" outline="0" fieldPosition="0">
        <references count="2">
          <reference field="7" count="9">
            <x v="151"/>
            <x v="409"/>
            <x v="414"/>
            <x v="465"/>
            <x v="1180"/>
            <x v="1181"/>
            <x v="1182"/>
            <x v="1183"/>
            <x v="1184"/>
          </reference>
          <reference field="16" count="1" selected="0">
            <x v="22"/>
          </reference>
        </references>
      </pivotArea>
    </format>
    <format dxfId="208">
      <pivotArea dataOnly="0" labelOnly="1" outline="0" fieldPosition="0">
        <references count="2">
          <reference field="7" count="6">
            <x v="1174"/>
            <x v="1175"/>
            <x v="1176"/>
            <x v="1177"/>
            <x v="1178"/>
            <x v="1179"/>
          </reference>
          <reference field="16" count="1" selected="0">
            <x v="23"/>
          </reference>
        </references>
      </pivotArea>
    </format>
    <format dxfId="207">
      <pivotArea dataOnly="0" labelOnly="1" outline="0" fieldPosition="0">
        <references count="2">
          <reference field="7" count="1">
            <x v="565"/>
          </reference>
          <reference field="16" count="1" selected="0">
            <x v="24"/>
          </reference>
        </references>
      </pivotArea>
    </format>
    <format dxfId="206">
      <pivotArea dataOnly="0" labelOnly="1" outline="0" fieldPosition="0">
        <references count="3">
          <reference field="7" count="1" selected="0">
            <x v="177"/>
          </reference>
          <reference field="16" count="1" selected="0">
            <x v="7"/>
          </reference>
          <reference field="18" count="1">
            <x v="0"/>
          </reference>
        </references>
      </pivotArea>
    </format>
    <format dxfId="205">
      <pivotArea dataOnly="0" labelOnly="1" outline="0" fieldPosition="0">
        <references count="3">
          <reference field="7" count="1" selected="0">
            <x v="1221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204">
      <pivotArea dataOnly="0" labelOnly="1" outline="0" fieldPosition="0">
        <references count="3">
          <reference field="7" count="1" selected="0">
            <x v="1222"/>
          </reference>
          <reference field="16" count="1" selected="0">
            <x v="12"/>
          </reference>
          <reference field="18" count="1">
            <x v="1"/>
          </reference>
        </references>
      </pivotArea>
    </format>
    <format dxfId="203">
      <pivotArea dataOnly="0" labelOnly="1" outline="0" fieldPosition="0">
        <references count="3">
          <reference field="7" count="1" selected="0">
            <x v="1223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202">
      <pivotArea dataOnly="0" labelOnly="1" outline="0" fieldPosition="0">
        <references count="3">
          <reference field="7" count="1" selected="0">
            <x v="1224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201">
      <pivotArea dataOnly="0" labelOnly="1" outline="0" fieldPosition="0">
        <references count="3">
          <reference field="7" count="1" selected="0">
            <x v="1216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200">
      <pivotArea dataOnly="0" labelOnly="1" outline="0" fieldPosition="0">
        <references count="3">
          <reference field="7" count="1" selected="0">
            <x v="1217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199">
      <pivotArea dataOnly="0" labelOnly="1" outline="0" fieldPosition="0">
        <references count="3">
          <reference field="7" count="1" selected="0">
            <x v="1218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198">
      <pivotArea dataOnly="0" labelOnly="1" outline="0" fieldPosition="0">
        <references count="3">
          <reference field="7" count="1" selected="0">
            <x v="1219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197">
      <pivotArea dataOnly="0" labelOnly="1" outline="0" fieldPosition="0">
        <references count="3">
          <reference field="7" count="1" selected="0">
            <x v="1220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196">
      <pivotArea dataOnly="0" labelOnly="1" outline="0" fieldPosition="0">
        <references count="3">
          <reference field="7" count="1" selected="0">
            <x v="262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95">
      <pivotArea dataOnly="0" labelOnly="1" outline="0" fieldPosition="0">
        <references count="3">
          <reference field="7" count="1" selected="0">
            <x v="1210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94">
      <pivotArea dataOnly="0" labelOnly="1" outline="0" fieldPosition="0">
        <references count="3">
          <reference field="7" count="1" selected="0">
            <x v="1211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93">
      <pivotArea dataOnly="0" labelOnly="1" outline="0" fieldPosition="0">
        <references count="3">
          <reference field="7" count="1" selected="0">
            <x v="1212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92">
      <pivotArea dataOnly="0" labelOnly="1" outline="0" fieldPosition="0">
        <references count="3">
          <reference field="7" count="1" selected="0">
            <x v="1213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91">
      <pivotArea dataOnly="0" labelOnly="1" outline="0" fieldPosition="0">
        <references count="3">
          <reference field="7" count="1" selected="0">
            <x v="1214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90">
      <pivotArea dataOnly="0" labelOnly="1" outline="0" fieldPosition="0">
        <references count="3">
          <reference field="7" count="1" selected="0">
            <x v="1215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89">
      <pivotArea dataOnly="0" labelOnly="1" outline="0" fieldPosition="0">
        <references count="3">
          <reference field="7" count="1" selected="0">
            <x v="318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188">
      <pivotArea dataOnly="0" labelOnly="1" outline="0" fieldPosition="0">
        <references count="3">
          <reference field="7" count="1" selected="0">
            <x v="713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87">
      <pivotArea dataOnly="0" labelOnly="1" outline="0" fieldPosition="0">
        <references count="3">
          <reference field="7" count="1" selected="0">
            <x v="1207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86">
      <pivotArea dataOnly="0" labelOnly="1" outline="0" fieldPosition="0">
        <references count="3">
          <reference field="7" count="1" selected="0">
            <x v="1208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185">
      <pivotArea dataOnly="0" labelOnly="1" outline="0" fieldPosition="0">
        <references count="3">
          <reference field="7" count="1" selected="0">
            <x v="1209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84">
      <pivotArea dataOnly="0" labelOnly="1" outline="0" fieldPosition="0">
        <references count="3">
          <reference field="7" count="1" selected="0">
            <x v="23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83">
      <pivotArea dataOnly="0" labelOnly="1" outline="0" fieldPosition="0">
        <references count="3">
          <reference field="7" count="1" selected="0">
            <x v="1201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182">
      <pivotArea dataOnly="0" labelOnly="1" outline="0" fieldPosition="0">
        <references count="3">
          <reference field="7" count="1" selected="0">
            <x v="1202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81">
      <pivotArea dataOnly="0" labelOnly="1" outline="0" fieldPosition="0">
        <references count="3">
          <reference field="7" count="1" selected="0">
            <x v="1203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180">
      <pivotArea dataOnly="0" labelOnly="1" outline="0" fieldPosition="0">
        <references count="3">
          <reference field="7" count="1" selected="0">
            <x v="1204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179">
      <pivotArea dataOnly="0" labelOnly="1" outline="0" fieldPosition="0">
        <references count="3">
          <reference field="7" count="1" selected="0">
            <x v="1205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178">
      <pivotArea dataOnly="0" labelOnly="1" outline="0" fieldPosition="0">
        <references count="3">
          <reference field="7" count="1" selected="0">
            <x v="1206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177">
      <pivotArea dataOnly="0" labelOnly="1" outline="0" fieldPosition="0">
        <references count="3">
          <reference field="7" count="1" selected="0">
            <x v="105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176">
      <pivotArea dataOnly="0" labelOnly="1" outline="0" fieldPosition="0">
        <references count="3">
          <reference field="7" count="1" selected="0">
            <x v="1127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175">
      <pivotArea dataOnly="0" labelOnly="1" outline="0" fieldPosition="0">
        <references count="3">
          <reference field="7" count="1" selected="0">
            <x v="119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174">
      <pivotArea dataOnly="0" labelOnly="1" outline="0" fieldPosition="0">
        <references count="3">
          <reference field="7" count="1" selected="0">
            <x v="1196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173">
      <pivotArea dataOnly="0" labelOnly="1" outline="0" fieldPosition="0">
        <references count="3">
          <reference field="7" count="1" selected="0">
            <x v="1197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172">
      <pivotArea dataOnly="0" labelOnly="1" outline="0" fieldPosition="0">
        <references count="3">
          <reference field="7" count="1" selected="0">
            <x v="1198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171">
      <pivotArea dataOnly="0" labelOnly="1" outline="0" fieldPosition="0">
        <references count="3">
          <reference field="7" count="1" selected="0">
            <x v="119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170">
      <pivotArea dataOnly="0" labelOnly="1" outline="0" fieldPosition="0">
        <references count="3">
          <reference field="7" count="1" selected="0">
            <x v="1200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169">
      <pivotArea dataOnly="0" labelOnly="1" outline="0" fieldPosition="0">
        <references count="3">
          <reference field="7" count="1" selected="0">
            <x v="1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68">
      <pivotArea dataOnly="0" labelOnly="1" outline="0" fieldPosition="0">
        <references count="3">
          <reference field="7" count="1" selected="0">
            <x v="1130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67">
      <pivotArea dataOnly="0" labelOnly="1" outline="0" fieldPosition="0">
        <references count="3">
          <reference field="7" count="1" selected="0">
            <x v="1190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166">
      <pivotArea dataOnly="0" labelOnly="1" outline="0" fieldPosition="0">
        <references count="3">
          <reference field="7" count="1" selected="0">
            <x v="1191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65">
      <pivotArea dataOnly="0" labelOnly="1" outline="0" fieldPosition="0">
        <references count="3">
          <reference field="7" count="1" selected="0">
            <x v="1192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164">
      <pivotArea dataOnly="0" labelOnly="1" outline="0" fieldPosition="0">
        <references count="3">
          <reference field="7" count="1" selected="0">
            <x v="1193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63">
      <pivotArea dataOnly="0" labelOnly="1" outline="0" fieldPosition="0">
        <references count="3">
          <reference field="7" count="1" selected="0">
            <x v="1194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162">
      <pivotArea dataOnly="0" labelOnly="1" outline="0" fieldPosition="0">
        <references count="3">
          <reference field="7" count="1" selected="0">
            <x v="413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161">
      <pivotArea dataOnly="0" labelOnly="1" outline="0" fieldPosition="0">
        <references count="3">
          <reference field="7" count="1" selected="0">
            <x v="45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60">
      <pivotArea dataOnly="0" labelOnly="1" outline="0" fieldPosition="0">
        <references count="3">
          <reference field="7" count="1" selected="0">
            <x v="769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159">
      <pivotArea dataOnly="0" labelOnly="1" outline="0" fieldPosition="0">
        <references count="3">
          <reference field="7" count="1" selected="0">
            <x v="78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58">
      <pivotArea dataOnly="0" labelOnly="1" outline="0" fieldPosition="0">
        <references count="3">
          <reference field="7" count="1" selected="0">
            <x v="118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57">
      <pivotArea dataOnly="0" labelOnly="1" outline="0" fieldPosition="0">
        <references count="3">
          <reference field="7" count="1" selected="0">
            <x v="1186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56">
      <pivotArea dataOnly="0" labelOnly="1" outline="0" fieldPosition="0">
        <references count="3">
          <reference field="7" count="1" selected="0">
            <x v="1187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55">
      <pivotArea dataOnly="0" labelOnly="1" outline="0" fieldPosition="0">
        <references count="3">
          <reference field="7" count="1" selected="0">
            <x v="118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54">
      <pivotArea dataOnly="0" labelOnly="1" outline="0" fieldPosition="0">
        <references count="3">
          <reference field="7" count="1" selected="0">
            <x v="1189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153">
      <pivotArea dataOnly="0" labelOnly="1" outline="0" fieldPosition="0">
        <references count="3">
          <reference field="7" count="1" selected="0">
            <x v="151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152">
      <pivotArea dataOnly="0" labelOnly="1" outline="0" fieldPosition="0">
        <references count="3">
          <reference field="7" count="1" selected="0">
            <x v="409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151">
      <pivotArea dataOnly="0" labelOnly="1" outline="0" fieldPosition="0">
        <references count="3">
          <reference field="7" count="1" selected="0">
            <x v="414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150">
      <pivotArea dataOnly="0" labelOnly="1" outline="0" fieldPosition="0">
        <references count="3">
          <reference field="7" count="1" selected="0">
            <x v="465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149">
      <pivotArea dataOnly="0" labelOnly="1" outline="0" fieldPosition="0">
        <references count="3">
          <reference field="7" count="1" selected="0">
            <x v="1180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148">
      <pivotArea dataOnly="0" labelOnly="1" outline="0" fieldPosition="0">
        <references count="3">
          <reference field="7" count="1" selected="0">
            <x v="1181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147">
      <pivotArea dataOnly="0" labelOnly="1" outline="0" fieldPosition="0">
        <references count="3">
          <reference field="7" count="1" selected="0">
            <x v="1182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146">
      <pivotArea dataOnly="0" labelOnly="1" outline="0" fieldPosition="0">
        <references count="3">
          <reference field="7" count="1" selected="0">
            <x v="1183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145">
      <pivotArea dataOnly="0" labelOnly="1" outline="0" fieldPosition="0">
        <references count="3">
          <reference field="7" count="1" selected="0">
            <x v="1184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144">
      <pivotArea dataOnly="0" labelOnly="1" outline="0" fieldPosition="0">
        <references count="3">
          <reference field="7" count="1" selected="0">
            <x v="1174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143">
      <pivotArea dataOnly="0" labelOnly="1" outline="0" fieldPosition="0">
        <references count="3">
          <reference field="7" count="1" selected="0">
            <x v="1175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142">
      <pivotArea dataOnly="0" labelOnly="1" outline="0" fieldPosition="0">
        <references count="3">
          <reference field="7" count="1" selected="0">
            <x v="1176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141">
      <pivotArea dataOnly="0" labelOnly="1" outline="0" fieldPosition="0">
        <references count="3">
          <reference field="7" count="1" selected="0">
            <x v="1177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140">
      <pivotArea dataOnly="0" labelOnly="1" outline="0" fieldPosition="0">
        <references count="3">
          <reference field="7" count="1" selected="0">
            <x v="1178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139">
      <pivotArea dataOnly="0" labelOnly="1" outline="0" fieldPosition="0">
        <references count="3">
          <reference field="7" count="1" selected="0">
            <x v="1179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138">
      <pivotArea dataOnly="0" labelOnly="1" outline="0" fieldPosition="0">
        <references count="3">
          <reference field="7" count="1" selected="0">
            <x v="565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137">
      <pivotArea outline="0" collapsedLevelsAreSubtotals="1" fieldPosition="0"/>
    </format>
    <format dxfId="136">
      <pivotArea dataOnly="0" labelOnly="1" outline="0" fieldPosition="0">
        <references count="1">
          <reference field="16" count="0"/>
        </references>
      </pivotArea>
    </format>
    <format dxfId="135">
      <pivotArea dataOnly="0" labelOnly="1" outline="0" fieldPosition="0">
        <references count="2">
          <reference field="7" count="1">
            <x v="177"/>
          </reference>
          <reference field="16" count="1" selected="0">
            <x v="7"/>
          </reference>
        </references>
      </pivotArea>
    </format>
    <format dxfId="134">
      <pivotArea dataOnly="0" labelOnly="1" outline="0" fieldPosition="0">
        <references count="2">
          <reference field="7" count="4">
            <x v="1221"/>
            <x v="1222"/>
            <x v="1223"/>
            <x v="1224"/>
          </reference>
          <reference field="16" count="1" selected="0">
            <x v="12"/>
          </reference>
        </references>
      </pivotArea>
    </format>
    <format dxfId="133">
      <pivotArea dataOnly="0" labelOnly="1" outline="0" fieldPosition="0">
        <references count="2">
          <reference field="7" count="5">
            <x v="1216"/>
            <x v="1217"/>
            <x v="1218"/>
            <x v="1219"/>
            <x v="1220"/>
          </reference>
          <reference field="16" count="1" selected="0">
            <x v="14"/>
          </reference>
        </references>
      </pivotArea>
    </format>
    <format dxfId="132">
      <pivotArea dataOnly="0" labelOnly="1" outline="0" fieldPosition="0">
        <references count="2">
          <reference field="7" count="7">
            <x v="262"/>
            <x v="1210"/>
            <x v="1211"/>
            <x v="1212"/>
            <x v="1213"/>
            <x v="1214"/>
            <x v="1215"/>
          </reference>
          <reference field="16" count="1" selected="0">
            <x v="16"/>
          </reference>
        </references>
      </pivotArea>
    </format>
    <format dxfId="131">
      <pivotArea dataOnly="0" labelOnly="1" outline="0" fieldPosition="0">
        <references count="2">
          <reference field="7" count="5">
            <x v="318"/>
            <x v="713"/>
            <x v="1207"/>
            <x v="1208"/>
            <x v="1209"/>
          </reference>
          <reference field="16" count="1" selected="0">
            <x v="17"/>
          </reference>
        </references>
      </pivotArea>
    </format>
    <format dxfId="130">
      <pivotArea dataOnly="0" labelOnly="1" outline="0" fieldPosition="0">
        <references count="2">
          <reference field="7" count="7">
            <x v="23"/>
            <x v="1201"/>
            <x v="1202"/>
            <x v="1203"/>
            <x v="1204"/>
            <x v="1205"/>
            <x v="1206"/>
          </reference>
          <reference field="16" count="1" selected="0">
            <x v="18"/>
          </reference>
        </references>
      </pivotArea>
    </format>
    <format dxfId="129">
      <pivotArea dataOnly="0" labelOnly="1" outline="0" fieldPosition="0">
        <references count="2">
          <reference field="7" count="8">
            <x v="1058"/>
            <x v="1127"/>
            <x v="1195"/>
            <x v="1196"/>
            <x v="1197"/>
            <x v="1198"/>
            <x v="1199"/>
            <x v="1200"/>
          </reference>
          <reference field="16" count="1" selected="0">
            <x v="19"/>
          </reference>
        </references>
      </pivotArea>
    </format>
    <format dxfId="128">
      <pivotArea dataOnly="0" labelOnly="1" outline="0" fieldPosition="0">
        <references count="2">
          <reference field="7" count="7">
            <x v="12"/>
            <x v="1130"/>
            <x v="1190"/>
            <x v="1191"/>
            <x v="1192"/>
            <x v="1193"/>
            <x v="1194"/>
          </reference>
          <reference field="16" count="1" selected="0">
            <x v="20"/>
          </reference>
        </references>
      </pivotArea>
    </format>
    <format dxfId="127">
      <pivotArea dataOnly="0" labelOnly="1" outline="0" fieldPosition="0">
        <references count="2">
          <reference field="7" count="9">
            <x v="413"/>
            <x v="458"/>
            <x v="769"/>
            <x v="785"/>
            <x v="1185"/>
            <x v="1186"/>
            <x v="1187"/>
            <x v="1188"/>
            <x v="1189"/>
          </reference>
          <reference field="16" count="1" selected="0">
            <x v="21"/>
          </reference>
        </references>
      </pivotArea>
    </format>
    <format dxfId="126">
      <pivotArea dataOnly="0" labelOnly="1" outline="0" fieldPosition="0">
        <references count="2">
          <reference field="7" count="9">
            <x v="151"/>
            <x v="409"/>
            <x v="414"/>
            <x v="465"/>
            <x v="1180"/>
            <x v="1181"/>
            <x v="1182"/>
            <x v="1183"/>
            <x v="1184"/>
          </reference>
          <reference field="16" count="1" selected="0">
            <x v="22"/>
          </reference>
        </references>
      </pivotArea>
    </format>
    <format dxfId="125">
      <pivotArea dataOnly="0" labelOnly="1" outline="0" fieldPosition="0">
        <references count="2">
          <reference field="7" count="6">
            <x v="1174"/>
            <x v="1175"/>
            <x v="1176"/>
            <x v="1177"/>
            <x v="1178"/>
            <x v="1179"/>
          </reference>
          <reference field="16" count="1" selected="0">
            <x v="23"/>
          </reference>
        </references>
      </pivotArea>
    </format>
    <format dxfId="124">
      <pivotArea dataOnly="0" labelOnly="1" outline="0" fieldPosition="0">
        <references count="2">
          <reference field="7" count="1">
            <x v="565"/>
          </reference>
          <reference field="16" count="1" selected="0">
            <x v="24"/>
          </reference>
        </references>
      </pivotArea>
    </format>
    <format dxfId="123">
      <pivotArea dataOnly="0" labelOnly="1" outline="0" fieldPosition="0">
        <references count="3">
          <reference field="7" count="1" selected="0">
            <x v="177"/>
          </reference>
          <reference field="16" count="1" selected="0">
            <x v="7"/>
          </reference>
          <reference field="18" count="1">
            <x v="0"/>
          </reference>
        </references>
      </pivotArea>
    </format>
    <format dxfId="122">
      <pivotArea dataOnly="0" labelOnly="1" outline="0" fieldPosition="0">
        <references count="3">
          <reference field="7" count="1" selected="0">
            <x v="1221"/>
          </reference>
          <reference field="16" count="1" selected="0">
            <x v="12"/>
          </reference>
          <reference field="18" count="1">
            <x v="3"/>
          </reference>
        </references>
      </pivotArea>
    </format>
    <format dxfId="121">
      <pivotArea dataOnly="0" labelOnly="1" outline="0" fieldPosition="0">
        <references count="3">
          <reference field="7" count="1" selected="0">
            <x v="1222"/>
          </reference>
          <reference field="16" count="1" selected="0">
            <x v="12"/>
          </reference>
          <reference field="18" count="1">
            <x v="1"/>
          </reference>
        </references>
      </pivotArea>
    </format>
    <format dxfId="120">
      <pivotArea dataOnly="0" labelOnly="1" outline="0" fieldPosition="0">
        <references count="3">
          <reference field="7" count="1" selected="0">
            <x v="1223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119">
      <pivotArea dataOnly="0" labelOnly="1" outline="0" fieldPosition="0">
        <references count="3">
          <reference field="7" count="1" selected="0">
            <x v="1224"/>
          </reference>
          <reference field="16" count="1" selected="0">
            <x v="12"/>
          </reference>
          <reference field="18" count="1">
            <x v="2"/>
          </reference>
        </references>
      </pivotArea>
    </format>
    <format dxfId="118">
      <pivotArea dataOnly="0" labelOnly="1" outline="0" fieldPosition="0">
        <references count="3">
          <reference field="7" count="1" selected="0">
            <x v="1216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117">
      <pivotArea dataOnly="0" labelOnly="1" outline="0" fieldPosition="0">
        <references count="3">
          <reference field="7" count="1" selected="0">
            <x v="1217"/>
          </reference>
          <reference field="16" count="1" selected="0">
            <x v="14"/>
          </reference>
          <reference field="18" count="1">
            <x v="1"/>
          </reference>
        </references>
      </pivotArea>
    </format>
    <format dxfId="116">
      <pivotArea dataOnly="0" labelOnly="1" outline="0" fieldPosition="0">
        <references count="3">
          <reference field="7" count="1" selected="0">
            <x v="1218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115">
      <pivotArea dataOnly="0" labelOnly="1" outline="0" fieldPosition="0">
        <references count="3">
          <reference field="7" count="1" selected="0">
            <x v="1219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114">
      <pivotArea dataOnly="0" labelOnly="1" outline="0" fieldPosition="0">
        <references count="3">
          <reference field="7" count="1" selected="0">
            <x v="1220"/>
          </reference>
          <reference field="16" count="1" selected="0">
            <x v="14"/>
          </reference>
          <reference field="18" count="1">
            <x v="2"/>
          </reference>
        </references>
      </pivotArea>
    </format>
    <format dxfId="113">
      <pivotArea dataOnly="0" labelOnly="1" outline="0" fieldPosition="0">
        <references count="3">
          <reference field="7" count="1" selected="0">
            <x v="262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12">
      <pivotArea dataOnly="0" labelOnly="1" outline="0" fieldPosition="0">
        <references count="3">
          <reference field="7" count="1" selected="0">
            <x v="1210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11">
      <pivotArea dataOnly="0" labelOnly="1" outline="0" fieldPosition="0">
        <references count="3">
          <reference field="7" count="1" selected="0">
            <x v="1211"/>
          </reference>
          <reference field="16" count="1" selected="0">
            <x v="16"/>
          </reference>
          <reference field="18" count="1">
            <x v="1"/>
          </reference>
        </references>
      </pivotArea>
    </format>
    <format dxfId="110">
      <pivotArea dataOnly="0" labelOnly="1" outline="0" fieldPosition="0">
        <references count="3">
          <reference field="7" count="1" selected="0">
            <x v="1212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09">
      <pivotArea dataOnly="0" labelOnly="1" outline="0" fieldPosition="0">
        <references count="3">
          <reference field="7" count="1" selected="0">
            <x v="1213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08">
      <pivotArea dataOnly="0" labelOnly="1" outline="0" fieldPosition="0">
        <references count="3">
          <reference field="7" count="1" selected="0">
            <x v="1214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07">
      <pivotArea dataOnly="0" labelOnly="1" outline="0" fieldPosition="0">
        <references count="3">
          <reference field="7" count="1" selected="0">
            <x v="1215"/>
          </reference>
          <reference field="16" count="1" selected="0">
            <x v="16"/>
          </reference>
          <reference field="18" count="1">
            <x v="3"/>
          </reference>
        </references>
      </pivotArea>
    </format>
    <format dxfId="106">
      <pivotArea dataOnly="0" labelOnly="1" outline="0" fieldPosition="0">
        <references count="3">
          <reference field="7" count="1" selected="0">
            <x v="318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105">
      <pivotArea dataOnly="0" labelOnly="1" outline="0" fieldPosition="0">
        <references count="3">
          <reference field="7" count="1" selected="0">
            <x v="713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04">
      <pivotArea dataOnly="0" labelOnly="1" outline="0" fieldPosition="0">
        <references count="3">
          <reference field="7" count="1" selected="0">
            <x v="1207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03">
      <pivotArea dataOnly="0" labelOnly="1" outline="0" fieldPosition="0">
        <references count="3">
          <reference field="7" count="1" selected="0">
            <x v="1208"/>
          </reference>
          <reference field="16" count="1" selected="0">
            <x v="17"/>
          </reference>
          <reference field="18" count="1">
            <x v="1"/>
          </reference>
        </references>
      </pivotArea>
    </format>
    <format dxfId="102">
      <pivotArea dataOnly="0" labelOnly="1" outline="0" fieldPosition="0">
        <references count="3">
          <reference field="7" count="1" selected="0">
            <x v="1209"/>
          </reference>
          <reference field="16" count="1" selected="0">
            <x v="17"/>
          </reference>
          <reference field="18" count="1">
            <x v="3"/>
          </reference>
        </references>
      </pivotArea>
    </format>
    <format dxfId="101">
      <pivotArea dataOnly="0" labelOnly="1" outline="0" fieldPosition="0">
        <references count="3">
          <reference field="7" count="1" selected="0">
            <x v="23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100">
      <pivotArea dataOnly="0" labelOnly="1" outline="0" fieldPosition="0">
        <references count="3">
          <reference field="7" count="1" selected="0">
            <x v="1201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99">
      <pivotArea dataOnly="0" labelOnly="1" outline="0" fieldPosition="0">
        <references count="3">
          <reference field="7" count="1" selected="0">
            <x v="1202"/>
          </reference>
          <reference field="16" count="1" selected="0">
            <x v="18"/>
          </reference>
          <reference field="18" count="1">
            <x v="3"/>
          </reference>
        </references>
      </pivotArea>
    </format>
    <format dxfId="98">
      <pivotArea dataOnly="0" labelOnly="1" outline="0" fieldPosition="0">
        <references count="3">
          <reference field="7" count="1" selected="0">
            <x v="1203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97">
      <pivotArea dataOnly="0" labelOnly="1" outline="0" fieldPosition="0">
        <references count="3">
          <reference field="7" count="1" selected="0">
            <x v="1204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96">
      <pivotArea dataOnly="0" labelOnly="1" outline="0" fieldPosition="0">
        <references count="3">
          <reference field="7" count="1" selected="0">
            <x v="1205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95">
      <pivotArea dataOnly="0" labelOnly="1" outline="0" fieldPosition="0">
        <references count="3">
          <reference field="7" count="1" selected="0">
            <x v="1206"/>
          </reference>
          <reference field="16" count="1" selected="0">
            <x v="18"/>
          </reference>
          <reference field="18" count="1">
            <x v="1"/>
          </reference>
        </references>
      </pivotArea>
    </format>
    <format dxfId="94">
      <pivotArea dataOnly="0" labelOnly="1" outline="0" fieldPosition="0">
        <references count="3">
          <reference field="7" count="1" selected="0">
            <x v="1058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93">
      <pivotArea dataOnly="0" labelOnly="1" outline="0" fieldPosition="0">
        <references count="3">
          <reference field="7" count="1" selected="0">
            <x v="1127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92">
      <pivotArea dataOnly="0" labelOnly="1" outline="0" fieldPosition="0">
        <references count="3">
          <reference field="7" count="1" selected="0">
            <x v="1195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91">
      <pivotArea dataOnly="0" labelOnly="1" outline="0" fieldPosition="0">
        <references count="3">
          <reference field="7" count="1" selected="0">
            <x v="1196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90">
      <pivotArea dataOnly="0" labelOnly="1" outline="0" fieldPosition="0">
        <references count="3">
          <reference field="7" count="1" selected="0">
            <x v="1197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89">
      <pivotArea dataOnly="0" labelOnly="1" outline="0" fieldPosition="0">
        <references count="3">
          <reference field="7" count="1" selected="0">
            <x v="1198"/>
          </reference>
          <reference field="16" count="1" selected="0">
            <x v="19"/>
          </reference>
          <reference field="18" count="1">
            <x v="3"/>
          </reference>
        </references>
      </pivotArea>
    </format>
    <format dxfId="88">
      <pivotArea dataOnly="0" labelOnly="1" outline="0" fieldPosition="0">
        <references count="3">
          <reference field="7" count="1" selected="0">
            <x v="1199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87">
      <pivotArea dataOnly="0" labelOnly="1" outline="0" fieldPosition="0">
        <references count="3">
          <reference field="7" count="1" selected="0">
            <x v="1200"/>
          </reference>
          <reference field="16" count="1" selected="0">
            <x v="19"/>
          </reference>
          <reference field="18" count="1">
            <x v="1"/>
          </reference>
        </references>
      </pivotArea>
    </format>
    <format dxfId="86">
      <pivotArea dataOnly="0" labelOnly="1" outline="0" fieldPosition="0">
        <references count="3">
          <reference field="7" count="1" selected="0">
            <x v="12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85">
      <pivotArea dataOnly="0" labelOnly="1" outline="0" fieldPosition="0">
        <references count="3">
          <reference field="7" count="1" selected="0">
            <x v="1130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84">
      <pivotArea dataOnly="0" labelOnly="1" outline="0" fieldPosition="0">
        <references count="3">
          <reference field="7" count="1" selected="0">
            <x v="1190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83">
      <pivotArea dataOnly="0" labelOnly="1" outline="0" fieldPosition="0">
        <references count="3">
          <reference field="7" count="1" selected="0">
            <x v="1191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82">
      <pivotArea dataOnly="0" labelOnly="1" outline="0" fieldPosition="0">
        <references count="3">
          <reference field="7" count="1" selected="0">
            <x v="1192"/>
          </reference>
          <reference field="16" count="1" selected="0">
            <x v="20"/>
          </reference>
          <reference field="18" count="1">
            <x v="1"/>
          </reference>
        </references>
      </pivotArea>
    </format>
    <format dxfId="81">
      <pivotArea dataOnly="0" labelOnly="1" outline="0" fieldPosition="0">
        <references count="3">
          <reference field="7" count="1" selected="0">
            <x v="1193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80">
      <pivotArea dataOnly="0" labelOnly="1" outline="0" fieldPosition="0">
        <references count="3">
          <reference field="7" count="1" selected="0">
            <x v="1194"/>
          </reference>
          <reference field="16" count="1" selected="0">
            <x v="20"/>
          </reference>
          <reference field="18" count="1">
            <x v="3"/>
          </reference>
        </references>
      </pivotArea>
    </format>
    <format dxfId="79">
      <pivotArea dataOnly="0" labelOnly="1" outline="0" fieldPosition="0">
        <references count="3">
          <reference field="7" count="1" selected="0">
            <x v="413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78">
      <pivotArea dataOnly="0" labelOnly="1" outline="0" fieldPosition="0">
        <references count="3">
          <reference field="7" count="1" selected="0">
            <x v="45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77">
      <pivotArea dataOnly="0" labelOnly="1" outline="0" fieldPosition="0">
        <references count="3">
          <reference field="7" count="1" selected="0">
            <x v="769"/>
          </reference>
          <reference field="16" count="1" selected="0">
            <x v="21"/>
          </reference>
          <reference field="18" count="1">
            <x v="1"/>
          </reference>
        </references>
      </pivotArea>
    </format>
    <format dxfId="76">
      <pivotArea dataOnly="0" labelOnly="1" outline="0" fieldPosition="0">
        <references count="3">
          <reference field="7" count="1" selected="0">
            <x v="78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75">
      <pivotArea dataOnly="0" labelOnly="1" outline="0" fieldPosition="0">
        <references count="3">
          <reference field="7" count="1" selected="0">
            <x v="1185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74">
      <pivotArea dataOnly="0" labelOnly="1" outline="0" fieldPosition="0">
        <references count="3">
          <reference field="7" count="1" selected="0">
            <x v="1186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73">
      <pivotArea dataOnly="0" labelOnly="1" outline="0" fieldPosition="0">
        <references count="3">
          <reference field="7" count="1" selected="0">
            <x v="1187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72">
      <pivotArea dataOnly="0" labelOnly="1" outline="0" fieldPosition="0">
        <references count="3">
          <reference field="7" count="1" selected="0">
            <x v="1188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71">
      <pivotArea dataOnly="0" labelOnly="1" outline="0" fieldPosition="0">
        <references count="3">
          <reference field="7" count="1" selected="0">
            <x v="1189"/>
          </reference>
          <reference field="16" count="1" selected="0">
            <x v="21"/>
          </reference>
          <reference field="18" count="1">
            <x v="3"/>
          </reference>
        </references>
      </pivotArea>
    </format>
    <format dxfId="70">
      <pivotArea dataOnly="0" labelOnly="1" outline="0" fieldPosition="0">
        <references count="3">
          <reference field="7" count="1" selected="0">
            <x v="151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69">
      <pivotArea dataOnly="0" labelOnly="1" outline="0" fieldPosition="0">
        <references count="3">
          <reference field="7" count="1" selected="0">
            <x v="409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68">
      <pivotArea dataOnly="0" labelOnly="1" outline="0" fieldPosition="0">
        <references count="3">
          <reference field="7" count="1" selected="0">
            <x v="414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67">
      <pivotArea dataOnly="0" labelOnly="1" outline="0" fieldPosition="0">
        <references count="3">
          <reference field="7" count="1" selected="0">
            <x v="465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66">
      <pivotArea dataOnly="0" labelOnly="1" outline="0" fieldPosition="0">
        <references count="3">
          <reference field="7" count="1" selected="0">
            <x v="1180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65">
      <pivotArea dataOnly="0" labelOnly="1" outline="0" fieldPosition="0">
        <references count="3">
          <reference field="7" count="1" selected="0">
            <x v="1181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64">
      <pivotArea dataOnly="0" labelOnly="1" outline="0" fieldPosition="0">
        <references count="3">
          <reference field="7" count="1" selected="0">
            <x v="1182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63">
      <pivotArea dataOnly="0" labelOnly="1" outline="0" fieldPosition="0">
        <references count="3">
          <reference field="7" count="1" selected="0">
            <x v="1183"/>
          </reference>
          <reference field="16" count="1" selected="0">
            <x v="22"/>
          </reference>
          <reference field="18" count="1">
            <x v="3"/>
          </reference>
        </references>
      </pivotArea>
    </format>
    <format dxfId="62">
      <pivotArea dataOnly="0" labelOnly="1" outline="0" fieldPosition="0">
        <references count="3">
          <reference field="7" count="1" selected="0">
            <x v="1184"/>
          </reference>
          <reference field="16" count="1" selected="0">
            <x v="22"/>
          </reference>
          <reference field="18" count="1">
            <x v="1"/>
          </reference>
        </references>
      </pivotArea>
    </format>
    <format dxfId="61">
      <pivotArea dataOnly="0" labelOnly="1" outline="0" fieldPosition="0">
        <references count="3">
          <reference field="7" count="1" selected="0">
            <x v="1174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60">
      <pivotArea dataOnly="0" labelOnly="1" outline="0" fieldPosition="0">
        <references count="3">
          <reference field="7" count="1" selected="0">
            <x v="1175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59">
      <pivotArea dataOnly="0" labelOnly="1" outline="0" fieldPosition="0">
        <references count="3">
          <reference field="7" count="1" selected="0">
            <x v="1176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58">
      <pivotArea dataOnly="0" labelOnly="1" outline="0" fieldPosition="0">
        <references count="3">
          <reference field="7" count="1" selected="0">
            <x v="1177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57">
      <pivotArea dataOnly="0" labelOnly="1" outline="0" fieldPosition="0">
        <references count="3">
          <reference field="7" count="1" selected="0">
            <x v="1178"/>
          </reference>
          <reference field="16" count="1" selected="0">
            <x v="23"/>
          </reference>
          <reference field="18" count="1">
            <x v="3"/>
          </reference>
        </references>
      </pivotArea>
    </format>
    <format dxfId="56">
      <pivotArea dataOnly="0" labelOnly="1" outline="0" fieldPosition="0">
        <references count="3">
          <reference field="7" count="1" selected="0">
            <x v="1179"/>
          </reference>
          <reference field="16" count="1" selected="0">
            <x v="23"/>
          </reference>
          <reference field="18" count="1">
            <x v="1"/>
          </reference>
        </references>
      </pivotArea>
    </format>
    <format dxfId="55">
      <pivotArea dataOnly="0" labelOnly="1" outline="0" fieldPosition="0">
        <references count="3">
          <reference field="7" count="1" selected="0">
            <x v="565"/>
          </reference>
          <reference field="16" count="1" selected="0">
            <x v="24"/>
          </reference>
          <reference field="18" count="1">
            <x v="3"/>
          </reference>
        </references>
      </pivotArea>
    </format>
    <format dxfId="54">
      <pivotArea dataOnly="0" labelOnly="1" outline="0" fieldPosition="0">
        <references count="3">
          <reference field="7" count="1" selected="0">
            <x v="866"/>
          </reference>
          <reference field="16" count="1" selected="0">
            <x v="15"/>
          </reference>
          <reference field="18" count="1">
            <x v="1"/>
          </reference>
        </references>
      </pivotArea>
    </format>
  </formats>
  <conditionalFormats count="8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5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5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8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8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1"/>
            </reference>
          </references>
        </pivotArea>
      </pivotAreas>
    </conditionalFormat>
  </conditionalFormats>
  <pivotTableStyleInfo name="PivotStyleLight2" showRowHeaders="0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aller" xr10:uid="{90408E59-A383-40E7-AB9E-FAD700E86803}" sourceName="Taller">
  <pivotTables>
    <pivotTable tabId="102" name="TablaDinámica1"/>
  </pivotTables>
  <data>
    <tabular pivotCacheId="77944101">
      <items count="40">
        <i x="2" s="1"/>
        <i x="36" s="1"/>
        <i x="16" s="1"/>
        <i x="34" s="1"/>
        <i x="25" s="1"/>
        <i x="29" s="1"/>
        <i x="21" s="1"/>
        <i x="26" s="1"/>
        <i x="31" s="1"/>
        <i x="19" s="1"/>
        <i x="30" s="1"/>
        <i x="11" s="1"/>
        <i x="17" s="1"/>
        <i x="7" s="1"/>
        <i x="14" s="1"/>
        <i x="18" s="1"/>
        <i x="15" s="1"/>
        <i x="22" s="1"/>
        <i x="23" s="1"/>
        <i x="9" s="1"/>
        <i x="12" s="1"/>
        <i x="35" s="1"/>
        <i x="33" s="1"/>
        <i x="13" s="1"/>
        <i x="8" s="1"/>
        <i x="24" s="1"/>
        <i x="10" s="1"/>
        <i x="0" s="1"/>
        <i x="3" s="1"/>
        <i x="6" s="1"/>
        <i x="4" s="1"/>
        <i x="5" s="1"/>
        <i x="27" s="1"/>
        <i x="28" s="1"/>
        <i x="20" s="1"/>
        <i x="32" s="1"/>
        <i x="1" s="1"/>
        <i x="37" s="1" nd="1"/>
        <i x="38" s="1" nd="1"/>
        <i x="39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aller" xr10:uid="{CFC16E88-593E-46E3-B386-F8DA4C0FDEB2}" cache="SegmentaciónDeDatos_Taller" caption="Taller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0E000000}" name="Habilidad_Gerencial38" displayName="Habilidad_Gerencial38" ref="B5:D12" totalsRowShown="0" headerRowDxfId="3740" dataDxfId="3738" headerRowBorderDxfId="3739">
  <tableColumns count="3">
    <tableColumn id="1" xr3:uid="{00000000-0010-0000-0E00-000001000000}" name="Habilidad Gerencial" dataDxfId="3737"/>
    <tableColumn id="2" xr3:uid="{00000000-0010-0000-0E00-000002000000}" name="Nombre" dataDxfId="3736"/>
    <tableColumn id="3" xr3:uid="{00000000-0010-0000-0E00-000003000000}" name="Descripción" dataDxfId="373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0F000000}" name="Rol_del_Cargo39" displayName="Rol_del_Cargo39" ref="B5:C9" totalsRowShown="0" headerRowDxfId="3734" dataDxfId="3732" headerRowBorderDxfId="3733">
  <tableColumns count="2">
    <tableColumn id="1" xr3:uid="{00000000-0010-0000-0F00-000001000000}" name="Rol del Cargo" dataDxfId="3731"/>
    <tableColumn id="2" xr3:uid="{00000000-0010-0000-0F00-000002000000}" name="Nombre" dataDxfId="373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10000000}" name="Contacto40" displayName="Contacto40" ref="B5:D8" totalsRowShown="0" headerRowDxfId="3729" dataDxfId="3728">
  <tableColumns count="3">
    <tableColumn id="1" xr3:uid="{00000000-0010-0000-1000-000001000000}" name="Contacto" dataDxfId="3727"/>
    <tableColumn id="2" xr3:uid="{00000000-0010-0000-1000-000002000000}" name="Nombre" dataDxfId="3726"/>
    <tableColumn id="3" xr3:uid="{00000000-0010-0000-1000-000003000000}" name="Descripción" dataDxfId="3725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11000000}" name="Frecuencia_del_Contacto41" displayName="Frecuencia_del_Contacto41" ref="B5:C9" totalsRowShown="0" headerRowDxfId="3724" dataDxfId="3722" headerRowBorderDxfId="3723">
  <tableColumns count="2">
    <tableColumn id="1" xr3:uid="{00000000-0010-0000-1100-000001000000}" name="Frecuencia del Contacto" dataDxfId="3721"/>
    <tableColumn id="2" xr3:uid="{00000000-0010-0000-1100-000002000000}" name="Nombre" dataDxfId="3720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12000000}" name="Contenido_de_las_Relaciones42" displayName="Contenido_de_las_Relaciones42" ref="B5:D10" totalsRowShown="0" headerRowDxfId="3719" dataDxfId="3717" headerRowBorderDxfId="3718">
  <tableColumns count="3">
    <tableColumn id="1" xr3:uid="{00000000-0010-0000-1200-000001000000}" name="Contenido de las Relaciones" dataDxfId="3716"/>
    <tableColumn id="2" xr3:uid="{00000000-0010-0000-1200-000002000000}" name="Nombre" dataDxfId="3715"/>
    <tableColumn id="3" xr3:uid="{00000000-0010-0000-1200-000003000000}" name="Descripción" dataDxfId="3714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13000000}" name="Complejidad_Conceptual43" displayName="Complejidad_Conceptual43" ref="B5:E6" insertRow="1" totalsRowShown="0" headerRowDxfId="3713" dataDxfId="3711" headerRowBorderDxfId="3712">
  <tableColumns count="4">
    <tableColumn id="1" xr3:uid="{00000000-0010-0000-1300-000001000000}" name="Complejidad Conceptual" dataDxfId="3710"/>
    <tableColumn id="4" xr3:uid="{00000000-0010-0000-1300-000004000000}" name="Tendencia" dataDxfId="3709"/>
    <tableColumn id="2" xr3:uid="{00000000-0010-0000-1300-000002000000}" name="Nombre" dataDxfId="3708"/>
    <tableColumn id="3" xr3:uid="{00000000-0010-0000-1300-000003000000}" name="Descripción" dataDxfId="3707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14000000}" name="Complejidad_Conceptual4344" displayName="Complejidad_Conceptual4344" ref="B5:E6" insertRow="1" totalsRowShown="0" headerRowDxfId="3706" dataDxfId="3704" headerRowBorderDxfId="3705">
  <tableColumns count="4">
    <tableColumn id="1" xr3:uid="{00000000-0010-0000-1400-000001000000}" name="Guías de Apoyo" dataDxfId="3703"/>
    <tableColumn id="4" xr3:uid="{00000000-0010-0000-1400-000004000000}" name="Tendencia" dataDxfId="3702"/>
    <tableColumn id="2" xr3:uid="{00000000-0010-0000-1400-000002000000}" name="Nombre" dataDxfId="3701"/>
    <tableColumn id="3" xr3:uid="{00000000-0010-0000-1400-000003000000}" name="Descripción" dataDxfId="3700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15000000}" name="Impacto_del_Cargo46" displayName="Impacto_del_Cargo46" ref="B5:D9" totalsRowShown="0" headerRowDxfId="3699" dataDxfId="3697" headerRowBorderDxfId="3698">
  <tableColumns count="3">
    <tableColumn id="1" xr3:uid="{00000000-0010-0000-1500-000001000000}" name="Impacto del cargo" dataDxfId="3696"/>
    <tableColumn id="2" xr3:uid="{00000000-0010-0000-1500-000002000000}" name="Nombre" dataDxfId="3695"/>
    <tableColumn id="3" xr3:uid="{00000000-0010-0000-1500-000003000000}" name="Descripción" dataDxfId="3694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16000000}" name="Autonomia47" displayName="Autonomia47" ref="B5:D12" totalsRowShown="0" headerRowDxfId="3693" dataDxfId="3691" headerRowBorderDxfId="3692">
  <tableColumns count="3">
    <tableColumn id="1" xr3:uid="{00000000-0010-0000-1600-000001000000}" name="Autonomia" dataDxfId="3690"/>
    <tableColumn id="2" xr3:uid="{00000000-0010-0000-1600-000002000000}" name="Nombre" dataDxfId="3689"/>
    <tableColumn id="3" xr3:uid="{00000000-0010-0000-1600-000003000000}" name="Descripción" dataDxfId="3688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7000000}" name="Magnitud_de_Cifras48" displayName="Magnitud_de_Cifras48" ref="B5:D19" totalsRowShown="0" headerRowDxfId="3687" dataDxfId="3685" headerRowBorderDxfId="3686">
  <tableColumns count="3">
    <tableColumn id="1" xr3:uid="{00000000-0010-0000-1700-000001000000}" name="Magnitud de Cifras" dataDxfId="3684"/>
    <tableColumn id="2" xr3:uid="{00000000-0010-0000-1700-000002000000}" name="Desde" dataDxfId="3683"/>
    <tableColumn id="3" xr3:uid="{00000000-0010-0000-1700-000003000000}" name="Hasta" dataDxfId="368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8000000}" name="Criticidad_Aspectos35" displayName="Criticidad_Aspectos35" ref="B5:C8" totalsRowShown="0" headerRowDxfId="3681" dataDxfId="3679" headerRowBorderDxfId="3680">
  <autoFilter ref="B5:C8" xr:uid="{00000000-0009-0000-0100-000022000000}"/>
  <tableColumns count="2">
    <tableColumn id="1" xr3:uid="{00000000-0010-0000-1800-000001000000}" name="Criterio" dataDxfId="3678"/>
    <tableColumn id="2" xr3:uid="{00000000-0010-0000-1800-000002000000}" name="Descripción" dataDxfId="3677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A000000}" name="Datos_Origen" displayName="Datos_Origen" ref="B7:EE157" totalsRowShown="0" headerRowDxfId="2175" dataDxfId="2173" headerRowBorderDxfId="2174">
  <sortState xmlns:xlrd2="http://schemas.microsoft.com/office/spreadsheetml/2017/richdata2" ref="B8:EE156">
    <sortCondition ref="Q7:Q156"/>
  </sortState>
  <tableColumns count="134">
    <tableColumn id="1" xr3:uid="{00000000-0010-0000-1A00-000001000000}" name="Renglón" dataDxfId="2172" totalsRowDxfId="2171"/>
    <tableColumn id="3" xr3:uid="{00000000-0010-0000-1A00-000003000000}" name="Cédula" dataDxfId="2170" totalsRowDxfId="2169"/>
    <tableColumn id="4" xr3:uid="{00000000-0010-0000-1A00-000004000000}" name="Nombres" dataDxfId="2168" totalsRowDxfId="2167"/>
    <tableColumn id="5" xr3:uid="{00000000-0010-0000-1A00-000005000000}" name="Fecha de Ingreso" dataDxfId="2166" totalsRowDxfId="2165"/>
    <tableColumn id="6" xr3:uid="{00000000-0010-0000-1A00-000006000000}" name="Fecha de Nacimiento " dataDxfId="2164" totalsRowDxfId="2163"/>
    <tableColumn id="7" xr3:uid="{00000000-0010-0000-1A00-000007000000}" name="Cargo Actual Nómina" dataDxfId="2162" totalsRowDxfId="2161"/>
    <tableColumn id="127" xr3:uid="{00000000-0010-0000-1A00-00007F000000}" name="Pacto / Convención" dataDxfId="2160" totalsRowDxfId="2159"/>
    <tableColumn id="8" xr3:uid="{00000000-0010-0000-1A00-000008000000}" name="Cargo Tipo Valorado" dataDxfId="2158" totalsRowDxfId="2157"/>
    <tableColumn id="11" xr3:uid="{00000000-0010-0000-1A00-00000B000000}" name="Área" dataDxfId="2156">
      <calculatedColumnFormula>IFERROR(VLOOKUP(Datos_Origen[[#This Row],[Cargo Tipo Valorado]],Cargos_Catalogo[[#All],[Cargo]:[Área]],2,0),"")</calculatedColumnFormula>
    </tableColumn>
    <tableColumn id="148" xr3:uid="{00000000-0010-0000-1A00-000094000000}" name="Área funcional" dataDxfId="2155"/>
    <tableColumn id="130" xr3:uid="{00000000-0010-0000-1A00-000082000000}" name="Área Específica" dataDxfId="2154"/>
    <tableColumn id="12" xr3:uid="{00000000-0010-0000-1A00-00000C000000}" name="Ciudad" dataDxfId="2153" totalsRowDxfId="2152"/>
    <tableColumn id="42" xr3:uid="{00000000-0010-0000-1A00-00002A000000}" name="Segmentación Individual" dataDxfId="2151" totalsRowDxfId="2150"/>
    <tableColumn id="32" xr3:uid="{00000000-0010-0000-1A00-000020000000}" name="Segmentación" dataDxfId="2149">
      <calculatedColumnFormula>Datos_Origen[[#This Row],[Segmentación Individual]]</calculatedColumnFormula>
    </tableColumn>
    <tableColumn id="10" xr3:uid="{00000000-0010-0000-1A00-00000A000000}" name="Cargo Homologación" dataDxfId="2148"/>
    <tableColumn id="9" xr3:uid="{00000000-0010-0000-1A00-000009000000}" name="Puntos valoración" dataDxfId="2147" totalsRowDxfId="2146">
      <calculatedColumnFormula>VLOOKUP(Datos_Origen[[#This Row],[Cargo Tipo Valorado]],Cargos_Catalogo[#Data],MATCH(Cargos_Catalogo[[#Headers],[Puntos]],Cargos_Catalogo[#Headers],0),FALSE)</calculatedColumnFormula>
    </tableColumn>
    <tableColumn id="2" xr3:uid="{00000000-0010-0000-1A00-000002000000}" name="Categoria" dataDxfId="2145">
      <calculatedColumnFormula>VLOOKUP(Datos_Origen[[#This Row],[Puntos valoración]],Categorias_Registro[#Data],MATCH(Categorias_Registro[[#Headers],[Categoria]],Categorias_Registro[#Headers],0),FALSE)</calculatedColumnFormula>
    </tableColumn>
    <tableColumn id="29" xr3:uid="{00000000-0010-0000-1A00-00001D000000}" name="Nivel" dataDxfId="2144" totalsRowDxfId="2143">
      <calculatedColumnFormula>VLOOKUP(Datos_Origen[[#This Row],[Cargo Tipo Valorado]],Cargos_Catalogo[#Data],MATCH(Cargos_Catalogo[[#Headers],[Nivel SHR]],Cargos_Catalogo[#Headers],0),FALSE)</calculatedColumnFormula>
    </tableColumn>
    <tableColumn id="45" xr3:uid="{00000000-0010-0000-1A00-00002D000000}" name="Criticidad" dataDxfId="2142" totalsRowDxfId="2141">
      <calculatedColumnFormula>VLOOKUP(Datos_Origen[[#This Row],[Cargo Tipo Valorado]],Cargos_Catalogo[#Data],MATCH(Cargos_Catalogo[[#Headers],[Criticidad]],Cargos_Catalogo[#Headers],0),FALSE)</calculatedColumnFormula>
    </tableColumn>
    <tableColumn id="44" xr3:uid="{00000000-0010-0000-1A00-00002C000000}" name="Punto Medio" dataDxfId="2140" totalsRowDxfId="2139">
      <calculatedColumnFormula>VLOOKUP(Datos_Origen[[#This Row],[Puntos valoración]],Categorias_Registro[#Data],5,FALSE)</calculatedColumnFormula>
    </tableColumn>
    <tableColumn id="13" xr3:uid="{00000000-0010-0000-1A00-00000D000000}" name="Garantizado" dataDxfId="2138" totalsRowDxfId="2137">
      <calculatedColumnFormula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calculatedColumnFormula>
    </tableColumn>
    <tableColumn id="14" xr3:uid="{00000000-0010-0000-1A00-00000E000000}" name="Variable" dataDxfId="2136" totalsRowDxfId="2135">
      <calculatedColumnFormula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calculatedColumnFormula>
    </tableColumn>
    <tableColumn id="15" xr3:uid="{00000000-0010-0000-1A00-00000F000000}" name="Beneficios" dataDxfId="2134" totalsRowDxfId="2133">
      <calculatedColumnFormula>SUMIF($BA$5:$BJ$5,"NCS",Datos_Origen[[#This Row],[auxilio Gasolina]:[Otro Beneficio10]])+(SUMIF($BA$5:$BJ$5,"CS",Datos_Origen[[#This Row],[auxilio Gasolina]:[Otro Beneficio10]])*1.17667)</calculatedColumnFormula>
    </tableColumn>
    <tableColumn id="31" xr3:uid="{00000000-0010-0000-1A00-00001F000000}" name="Base Prestaciones" dataDxfId="2132" totalsRowDxfId="2131">
      <calculatedColumnFormula>Datos_Origen[[#This Row],[Básico]]+Datos_Origen[[#This Row],[Promedio de Comisiones  ]]</calculatedColumnFormula>
    </tableColumn>
    <tableColumn id="30" xr3:uid="{00000000-0010-0000-1A00-00001E000000}" name="Base Seguridad Social" dataDxfId="2130" totalsRowDxfId="2129">
      <calculatedColumnFormula>Datos_Origen[[#This Row],[Básico]]+Datos_Origen[[#This Row],[Promedio de Comisiones  ]]</calculatedColumnFormula>
    </tableColumn>
    <tableColumn id="40" xr3:uid="{00000000-0010-0000-1A00-000028000000}" name="G" dataDxfId="2128" totalsRowDxfId="2127">
      <calculatedColumnFormula>Datos_Origen[[#This Row],[Garantizado]]</calculatedColumnFormula>
    </tableColumn>
    <tableColumn id="39" xr3:uid="{00000000-0010-0000-1A00-000027000000}" name="G+V" dataDxfId="2126" totalsRowDxfId="2125">
      <calculatedColumnFormula>Datos_Origen[[#This Row],[Variable]]+Datos_Origen[[#This Row],[Garantizado]]</calculatedColumnFormula>
    </tableColumn>
    <tableColumn id="38" xr3:uid="{00000000-0010-0000-1A00-000026000000}" name="CT" dataDxfId="2124" totalsRowDxfId="2123">
      <calculatedColumnFormula>Datos_Origen[[#This Row],[Beneficios]]+Datos_Origen[[#This Row],[Variable]]+Datos_Origen[[#This Row],[Garantizado]]</calculatedColumnFormula>
    </tableColumn>
    <tableColumn id="16" xr3:uid="{00000000-0010-0000-1A00-000010000000}" name="Salarios Año" dataDxfId="2122" totalsRowDxfId="2121"/>
    <tableColumn id="43" xr3:uid="{00000000-0010-0000-1A00-00002B000000}" name="# horas mes" dataDxfId="2120" totalsRowDxfId="2119"/>
    <tableColumn id="17" xr3:uid="{00000000-0010-0000-1A00-000011000000}" name="%ARL" dataDxfId="2118" totalsRowDxfId="2117"/>
    <tableColumn id="18" xr3:uid="{00000000-0010-0000-1A00-000012000000}" name="Básico" dataDxfId="2116" totalsRowDxfId="2115">
      <calculatedColumnFormula>Datos_Origen[[#This Row],[Básico Actual]]*230/Datos_Origen[[#This Row],['# horas mes]]</calculatedColumnFormula>
    </tableColumn>
    <tableColumn id="88" xr3:uid="{00000000-0010-0000-1A00-000058000000}" name="Básico Actual" dataDxfId="2114"/>
    <tableColumn id="79" xr3:uid="{00000000-0010-0000-1A00-00004F000000}" name="Prima 1_x000a_NCS / CS" dataDxfId="2113"/>
    <tableColumn id="27" xr3:uid="{00000000-0010-0000-1A00-00001B000000}" name="Prima Extralegal 1" dataDxfId="2112">
      <calculatedColumnFormula>(((Datos_Origen[[#This Row],[Básico]])/30)*$AJ$6)/12</calculatedColumnFormula>
    </tableColumn>
    <tableColumn id="81" xr3:uid="{00000000-0010-0000-1A00-000051000000}" name="Prima 2_x000a_NCS / CS" dataDxfId="2111"/>
    <tableColumn id="25" xr3:uid="{00000000-0010-0000-1A00-000019000000}" name="Prima Extralegal 2" dataDxfId="2110">
      <calculatedColumnFormula>((Datos_Origen[[#This Row],[Básico]])/30)*$AL$6/12</calculatedColumnFormula>
    </tableColumn>
    <tableColumn id="83" xr3:uid="{00000000-0010-0000-1A00-000053000000}" name="Prima 3_x000a_NCS / CS" dataDxfId="2109"/>
    <tableColumn id="22" xr3:uid="{00000000-0010-0000-1A00-000016000000}" name="Prima Extralegal 3" dataDxfId="2108"/>
    <tableColumn id="86" xr3:uid="{00000000-0010-0000-1A00-000056000000}" name="Prima 4_x000a_NCS / CS" dataDxfId="2107"/>
    <tableColumn id="20" xr3:uid="{00000000-0010-0000-1A00-000014000000}" name="Prima Extralegal 4" dataDxfId="2106"/>
    <tableColumn id="33" xr3:uid="{00000000-0010-0000-1A00-000021000000}" name="Beneficios Flexibles" dataDxfId="2105"/>
    <tableColumn id="118" xr3:uid="{00000000-0010-0000-1A00-000076000000}" name="Promedio de Comisiones  " dataDxfId="2104" totalsRowDxfId="2103"/>
    <tableColumn id="128" xr3:uid="{00000000-0010-0000-1A00-000080000000}" name="Comisiones Target" dataDxfId="2102" totalsRowDxfId="2101"/>
    <tableColumn id="19" xr3:uid="{00000000-0010-0000-1A00-000013000000}" name="% de ganancia de las comisiones" dataDxfId="2100" dataCellStyle="Porcentaje">
      <calculatedColumnFormula>IFERROR(Datos_Origen[[#This Row],[Comisiones Target]]/Datos_Origen[[#This Row],[Promedio de Comisiones  ]],"")</calculatedColumnFormula>
    </tableColumn>
    <tableColumn id="23" xr3:uid="{00000000-0010-0000-1A00-000017000000}" name="N Salarios de la Bonificación" dataDxfId="2099" totalsRowDxfId="2098" dataCellStyle="Millares"/>
    <tableColumn id="129" xr3:uid="{00000000-0010-0000-1A00-000081000000}" name="Bonificación Anual" dataDxfId="2097" totalsRowDxfId="2096">
      <calculatedColumnFormula>Datos_Origen[[#This Row],[N Salarios de la Bonificación]]*Datos_Origen[[#This Row],[Básico]]/12</calculatedColumnFormula>
    </tableColumn>
    <tableColumn id="110" xr3:uid="{00000000-0010-0000-1A00-00006E000000}" name="N Salarios de la Bonificación2" dataDxfId="2095" totalsRowDxfId="2094" dataCellStyle="Millares"/>
    <tableColumn id="77" xr3:uid="{00000000-0010-0000-1A00-00004D000000}" name="Bonificación Anual 2" dataDxfId="2093">
      <calculatedColumnFormula>Datos_Origen[[#This Row],[N Salarios de la Bonificación2]]*Datos_Origen[[#This Row],[Básico]]/12</calculatedColumnFormula>
    </tableColumn>
    <tableColumn id="112" xr3:uid="{00000000-0010-0000-1A00-000070000000}" name="N Salarios de la Bonificación3" dataDxfId="2092" totalsRowDxfId="2091" dataCellStyle="Millares"/>
    <tableColumn id="35" xr3:uid="{00000000-0010-0000-1A00-000023000000}" name="Bonificación Anual 3" dataDxfId="2090" totalsRowDxfId="2089"/>
    <tableColumn id="21" xr3:uid="{00000000-0010-0000-1A00-000015000000}" name="auxilio Gasolina" dataDxfId="2088" totalsRowDxfId="2087"/>
    <tableColumn id="134" xr3:uid="{00000000-0010-0000-1A00-000086000000}" name="Auxilio educacion" dataDxfId="2086" totalsRowDxfId="2085"/>
    <tableColumn id="136" xr3:uid="{00000000-0010-0000-1A00-000088000000}" name="Otro Beneficio3" dataDxfId="2084" totalsRowDxfId="2083"/>
    <tableColumn id="138" xr3:uid="{00000000-0010-0000-1A00-00008A000000}" name="Otro Beneficio4" dataDxfId="2082" totalsRowDxfId="2081"/>
    <tableColumn id="24" xr3:uid="{00000000-0010-0000-1A00-000018000000}" name="Otro Beneficio5" dataDxfId="2080" totalsRowDxfId="2079"/>
    <tableColumn id="139" xr3:uid="{00000000-0010-0000-1A00-00008B000000}" name="Otro Beneficio6" dataDxfId="2078" totalsRowDxfId="2077"/>
    <tableColumn id="28" xr3:uid="{00000000-0010-0000-1A00-00001C000000}" name="Otro Beneficio7" dataDxfId="2076" totalsRowDxfId="2075"/>
    <tableColumn id="120" xr3:uid="{00000000-0010-0000-1A00-000078000000}" name="Otro Beneficio8" dataDxfId="2074" totalsRowDxfId="2073"/>
    <tableColumn id="51" xr3:uid="{00000000-0010-0000-1A00-000033000000}" name="Otro Beneficio9" dataDxfId="2072" totalsRowDxfId="2071"/>
    <tableColumn id="140" xr3:uid="{00000000-0010-0000-1A00-00008C000000}" name="Otro Beneficio10" dataDxfId="2070" totalsRowDxfId="2069"/>
    <tableColumn id="143" xr3:uid="{00000000-0010-0000-1A00-00008F000000}" name="% Variable" dataDxfId="2068" dataCellStyle="Porcentaje">
      <calculatedColumnFormula>IFERROR(Datos_Origen[[#This Row],[Variable]]/Datos_Origen[[#This Row],[CT]],"")</calculatedColumnFormula>
    </tableColumn>
    <tableColumn id="142" xr3:uid="{00000000-0010-0000-1A00-00008E000000}" name="% Beneficios" dataDxfId="2067" dataCellStyle="Porcentaje">
      <calculatedColumnFormula>IFERROR(Datos_Origen[[#This Row],[Beneficios]]/Datos_Origen[[#This Row],[CT]],"")</calculatedColumnFormula>
    </tableColumn>
    <tableColumn id="37" xr3:uid="{00000000-0010-0000-1A00-000025000000}" name="Geq" dataDxfId="2066" totalsRowDxfId="2065">
      <calculatedColumnFormula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calculatedColumnFormula>
    </tableColumn>
    <tableColumn id="41" xr3:uid="{00000000-0010-0000-1A00-000029000000}" name="Geqp" dataDxfId="2064" totalsRowDxfId="2063">
      <calculatedColumnFormula>Datos_Origen[[#This Row],[G]]/Datos_Origen[[#This Row],[Geq]]</calculatedColumnFormula>
    </tableColumn>
    <tableColumn id="46" xr3:uid="{00000000-0010-0000-1A00-00002E000000}" name="G+Veq" dataDxfId="2062" totalsRowDxfId="2061">
      <calculatedColumnFormula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calculatedColumnFormula>
    </tableColumn>
    <tableColumn id="47" xr3:uid="{00000000-0010-0000-1A00-00002F000000}" name="G+Veqp" dataDxfId="2060" totalsRowDxfId="2059">
      <calculatedColumnFormula>Datos_Origen[[#This Row],[G+V]]/Datos_Origen[[#This Row],[G+Veq]]</calculatedColumnFormula>
    </tableColumn>
    <tableColumn id="50" xr3:uid="{00000000-0010-0000-1A00-000032000000}" name="CTeq" dataDxfId="2058" totalsRowDxfId="2057">
      <calculatedColumnFormula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calculatedColumnFormula>
    </tableColumn>
    <tableColumn id="52" xr3:uid="{00000000-0010-0000-1A00-000034000000}" name="Cteqp" dataDxfId="2056" totalsRowDxfId="2055">
      <calculatedColumnFormula>Datos_Origen[[#This Row],[CT]]/Datos_Origen[[#This Row],[CTeq]]</calculatedColumnFormula>
    </tableColumn>
    <tableColumn id="91" xr3:uid="{00000000-0010-0000-1A00-00005B000000}" name="GQ1" dataDxfId="2054" totalsRowDxfId="2053">
      <calculatedColumnFormula>ROUNDUP(VLOOKUP(Datos_Origen[[#This Row],[Categoria]],Competitividad_1[#All],2,0)*IndiceIncrementoC,-3)</calculatedColumnFormula>
    </tableColumn>
    <tableColumn id="98" xr3:uid="{00000000-0010-0000-1A00-000062000000}" name="GQ1 p" dataDxfId="2052" totalsRowDxfId="2051">
      <calculatedColumnFormula>Datos_Origen[[#This Row],[G]]/Datos_Origen[[#This Row],[GQ1]]</calculatedColumnFormula>
    </tableColumn>
    <tableColumn id="97" xr3:uid="{00000000-0010-0000-1A00-000061000000}" name="G+VQ1" dataDxfId="2050" totalsRowDxfId="2049">
      <calculatedColumnFormula>ROUNDUP(VLOOKUP(Datos_Origen[[#This Row],[Categoria]],Competitividad_1[#All],3,0)*IndiceIncrementoC,-3)</calculatedColumnFormula>
    </tableColumn>
    <tableColumn id="96" xr3:uid="{00000000-0010-0000-1A00-000060000000}" name="G+VQ1 p" dataDxfId="2048" totalsRowDxfId="2047">
      <calculatedColumnFormula>Datos_Origen[[#This Row],[G+V]]/Datos_Origen[[#This Row],[G+VQ1]]</calculatedColumnFormula>
    </tableColumn>
    <tableColumn id="95" xr3:uid="{00000000-0010-0000-1A00-00005F000000}" name="CTQ1" dataDxfId="2046" totalsRowDxfId="2045">
      <calculatedColumnFormula>ROUNDUP(VLOOKUP(Datos_Origen[[#This Row],[Categoria]],Competitividad_1[#All],4,0)*IndiceIncrementoC,-3)</calculatedColumnFormula>
    </tableColumn>
    <tableColumn id="94" xr3:uid="{00000000-0010-0000-1A00-00005E000000}" name="CTQ1 p" dataDxfId="2044" totalsRowDxfId="2043">
      <calculatedColumnFormula>Datos_Origen[[#This Row],[CT]]/Datos_Origen[[#This Row],[CTQ1]]</calculatedColumnFormula>
    </tableColumn>
    <tableColumn id="92" xr3:uid="{00000000-0010-0000-1A00-00005C000000}" name="GMd" dataDxfId="2042" totalsRowDxfId="2041">
      <calculatedColumnFormula>ROUNDUP(VLOOKUP(Datos_Origen[[#This Row],[Categoria]],Competitividad_1[#All],5,0)*IndiceIncrementoC,-3)</calculatedColumnFormula>
    </tableColumn>
    <tableColumn id="99" xr3:uid="{00000000-0010-0000-1A00-000063000000}" name="GMd p" dataDxfId="2040" totalsRowDxfId="2039">
      <calculatedColumnFormula>Datos_Origen[[#This Row],[G]]/Datos_Origen[[#This Row],[GMd]]</calculatedColumnFormula>
    </tableColumn>
    <tableColumn id="100" xr3:uid="{00000000-0010-0000-1A00-000064000000}" name="G+VMd" dataDxfId="2038" totalsRowDxfId="2037">
      <calculatedColumnFormula>ROUNDUP(VLOOKUP(Datos_Origen[[#This Row],[Categoria]],Competitividad_1[#All],6,0)*IndiceIncrementoC,-3)</calculatedColumnFormula>
    </tableColumn>
    <tableColumn id="101" xr3:uid="{00000000-0010-0000-1A00-000065000000}" name="G+VMd p" dataDxfId="2036" totalsRowDxfId="2035">
      <calculatedColumnFormula>Datos_Origen[[#This Row],[G+V]]/Datos_Origen[[#This Row],[G+VMd]]</calculatedColumnFormula>
    </tableColumn>
    <tableColumn id="93" xr3:uid="{00000000-0010-0000-1A00-00005D000000}" name="CTMd" dataDxfId="2034" totalsRowDxfId="2033">
      <calculatedColumnFormula>ROUNDUP(VLOOKUP(Datos_Origen[[#This Row],[Categoria]],Competitividad_1[#All],7,0)*IndiceIncrementoC,-3)</calculatedColumnFormula>
    </tableColumn>
    <tableColumn id="90" xr3:uid="{00000000-0010-0000-1A00-00005A000000}" name="CTMd p" dataDxfId="2032" totalsRowDxfId="2031">
      <calculatedColumnFormula>Datos_Origen[[#This Row],[CT]]/Datos_Origen[[#This Row],[CTMd]]</calculatedColumnFormula>
    </tableColumn>
    <tableColumn id="123" xr3:uid="{7AC1EFC7-AE14-4145-88B9-18059B61D0A9}" name="Salario Basico Md" dataDxfId="2030" totalsRowDxfId="2029">
      <calculatedColumnFormula>+Datos_Origen[[#This Row],[GMd]]/1.17666666667</calculatedColumnFormula>
    </tableColumn>
    <tableColumn id="122" xr3:uid="{677F5507-DC31-44D6-A230-FBBCA8F3ABA3}" name="Pos% Md" dataDxfId="2028" totalsRowDxfId="2027">
      <calculatedColumnFormula>+Datos_Origen[[#This Row],[Básico Actual]]/Datos_Origen[[#This Row],[Salario Basico Md]]</calculatedColumnFormula>
    </tableColumn>
    <tableColumn id="89" xr3:uid="{00000000-0010-0000-1A00-000059000000}" name="GQ3" dataDxfId="2026" totalsRowDxfId="2025">
      <calculatedColumnFormula>ROUNDUP(VLOOKUP(Datos_Origen[[#This Row],[Categoria]],Competitividad_1[#All],8,0)*IndiceIncrementoC,-3)</calculatedColumnFormula>
    </tableColumn>
    <tableColumn id="104" xr3:uid="{00000000-0010-0000-1A00-000068000000}" name="GQ3 p" dataDxfId="2024" totalsRowDxfId="2023">
      <calculatedColumnFormula>Datos_Origen[[#This Row],[G]]/Datos_Origen[[#This Row],[GQ3]]</calculatedColumnFormula>
    </tableColumn>
    <tableColumn id="105" xr3:uid="{00000000-0010-0000-1A00-000069000000}" name="G+VQ3" dataDxfId="2022" totalsRowDxfId="2021">
      <calculatedColumnFormula>ROUNDUP(VLOOKUP(Datos_Origen[[#This Row],[Categoria]],Competitividad_1[#All],9,0)*IndiceIncrementoC,-3)</calculatedColumnFormula>
    </tableColumn>
    <tableColumn id="103" xr3:uid="{00000000-0010-0000-1A00-000067000000}" name="G+VQ3 p" dataDxfId="2020" totalsRowDxfId="2019">
      <calculatedColumnFormula>Datos_Origen[[#This Row],[G+V]]/Datos_Origen[[#This Row],[G+VQ3]]</calculatedColumnFormula>
    </tableColumn>
    <tableColumn id="102" xr3:uid="{00000000-0010-0000-1A00-000066000000}" name="CTQ3" dataDxfId="2018" totalsRowDxfId="2017">
      <calculatedColumnFormula>ROUNDUP(VLOOKUP(Datos_Origen[[#This Row],[Categoria]],Competitividad_1[#All],10,0)*IndiceIncrementoC,-3)</calculatedColumnFormula>
    </tableColumn>
    <tableColumn id="85" xr3:uid="{00000000-0010-0000-1A00-000055000000}" name="CTQ3 p" dataDxfId="2016" totalsRowDxfId="2015">
      <calculatedColumnFormula>Datos_Origen[[#This Row],[CT]]/Datos_Origen[[#This Row],[CTQ3]]</calculatedColumnFormula>
    </tableColumn>
    <tableColumn id="115" xr3:uid="{00000000-0010-0000-1A00-000073000000}" name="Salario Ordinario Pol Minimo" dataDxfId="2014" totalsRowDxfId="2013" dataCellStyle="Porcentaje">
      <calculatedColumnFormula>IF(ROUND(Datos_Origen[[#This Row],[Salario Ordinario Pol2]],-3)&lt;SMMLV,SMMLV,ROUND(Datos_Origen[[#This Row],[Salario Ordinario Pol2]],-3))</calculatedColumnFormula>
    </tableColumn>
    <tableColumn id="61" xr3:uid="{00000000-0010-0000-1A00-00003D000000}" name="Salario Ordinario Pol" dataDxfId="2012" totalsRowDxfId="2011">
      <calculatedColumnFormula>IF(Datos_Origen[[#This Row],[Gpol]]/(1+FactorPrestacionalOrdinario)&lt;SMMLV,SMMLV,Datos_Origen[[#This Row],[Gpol]]/(1+FactorPrestacionalOrdinario))</calculatedColumnFormula>
    </tableColumn>
    <tableColumn id="60" xr3:uid="{00000000-0010-0000-1A00-00003C000000}" name="Salario Ordinario Polp" dataDxfId="2010" totalsRowDxfId="2009">
      <calculatedColumnFormula>IFERROR(IF(Datos_Origen[[#This Row],[Salarios Año]]=14.12,Datos_Origen[[#This Row],[Básico]]/Datos_Origen[[#This Row],[Salario Ordinario Pol]],""),"")</calculatedColumnFormula>
    </tableColumn>
    <tableColumn id="116" xr3:uid="{00000000-0010-0000-1A00-000074000000}" name="Salario Ordinario Pol Máximo" dataDxfId="2008" totalsRowDxfId="2007">
      <calculatedColumnFormula>IF(ROUND(Datos_Origen[[#This Row],[Salario Ordinario Pol22]],-3)&lt;SMMLV,SMMLV,ROUND(Datos_Origen[[#This Row],[Salario Ordinario Pol22]],-3))</calculatedColumnFormula>
    </tableColumn>
    <tableColumn id="117" xr3:uid="{00000000-0010-0000-1A00-000075000000}" name="Salario Integral Pol Minimo" dataDxfId="2006" totalsRowDxfId="2005">
      <calculatedColumnFormula>IFERROR(ROUND(Datos_Origen[[#This Row],[Salario Integral Pol4]],-3),"")</calculatedColumnFormula>
    </tableColumn>
    <tableColumn id="59" xr3:uid="{00000000-0010-0000-1A00-00003B000000}" name="Salario Integral Pol" dataDxfId="2004" totalsRowDxfId="2003">
      <calculatedColumnFormula>IF((Datos_Origen[[#This Row],[Gpol]]/(1+FactorPrestacionalIntegral))&lt;(13*SMMLV),"",(Datos_Origen[[#This Row],[Gpol]]/(1+FactorPrestacionalIntegral)))</calculatedColumnFormula>
    </tableColumn>
    <tableColumn id="58" xr3:uid="{00000000-0010-0000-1A00-00003A000000}" name="Salario Integral Pol p" dataDxfId="2002" totalsRowDxfId="2001">
      <calculatedColumnFormula>IFERROR(IF(Datos_Origen[[#This Row],[Salarios Año]]=12,Datos_Origen[[#This Row],[Básico]]/Datos_Origen[[#This Row],[Salario Integral Pol]],""),"")</calculatedColumnFormula>
    </tableColumn>
    <tableColumn id="119" xr3:uid="{00000000-0010-0000-1A00-000077000000}" name="Salario Integral Pol Máximo" dataDxfId="2000" totalsRowDxfId="1999">
      <calculatedColumnFormula>IFERROR(ROUND(Datos_Origen[[#This Row],[Salario Integral Pol44]],-3),"")</calculatedColumnFormula>
    </tableColumn>
    <tableColumn id="48" xr3:uid="{00000000-0010-0000-1A00-000030000000}" name="Gpol" dataDxfId="1998" totalsRowDxfId="1997">
      <calculatedColumnFormula>Datos_Origen[[#This Row],[G+Vpol]]-Datos_Origen[[#This Row],[Variable]]</calculatedColumnFormula>
    </tableColumn>
    <tableColumn id="49" xr3:uid="{00000000-0010-0000-1A00-000031000000}" name="Gpolp" dataDxfId="1996" totalsRowDxfId="1995">
      <calculatedColumnFormula>Datos_Origen[[#This Row],[G]]/Datos_Origen[[#This Row],[Gpol]]</calculatedColumnFormula>
    </tableColumn>
    <tableColumn id="53" xr3:uid="{00000000-0010-0000-1A00-000035000000}" name="G+Vpol" dataDxfId="1994" totalsRowDxfId="1993">
      <calculatedColumnFormula>Datos_Origen[[#This Row],[Ctpol]]-Datos_Origen[[#This Row],[Beneficios]]</calculatedColumnFormula>
    </tableColumn>
    <tableColumn id="54" xr3:uid="{00000000-0010-0000-1A00-000036000000}" name="G+Vpolp" dataDxfId="1992" totalsRowDxfId="1991">
      <calculatedColumnFormula>Datos_Origen[[#This Row],[G+V]]/Datos_Origen[[#This Row],[G+Vpol]]</calculatedColumnFormula>
    </tableColumn>
    <tableColumn id="55" xr3:uid="{00000000-0010-0000-1A00-000037000000}" name="Ctpol" dataDxfId="1990" totalsRowDxfId="1989">
      <calculatedColumnFormula>ROUNDUP(VLOOKUP(Datos_Origen[[#This Row],[Categoria]],Competitividad_1[],VLOOKUP(Datos_Origen[[#This Row],[Criticidad]],PoliticaCompetitivida[],3,0),0)*VLOOKUP(Datos_Origen[[#This Row],[Criticidad]],PoliticaCompetitivida[],4,0)*IndiceIncrementoC,-3)*Ajuste_Curv</calculatedColumnFormula>
    </tableColumn>
    <tableColumn id="56" xr3:uid="{00000000-0010-0000-1A00-000038000000}" name="Ctpolp" dataDxfId="1988" totalsRowDxfId="1987">
      <calculatedColumnFormula>Datos_Origen[[#This Row],[CT]]/Datos_Origen[[#This Row],[Ctpol]]</calculatedColumnFormula>
    </tableColumn>
    <tableColumn id="57" xr3:uid="{00000000-0010-0000-1A00-000039000000}" name="Base Seguridad Social Actual" dataDxfId="1986" totalsRowDxfId="1985">
      <calculatedColumnFormula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calculatedColumnFormula>
    </tableColumn>
    <tableColumn id="62" xr3:uid="{00000000-0010-0000-1A00-00003E000000}" name="Salud" dataDxfId="1984" totalsRowDxfId="1983">
      <calculatedColumnFormula>IF(Datos_Origen[[#This Row],[Básico]]&lt;10*SMMLV,0,Datos_Origen[[#This Row],[Base Seguridad Social Actual]]*8.5%)</calculatedColumnFormula>
    </tableColumn>
    <tableColumn id="63" xr3:uid="{00000000-0010-0000-1A00-00003F000000}" name="Pensión" dataDxfId="1982" totalsRowDxfId="1981">
      <calculatedColumnFormula>Datos_Origen[[#This Row],[Base Seguridad Social Actual]]*12%</calculatedColumnFormula>
    </tableColumn>
    <tableColumn id="64" xr3:uid="{00000000-0010-0000-1A00-000040000000}" name="ARL" dataDxfId="1980" totalsRowDxfId="1979">
      <calculatedColumnFormula>Datos_Origen[[#This Row],[Base Seguridad Social Actual]]*Datos_Origen[[#This Row],[%ARL]]</calculatedColumnFormula>
    </tableColumn>
    <tableColumn id="65" xr3:uid="{00000000-0010-0000-1A00-000041000000}" name="Parafiscales" dataDxfId="1978" totalsRowDxfId="1977">
      <calculatedColumnFormula>IF(Datos_Origen[[#This Row],[Básico]]&lt;10*SMMLV,Datos_Origen[[#This Row],[Base Seguridad Social Actual]]*4%,Datos_Origen[[#This Row],[Base Seguridad Social Actual]]*9%)</calculatedColumnFormula>
    </tableColumn>
    <tableColumn id="66" xr3:uid="{00000000-0010-0000-1A00-000042000000}" name="Costo Laboral Actual" dataDxfId="1976" totalsRowDxfId="1975">
      <calculatedColumnFormula>Datos_Origen[[#This Row],[Salud]]+Datos_Origen[[#This Row],[Pensión]]+Datos_Origen[[#This Row],[ARL]]+Datos_Origen[[#This Row],[Parafiscales]]</calculatedColumnFormula>
    </tableColumn>
    <tableColumn id="67" xr3:uid="{00000000-0010-0000-1A00-000043000000}" name="Costo Total Actual" dataDxfId="1974" totalsRowDxfId="1973">
      <calculatedColumnFormula>Datos_Origen[[#This Row],[Costo Laboral Actual]]+Datos_Origen[[#This Row],[CT]]</calculatedColumnFormula>
    </tableColumn>
    <tableColumn id="68" xr3:uid="{00000000-0010-0000-1A00-000044000000}" name="Base Seguridad Social Nueva" dataDxfId="1972" totalsRowDxfId="1971">
      <calculatedColumnFormula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calculatedColumnFormula>
    </tableColumn>
    <tableColumn id="69" xr3:uid="{00000000-0010-0000-1A00-000045000000}" name="Salud Nueva" dataDxfId="1970" totalsRowDxfId="1969">
      <calculatedColumnFormula>IF(IF(Datos_Origen[[#This Row],[Salarios Año]]=12,Datos_Origen[[#This Row],[Salario Integral Pol]],Datos_Origen[[#This Row],[Salario Ordinario Pol]])&lt;10*SMMLV,0,Datos_Origen[[#This Row],[Base Seguridad Social Nueva]]*8.5%)</calculatedColumnFormula>
    </tableColumn>
    <tableColumn id="70" xr3:uid="{00000000-0010-0000-1A00-000046000000}" name="Pensión Nueva" dataDxfId="1968" totalsRowDxfId="1967">
      <calculatedColumnFormula>Datos_Origen[[#This Row],[Base Seguridad Social Nueva]]*12%</calculatedColumnFormula>
    </tableColumn>
    <tableColumn id="71" xr3:uid="{00000000-0010-0000-1A00-000047000000}" name="ARL nueva" dataDxfId="1966" totalsRowDxfId="1965">
      <calculatedColumnFormula>Datos_Origen[[#This Row],[Base Seguridad Social Nueva]]*Datos_Origen[[#This Row],[%ARL]]</calculatedColumnFormula>
    </tableColumn>
    <tableColumn id="72" xr3:uid="{00000000-0010-0000-1A00-000048000000}" name="Parafiscales Nuevos" dataDxfId="1964" totalsRowDxfId="1963">
      <calculatedColumnFormula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calculatedColumnFormula>
    </tableColumn>
    <tableColumn id="73" xr3:uid="{00000000-0010-0000-1A00-000049000000}" name="Costo Laboral Nuevo" dataDxfId="1962" totalsRowDxfId="1961">
      <calculatedColumnFormula>Datos_Origen[[#This Row],[Salud Nueva]]+Datos_Origen[[#This Row],[Pensión Nueva]]+Datos_Origen[[#This Row],[ARL nueva]]+Datos_Origen[[#This Row],[Parafiscales Nuevos]]</calculatedColumnFormula>
    </tableColumn>
    <tableColumn id="74" xr3:uid="{00000000-0010-0000-1A00-00004A000000}" name="Costo Total Nuevo" dataDxfId="1960" totalsRowDxfId="1959">
      <calculatedColumnFormula>Datos_Origen[[#This Row],[Costo Laboral Nuevo]]+Datos_Origen[[#This Row],[Ctpol]]</calculatedColumnFormula>
    </tableColumn>
    <tableColumn id="75" xr3:uid="{00000000-0010-0000-1A00-00004B000000}" name="Costo Mensual de Nivelación" dataDxfId="1958" totalsRowDxfId="1957">
      <calculatedColumnFormula>IF(Datos_Origen[[#This Row],[Ctpol]]-Datos_Origen[[#This Row],[CT]]&lt;=0,0,Datos_Origen[[#This Row],[Costo Total Nuevo]]-Datos_Origen[[#This Row],[Costo Total Actual]])</calculatedColumnFormula>
    </tableColumn>
    <tableColumn id="109" xr3:uid="{00000000-0010-0000-1A00-00006D000000}" name="Nivelación CT" dataDxfId="1956" totalsRowDxfId="1955">
      <calculatedColumnFormula>IF(Datos_Origen[[#This Row],[Ctpol]]-Datos_Origen[[#This Row],[CT]]&lt;=0,0,Datos_Origen[[#This Row],[Ctpol]]-Datos_Origen[[#This Row],[CT]])</calculatedColumnFormula>
    </tableColumn>
    <tableColumn id="108" xr3:uid="{00000000-0010-0000-1A00-00006C000000}" name="Nivelación Costo Laboral" dataDxfId="1954" totalsRowDxfId="1953">
      <calculatedColumnFormula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calculatedColumnFormula>
    </tableColumn>
    <tableColumn id="76" xr3:uid="{00000000-0010-0000-1A00-00004C000000}" name="CT Mediana" dataDxfId="1952" totalsRowDxfId="1951">
      <calculatedColumnFormula>ROUNDDOWN(VLOOKUP(Datos_Origen[[#This Row],[Categoria]],Competitividad_1[],7,0)*IndiceIncrementoC,-3)</calculatedColumnFormula>
    </tableColumn>
    <tableColumn id="106" xr3:uid="{00000000-0010-0000-1A00-00006A000000}" name="80% Equidad" dataDxfId="1950" totalsRowDxfId="1949">
      <calculatedColumnFormula>Datos_Origen[[#This Row],[CTeq]]*0.8</calculatedColumnFormula>
    </tableColumn>
    <tableColumn id="107" xr3:uid="{00000000-0010-0000-1A00-00006B000000}" name="120% Equidad" dataDxfId="1948" totalsRowDxfId="1947">
      <calculatedColumnFormula>Datos_Origen[[#This Row],[CTeq]]*1.2</calculatedColumnFormula>
    </tableColumn>
    <tableColumn id="26" xr3:uid="{00000000-0010-0000-1A00-00001A000000}" name="Salario Ordinario Pol2" dataDxfId="1946" totalsRowDxfId="1945">
      <calculatedColumnFormula>IF(Datos_Origen[[#This Row],[Gpol6]]/(1+FactorPrestacionalOrdinario)&lt;SMMLV,SMMLV,Datos_Origen[[#This Row],[Gpol6]]/(1+FactorPrestacionalOrdinario))</calculatedColumnFormula>
    </tableColumn>
    <tableColumn id="34" xr3:uid="{00000000-0010-0000-1A00-000022000000}" name="Salario Integral Pol4" dataDxfId="1944" totalsRowDxfId="1943">
      <calculatedColumnFormula>IF((Datos_Origen[[#This Row],[Gpol6]]/(1+FactorPrestacionalIntegral))&lt;(13*SMMLV),"",(Datos_Origen[[#This Row],[Gpol6]]/(1+FactorPrestacionalIntegral)))</calculatedColumnFormula>
    </tableColumn>
    <tableColumn id="36" xr3:uid="{00000000-0010-0000-1A00-000024000000}" name="Gpol6" dataDxfId="1942" totalsRowDxfId="1941">
      <calculatedColumnFormula>Datos_Origen[[#This Row],[G+Vpol8]]</calculatedColumnFormula>
    </tableColumn>
    <tableColumn id="78" xr3:uid="{00000000-0010-0000-1A00-00004E000000}" name="G+Vpol8" dataDxfId="1940" totalsRowDxfId="1939">
      <calculatedColumnFormula>Datos_Origen[[#This Row],[Ctpol10]]-Datos_Origen[[#This Row],[Beneficios]]</calculatedColumnFormula>
    </tableColumn>
    <tableColumn id="80" xr3:uid="{00000000-0010-0000-1A00-000050000000}" name="Ctpol10" dataDxfId="1938" totalsRowDxfId="1937">
      <calculatedColumnFormula>Datos_Origen[[#This Row],[Ctpol]]*$CM$6</calculatedColumnFormula>
    </tableColumn>
    <tableColumn id="82" xr3:uid="{00000000-0010-0000-1A00-000052000000}" name="Salario Ordinario Pol22" dataDxfId="1936" totalsRowDxfId="1935">
      <calculatedColumnFormula>IF(Datos_Origen[[#This Row],[Gpol66]]/(1+FactorPrestacionalOrdinario)&lt;SMMLV,SMMLV,Datos_Origen[[#This Row],[Gpol66]]/(1+FactorPrestacionalOrdinario))</calculatedColumnFormula>
    </tableColumn>
    <tableColumn id="84" xr3:uid="{00000000-0010-0000-1A00-000054000000}" name="Salario Integral Pol44" dataDxfId="1934" totalsRowDxfId="1933">
      <calculatedColumnFormula>IF((Datos_Origen[[#This Row],[Gpol66]]/(1+FactorPrestacionalIntegral))&lt;(13*SMMLV),"",(Datos_Origen[[#This Row],[Gpol66]]/(1+FactorPrestacionalIntegral)))</calculatedColumnFormula>
    </tableColumn>
    <tableColumn id="87" xr3:uid="{00000000-0010-0000-1A00-000057000000}" name="Gpol66" dataDxfId="1932" totalsRowDxfId="1931">
      <calculatedColumnFormula>Datos_Origen[[#This Row],[G+Vpol88]]</calculatedColumnFormula>
    </tableColumn>
    <tableColumn id="111" xr3:uid="{00000000-0010-0000-1A00-00006F000000}" name="G+Vpol88" dataDxfId="1930" totalsRowDxfId="1929">
      <calculatedColumnFormula>Datos_Origen[[#This Row],[Ctpol1010]]-Datos_Origen[[#This Row],[Beneficios]]</calculatedColumnFormula>
    </tableColumn>
    <tableColumn id="113" xr3:uid="{00000000-0010-0000-1A00-000071000000}" name="Ctpol1010" dataDxfId="1928" totalsRowDxfId="1927">
      <calculatedColumnFormula>Datos_Origen[[#This Row],[Ctpol]]*$CP$6</calculatedColumnFormula>
    </tableColumn>
    <tableColumn id="135" xr3:uid="{00000000-0010-0000-1A00-000087000000}" name="Costo Mensual Sobrepago" dataDxfId="1926" totalsRowDxfId="1925">
      <calculatedColumnFormula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calculatedColumnFormula>
    </tableColumn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9000000}" name="Cargos_Catalogo" displayName="Cargos_Catalogo" ref="B5:AT86" totalsRowShown="0" headerRowDxfId="1922" dataDxfId="1920" headerRowBorderDxfId="1921" tableBorderDxfId="1919">
  <sortState xmlns:xlrd2="http://schemas.microsoft.com/office/spreadsheetml/2017/richdata2" ref="B6:AT86">
    <sortCondition descending="1" ref="G5:G86"/>
  </sortState>
  <tableColumns count="45">
    <tableColumn id="2" xr3:uid="{00000000-0010-0000-1900-000002000000}" name="Cargo" dataDxfId="1918"/>
    <tableColumn id="44" xr3:uid="{FE16E6F4-859E-4A0F-906F-59D292A06DEF}" name="Taller" dataDxfId="1917"/>
    <tableColumn id="45" xr3:uid="{08AD0CC2-A250-426E-9544-A3CC6C821BDF}" name="Area Especifica" dataDxfId="1916">
      <calculatedColumnFormula>+VLOOKUP(Cargos_Catalogo[[#This Row],[Cargo]],'[2]Información por cargo'!$D:$L,9)</calculatedColumnFormula>
    </tableColumn>
    <tableColumn id="32" xr3:uid="{00000000-0010-0000-1900-000020000000}" name="Área" dataDxfId="1915"/>
    <tableColumn id="41" xr3:uid="{00000000-0010-0000-1900-000029000000}" name="Cargo Homologado" dataDxfId="1914"/>
    <tableColumn id="3" xr3:uid="{00000000-0010-0000-1900-000003000000}" name="Puntos" dataDxfId="1913">
      <calculatedColumnFormula>IFERROR(IF(Cargos_Catalogo[[#This Row],[PuntosF]]="",ROUND(Cargos_Catalogo[[#This Row],[Total Puntos1]]+Cargos_Catalogo[[#This Row],[Total Puntos2]]+Cargos_Catalogo[[#This Row],[PuntosRR]],0),Cargos_Catalogo[PuntosF]),"")</calculatedColumnFormula>
    </tableColumn>
    <tableColumn id="7" xr3:uid="{00000000-0010-0000-1900-000007000000}" name="Conocimientos" dataDxfId="1912"/>
    <tableColumn id="8" xr3:uid="{00000000-0010-0000-1900-000008000000}" name="Experiencia Específica" dataDxfId="1911"/>
    <tableColumn id="9" xr3:uid="{00000000-0010-0000-1900-000009000000}" name="Habilidad Gerencial" dataDxfId="1910"/>
    <tableColumn id="10" xr3:uid="{00000000-0010-0000-1900-00000A000000}" name="Rol del Cargo" dataDxfId="1909"/>
    <tableColumn id="11" xr3:uid="{00000000-0010-0000-1900-00000B000000}" name="PuntosC&amp;H" dataDxfId="1908">
      <calculatedColumnFormula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calculatedColumnFormula>
    </tableColumn>
    <tableColumn id="12" xr3:uid="{00000000-0010-0000-1900-00000C000000}" name="Contacto" dataDxfId="1907"/>
    <tableColumn id="13" xr3:uid="{00000000-0010-0000-1900-00000D000000}" name="Frecuencia del Contacto" dataDxfId="1906"/>
    <tableColumn id="14" xr3:uid="{00000000-0010-0000-1900-00000E000000}" name="Contenido de las Relaciones" dataDxfId="1905"/>
    <tableColumn id="15" xr3:uid="{00000000-0010-0000-1900-00000F000000}" name="PuntosHC" dataDxfId="1904">
      <calculatedColumnFormula>IFERROR(VLOOKUP(Cargos_Catalogo[[#This Row],[Contacto]]&amp;" "&amp;Cargos_Catalogo[[#This Row],[Frecuencia del Contacto]]&amp;" "&amp;Cargos_Catalogo[[#This Row],[Contenido de las Relaciones]],Factor_2[],MATCH(Factor_2[[#Headers],[Puntos]],Factor_2[#Headers],0),FALSE),"")</calculatedColumnFormula>
    </tableColumn>
    <tableColumn id="21" xr3:uid="{00000000-0010-0000-1900-000015000000}" name="Total Puntos1" dataDxfId="1903">
      <calculatedColumnFormula>IFERROR(Cargos_Catalogo[[#This Row],[PuntosC&amp;H]]+Cargos_Catalogo[[#This Row],[PuntosHC]],"")</calculatedColumnFormula>
    </tableColumn>
    <tableColumn id="22" xr3:uid="{00000000-0010-0000-1900-000016000000}" name="Complejidad Conceptual" dataDxfId="1902"/>
    <tableColumn id="23" xr3:uid="{00000000-0010-0000-1900-000017000000}" name="TendenciaCC" dataDxfId="1901"/>
    <tableColumn id="24" xr3:uid="{00000000-0010-0000-1900-000018000000}" name="Guias de Apoyo" dataDxfId="1900"/>
    <tableColumn id="25" xr3:uid="{00000000-0010-0000-1900-000019000000}" name="TendenciaGA" dataDxfId="1899"/>
    <tableColumn id="26" xr3:uid="{00000000-0010-0000-1900-00001A000000}" name="Porcentaje" dataDxfId="1898">
      <calculatedColumnFormula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calculatedColumnFormula>
    </tableColumn>
    <tableColumn id="27" xr3:uid="{00000000-0010-0000-1900-00001B000000}" name="Total Puntos2" dataDxfId="1897">
      <calculatedColumnFormula>IFERROR(Cargos_Catalogo[[#This Row],[Total Puntos1]]*Cargos_Catalogo[[#This Row],[Porcentaje]],"")</calculatedColumnFormula>
    </tableColumn>
    <tableColumn id="28" xr3:uid="{00000000-0010-0000-1900-00001C000000}" name="Impacto del cargo" dataDxfId="1896"/>
    <tableColumn id="29" xr3:uid="{00000000-0010-0000-1900-00001D000000}" name="Autonomia" dataDxfId="1895"/>
    <tableColumn id="30" xr3:uid="{00000000-0010-0000-1900-00001E000000}" name="Magnitud de Cifras" dataDxfId="1894"/>
    <tableColumn id="31" xr3:uid="{00000000-0010-0000-1900-00001F000000}" name="PuntosRR" dataDxfId="1893">
      <calculatedColumnFormula>IFERROR(VLOOKUP(Cargos_Catalogo[[#This Row],[Impacto del cargo]]&amp;" "&amp;Cargos_Catalogo[[#This Row],[Autonomia]]&amp;" "&amp;Cargos_Catalogo[[#This Row],[Magnitud de Cifras]],Factor_4[],MATCH(Factor_4[[#Headers],[Puntos]],Factor_4[#Headers],0),FALSE),"")</calculatedColumnFormula>
    </tableColumn>
    <tableColumn id="35" xr3:uid="{00000000-0010-0000-1900-000023000000}" name="Criterio 1" dataDxfId="1892"/>
    <tableColumn id="34" xr3:uid="{00000000-0010-0000-1900-000022000000}" name="Criterio 2" dataDxfId="1891"/>
    <tableColumn id="33" xr3:uid="{00000000-0010-0000-1900-000021000000}" name="Criterio 3" dataDxfId="1890"/>
    <tableColumn id="16" xr3:uid="{00000000-0010-0000-1900-000010000000}" name="Categoria" dataDxfId="1889">
      <calculatedColumnFormula>IFERROR(IF(Cargos_Catalogo[[#This Row],[CategoriaF]]="",VLOOKUP(Cargos_Catalogo[[#This Row],[Puntos]],Categorias_Registro[],MATCH(Categorias_Registro[[#Headers],[Categoria]],Categorias_Registro[#Headers],0),FALSE),Cargos_Catalogo[CategoriaF]),"")</calculatedColumnFormula>
    </tableColumn>
    <tableColumn id="19" xr3:uid="{00000000-0010-0000-1900-000013000000}" name="Criticidad" dataDxfId="1888">
      <calculatedColumnFormula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calculatedColumnFormula>
    </tableColumn>
    <tableColumn id="20" xr3:uid="{00000000-0010-0000-1900-000014000000}" name="Nivel" dataDxfId="1887">
      <calculatedColumnFormula>IFERROR(IF(Cargos_Catalogo[[#This Row],[NivelF]]="",VLOOKUP(Cargos_Catalogo[[#This Row],[Categoria]],Niveles_Registro[],MATCH(Niveles_Registro[[#Headers],[Nivel]],Niveles_Registro[#Headers],0),FALSE),Cargos_Catalogo[NivelF]),"")</calculatedColumnFormula>
    </tableColumn>
    <tableColumn id="17" xr3:uid="{00000000-0010-0000-1900-000011000000}" name="Frecuencia" dataDxfId="1886">
      <calculatedColumnFormula>COUNTIF(Datos_Origen[Cargo Tipo Valorado],Cargos_Catalogo[[#This Row],[Cargo]])</calculatedColumnFormula>
    </tableColumn>
    <tableColumn id="4" xr3:uid="{00000000-0010-0000-1900-000004000000}" name="G" dataDxfId="1885">
      <calculatedColumnFormula>IFERROR(SUMIFS(Datos_Origen[G],Datos_Origen[Cargo Tipo Valorado],Cargos_Catalogo[[#This Row],[Cargo]])/Cargos_Catalogo[[#This Row],[Frecuencia]],0)</calculatedColumnFormula>
    </tableColumn>
    <tableColumn id="5" xr3:uid="{00000000-0010-0000-1900-000005000000}" name="G+V" dataDxfId="1884">
      <calculatedColumnFormula>IFERROR(SUMIFS(Datos_Origen[G+V],Datos_Origen[Cargo Tipo Valorado],Cargos_Catalogo[[#This Row],[Cargo]])/Cargos_Catalogo[[#This Row],[Frecuencia]],0)</calculatedColumnFormula>
    </tableColumn>
    <tableColumn id="6" xr3:uid="{00000000-0010-0000-1900-000006000000}" name="CT" dataDxfId="1883">
      <calculatedColumnFormula>IFERROR(SUMIFS(Datos_Origen[CT],Datos_Origen[Cargo Tipo Valorado],Cargos_Catalogo[[#This Row],[Cargo]])/Cargos_Catalogo[[#This Row],[Frecuencia]],0)</calculatedColumnFormula>
    </tableColumn>
    <tableColumn id="40" xr3:uid="{00000000-0010-0000-1900-000028000000}" name="Nivel Forzado" dataDxfId="1882">
      <calculatedColumnFormula>IF(COUNTA(Cargos_Catalogo[[#This Row],[PuntosF]:[CriticidadF]])=0,"",COUNTA(Cargos_Catalogo[[#This Row],[PuntosF]:[CriticidadF]]))</calculatedColumnFormula>
    </tableColumn>
    <tableColumn id="39" xr3:uid="{00000000-0010-0000-1900-000027000000}" name="PuntosF" dataDxfId="1881"/>
    <tableColumn id="38" xr3:uid="{00000000-0010-0000-1900-000026000000}" name="CategoriaF" dataDxfId="1880"/>
    <tableColumn id="37" xr3:uid="{00000000-0010-0000-1900-000025000000}" name="NivelF" dataDxfId="1879"/>
    <tableColumn id="36" xr3:uid="{00000000-0010-0000-1900-000024000000}" name="CriticidadF" dataDxfId="1878"/>
    <tableColumn id="18" xr3:uid="{00000000-0010-0000-1900-000012000000}" name="Nivel SHR" dataDxfId="1877">
      <calculatedColumnFormula>IFERROR(VLOOKUP(Cargos_Catalogo[[#This Row],[Categoria]],NivelSHR[],2,1),"")</calculatedColumnFormula>
    </tableColumn>
    <tableColumn id="43" xr3:uid="{00000000-0010-0000-1900-00002B000000}" name="Variable Target Constitutivo de Salario" dataDxfId="1876">
      <calculatedColumnFormula>IFERROR(SUMIFS(Datos_Origen[[Promedio de Comisiones  ]],Datos_Origen[Cargo Tipo Valorado],Cargos_Catalogo[[#This Row],[Cargo]])/Cargos_Catalogo[[#This Row],[Frecuencia]],0)</calculatedColumnFormula>
    </tableColumn>
    <tableColumn id="42" xr3:uid="{00000000-0010-0000-1900-00002A000000}" name="Variable Target No Constitutivo de Salario" dataDxfId="1875"/>
    <tableColumn id="1" xr3:uid="{00000000-0010-0000-1900-000001000000}" name="Observación" dataDxfId="1874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B000000}" name="Indice_Ajuste_Tiempo2831" displayName="Indice_Ajuste_Tiempo2831" ref="B13:D29" totalsRowShown="0" headerRowDxfId="1873" dataDxfId="1871" headerRowBorderDxfId="1872" tableBorderDxfId="1870" totalsRowBorderDxfId="1869">
  <autoFilter ref="B13:D29" xr:uid="{00000000-0009-0000-0100-00001E000000}"/>
  <tableColumns count="3">
    <tableColumn id="1" xr3:uid="{00000000-0010-0000-1B00-000001000000}" name="Año" dataDxfId="1868"/>
    <tableColumn id="2" xr3:uid="{00000000-0010-0000-1B00-000002000000}" name="% Variación" dataDxfId="1867"/>
    <tableColumn id="3" xr3:uid="{00000000-0010-0000-1B00-000003000000}" name="Indice" dataDxfId="1866"/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C000000}" name="Indice_Ajuste_Tiempo" displayName="Indice_Ajuste_Tiempo" ref="F13:H29" totalsRowShown="0" headerRowDxfId="1865" dataDxfId="1864" tableBorderDxfId="1863">
  <autoFilter ref="F13:H29" xr:uid="{00000000-0009-0000-0100-000018000000}"/>
  <tableColumns count="3">
    <tableColumn id="1" xr3:uid="{00000000-0010-0000-1C00-000001000000}" name="Año" dataDxfId="1862" dataCellStyle="Millares"/>
    <tableColumn id="2" xr3:uid="{00000000-0010-0000-1C00-000002000000}" name="% Variación" dataDxfId="1861"/>
    <tableColumn id="3" xr3:uid="{00000000-0010-0000-1C00-000003000000}" name="Indice" dataDxfId="1860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D000000}" name="PoliticaCompetitivida" displayName="PoliticaCompetitivida" ref="B8:E12" totalsRowShown="0" headerRowDxfId="1859" dataDxfId="1857" headerRowBorderDxfId="1858" tableBorderDxfId="1856" totalsRowBorderDxfId="1855">
  <autoFilter ref="B8:E12" xr:uid="{00000000-0009-0000-0100-00001C000000}"/>
  <tableColumns count="4">
    <tableColumn id="1" xr3:uid="{00000000-0010-0000-1D00-000001000000}" name="Criticidad" dataDxfId="1854"/>
    <tableColumn id="2" xr3:uid="{00000000-0010-0000-1D00-000002000000}" name="Estadístico" dataDxfId="1853"/>
    <tableColumn id="3" xr3:uid="{00000000-0010-0000-1D00-000003000000}" name="Código" dataDxfId="1852">
      <calculatedColumnFormula>VLOOKUP(PoliticaCompetitivida[[#This Row],[Estadístico]],Codigo[],2,0)</calculatedColumnFormula>
    </tableColumn>
    <tableColumn id="4" xr3:uid="{00000000-0010-0000-1D00-000004000000}" name="Ajuste" dataDxfId="1851"/>
  </tableColumns>
  <tableStyleInfo name="TableStyleMedium4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E000000}" name="Codigo" displayName="Codigo" ref="G8:H11" totalsRowShown="0" headerRowDxfId="1850" dataDxfId="1849" tableBorderDxfId="1848">
  <autoFilter ref="G8:H11" xr:uid="{00000000-0009-0000-0100-00001D000000}"/>
  <tableColumns count="2">
    <tableColumn id="1" xr3:uid="{00000000-0010-0000-1E00-000001000000}" name="Estadístico" dataDxfId="1847"/>
    <tableColumn id="2" xr3:uid="{00000000-0010-0000-1E00-000002000000}" name="Código" dataDxfId="1846"/>
  </tableColumns>
  <tableStyleInfo name="TableStyleMedium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F000000}" name="Politica" displayName="Politica" ref="B17:D21" totalsRowShown="0" headerRowDxfId="1845" dataDxfId="1844" tableBorderDxfId="1843">
  <autoFilter ref="B17:D21" xr:uid="{00000000-0009-0000-0100-00001A000000}"/>
  <tableColumns count="3">
    <tableColumn id="1" xr3:uid="{00000000-0010-0000-1F00-000001000000}" name="Criticidad" dataDxfId="1842"/>
    <tableColumn id="2" xr3:uid="{00000000-0010-0000-1F00-000002000000}" name="Estadístico" dataDxfId="1841"/>
    <tableColumn id="4" xr3:uid="{00000000-0010-0000-1F00-000004000000}" name="Ajuste" dataDxfId="1840"/>
  </tableColumns>
  <tableStyleInfo name="TableStyleMedium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0000000}" name="Competitividad_1" displayName="Competitividad_1" ref="B4:L29" totalsRowShown="0" headerRowDxfId="3827" dataDxfId="3825" headerRowBorderDxfId="3826" tableBorderDxfId="3824" totalsRowBorderDxfId="3823">
  <autoFilter ref="B4:L29" xr:uid="{00000000-0009-0000-0100-000020000000}"/>
  <tableColumns count="11">
    <tableColumn id="1" xr3:uid="{00000000-0010-0000-2000-000001000000}" name="Cat" dataDxfId="3822"/>
    <tableColumn id="2" xr3:uid="{00000000-0010-0000-2000-000002000000}" name="1" dataDxfId="3821">
      <calculatedColumnFormula>VLOOKUP(Competitividad_1[[#This Row],[Punto Medio]],$AF$18:$AH$21,2,1)*Competitividad_1[[#This Row],[Punto Medio]]+VLOOKUP(Competitividad_1[[#This Row],[Punto Medio]],$AF$18:$AH$21,3,1)</calculatedColumnFormula>
    </tableColumn>
    <tableColumn id="3" xr3:uid="{00000000-0010-0000-2000-000003000000}" name="2" dataDxfId="3820">
      <calculatedColumnFormula>VLOOKUP(Competitividad_1[[#This Row],[Punto Medio]],$AI$18:$AK$21,2,1)*Competitividad_1[[#This Row],[Punto Medio]]+VLOOKUP(Competitividad_1[[#This Row],[Punto Medio]],$AI$18:$AK$21,3,1)</calculatedColumnFormula>
    </tableColumn>
    <tableColumn id="4" xr3:uid="{00000000-0010-0000-2000-000004000000}" name="3" dataDxfId="3819">
      <calculatedColumnFormula>VLOOKUP(Competitividad_1[[#This Row],[Punto Medio]],$AL$18:$AN$21,2,1)*Competitividad_1[[#This Row],[Punto Medio]]+VLOOKUP(Competitividad_1[[#This Row],[Punto Medio]],$AL$18:$AN$21,3,1)</calculatedColumnFormula>
    </tableColumn>
    <tableColumn id="5" xr3:uid="{00000000-0010-0000-2000-000005000000}" name="4" dataDxfId="3818">
      <calculatedColumnFormula>VLOOKUP(Competitividad_1[[#This Row],[Punto Medio]],$AF$11:$AH$14,2,1)*Competitividad_1[[#This Row],[Punto Medio]]+VLOOKUP(Competitividad_1[[#This Row],[Punto Medio]],$AF$11:$AH$14,3,1)</calculatedColumnFormula>
    </tableColumn>
    <tableColumn id="6" xr3:uid="{00000000-0010-0000-2000-000006000000}" name="5" dataDxfId="3817">
      <calculatedColumnFormula>VLOOKUP(Competitividad_1[[#This Row],[Punto Medio]],$AI$11:$AK$14,2,1)*Competitividad_1[[#This Row],[Punto Medio]]+VLOOKUP(Competitividad_1[[#This Row],[Punto Medio]],$AI$11:$AK$14,3,1)</calculatedColumnFormula>
    </tableColumn>
    <tableColumn id="7" xr3:uid="{00000000-0010-0000-2000-000007000000}" name="6" dataDxfId="3816">
      <calculatedColumnFormula>VLOOKUP(Competitividad_1[[#This Row],[Punto Medio]],$AL$11:$AN$14,2,1)*Competitividad_1[[#This Row],[Punto Medio]]+VLOOKUP(Competitividad_1[[#This Row],[Punto Medio]],$AL$11:$AN$14,3,1)</calculatedColumnFormula>
    </tableColumn>
    <tableColumn id="8" xr3:uid="{00000000-0010-0000-2000-000008000000}" name="7" dataDxfId="3815">
      <calculatedColumnFormula>VLOOKUP(Competitividad_1[[#This Row],[Punto Medio]],$AF$25:$AH$28,2,1)*Competitividad_1[[#This Row],[Punto Medio]]+VLOOKUP(Competitividad_1[[#This Row],[Punto Medio]],$AF$25:$AH$28,3,1)</calculatedColumnFormula>
    </tableColumn>
    <tableColumn id="9" xr3:uid="{00000000-0010-0000-2000-000009000000}" name="8" dataDxfId="3814">
      <calculatedColumnFormula>VLOOKUP(Competitividad_1[[#This Row],[Punto Medio]],$AI$25:$AK$28,2,1)*Competitividad_1[[#This Row],[Punto Medio]]+VLOOKUP(Competitividad_1[[#This Row],[Punto Medio]],$AI$25:$AK$28,3,1)</calculatedColumnFormula>
    </tableColumn>
    <tableColumn id="10" xr3:uid="{00000000-0010-0000-2000-00000A000000}" name="9" dataDxfId="3813">
      <calculatedColumnFormula>VLOOKUP(Competitividad_1[[#This Row],[Punto Medio]],$AL$25:$AN$28,2,1)*Competitividad_1[[#This Row],[Punto Medio]]+VLOOKUP(Competitividad_1[[#This Row],[Punto Medio]],$AL$25:$AN$28,3,1)</calculatedColumnFormula>
    </tableColumn>
    <tableColumn id="11" xr3:uid="{00000000-0010-0000-2000-00000B000000}" name="Punto Medio" dataDxfId="381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1000000}" name="Criticidad_Registro" displayName="Criticidad_Registro" ref="B2:E6" totalsRowShown="0" headerRowDxfId="53" dataDxfId="51" headerRowBorderDxfId="52">
  <autoFilter ref="B2:E6" xr:uid="{00000000-0009-0000-0100-000006000000}"/>
  <tableColumns count="4">
    <tableColumn id="4" xr3:uid="{00000000-0010-0000-2100-000004000000}" name="#Aspectos" dataDxfId="50"/>
    <tableColumn id="1" xr3:uid="{00000000-0010-0000-2100-000001000000}" name="Criticidad" dataDxfId="49"/>
    <tableColumn id="2" xr3:uid="{00000000-0010-0000-2100-000002000000}" name="Criterio" dataDxfId="48"/>
    <tableColumn id="3" xr3:uid="{00000000-0010-0000-2100-000003000000}" name="Frecuencia" dataDxfId="47">
      <calculatedColumnFormula>COUNTIF(Cargos_Catalogo[Criticidad],Criticidad_Registro[[#This Row],[Criticidad]])</calculatedColumnFormula>
    </tableColumn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22000000}" name="Niveles_Registro" displayName="Niveles_Registro" ref="B2:D27" totalsRowShown="0" headerRowDxfId="46" dataDxfId="44" headerRowBorderDxfId="45">
  <autoFilter ref="B2:D27" xr:uid="{00000000-0009-0000-0100-000005000000}"/>
  <tableColumns count="3">
    <tableColumn id="1" xr3:uid="{00000000-0010-0000-2200-000001000000}" name="Categoría" dataDxfId="43"/>
    <tableColumn id="2" xr3:uid="{00000000-0010-0000-2200-000002000000}" name="Nivel" dataDxfId="42"/>
    <tableColumn id="3" xr3:uid="{00000000-0010-0000-2200-000003000000}" name="Propuesta" dataDxfId="41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23000000}" name="NivelSHR" displayName="NivelSHR" ref="B2:C8" totalsRowShown="0" headerRowDxfId="40" dataDxfId="38" headerRowBorderDxfId="39" tableBorderDxfId="37" totalsRowBorderDxfId="36">
  <autoFilter ref="B2:C8" xr:uid="{00000000-0009-0000-0100-000019000000}"/>
  <tableColumns count="2">
    <tableColumn id="1" xr3:uid="{00000000-0010-0000-2300-000001000000}" name="Cat" dataDxfId="35"/>
    <tableColumn id="2" xr3:uid="{00000000-0010-0000-2300-000002000000}" name="Level" dataDxfId="34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24000000}" name="Factor_1" displayName="Factor_1" ref="B2:G674" totalsRowShown="0" headerRowDxfId="33" dataDxfId="31" headerRowBorderDxfId="32">
  <autoFilter ref="B2:G674" xr:uid="{00000000-0009-0000-0100-000008000000}"/>
  <tableColumns count="6">
    <tableColumn id="6" xr3:uid="{00000000-0010-0000-2400-000006000000}" name="Resultado" dataDxfId="30">
      <calculatedColumnFormula>Factor_1[[#This Row],[Conocimientos]]&amp;" "&amp;Factor_1[[#This Row],[Tendencia]]&amp;" "&amp;Factor_1[[#This Row],[Habilidad Gerencial]]&amp;" "&amp;Factor_1[[#This Row],[Rol del Cargo]]</calculatedColumnFormula>
    </tableColumn>
    <tableColumn id="1" xr3:uid="{00000000-0010-0000-2400-000001000000}" name="Conocimientos" dataDxfId="29"/>
    <tableColumn id="2" xr3:uid="{00000000-0010-0000-2400-000002000000}" name="Tendencia" dataDxfId="28"/>
    <tableColumn id="3" xr3:uid="{00000000-0010-0000-2400-000003000000}" name="Habilidad Gerencial" dataDxfId="27"/>
    <tableColumn id="4" xr3:uid="{00000000-0010-0000-2400-000004000000}" name="Rol del Cargo" dataDxfId="26"/>
    <tableColumn id="5" xr3:uid="{00000000-0010-0000-2400-000005000000}" name="Puntos" dataDxfId="25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5000000}" name="Factor_2" displayName="Factor_2" ref="B2:F62" totalsRowShown="0" headerRowDxfId="24" dataDxfId="22" headerRowBorderDxfId="23">
  <autoFilter ref="B2:F62" xr:uid="{00000000-0009-0000-0100-000009000000}"/>
  <tableColumns count="5">
    <tableColumn id="5" xr3:uid="{00000000-0010-0000-2500-000005000000}" name="Resultado" dataDxfId="21">
      <calculatedColumnFormula>Factor_2[[#This Row],[Contacto]]&amp;" "&amp;Factor_2[[#This Row],[Frecuencia del Contacto]]&amp;" "&amp;Factor_2[[#This Row],[Contenido de las Relaciones]]</calculatedColumnFormula>
    </tableColumn>
    <tableColumn id="1" xr3:uid="{00000000-0010-0000-2500-000001000000}" name="Contacto" dataDxfId="20"/>
    <tableColumn id="2" xr3:uid="{00000000-0010-0000-2500-000002000000}" name="Frecuencia del Contacto" dataDxfId="19"/>
    <tableColumn id="3" xr3:uid="{00000000-0010-0000-2500-000003000000}" name="Contenido de las Relaciones" dataDxfId="18"/>
    <tableColumn id="4" xr3:uid="{00000000-0010-0000-2500-000004000000}" name="Puntos" dataDxfId="17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26000000}" name="Factor_3" displayName="Factor_3" ref="B2:G362" totalsRowShown="0" headerRowDxfId="16" dataDxfId="14" headerRowBorderDxfId="15">
  <autoFilter ref="B2:G362" xr:uid="{00000000-0009-0000-0100-00000A000000}"/>
  <tableColumns count="6">
    <tableColumn id="6" xr3:uid="{00000000-0010-0000-2600-000006000000}" name="Resultado" dataDxfId="13">
      <calculatedColumnFormula>Factor_3[[#This Row],[Complejidad Conceptual]]&amp;" "&amp;Factor_3[[#This Row],[Tendencia]]&amp;" "&amp;Factor_3[[#This Row],[Guias de Apoyo]]&amp;" "&amp;Factor_3[[#This Row],[Tendencia2]]</calculatedColumnFormula>
    </tableColumn>
    <tableColumn id="1" xr3:uid="{00000000-0010-0000-2600-000001000000}" name="Complejidad Conceptual" dataDxfId="12"/>
    <tableColumn id="2" xr3:uid="{00000000-0010-0000-2600-000002000000}" name="Tendencia" dataDxfId="11"/>
    <tableColumn id="3" xr3:uid="{00000000-0010-0000-2600-000003000000}" name="Guias de Apoyo" dataDxfId="10"/>
    <tableColumn id="4" xr3:uid="{00000000-0010-0000-2600-000004000000}" name="Tendencia2" dataDxfId="9"/>
    <tableColumn id="5" xr3:uid="{00000000-0010-0000-2600-000005000000}" name="Puntos" dataDxfId="8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27000000}" name="Factor_4" displayName="Factor_4" ref="B2:F394" totalsRowShown="0" headerRowDxfId="7" dataDxfId="5" headerRowBorderDxfId="6">
  <autoFilter ref="B2:F394" xr:uid="{00000000-0009-0000-0100-00000B000000}"/>
  <tableColumns count="5">
    <tableColumn id="5" xr3:uid="{00000000-0010-0000-2700-000005000000}" name="Resultado" dataDxfId="4">
      <calculatedColumnFormula>Factor_4[[#This Row],[Impacto del cargo]]&amp;" "&amp;Factor_4[[#This Row],[Autonomia]]&amp;" "&amp;Factor_4[[#This Row],[Magnitud de Cifras]]</calculatedColumnFormula>
    </tableColumn>
    <tableColumn id="1" xr3:uid="{00000000-0010-0000-2700-000001000000}" name="Impacto del cargo" dataDxfId="3"/>
    <tableColumn id="2" xr3:uid="{00000000-0010-0000-2700-000002000000}" name="Autonomia" dataDxfId="2"/>
    <tableColumn id="3" xr3:uid="{00000000-0010-0000-2700-000003000000}" name="Magnitud de Cifras" dataDxfId="1"/>
    <tableColumn id="4" xr3:uid="{00000000-0010-0000-2700-000004000000}" name="Puntos" dataDxfId="0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Categorias_Configuracion" displayName="Categorias_Configuracion" ref="B8:C12" totalsRowShown="0" headerRowDxfId="3811" dataDxfId="3809" headerRowBorderDxfId="3810" tableBorderDxfId="3808" totalsRowBorderDxfId="3807">
  <autoFilter ref="B8:C12" xr:uid="{00000000-0009-0000-0100-000004000000}"/>
  <tableColumns count="2">
    <tableColumn id="1" xr3:uid="{00000000-0010-0000-0000-000001000000}" name="Desde" dataDxfId="3806"/>
    <tableColumn id="2" xr3:uid="{00000000-0010-0000-0000-000002000000}" name="% Amplitud" dataDxfId="3805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Categorias_Registro" displayName="Categorias_Registro" ref="B5:H2542" totalsRowShown="0" headerRowDxfId="3804" dataDxfId="3802" headerRowBorderDxfId="3803">
  <autoFilter ref="B5:H2542" xr:uid="{00000000-0009-0000-0100-000003000000}"/>
  <tableColumns count="7">
    <tableColumn id="1" xr3:uid="{00000000-0010-0000-0100-000001000000}" name="Puntos" dataDxfId="3801">
      <calculatedColumnFormula>Techo - ROW() + ROW(Categorias_Registro[])</calculatedColumnFormula>
    </tableColumn>
    <tableColumn id="2" xr3:uid="{00000000-0010-0000-0100-000002000000}" name="Mínimo" dataDxfId="3800">
      <calculatedColumnFormula>IF(Categorias_Registro[[#This Row],[Puntos]]&lt;=ROUND(Piso,0),Piso,IF(Categorias_Registro[[#This Row],[Puntos]]&lt;D7,C7,D7+1))</calculatedColumnFormula>
    </tableColumn>
    <tableColumn id="4" xr3:uid="{00000000-0010-0000-0100-000004000000}" name="Máximo" dataDxfId="3799">
      <calculatedColumnFormula>IF(Categorias_Registro[[#This Row],[Puntos]]=ROUND(Piso,0),ROUND(Categorias_Registro[[#This Row],[Puntos]]*(1+Categorias_Registro[[#This Row],[Amplitud]]),0),IF(Categorias_Registro[[#This Row],[Puntos]]&lt;D7,D7,ROUND(D7*(1+Categorias_Registro[[#This Row],[Amplitud]]),0)))</calculatedColumnFormula>
    </tableColumn>
    <tableColumn id="3" xr3:uid="{00000000-0010-0000-0100-000003000000}" name="Categoria" dataDxfId="3798">
      <calculatedColumnFormula>E7+IF(D7=Categorias_Registro[[#This Row],[Máximo]],0,1)</calculatedColumnFormula>
    </tableColumn>
    <tableColumn id="6" xr3:uid="{00000000-0010-0000-0100-000006000000}" name="Punto Medio" dataDxfId="3797">
      <calculatedColumnFormula>ROUND(Categorias_Registro[[#This Row],[Mínimo]]+((Categorias_Registro[[#This Row],[Máximo]]-Categorias_Registro[[#This Row],[Mínimo]])/2),0)</calculatedColumnFormula>
    </tableColumn>
    <tableColumn id="5" xr3:uid="{00000000-0010-0000-0100-000005000000}" name="Amplitud" dataDxfId="3796">
      <calculatedColumnFormula>VLOOKUP(Categorias_Registro[[#This Row],[Puntos]],Categorias_Configuracion[],MATCH(Categorias_Configuracion[[#Headers],[% Amplitud]],Categorias_Configuracion[#Headers],0),TRUE)</calculatedColumnFormula>
    </tableColumn>
    <tableColumn id="7" xr3:uid="{00000000-0010-0000-0100-000007000000}" name="Rango" dataDxfId="3795">
      <calculatedColumnFormula>TEXT(Categorias_Registro[[#This Row],[Mínimo]],Formato_Rango_Categorias)&amp;" - "&amp;TEXT(Categorias_Registro[[#This Row],[Máximo]],Formato_Rango_Categorias)</calculatedColumnFormula>
    </tableColumn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Conocimientos" displayName="Conocimientos" ref="D2:E10" totalsRowShown="0" headerRowDxfId="3794" dataDxfId="3793">
  <autoFilter ref="D2:E10" xr:uid="{00000000-0009-0000-0100-00000C000000}"/>
  <tableColumns count="2">
    <tableColumn id="1" xr3:uid="{00000000-0010-0000-0200-000001000000}" name="Conocimientos" dataDxfId="3792"/>
    <tableColumn id="2" xr3:uid="{00000000-0010-0000-0200-000002000000}" name="Descripción" dataDxfId="3791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3000000}" name="Tendencia" displayName="Tendencia" ref="B2:B5" totalsRowShown="0" headerRowDxfId="3790" dataDxfId="3789">
  <autoFilter ref="B2:B5" xr:uid="{00000000-0009-0000-0100-00000D000000}"/>
  <tableColumns count="1">
    <tableColumn id="1" xr3:uid="{00000000-0010-0000-0300-000001000000}" name="Tendencia" dataDxfId="3788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4000000}" name="Habilidad_Gerencial" displayName="Habilidad_Gerencial" ref="G2:I9" totalsRowShown="0" headerRowDxfId="3787" dataDxfId="3786">
  <autoFilter ref="G2:I9" xr:uid="{00000000-0009-0000-0100-00000E000000}"/>
  <tableColumns count="3">
    <tableColumn id="1" xr3:uid="{00000000-0010-0000-0400-000001000000}" name="Habilidad Gerencial" dataDxfId="3785"/>
    <tableColumn id="2" xr3:uid="{00000000-0010-0000-0400-000002000000}" name="Nombre" dataDxfId="3784"/>
    <tableColumn id="3" xr3:uid="{00000000-0010-0000-0400-000003000000}" name="Descripción" dataDxfId="3783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5000000}" name="Rol_del_Cargo" displayName="Rol_del_Cargo" ref="K2:L6" totalsRowShown="0" headerRowDxfId="3782" dataDxfId="3781">
  <autoFilter ref="K2:L6" xr:uid="{00000000-0009-0000-0100-00000F000000}"/>
  <tableColumns count="2">
    <tableColumn id="1" xr3:uid="{00000000-0010-0000-0500-000001000000}" name="Rol del Cargo" dataDxfId="3780"/>
    <tableColumn id="2" xr3:uid="{00000000-0010-0000-0500-000002000000}" name="Nombre" dataDxfId="3779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Contacto" displayName="Contacto" ref="N2:O5" totalsRowShown="0" headerRowDxfId="3778" dataDxfId="3777">
  <autoFilter ref="N2:O5" xr:uid="{00000000-0009-0000-0100-000010000000}"/>
  <tableColumns count="2">
    <tableColumn id="1" xr3:uid="{00000000-0010-0000-0600-000001000000}" name="Contacto" dataDxfId="3776"/>
    <tableColumn id="2" xr3:uid="{00000000-0010-0000-0600-000002000000}" name="Nombre" dataDxfId="3775"/>
  </tableColumns>
  <tableStyleInfo name="TableStyleLight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Frecuencia_del_Contacto" displayName="Frecuencia_del_Contacto" ref="Q2:R6" totalsRowShown="0" headerRowDxfId="3774" dataDxfId="3773">
  <autoFilter ref="Q2:R6" xr:uid="{00000000-0009-0000-0100-000011000000}"/>
  <tableColumns count="2">
    <tableColumn id="1" xr3:uid="{00000000-0010-0000-0700-000001000000}" name="Frecuencia del Contacto" dataDxfId="3772"/>
    <tableColumn id="2" xr3:uid="{00000000-0010-0000-0700-000002000000}" name="Nombre" dataDxfId="3771"/>
  </tableColumns>
  <tableStyleInfo name="TableStyleLight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Contenido_de_las_Relaciones" displayName="Contenido_de_las_Relaciones" ref="T2:V7" totalsRowShown="0" headerRowDxfId="3770" dataDxfId="3769">
  <autoFilter ref="T2:V7" xr:uid="{00000000-0009-0000-0100-000012000000}"/>
  <tableColumns count="3">
    <tableColumn id="1" xr3:uid="{00000000-0010-0000-0800-000001000000}" name="Contenido de las Relaciones" dataDxfId="3768"/>
    <tableColumn id="2" xr3:uid="{00000000-0010-0000-0800-000002000000}" name="Nombre" dataDxfId="3767"/>
    <tableColumn id="3" xr3:uid="{00000000-0010-0000-0800-000003000000}" name="Descripción" dataDxfId="3766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9000000}" name="Complejidad_Conceptual" displayName="Complejidad_Conceptual" ref="X2:Z7" totalsRowShown="0" headerRowDxfId="3765" dataDxfId="3764">
  <autoFilter ref="X2:Z7" xr:uid="{00000000-0009-0000-0100-000013000000}"/>
  <tableColumns count="3">
    <tableColumn id="1" xr3:uid="{00000000-0010-0000-0900-000001000000}" name="Complejidad Conceptual" dataDxfId="3763"/>
    <tableColumn id="2" xr3:uid="{00000000-0010-0000-0900-000002000000}" name="Nombre" dataDxfId="3762"/>
    <tableColumn id="3" xr3:uid="{00000000-0010-0000-0900-000003000000}" name="Descripción" dataDxfId="3761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A000000}" name="Guias_de_Apoyo" displayName="Guias_de_Apoyo" ref="AB2:AD10" totalsRowShown="0" headerRowDxfId="3760" dataDxfId="3759">
  <autoFilter ref="AB2:AD10" xr:uid="{00000000-0009-0000-0100-000014000000}"/>
  <tableColumns count="3">
    <tableColumn id="1" xr3:uid="{00000000-0010-0000-0A00-000001000000}" name="Guias de Apoyo" dataDxfId="3758"/>
    <tableColumn id="2" xr3:uid="{00000000-0010-0000-0A00-000002000000}" name="Nombre" dataDxfId="3757"/>
    <tableColumn id="3" xr3:uid="{00000000-0010-0000-0A00-000003000000}" name="Descripción" dataDxfId="3756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B000000}" name="Impacto_del_Cargo" displayName="Impacto_del_Cargo" ref="AF2:AH6" totalsRowShown="0" headerRowDxfId="3755" dataDxfId="3754">
  <autoFilter ref="AF2:AH6" xr:uid="{00000000-0009-0000-0100-000015000000}"/>
  <tableColumns count="3">
    <tableColumn id="1" xr3:uid="{00000000-0010-0000-0B00-000001000000}" name="Impacto del cargo" dataDxfId="3753"/>
    <tableColumn id="2" xr3:uid="{00000000-0010-0000-0B00-000002000000}" name="Nombre" dataDxfId="3752"/>
    <tableColumn id="3" xr3:uid="{00000000-0010-0000-0B00-000003000000}" name="Descripción" dataDxfId="3751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C000000}" name="Autonomia" displayName="Autonomia" ref="AJ2:AL9" totalsRowShown="0" headerRowDxfId="3750" dataDxfId="3749">
  <autoFilter ref="AJ2:AL9" xr:uid="{00000000-0009-0000-0100-000016000000}"/>
  <tableColumns count="3">
    <tableColumn id="1" xr3:uid="{00000000-0010-0000-0C00-000001000000}" name="Autonomia" dataDxfId="3748"/>
    <tableColumn id="2" xr3:uid="{00000000-0010-0000-0C00-000002000000}" name="Nombre" dataDxfId="3747"/>
    <tableColumn id="3" xr3:uid="{00000000-0010-0000-0C00-000003000000}" name="Descripción" dataDxfId="3746"/>
  </tableColumns>
  <tableStyleInfo name="TableStyleLight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D000000}" name="Magnitud_de_Cifras" displayName="Magnitud_de_Cifras" ref="AN2:AP16" totalsRowShown="0" headerRowDxfId="3745" dataDxfId="3744">
  <autoFilter ref="AN2:AP16" xr:uid="{00000000-0009-0000-0100-000017000000}"/>
  <tableColumns count="3">
    <tableColumn id="1" xr3:uid="{00000000-0010-0000-0D00-000001000000}" name="Magnitud de Cifras" dataDxfId="3743"/>
    <tableColumn id="2" xr3:uid="{00000000-0010-0000-0D00-000002000000}" name="Desde" dataDxfId="3742"/>
    <tableColumn id="3" xr3:uid="{00000000-0010-0000-0D00-000003000000}" name="Hasta" dataDxfId="374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table" Target="../tables/table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8.xml"/><Relationship Id="rId4" Type="http://schemas.openxmlformats.org/officeDocument/2006/relationships/vmlDrawing" Target="../drawings/vmlDrawing16.vml"/></Relationships>
</file>

<file path=xl/worksheets/_rels/sheet20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2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7.vml"/><Relationship Id="rId7" Type="http://schemas.openxmlformats.org/officeDocument/2006/relationships/table" Target="../tables/table12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20.xml"/><Relationship Id="rId5" Type="http://schemas.openxmlformats.org/officeDocument/2006/relationships/comments" Target="../comments2.xml"/><Relationship Id="rId4" Type="http://schemas.openxmlformats.org/officeDocument/2006/relationships/table" Target="../tables/table1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ctrlProp" Target="../ctrlProps/ctrlProp3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5.xml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7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4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8.xml"/><Relationship Id="rId4" Type="http://schemas.openxmlformats.org/officeDocument/2006/relationships/ctrlProp" Target="../ctrlProps/ctrlProp4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9.xml"/><Relationship Id="rId4" Type="http://schemas.openxmlformats.org/officeDocument/2006/relationships/table" Target="../tables/table2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30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6.xml"/><Relationship Id="rId3" Type="http://schemas.openxmlformats.org/officeDocument/2006/relationships/table" Target="../tables/table31.xml"/><Relationship Id="rId7" Type="http://schemas.openxmlformats.org/officeDocument/2006/relationships/table" Target="../tables/table35.xml"/><Relationship Id="rId12" Type="http://schemas.openxmlformats.org/officeDocument/2006/relationships/table" Target="../tables/table40.xml"/><Relationship Id="rId2" Type="http://schemas.openxmlformats.org/officeDocument/2006/relationships/table" Target="../tables/table30.xml"/><Relationship Id="rId1" Type="http://schemas.openxmlformats.org/officeDocument/2006/relationships/table" Target="../tables/table29.xml"/><Relationship Id="rId6" Type="http://schemas.openxmlformats.org/officeDocument/2006/relationships/table" Target="../tables/table34.xml"/><Relationship Id="rId11" Type="http://schemas.openxmlformats.org/officeDocument/2006/relationships/table" Target="../tables/table39.xml"/><Relationship Id="rId5" Type="http://schemas.openxmlformats.org/officeDocument/2006/relationships/table" Target="../tables/table33.xml"/><Relationship Id="rId10" Type="http://schemas.openxmlformats.org/officeDocument/2006/relationships/table" Target="../tables/table38.xml"/><Relationship Id="rId4" Type="http://schemas.openxmlformats.org/officeDocument/2006/relationships/table" Target="../tables/table32.xml"/><Relationship Id="rId9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T33"/>
  <sheetViews>
    <sheetView workbookViewId="0"/>
  </sheetViews>
  <sheetFormatPr baseColWidth="10" defaultColWidth="0" defaultRowHeight="14.4" zeroHeight="1"/>
  <cols>
    <col min="1" max="20" width="11.44140625" customWidth="1"/>
    <col min="21" max="16384" width="11.44140625" hidden="1"/>
  </cols>
  <sheetData>
    <row r="1" spans="1:3">
      <c r="A1">
        <v>0</v>
      </c>
    </row>
    <row r="2" spans="1:3">
      <c r="C2" s="2"/>
    </row>
    <row r="3" spans="1:3"/>
    <row r="4" spans="1:3"/>
    <row r="5" spans="1:3"/>
    <row r="6" spans="1:3"/>
    <row r="7" spans="1:3"/>
    <row r="8" spans="1:3"/>
    <row r="9" spans="1:3"/>
    <row r="10" spans="1:3"/>
    <row r="11" spans="1:3"/>
    <row r="12" spans="1:3"/>
    <row r="13" spans="1:3"/>
    <row r="14" spans="1:3"/>
    <row r="15" spans="1:3"/>
    <row r="16" spans="1:3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MenuValoracion">
                <anchor moveWithCells="1" sizeWithCells="1">
                  <from>
                    <xdr:col>1</xdr:col>
                    <xdr:colOff>563880</xdr:colOff>
                    <xdr:row>2</xdr:row>
                    <xdr:rowOff>175260</xdr:rowOff>
                  </from>
                  <to>
                    <xdr:col>5</xdr:col>
                    <xdr:colOff>563880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MenuBD">
                <anchor moveWithCells="1" sizeWithCells="1">
                  <from>
                    <xdr:col>1</xdr:col>
                    <xdr:colOff>556260</xdr:colOff>
                    <xdr:row>12</xdr:row>
                    <xdr:rowOff>60960</xdr:rowOff>
                  </from>
                  <to>
                    <xdr:col>5</xdr:col>
                    <xdr:colOff>556260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MenuNivelEquidad">
                <anchor moveWithCells="1" sizeWithCells="1">
                  <from>
                    <xdr:col>1</xdr:col>
                    <xdr:colOff>541020</xdr:colOff>
                    <xdr:row>15</xdr:row>
                    <xdr:rowOff>60960</xdr:rowOff>
                  </from>
                  <to>
                    <xdr:col>5</xdr:col>
                    <xdr:colOff>541020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MenuNivelCompetitividad">
                <anchor moveWithCells="1" sizeWithCells="1">
                  <from>
                    <xdr:col>1</xdr:col>
                    <xdr:colOff>541020</xdr:colOff>
                    <xdr:row>18</xdr:row>
                    <xdr:rowOff>114300</xdr:rowOff>
                  </from>
                  <to>
                    <xdr:col>5</xdr:col>
                    <xdr:colOff>541020</xdr:colOff>
                    <xdr:row>21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MenuGraficoEquidad">
                <anchor moveWithCells="1" sizeWithCells="1">
                  <from>
                    <xdr:col>1</xdr:col>
                    <xdr:colOff>541020</xdr:colOff>
                    <xdr:row>21</xdr:row>
                    <xdr:rowOff>175260</xdr:rowOff>
                  </from>
                  <to>
                    <xdr:col>5</xdr:col>
                    <xdr:colOff>541020</xdr:colOff>
                    <xdr:row>24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MenuGraficoCompetitividad">
                <anchor moveWithCells="1" sizeWithCells="1">
                  <from>
                    <xdr:col>1</xdr:col>
                    <xdr:colOff>541020</xdr:colOff>
                    <xdr:row>25</xdr:row>
                    <xdr:rowOff>38100</xdr:rowOff>
                  </from>
                  <to>
                    <xdr:col>5</xdr:col>
                    <xdr:colOff>541020</xdr:colOff>
                    <xdr:row>27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0" name="Button 8">
              <controlPr defaultSize="0" print="0" autoFill="0" autoPict="0" macro="[0]!MenuCostosNivelacion">
                <anchor moveWithCells="1" sizeWithCells="1">
                  <from>
                    <xdr:col>5</xdr:col>
                    <xdr:colOff>792480</xdr:colOff>
                    <xdr:row>2</xdr:row>
                    <xdr:rowOff>144780</xdr:rowOff>
                  </from>
                  <to>
                    <xdr:col>9</xdr:col>
                    <xdr:colOff>792480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1" name="Button 9">
              <controlPr defaultSize="0" print="0" autoFill="0" autoPict="0" macro="[0]!MenuGlosario">
                <anchor moveWithCells="1" sizeWithCells="1">
                  <from>
                    <xdr:col>5</xdr:col>
                    <xdr:colOff>769620</xdr:colOff>
                    <xdr:row>15</xdr:row>
                    <xdr:rowOff>68580</xdr:rowOff>
                  </from>
                  <to>
                    <xdr:col>9</xdr:col>
                    <xdr:colOff>769620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2" name="Button 10">
              <controlPr defaultSize="0" print="0" autoFill="0" autoPict="0" macro="[0]!MenuPolitica">
                <anchor moveWithCells="1" sizeWithCells="1">
                  <from>
                    <xdr:col>1</xdr:col>
                    <xdr:colOff>556260</xdr:colOff>
                    <xdr:row>9</xdr:row>
                    <xdr:rowOff>22860</xdr:rowOff>
                  </from>
                  <to>
                    <xdr:col>5</xdr:col>
                    <xdr:colOff>556260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3" name="Button 11">
              <controlPr defaultSize="0" print="0" autoFill="0" autoPict="0" macro="[0]!MenuActualizacionCurvaCL">
                <anchor moveWithCells="1" sizeWithCells="1">
                  <from>
                    <xdr:col>1</xdr:col>
                    <xdr:colOff>556260</xdr:colOff>
                    <xdr:row>6</xdr:row>
                    <xdr:rowOff>7620</xdr:rowOff>
                  </from>
                  <to>
                    <xdr:col>5</xdr:col>
                    <xdr:colOff>556260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4" name="Button 13">
              <controlPr defaultSize="0" print="0" autoFill="0" autoPict="0" macro="[0]!MenuEstructuraMediana">
                <anchor moveWithCells="1" sizeWithCells="1">
                  <from>
                    <xdr:col>5</xdr:col>
                    <xdr:colOff>784860</xdr:colOff>
                    <xdr:row>5</xdr:row>
                    <xdr:rowOff>175260</xdr:rowOff>
                  </from>
                  <to>
                    <xdr:col>9</xdr:col>
                    <xdr:colOff>784860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5" name="Button 14">
              <controlPr defaultSize="0" print="0" autoFill="0" autoPict="0" macro="[0]!MenuCriticidades">
                <anchor moveWithCells="1" sizeWithCells="1">
                  <from>
                    <xdr:col>5</xdr:col>
                    <xdr:colOff>784860</xdr:colOff>
                    <xdr:row>12</xdr:row>
                    <xdr:rowOff>68580</xdr:rowOff>
                  </from>
                  <to>
                    <xdr:col>9</xdr:col>
                    <xdr:colOff>784860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6" name="Button 15">
              <controlPr defaultSize="0" print="0" autoFill="0" autoPict="0" macro="[0]!MenuEstructuraPolitica">
                <anchor moveWithCells="1" sizeWithCells="1">
                  <from>
                    <xdr:col>5</xdr:col>
                    <xdr:colOff>784860</xdr:colOff>
                    <xdr:row>9</xdr:row>
                    <xdr:rowOff>30480</xdr:rowOff>
                  </from>
                  <to>
                    <xdr:col>9</xdr:col>
                    <xdr:colOff>784860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F33"/>
  <sheetViews>
    <sheetView showGridLines="0" workbookViewId="0"/>
  </sheetViews>
  <sheetFormatPr baseColWidth="10" defaultColWidth="0" defaultRowHeight="14.4" zeroHeight="1"/>
  <cols>
    <col min="1" max="1" width="11.44140625" style="205" customWidth="1"/>
    <col min="2" max="2" width="14.5546875" style="1" customWidth="1"/>
    <col min="3" max="3" width="52.44140625" style="1" customWidth="1"/>
    <col min="4" max="4" width="11.44140625" style="205" customWidth="1"/>
    <col min="5" max="5" width="11.44140625" style="1" hidden="1" customWidth="1"/>
    <col min="6" max="6" width="7.5546875" style="1" hidden="1" customWidth="1"/>
    <col min="7" max="16384" width="11.44140625" style="1" hidden="1"/>
  </cols>
  <sheetData>
    <row r="1" spans="2:3">
      <c r="B1" s="205"/>
      <c r="C1" s="205"/>
    </row>
    <row r="2" spans="2:3">
      <c r="B2" s="205"/>
      <c r="C2" s="205"/>
    </row>
    <row r="3" spans="2:3">
      <c r="B3" s="205"/>
      <c r="C3" s="205"/>
    </row>
    <row r="4" spans="2:3">
      <c r="B4" s="205"/>
      <c r="C4" s="205"/>
    </row>
    <row r="5" spans="2:3">
      <c r="B5" s="205"/>
      <c r="C5" s="205"/>
    </row>
    <row r="6" spans="2:3">
      <c r="B6" s="205"/>
      <c r="C6" s="205"/>
    </row>
    <row r="7" spans="2:3">
      <c r="B7" s="205"/>
      <c r="C7" s="205"/>
    </row>
    <row r="8" spans="2:3">
      <c r="B8" s="205"/>
      <c r="C8" s="205"/>
    </row>
    <row r="9" spans="2:3">
      <c r="B9" s="205"/>
      <c r="C9" s="205"/>
    </row>
    <row r="10" spans="2:3" ht="31.5" customHeight="1">
      <c r="B10" s="206" t="s">
        <v>16</v>
      </c>
      <c r="C10" s="207" t="s">
        <v>17</v>
      </c>
    </row>
    <row r="11" spans="2:3">
      <c r="B11" s="79" t="s">
        <v>18</v>
      </c>
      <c r="C11" s="48" t="s">
        <v>19</v>
      </c>
    </row>
    <row r="12" spans="2:3">
      <c r="B12" s="79" t="s">
        <v>20</v>
      </c>
      <c r="C12" s="48" t="s">
        <v>21</v>
      </c>
    </row>
    <row r="13" spans="2:3">
      <c r="B13" s="79" t="s">
        <v>22</v>
      </c>
      <c r="C13" s="48" t="s">
        <v>23</v>
      </c>
    </row>
    <row r="14" spans="2:3">
      <c r="B14" s="79" t="s">
        <v>24</v>
      </c>
      <c r="C14" s="48" t="s">
        <v>25</v>
      </c>
    </row>
    <row r="15" spans="2:3">
      <c r="B15" s="79" t="s">
        <v>26</v>
      </c>
      <c r="C15" s="48" t="s">
        <v>27</v>
      </c>
    </row>
    <row r="16" spans="2:3">
      <c r="B16" s="79" t="s">
        <v>28</v>
      </c>
      <c r="C16" s="48" t="s">
        <v>29</v>
      </c>
    </row>
    <row r="17" spans="2:3">
      <c r="B17" s="79" t="s">
        <v>30</v>
      </c>
      <c r="C17" s="48" t="s">
        <v>31</v>
      </c>
    </row>
    <row r="18" spans="2:3">
      <c r="B18" s="79" t="s">
        <v>32</v>
      </c>
      <c r="C18" s="48" t="s">
        <v>33</v>
      </c>
    </row>
    <row r="19" spans="2:3">
      <c r="B19" s="79" t="s">
        <v>34</v>
      </c>
      <c r="C19" s="48" t="s">
        <v>35</v>
      </c>
    </row>
    <row r="20" spans="2:3">
      <c r="B20" s="79" t="s">
        <v>36</v>
      </c>
      <c r="C20" s="48" t="s">
        <v>37</v>
      </c>
    </row>
    <row r="21" spans="2:3">
      <c r="B21" s="79" t="s">
        <v>38</v>
      </c>
      <c r="C21" s="48" t="s">
        <v>39</v>
      </c>
    </row>
    <row r="22" spans="2:3">
      <c r="B22" s="79" t="s">
        <v>40</v>
      </c>
      <c r="C22" s="48" t="s">
        <v>41</v>
      </c>
    </row>
    <row r="23" spans="2:3">
      <c r="B23" s="79" t="s">
        <v>42</v>
      </c>
      <c r="C23" s="48" t="s">
        <v>43</v>
      </c>
    </row>
    <row r="24" spans="2:3">
      <c r="B24" s="79" t="s">
        <v>44</v>
      </c>
      <c r="C24" s="48" t="s">
        <v>45</v>
      </c>
    </row>
    <row r="25" spans="2:3">
      <c r="B25" s="79" t="s">
        <v>46</v>
      </c>
      <c r="C25" s="48" t="s">
        <v>47</v>
      </c>
    </row>
    <row r="26" spans="2:3">
      <c r="B26" s="79" t="s">
        <v>48</v>
      </c>
      <c r="C26" s="48" t="s">
        <v>49</v>
      </c>
    </row>
    <row r="27" spans="2:3">
      <c r="B27" s="79" t="s">
        <v>50</v>
      </c>
      <c r="C27" s="48" t="s">
        <v>51</v>
      </c>
    </row>
    <row r="28" spans="2:3">
      <c r="B28" s="79" t="s">
        <v>52</v>
      </c>
      <c r="C28" s="48" t="s">
        <v>53</v>
      </c>
    </row>
    <row r="29" spans="2:3">
      <c r="B29" s="79" t="s">
        <v>54</v>
      </c>
      <c r="C29" s="48" t="s">
        <v>55</v>
      </c>
    </row>
    <row r="30" spans="2:3">
      <c r="B30" s="79" t="s">
        <v>56</v>
      </c>
      <c r="C30" s="48" t="s">
        <v>57</v>
      </c>
    </row>
    <row r="31" spans="2:3">
      <c r="B31" s="79" t="s">
        <v>58</v>
      </c>
      <c r="C31" s="48" t="s">
        <v>59</v>
      </c>
    </row>
    <row r="32" spans="2:3">
      <c r="B32" s="79" t="s">
        <v>60</v>
      </c>
      <c r="C32" s="48" t="s">
        <v>61</v>
      </c>
    </row>
    <row r="33" spans="2:3">
      <c r="B33" s="205"/>
      <c r="C33" s="20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 macro="[0]!GlosarioMenu">
                <anchor moveWithCells="1" sizeWithCells="1">
                  <from>
                    <xdr:col>2</xdr:col>
                    <xdr:colOff>2735580</xdr:colOff>
                    <xdr:row>6</xdr:row>
                    <xdr:rowOff>38100</xdr:rowOff>
                  </from>
                  <to>
                    <xdr:col>3</xdr:col>
                    <xdr:colOff>327660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G14"/>
  <sheetViews>
    <sheetView workbookViewId="0"/>
  </sheetViews>
  <sheetFormatPr baseColWidth="10" defaultColWidth="0" defaultRowHeight="13.8" zeroHeight="1"/>
  <cols>
    <col min="1" max="1" width="2.5546875" style="12" customWidth="1"/>
    <col min="2" max="2" width="10.44140625" style="10" customWidth="1"/>
    <col min="3" max="4" width="42.44140625" style="12" customWidth="1"/>
    <col min="5" max="5" width="2.5546875" style="12" customWidth="1"/>
    <col min="6" max="6" width="11.44140625" style="12" customWidth="1"/>
    <col min="7" max="7" width="2.5546875" style="12" customWidth="1"/>
    <col min="8" max="16384" width="11.44140625" style="12" hidden="1"/>
  </cols>
  <sheetData>
    <row r="1" spans="2:4" ht="10.35" customHeight="1"/>
    <row r="2" spans="2:4" ht="15" customHeight="1">
      <c r="B2" s="520" t="s">
        <v>191</v>
      </c>
      <c r="C2" s="521"/>
      <c r="D2" s="521"/>
    </row>
    <row r="3" spans="2:4" ht="15" customHeight="1">
      <c r="B3" s="520"/>
      <c r="C3" s="521"/>
      <c r="D3" s="521"/>
    </row>
    <row r="4" spans="2:4" ht="6" customHeight="1"/>
    <row r="5" spans="2:4">
      <c r="B5" s="295" t="s">
        <v>192</v>
      </c>
      <c r="C5" s="520" t="s">
        <v>65</v>
      </c>
      <c r="D5" s="522"/>
    </row>
    <row r="6" spans="2:4" ht="45" customHeight="1">
      <c r="B6" s="305" t="s">
        <v>79</v>
      </c>
      <c r="C6" s="524" t="s">
        <v>193</v>
      </c>
      <c r="D6" s="525"/>
    </row>
    <row r="7" spans="2:4" ht="45" customHeight="1">
      <c r="B7" s="301" t="s">
        <v>98</v>
      </c>
      <c r="C7" s="523" t="s">
        <v>194</v>
      </c>
      <c r="D7" s="523"/>
    </row>
    <row r="8" spans="2:4" ht="45" customHeight="1">
      <c r="B8" s="305" t="s">
        <v>118</v>
      </c>
      <c r="C8" s="524" t="s">
        <v>195</v>
      </c>
      <c r="D8" s="525"/>
    </row>
    <row r="9" spans="2:4" ht="45" customHeight="1">
      <c r="B9" s="301" t="s">
        <v>137</v>
      </c>
      <c r="C9" s="523" t="s">
        <v>138</v>
      </c>
      <c r="D9" s="523"/>
    </row>
    <row r="10" spans="2:4" ht="45" customHeight="1">
      <c r="B10" s="305" t="s">
        <v>155</v>
      </c>
      <c r="C10" s="331" t="s">
        <v>196</v>
      </c>
      <c r="D10" s="332" t="s">
        <v>197</v>
      </c>
    </row>
    <row r="11" spans="2:4" ht="45" customHeight="1">
      <c r="B11" s="301" t="s">
        <v>169</v>
      </c>
      <c r="C11" s="302" t="s">
        <v>198</v>
      </c>
      <c r="D11" s="303" t="s">
        <v>199</v>
      </c>
    </row>
    <row r="12" spans="2:4" ht="45" customHeight="1">
      <c r="B12" s="305" t="s">
        <v>18</v>
      </c>
      <c r="C12" s="331" t="s">
        <v>200</v>
      </c>
      <c r="D12" s="332" t="s">
        <v>201</v>
      </c>
    </row>
    <row r="13" spans="2:4" ht="45" customHeight="1">
      <c r="B13" s="301" t="s">
        <v>186</v>
      </c>
      <c r="C13" s="302" t="s">
        <v>202</v>
      </c>
      <c r="D13" s="304" t="s">
        <v>203</v>
      </c>
    </row>
    <row r="14" spans="2:4"/>
  </sheetData>
  <mergeCells count="6">
    <mergeCell ref="B2:D3"/>
    <mergeCell ref="C5:D5"/>
    <mergeCell ref="C9:D9"/>
    <mergeCell ref="C8:D8"/>
    <mergeCell ref="C7:D7"/>
    <mergeCell ref="C6:D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1" r:id="rId3" name="Button 3">
              <controlPr defaultSize="0" print="0" autoFill="0" autoPict="0" macro="[0]!ConocimientoValoracion">
                <anchor moveWithCells="1" sizeWithCells="1">
                  <from>
                    <xdr:col>5</xdr:col>
                    <xdr:colOff>38100</xdr:colOff>
                    <xdr:row>1</xdr:row>
                    <xdr:rowOff>38100</xdr:rowOff>
                  </from>
                  <to>
                    <xdr:col>6</xdr:col>
                    <xdr:colOff>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0"/>
  <sheetViews>
    <sheetView workbookViewId="0"/>
  </sheetViews>
  <sheetFormatPr baseColWidth="10" defaultColWidth="0" defaultRowHeight="13.8" zeroHeight="1"/>
  <cols>
    <col min="1" max="1" width="2.5546875" style="12" customWidth="1"/>
    <col min="2" max="2" width="12.5546875" style="12" customWidth="1"/>
    <col min="3" max="4" width="25.44140625" style="12" customWidth="1"/>
    <col min="5" max="5" width="2.5546875" style="12" customWidth="1"/>
    <col min="6" max="6" width="11.44140625" style="12" customWidth="1"/>
    <col min="7" max="7" width="2.5546875" style="12" customWidth="1"/>
    <col min="8" max="16384" width="11.44140625" style="12" hidden="1"/>
  </cols>
  <sheetData>
    <row r="1" spans="2:4" ht="10.35" customHeight="1"/>
    <row r="2" spans="2:4">
      <c r="B2" s="526" t="s">
        <v>204</v>
      </c>
      <c r="C2" s="526"/>
      <c r="D2" s="526"/>
    </row>
    <row r="3" spans="2:4">
      <c r="B3" s="527"/>
      <c r="C3" s="527"/>
      <c r="D3" s="527"/>
    </row>
    <row r="4" spans="2:4" ht="6" customHeight="1"/>
    <row r="5" spans="2:4" ht="31.5" customHeight="1">
      <c r="B5" s="528" t="s">
        <v>63</v>
      </c>
      <c r="C5" s="529" t="s">
        <v>205</v>
      </c>
      <c r="D5" s="529"/>
    </row>
    <row r="6" spans="2:4">
      <c r="B6" s="528"/>
      <c r="C6" s="338" t="s">
        <v>206</v>
      </c>
      <c r="D6" s="335" t="s">
        <v>207</v>
      </c>
    </row>
    <row r="7" spans="2:4" ht="39.75" customHeight="1">
      <c r="B7" s="333" t="s">
        <v>78</v>
      </c>
      <c r="C7" s="340" t="s">
        <v>208</v>
      </c>
      <c r="D7" s="337" t="s">
        <v>209</v>
      </c>
    </row>
    <row r="8" spans="2:4" ht="39.75" customHeight="1">
      <c r="B8" s="334" t="s">
        <v>97</v>
      </c>
      <c r="C8" s="339" t="s">
        <v>210</v>
      </c>
      <c r="D8" s="336" t="s">
        <v>211</v>
      </c>
    </row>
    <row r="9" spans="2:4" ht="39.75" customHeight="1">
      <c r="B9" s="307" t="s">
        <v>117</v>
      </c>
      <c r="C9" s="340" t="s">
        <v>212</v>
      </c>
      <c r="D9" s="308" t="s">
        <v>213</v>
      </c>
    </row>
    <row r="10" spans="2:4"/>
  </sheetData>
  <mergeCells count="3">
    <mergeCell ref="B2:D3"/>
    <mergeCell ref="B5:B6"/>
    <mergeCell ref="C5: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ExperienciaValoracion">
                <anchor moveWithCells="1" sizeWithCells="1">
                  <from>
                    <xdr:col>5</xdr:col>
                    <xdr:colOff>0</xdr:colOff>
                    <xdr:row>1</xdr:row>
                    <xdr:rowOff>22860</xdr:rowOff>
                  </from>
                  <to>
                    <xdr:col>5</xdr:col>
                    <xdr:colOff>723900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G13"/>
  <sheetViews>
    <sheetView workbookViewId="0"/>
  </sheetViews>
  <sheetFormatPr baseColWidth="10" defaultColWidth="0" defaultRowHeight="13.8" zeroHeight="1"/>
  <cols>
    <col min="1" max="1" width="2.5546875" style="12" customWidth="1"/>
    <col min="2" max="2" width="15.44140625" style="12" customWidth="1"/>
    <col min="3" max="3" width="17.44140625" style="12" customWidth="1"/>
    <col min="4" max="4" width="70.5546875" style="12" customWidth="1"/>
    <col min="5" max="5" width="2.5546875" style="12" customWidth="1"/>
    <col min="6" max="6" width="11.44140625" style="12" customWidth="1"/>
    <col min="7" max="7" width="2.5546875" style="12" customWidth="1"/>
    <col min="8" max="16384" width="11.44140625" style="12" hidden="1"/>
  </cols>
  <sheetData>
    <row r="1" spans="2:4" ht="10.35" customHeight="1"/>
    <row r="2" spans="2:4">
      <c r="B2" s="530" t="s">
        <v>214</v>
      </c>
      <c r="C2" s="530"/>
      <c r="D2" s="530"/>
    </row>
    <row r="3" spans="2:4">
      <c r="B3" s="531"/>
      <c r="C3" s="531"/>
      <c r="D3" s="531"/>
    </row>
    <row r="4" spans="2:4" ht="6" customHeight="1"/>
    <row r="5" spans="2:4" ht="27.6">
      <c r="B5" s="309" t="s">
        <v>66</v>
      </c>
      <c r="C5" s="309" t="s">
        <v>67</v>
      </c>
      <c r="D5" s="309" t="s">
        <v>65</v>
      </c>
    </row>
    <row r="6" spans="2:4" ht="31.5" customHeight="1">
      <c r="B6" s="310" t="s">
        <v>81</v>
      </c>
      <c r="C6" s="312" t="s">
        <v>82</v>
      </c>
      <c r="D6" s="311" t="s">
        <v>83</v>
      </c>
    </row>
    <row r="7" spans="2:4" ht="31.5" customHeight="1">
      <c r="B7" s="313" t="s">
        <v>100</v>
      </c>
      <c r="C7" s="314" t="s">
        <v>101</v>
      </c>
      <c r="D7" s="302" t="s">
        <v>102</v>
      </c>
    </row>
    <row r="8" spans="2:4" ht="31.5" customHeight="1">
      <c r="B8" s="310" t="s">
        <v>120</v>
      </c>
      <c r="C8" s="312" t="s">
        <v>121</v>
      </c>
      <c r="D8" s="311" t="s">
        <v>122</v>
      </c>
    </row>
    <row r="9" spans="2:4" ht="31.5" customHeight="1">
      <c r="B9" s="313" t="s">
        <v>139</v>
      </c>
      <c r="C9" s="314" t="s">
        <v>140</v>
      </c>
      <c r="D9" s="302" t="s">
        <v>141</v>
      </c>
    </row>
    <row r="10" spans="2:4" ht="31.5" customHeight="1">
      <c r="B10" s="310" t="s">
        <v>157</v>
      </c>
      <c r="C10" s="312" t="s">
        <v>158</v>
      </c>
      <c r="D10" s="311" t="s">
        <v>159</v>
      </c>
    </row>
    <row r="11" spans="2:4" ht="31.5" customHeight="1">
      <c r="B11" s="313" t="s">
        <v>171</v>
      </c>
      <c r="C11" s="314" t="s">
        <v>172</v>
      </c>
      <c r="D11" s="302" t="s">
        <v>173</v>
      </c>
    </row>
    <row r="12" spans="2:4" ht="31.5" customHeight="1">
      <c r="B12" s="310" t="s">
        <v>179</v>
      </c>
      <c r="C12" s="312" t="s">
        <v>180</v>
      </c>
      <c r="D12" s="311" t="s">
        <v>181</v>
      </c>
    </row>
    <row r="13" spans="2:4"/>
  </sheetData>
  <mergeCells count="1">
    <mergeCell ref="B2:D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8" r:id="rId3" name="Button 2">
              <controlPr defaultSize="0" print="0" autoFill="0" autoPict="0" macro="[0]!HabilidadGerencialValoracion">
                <anchor moveWithCells="1" sizeWithCells="1">
                  <from>
                    <xdr:col>5</xdr:col>
                    <xdr:colOff>22860</xdr:colOff>
                    <xdr:row>1</xdr:row>
                    <xdr:rowOff>0</xdr:rowOff>
                  </from>
                  <to>
                    <xdr:col>5</xdr:col>
                    <xdr:colOff>746760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F10"/>
  <sheetViews>
    <sheetView workbookViewId="0"/>
  </sheetViews>
  <sheetFormatPr baseColWidth="10" defaultColWidth="0" defaultRowHeight="13.8" zeroHeight="1"/>
  <cols>
    <col min="1" max="1" width="2.5546875" style="12" customWidth="1"/>
    <col min="2" max="2" width="12.44140625" style="10" customWidth="1"/>
    <col min="3" max="3" width="36.5546875" style="10" customWidth="1"/>
    <col min="4" max="4" width="2.5546875" style="12" customWidth="1"/>
    <col min="5" max="5" width="11.44140625" style="12" customWidth="1"/>
    <col min="6" max="6" width="2.5546875" style="12" customWidth="1"/>
    <col min="7" max="16384" width="11.44140625" style="12" hidden="1"/>
  </cols>
  <sheetData>
    <row r="1" spans="2:3" ht="10.35" customHeight="1"/>
    <row r="2" spans="2:3">
      <c r="B2" s="530" t="s">
        <v>215</v>
      </c>
      <c r="C2" s="530"/>
    </row>
    <row r="3" spans="2:3">
      <c r="B3" s="531"/>
      <c r="C3" s="531"/>
    </row>
    <row r="4" spans="2:3" ht="6" customHeight="1"/>
    <row r="5" spans="2:3" ht="27.6">
      <c r="B5" s="216" t="s">
        <v>68</v>
      </c>
      <c r="C5" s="216" t="s">
        <v>67</v>
      </c>
    </row>
    <row r="6" spans="2:3" ht="26.25" customHeight="1">
      <c r="B6" s="280" t="s">
        <v>84</v>
      </c>
      <c r="C6" s="17" t="s">
        <v>85</v>
      </c>
    </row>
    <row r="7" spans="2:3" ht="26.25" customHeight="1">
      <c r="B7" s="280" t="s">
        <v>103</v>
      </c>
      <c r="C7" s="17" t="s">
        <v>104</v>
      </c>
    </row>
    <row r="8" spans="2:3" ht="26.25" customHeight="1">
      <c r="B8" s="280" t="s">
        <v>123</v>
      </c>
      <c r="C8" s="17" t="s">
        <v>124</v>
      </c>
    </row>
    <row r="9" spans="2:3" ht="26.25" customHeight="1">
      <c r="B9" s="281" t="s">
        <v>142</v>
      </c>
      <c r="C9" s="223" t="s">
        <v>143</v>
      </c>
    </row>
    <row r="10" spans="2:3"/>
  </sheetData>
  <mergeCells count="1">
    <mergeCell ref="B2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RolCargoValoracion">
                <anchor moveWithCells="1" sizeWithCells="1">
                  <from>
                    <xdr:col>4</xdr:col>
                    <xdr:colOff>0</xdr:colOff>
                    <xdr:row>1</xdr:row>
                    <xdr:rowOff>22860</xdr:rowOff>
                  </from>
                  <to>
                    <xdr:col>4</xdr:col>
                    <xdr:colOff>723900</xdr:colOff>
                    <xdr:row>4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G9"/>
  <sheetViews>
    <sheetView workbookViewId="0"/>
  </sheetViews>
  <sheetFormatPr baseColWidth="10" defaultColWidth="0" defaultRowHeight="13.8" zeroHeight="1"/>
  <cols>
    <col min="1" max="1" width="2.5546875" style="8" customWidth="1"/>
    <col min="2" max="2" width="14.44140625" style="10" customWidth="1"/>
    <col min="3" max="3" width="29.5546875" style="10" customWidth="1"/>
    <col min="4" max="4" width="58.44140625" style="10" customWidth="1"/>
    <col min="5" max="5" width="2.5546875" style="8" customWidth="1"/>
    <col min="6" max="6" width="11.44140625" style="8" customWidth="1"/>
    <col min="7" max="7" width="2.5546875" style="8" customWidth="1"/>
    <col min="8" max="16384" width="11.44140625" style="8" hidden="1"/>
  </cols>
  <sheetData>
    <row r="1" spans="2:4" ht="10.35" customHeight="1"/>
    <row r="2" spans="2:4">
      <c r="B2" s="530" t="s">
        <v>216</v>
      </c>
      <c r="C2" s="530"/>
      <c r="D2" s="530"/>
    </row>
    <row r="3" spans="2:4">
      <c r="B3" s="531"/>
      <c r="C3" s="531"/>
      <c r="D3" s="531"/>
    </row>
    <row r="4" spans="2:4" ht="6" customHeight="1"/>
    <row r="5" spans="2:4">
      <c r="B5" s="306" t="s">
        <v>69</v>
      </c>
      <c r="C5" s="306" t="s">
        <v>67</v>
      </c>
      <c r="D5" s="306" t="s">
        <v>65</v>
      </c>
    </row>
    <row r="6" spans="2:4" ht="52.5" customHeight="1">
      <c r="B6" s="307" t="s">
        <v>79</v>
      </c>
      <c r="C6" s="315" t="s">
        <v>86</v>
      </c>
      <c r="D6" s="308" t="s">
        <v>217</v>
      </c>
    </row>
    <row r="7" spans="2:4" ht="52.5" customHeight="1">
      <c r="B7" s="301" t="s">
        <v>98</v>
      </c>
      <c r="C7" s="317" t="s">
        <v>105</v>
      </c>
      <c r="D7" s="318" t="s">
        <v>218</v>
      </c>
    </row>
    <row r="8" spans="2:4" ht="52.5" customHeight="1">
      <c r="B8" s="307" t="s">
        <v>118</v>
      </c>
      <c r="C8" s="316" t="s">
        <v>219</v>
      </c>
      <c r="D8" s="308" t="s">
        <v>220</v>
      </c>
    </row>
    <row r="9" spans="2:4"/>
  </sheetData>
  <mergeCells count="1">
    <mergeCell ref="B2:D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ContactoValoracion">
                <anchor moveWithCells="1" sizeWithCells="1">
                  <from>
                    <xdr:col>5</xdr:col>
                    <xdr:colOff>60960</xdr:colOff>
                    <xdr:row>1</xdr:row>
                    <xdr:rowOff>38100</xdr:rowOff>
                  </from>
                  <to>
                    <xdr:col>5</xdr:col>
                    <xdr:colOff>708660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1:F10"/>
  <sheetViews>
    <sheetView workbookViewId="0"/>
  </sheetViews>
  <sheetFormatPr baseColWidth="10" defaultColWidth="0" defaultRowHeight="13.8" zeroHeight="1"/>
  <cols>
    <col min="1" max="1" width="2.5546875" style="8" customWidth="1"/>
    <col min="2" max="2" width="15.5546875" style="10" customWidth="1"/>
    <col min="3" max="3" width="17.5546875" style="10" customWidth="1"/>
    <col min="4" max="4" width="2.5546875" style="8" customWidth="1"/>
    <col min="5" max="5" width="11.44140625" style="8" customWidth="1"/>
    <col min="6" max="6" width="2.5546875" style="8" customWidth="1"/>
    <col min="7" max="16384" width="11.44140625" style="8" hidden="1"/>
  </cols>
  <sheetData>
    <row r="1" spans="2:3" ht="10.35" customHeight="1"/>
    <row r="2" spans="2:3">
      <c r="B2" s="530" t="s">
        <v>221</v>
      </c>
      <c r="C2" s="530"/>
    </row>
    <row r="3" spans="2:3">
      <c r="B3" s="531"/>
      <c r="C3" s="531"/>
    </row>
    <row r="4" spans="2:3" ht="6" customHeight="1"/>
    <row r="5" spans="2:3" ht="27.6">
      <c r="B5" s="309" t="s">
        <v>70</v>
      </c>
      <c r="C5" s="309" t="s">
        <v>67</v>
      </c>
    </row>
    <row r="6" spans="2:3" ht="29.25" customHeight="1">
      <c r="B6" s="310" t="s">
        <v>84</v>
      </c>
      <c r="C6" s="319" t="s">
        <v>87</v>
      </c>
    </row>
    <row r="7" spans="2:3" ht="29.25" customHeight="1">
      <c r="B7" s="313" t="s">
        <v>103</v>
      </c>
      <c r="C7" s="302" t="s">
        <v>106</v>
      </c>
    </row>
    <row r="8" spans="2:3" ht="29.25" customHeight="1">
      <c r="B8" s="310" t="s">
        <v>123</v>
      </c>
      <c r="C8" s="319" t="s">
        <v>126</v>
      </c>
    </row>
    <row r="9" spans="2:3" ht="29.25" customHeight="1">
      <c r="B9" s="313" t="s">
        <v>142</v>
      </c>
      <c r="C9" s="302" t="s">
        <v>144</v>
      </c>
    </row>
    <row r="10" spans="2:3"/>
  </sheetData>
  <mergeCells count="1">
    <mergeCell ref="B2:C3"/>
  </mergeCells>
  <pageMargins left="0.7" right="0.7" top="0.75" bottom="0.75" header="0.3" footer="0.3"/>
  <ignoredErrors>
    <ignoredError sqref="B6:C9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FrecuenciaContactoValoracion">
                <anchor moveWithCells="1" sizeWithCells="1">
                  <from>
                    <xdr:col>4</xdr:col>
                    <xdr:colOff>22860</xdr:colOff>
                    <xdr:row>1</xdr:row>
                    <xdr:rowOff>30480</xdr:rowOff>
                  </from>
                  <to>
                    <xdr:col>4</xdr:col>
                    <xdr:colOff>746760</xdr:colOff>
                    <xdr:row>4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1:G11"/>
  <sheetViews>
    <sheetView workbookViewId="0"/>
  </sheetViews>
  <sheetFormatPr baseColWidth="10" defaultColWidth="0" defaultRowHeight="13.8" zeroHeight="1"/>
  <cols>
    <col min="1" max="1" width="2.5546875" style="8" customWidth="1"/>
    <col min="2" max="2" width="18.44140625" style="10" customWidth="1"/>
    <col min="3" max="3" width="17.44140625" style="12" customWidth="1"/>
    <col min="4" max="4" width="74" style="12" customWidth="1"/>
    <col min="5" max="5" width="2.5546875" style="8" customWidth="1"/>
    <col min="6" max="6" width="11.44140625" style="8" customWidth="1"/>
    <col min="7" max="7" width="2.5546875" style="8" customWidth="1"/>
    <col min="8" max="16384" width="11.44140625" style="8" hidden="1"/>
  </cols>
  <sheetData>
    <row r="1" spans="2:4" ht="10.35" customHeight="1"/>
    <row r="2" spans="2:4">
      <c r="B2" s="530" t="s">
        <v>222</v>
      </c>
      <c r="C2" s="530"/>
      <c r="D2" s="530"/>
    </row>
    <row r="3" spans="2:4">
      <c r="B3" s="531"/>
      <c r="C3" s="531"/>
      <c r="D3" s="531"/>
    </row>
    <row r="4" spans="2:4" ht="6" customHeight="1"/>
    <row r="5" spans="2:4" ht="27.6">
      <c r="B5" s="309" t="s">
        <v>71</v>
      </c>
      <c r="C5" s="309" t="s">
        <v>67</v>
      </c>
      <c r="D5" s="309" t="s">
        <v>65</v>
      </c>
    </row>
    <row r="6" spans="2:4" ht="50.25" customHeight="1">
      <c r="B6" s="310" t="s">
        <v>81</v>
      </c>
      <c r="C6" s="312" t="s">
        <v>88</v>
      </c>
      <c r="D6" s="311" t="s">
        <v>89</v>
      </c>
    </row>
    <row r="7" spans="2:4" ht="50.25" customHeight="1">
      <c r="B7" s="313" t="s">
        <v>100</v>
      </c>
      <c r="C7" s="314" t="s">
        <v>107</v>
      </c>
      <c r="D7" s="302" t="s">
        <v>108</v>
      </c>
    </row>
    <row r="8" spans="2:4" ht="50.25" customHeight="1">
      <c r="B8" s="310" t="s">
        <v>120</v>
      </c>
      <c r="C8" s="312" t="s">
        <v>127</v>
      </c>
      <c r="D8" s="311" t="s">
        <v>128</v>
      </c>
    </row>
    <row r="9" spans="2:4" ht="50.25" customHeight="1">
      <c r="B9" s="313" t="s">
        <v>139</v>
      </c>
      <c r="C9" s="314" t="s">
        <v>145</v>
      </c>
      <c r="D9" s="302" t="s">
        <v>146</v>
      </c>
    </row>
    <row r="10" spans="2:4" ht="50.25" customHeight="1">
      <c r="B10" s="310" t="s">
        <v>157</v>
      </c>
      <c r="C10" s="312" t="s">
        <v>160</v>
      </c>
      <c r="D10" s="311" t="s">
        <v>161</v>
      </c>
    </row>
    <row r="11" spans="2:4"/>
  </sheetData>
  <mergeCells count="1">
    <mergeCell ref="B2:D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ContenidoRelacionesValoracion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5</xdr:col>
                    <xdr:colOff>723900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H22"/>
  <sheetViews>
    <sheetView workbookViewId="0"/>
  </sheetViews>
  <sheetFormatPr baseColWidth="10" defaultColWidth="0" defaultRowHeight="13.8" zeroHeight="1"/>
  <cols>
    <col min="1" max="1" width="2.5546875" style="8" customWidth="1"/>
    <col min="2" max="3" width="17.44140625" style="11" customWidth="1"/>
    <col min="4" max="4" width="22.44140625" style="11" customWidth="1"/>
    <col min="5" max="5" width="62.44140625" style="11" customWidth="1"/>
    <col min="6" max="6" width="2.5546875" style="8" customWidth="1"/>
    <col min="7" max="7" width="11.44140625" style="8" customWidth="1"/>
    <col min="8" max="8" width="2.5546875" style="8" customWidth="1"/>
    <col min="9" max="16384" width="11.44140625" style="8" hidden="1"/>
  </cols>
  <sheetData>
    <row r="1" spans="2:5" ht="10.35" customHeight="1"/>
    <row r="2" spans="2:5">
      <c r="B2" s="532" t="s">
        <v>223</v>
      </c>
      <c r="C2" s="532"/>
      <c r="D2" s="532"/>
      <c r="E2" s="532"/>
    </row>
    <row r="3" spans="2:5">
      <c r="B3" s="533"/>
      <c r="C3" s="533"/>
      <c r="D3" s="533"/>
      <c r="E3" s="533"/>
    </row>
    <row r="4" spans="2:5" ht="6" customHeight="1"/>
    <row r="5" spans="2:5" ht="27.6">
      <c r="B5" s="216" t="s">
        <v>72</v>
      </c>
      <c r="C5" s="216" t="s">
        <v>63</v>
      </c>
      <c r="D5" s="216" t="s">
        <v>67</v>
      </c>
      <c r="E5" s="216" t="s">
        <v>65</v>
      </c>
    </row>
    <row r="6" spans="2:5" hidden="1">
      <c r="B6" s="14"/>
      <c r="C6" s="14"/>
      <c r="D6" s="14"/>
      <c r="E6" s="17"/>
    </row>
    <row r="7" spans="2:5" ht="20.25" customHeight="1">
      <c r="B7" s="534" t="s">
        <v>84</v>
      </c>
      <c r="C7" s="321" t="s">
        <v>78</v>
      </c>
      <c r="D7" s="536" t="s">
        <v>90</v>
      </c>
      <c r="E7" s="524" t="s">
        <v>224</v>
      </c>
    </row>
    <row r="8" spans="2:5" ht="20.25" customHeight="1">
      <c r="B8" s="534"/>
      <c r="C8" s="320" t="s">
        <v>97</v>
      </c>
      <c r="D8" s="537"/>
      <c r="E8" s="524"/>
    </row>
    <row r="9" spans="2:5" ht="20.25" customHeight="1">
      <c r="B9" s="534"/>
      <c r="C9" s="322" t="s">
        <v>117</v>
      </c>
      <c r="D9" s="538"/>
      <c r="E9" s="524"/>
    </row>
    <row r="10" spans="2:5" ht="20.25" customHeight="1">
      <c r="B10" s="535" t="s">
        <v>103</v>
      </c>
      <c r="C10" s="313" t="s">
        <v>78</v>
      </c>
      <c r="D10" s="539" t="s">
        <v>109</v>
      </c>
      <c r="E10" s="523" t="s">
        <v>225</v>
      </c>
    </row>
    <row r="11" spans="2:5" ht="20.25" customHeight="1">
      <c r="B11" s="535"/>
      <c r="C11" s="313" t="s">
        <v>97</v>
      </c>
      <c r="D11" s="539"/>
      <c r="E11" s="523"/>
    </row>
    <row r="12" spans="2:5" ht="20.25" customHeight="1">
      <c r="B12" s="535"/>
      <c r="C12" s="313" t="s">
        <v>117</v>
      </c>
      <c r="D12" s="539"/>
      <c r="E12" s="523"/>
    </row>
    <row r="13" spans="2:5" ht="20.25" customHeight="1">
      <c r="B13" s="534" t="s">
        <v>123</v>
      </c>
      <c r="C13" s="321" t="s">
        <v>78</v>
      </c>
      <c r="D13" s="536" t="s">
        <v>129</v>
      </c>
      <c r="E13" s="524" t="s">
        <v>226</v>
      </c>
    </row>
    <row r="14" spans="2:5" ht="20.25" customHeight="1">
      <c r="B14" s="534"/>
      <c r="C14" s="320" t="s">
        <v>97</v>
      </c>
      <c r="D14" s="537"/>
      <c r="E14" s="524"/>
    </row>
    <row r="15" spans="2:5" ht="20.25" customHeight="1">
      <c r="B15" s="534"/>
      <c r="C15" s="322" t="s">
        <v>117</v>
      </c>
      <c r="D15" s="538"/>
      <c r="E15" s="524"/>
    </row>
    <row r="16" spans="2:5" ht="20.25" customHeight="1">
      <c r="B16" s="535" t="s">
        <v>142</v>
      </c>
      <c r="C16" s="313" t="s">
        <v>78</v>
      </c>
      <c r="D16" s="539" t="s">
        <v>147</v>
      </c>
      <c r="E16" s="523" t="s">
        <v>227</v>
      </c>
    </row>
    <row r="17" spans="2:5" ht="20.25" customHeight="1">
      <c r="B17" s="535"/>
      <c r="C17" s="313" t="s">
        <v>97</v>
      </c>
      <c r="D17" s="539"/>
      <c r="E17" s="523"/>
    </row>
    <row r="18" spans="2:5" ht="20.25" customHeight="1">
      <c r="B18" s="535"/>
      <c r="C18" s="313" t="s">
        <v>117</v>
      </c>
      <c r="D18" s="539"/>
      <c r="E18" s="523"/>
    </row>
    <row r="19" spans="2:5" ht="20.25" customHeight="1">
      <c r="B19" s="534" t="s">
        <v>162</v>
      </c>
      <c r="C19" s="321" t="s">
        <v>78</v>
      </c>
      <c r="D19" s="536" t="s">
        <v>163</v>
      </c>
      <c r="E19" s="524" t="s">
        <v>228</v>
      </c>
    </row>
    <row r="20" spans="2:5" ht="20.25" customHeight="1">
      <c r="B20" s="534"/>
      <c r="C20" s="320" t="s">
        <v>97</v>
      </c>
      <c r="D20" s="537"/>
      <c r="E20" s="524"/>
    </row>
    <row r="21" spans="2:5" ht="20.25" customHeight="1">
      <c r="B21" s="534"/>
      <c r="C21" s="322" t="s">
        <v>117</v>
      </c>
      <c r="D21" s="538"/>
      <c r="E21" s="524"/>
    </row>
    <row r="22" spans="2:5"/>
  </sheetData>
  <mergeCells count="16">
    <mergeCell ref="B2:E3"/>
    <mergeCell ref="E19:E21"/>
    <mergeCell ref="E16:E18"/>
    <mergeCell ref="E13:E15"/>
    <mergeCell ref="E10:E12"/>
    <mergeCell ref="E7:E9"/>
    <mergeCell ref="B7:B9"/>
    <mergeCell ref="B10:B12"/>
    <mergeCell ref="B13:B15"/>
    <mergeCell ref="B16:B18"/>
    <mergeCell ref="B19:B21"/>
    <mergeCell ref="D7:D9"/>
    <mergeCell ref="D10:D12"/>
    <mergeCell ref="D13:D15"/>
    <mergeCell ref="D16:D18"/>
    <mergeCell ref="D19:D21"/>
  </mergeCells>
  <pageMargins left="0.7" right="0.7" top="0.75" bottom="0.75" header="0.3" footer="0.3"/>
  <pageSetup orientation="portrait" r:id="rId1"/>
  <ignoredErrors>
    <ignoredError sqref="B7:B2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ConplejidadConceptualValoracion">
                <anchor moveWithCells="1" sizeWithCells="1">
                  <from>
                    <xdr:col>6</xdr:col>
                    <xdr:colOff>22860</xdr:colOff>
                    <xdr:row>1</xdr:row>
                    <xdr:rowOff>0</xdr:rowOff>
                  </from>
                  <to>
                    <xdr:col>6</xdr:col>
                    <xdr:colOff>746760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H31"/>
  <sheetViews>
    <sheetView workbookViewId="0"/>
  </sheetViews>
  <sheetFormatPr baseColWidth="10" defaultColWidth="0" defaultRowHeight="13.8" zeroHeight="1"/>
  <cols>
    <col min="1" max="1" width="2.5546875" style="12" customWidth="1"/>
    <col min="2" max="3" width="12.5546875" style="12" customWidth="1"/>
    <col min="4" max="4" width="24.5546875" style="12" customWidth="1"/>
    <col min="5" max="5" width="50.44140625" style="12" customWidth="1"/>
    <col min="6" max="6" width="2.5546875" style="12" customWidth="1"/>
    <col min="7" max="7" width="11.44140625" style="12" customWidth="1"/>
    <col min="8" max="8" width="2.5546875" style="12" customWidth="1"/>
    <col min="9" max="16384" width="11.44140625" style="12" hidden="1"/>
  </cols>
  <sheetData>
    <row r="1" spans="2:5" ht="10.35" customHeight="1"/>
    <row r="2" spans="2:5">
      <c r="B2" s="532" t="s">
        <v>229</v>
      </c>
      <c r="C2" s="532"/>
      <c r="D2" s="532"/>
      <c r="E2" s="532"/>
    </row>
    <row r="3" spans="2:5">
      <c r="B3" s="533"/>
      <c r="C3" s="533"/>
      <c r="D3" s="533"/>
      <c r="E3" s="533"/>
    </row>
    <row r="4" spans="2:5" ht="6" customHeight="1"/>
    <row r="5" spans="2:5" ht="27.6">
      <c r="B5" s="216" t="s">
        <v>230</v>
      </c>
      <c r="C5" s="216" t="s">
        <v>63</v>
      </c>
      <c r="D5" s="216" t="s">
        <v>67</v>
      </c>
      <c r="E5" s="216" t="s">
        <v>65</v>
      </c>
    </row>
    <row r="6" spans="2:5" hidden="1">
      <c r="B6" s="14"/>
      <c r="C6" s="14"/>
      <c r="D6" s="14"/>
      <c r="E6" s="17"/>
    </row>
    <row r="7" spans="2:5" ht="15.75" customHeight="1">
      <c r="B7" s="534" t="s">
        <v>79</v>
      </c>
      <c r="C7" s="323" t="s">
        <v>78</v>
      </c>
      <c r="D7" s="536" t="s">
        <v>92</v>
      </c>
      <c r="E7" s="524" t="s">
        <v>93</v>
      </c>
    </row>
    <row r="8" spans="2:5" ht="15.75" customHeight="1">
      <c r="B8" s="534"/>
      <c r="C8" s="324" t="s">
        <v>97</v>
      </c>
      <c r="D8" s="537"/>
      <c r="E8" s="524"/>
    </row>
    <row r="9" spans="2:5" ht="15.75" customHeight="1">
      <c r="B9" s="534"/>
      <c r="C9" s="325" t="s">
        <v>117</v>
      </c>
      <c r="D9" s="538"/>
      <c r="E9" s="524"/>
    </row>
    <row r="10" spans="2:5" ht="15.75" customHeight="1">
      <c r="B10" s="535" t="s">
        <v>98</v>
      </c>
      <c r="C10" s="326" t="s">
        <v>78</v>
      </c>
      <c r="D10" s="539" t="s">
        <v>111</v>
      </c>
      <c r="E10" s="523" t="s">
        <v>112</v>
      </c>
    </row>
    <row r="11" spans="2:5" ht="15.75" customHeight="1">
      <c r="B11" s="535"/>
      <c r="C11" s="326" t="s">
        <v>97</v>
      </c>
      <c r="D11" s="539"/>
      <c r="E11" s="523"/>
    </row>
    <row r="12" spans="2:5" ht="15.75" customHeight="1">
      <c r="B12" s="535"/>
      <c r="C12" s="326" t="s">
        <v>117</v>
      </c>
      <c r="D12" s="539"/>
      <c r="E12" s="523"/>
    </row>
    <row r="13" spans="2:5" ht="15.75" customHeight="1">
      <c r="B13" s="534" t="s">
        <v>118</v>
      </c>
      <c r="C13" s="323" t="s">
        <v>78</v>
      </c>
      <c r="D13" s="536" t="s">
        <v>131</v>
      </c>
      <c r="E13" s="524" t="s">
        <v>132</v>
      </c>
    </row>
    <row r="14" spans="2:5" ht="15.75" customHeight="1">
      <c r="B14" s="534"/>
      <c r="C14" s="324" t="s">
        <v>97</v>
      </c>
      <c r="D14" s="537"/>
      <c r="E14" s="524"/>
    </row>
    <row r="15" spans="2:5" ht="15.75" customHeight="1">
      <c r="B15" s="534"/>
      <c r="C15" s="325" t="s">
        <v>117</v>
      </c>
      <c r="D15" s="538"/>
      <c r="E15" s="524"/>
    </row>
    <row r="16" spans="2:5" ht="15.75" customHeight="1">
      <c r="B16" s="535" t="s">
        <v>137</v>
      </c>
      <c r="C16" s="326" t="s">
        <v>78</v>
      </c>
      <c r="D16" s="539" t="s">
        <v>149</v>
      </c>
      <c r="E16" s="523" t="s">
        <v>150</v>
      </c>
    </row>
    <row r="17" spans="2:5" ht="15.75" customHeight="1">
      <c r="B17" s="535"/>
      <c r="C17" s="326" t="s">
        <v>97</v>
      </c>
      <c r="D17" s="539"/>
      <c r="E17" s="523"/>
    </row>
    <row r="18" spans="2:5" ht="15.75" customHeight="1">
      <c r="B18" s="535"/>
      <c r="C18" s="326" t="s">
        <v>117</v>
      </c>
      <c r="D18" s="539"/>
      <c r="E18" s="523"/>
    </row>
    <row r="19" spans="2:5" ht="15.75" customHeight="1">
      <c r="B19" s="534" t="s">
        <v>155</v>
      </c>
      <c r="C19" s="323" t="s">
        <v>78</v>
      </c>
      <c r="D19" s="536" t="s">
        <v>165</v>
      </c>
      <c r="E19" s="524" t="s">
        <v>166</v>
      </c>
    </row>
    <row r="20" spans="2:5" ht="15.75" customHeight="1">
      <c r="B20" s="534"/>
      <c r="C20" s="324" t="s">
        <v>97</v>
      </c>
      <c r="D20" s="537"/>
      <c r="E20" s="524"/>
    </row>
    <row r="21" spans="2:5" ht="15.75" customHeight="1">
      <c r="B21" s="534"/>
      <c r="C21" s="325" t="s">
        <v>117</v>
      </c>
      <c r="D21" s="538"/>
      <c r="E21" s="524"/>
    </row>
    <row r="22" spans="2:5" ht="15.75" customHeight="1">
      <c r="B22" s="535" t="s">
        <v>169</v>
      </c>
      <c r="C22" s="326" t="s">
        <v>78</v>
      </c>
      <c r="D22" s="539" t="s">
        <v>174</v>
      </c>
      <c r="E22" s="523" t="s">
        <v>175</v>
      </c>
    </row>
    <row r="23" spans="2:5" ht="15.75" customHeight="1">
      <c r="B23" s="535"/>
      <c r="C23" s="326" t="s">
        <v>97</v>
      </c>
      <c r="D23" s="539"/>
      <c r="E23" s="523"/>
    </row>
    <row r="24" spans="2:5" ht="15.75" customHeight="1">
      <c r="B24" s="535"/>
      <c r="C24" s="326" t="s">
        <v>117</v>
      </c>
      <c r="D24" s="539"/>
      <c r="E24" s="523"/>
    </row>
    <row r="25" spans="2:5" ht="15.75" customHeight="1">
      <c r="B25" s="534" t="s">
        <v>18</v>
      </c>
      <c r="C25" s="323" t="s">
        <v>78</v>
      </c>
      <c r="D25" s="536" t="s">
        <v>182</v>
      </c>
      <c r="E25" s="524" t="s">
        <v>183</v>
      </c>
    </row>
    <row r="26" spans="2:5" ht="15.75" customHeight="1">
      <c r="B26" s="534"/>
      <c r="C26" s="324" t="s">
        <v>97</v>
      </c>
      <c r="D26" s="537"/>
      <c r="E26" s="524"/>
    </row>
    <row r="27" spans="2:5" ht="15.75" customHeight="1">
      <c r="B27" s="534"/>
      <c r="C27" s="325" t="s">
        <v>117</v>
      </c>
      <c r="D27" s="538"/>
      <c r="E27" s="524"/>
    </row>
    <row r="28" spans="2:5" ht="15.75" customHeight="1">
      <c r="B28" s="535" t="s">
        <v>186</v>
      </c>
      <c r="C28" s="326" t="s">
        <v>78</v>
      </c>
      <c r="D28" s="539" t="s">
        <v>188</v>
      </c>
      <c r="E28" s="523" t="s">
        <v>189</v>
      </c>
    </row>
    <row r="29" spans="2:5" ht="15.75" customHeight="1">
      <c r="B29" s="535"/>
      <c r="C29" s="326" t="s">
        <v>97</v>
      </c>
      <c r="D29" s="539"/>
      <c r="E29" s="523"/>
    </row>
    <row r="30" spans="2:5" ht="15.75" customHeight="1">
      <c r="B30" s="535"/>
      <c r="C30" s="326" t="s">
        <v>117</v>
      </c>
      <c r="D30" s="539"/>
      <c r="E30" s="523"/>
    </row>
    <row r="31" spans="2:5"/>
  </sheetData>
  <mergeCells count="25">
    <mergeCell ref="B2:E3"/>
    <mergeCell ref="B25:B27"/>
    <mergeCell ref="D25:D27"/>
    <mergeCell ref="E25:E27"/>
    <mergeCell ref="B28:B30"/>
    <mergeCell ref="D28:D30"/>
    <mergeCell ref="E28:E30"/>
    <mergeCell ref="B19:B21"/>
    <mergeCell ref="D19:D21"/>
    <mergeCell ref="E19:E21"/>
    <mergeCell ref="B22:B24"/>
    <mergeCell ref="D22:D24"/>
    <mergeCell ref="E22:E24"/>
    <mergeCell ref="B13:B15"/>
    <mergeCell ref="D13:D15"/>
    <mergeCell ref="E13:E15"/>
    <mergeCell ref="B16:B18"/>
    <mergeCell ref="D16:D18"/>
    <mergeCell ref="E16:E18"/>
    <mergeCell ref="B7:B9"/>
    <mergeCell ref="D7:D9"/>
    <mergeCell ref="E7:E9"/>
    <mergeCell ref="B10:B12"/>
    <mergeCell ref="D10:D12"/>
    <mergeCell ref="E10:E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GuiasApoyoValoracion">
                <anchor moveWithCells="1" sizeWithCells="1">
                  <from>
                    <xdr:col>6</xdr:col>
                    <xdr:colOff>30480</xdr:colOff>
                    <xdr:row>1</xdr:row>
                    <xdr:rowOff>0</xdr:rowOff>
                  </from>
                  <to>
                    <xdr:col>6</xdr:col>
                    <xdr:colOff>754380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G10"/>
  <sheetViews>
    <sheetView workbookViewId="0"/>
  </sheetViews>
  <sheetFormatPr baseColWidth="10" defaultColWidth="0" defaultRowHeight="13.8" zeroHeight="1"/>
  <cols>
    <col min="1" max="1" width="2.5546875" style="8" customWidth="1"/>
    <col min="2" max="2" width="13.44140625" style="11" customWidth="1"/>
    <col min="3" max="3" width="17.44140625" style="11" customWidth="1"/>
    <col min="4" max="4" width="67.44140625" style="11" customWidth="1"/>
    <col min="5" max="5" width="2.5546875" style="8" customWidth="1"/>
    <col min="6" max="6" width="11.44140625" style="8" customWidth="1"/>
    <col min="7" max="7" width="2.5546875" style="8" customWidth="1"/>
    <col min="8" max="16384" width="11.44140625" style="8" hidden="1"/>
  </cols>
  <sheetData>
    <row r="1" spans="2:4" ht="10.35" customHeight="1"/>
    <row r="2" spans="2:4">
      <c r="B2" s="526" t="s">
        <v>231</v>
      </c>
      <c r="C2" s="526"/>
      <c r="D2" s="526"/>
    </row>
    <row r="3" spans="2:4">
      <c r="B3" s="527"/>
      <c r="C3" s="527"/>
      <c r="D3" s="527"/>
    </row>
    <row r="4" spans="2:4" ht="6" customHeight="1"/>
    <row r="5" spans="2:4" ht="27.6">
      <c r="B5" s="309" t="s">
        <v>74</v>
      </c>
      <c r="C5" s="309" t="s">
        <v>67</v>
      </c>
      <c r="D5" s="309" t="s">
        <v>65</v>
      </c>
    </row>
    <row r="6" spans="2:4" ht="51.75" customHeight="1">
      <c r="B6" s="310" t="s">
        <v>81</v>
      </c>
      <c r="C6" s="316" t="s">
        <v>94</v>
      </c>
      <c r="D6" s="311" t="s">
        <v>95</v>
      </c>
    </row>
    <row r="7" spans="2:4" ht="51.75" customHeight="1">
      <c r="B7" s="313" t="s">
        <v>100</v>
      </c>
      <c r="C7" s="327" t="s">
        <v>113</v>
      </c>
      <c r="D7" s="302" t="s">
        <v>114</v>
      </c>
    </row>
    <row r="8" spans="2:4" ht="51.75" customHeight="1">
      <c r="B8" s="310" t="s">
        <v>120</v>
      </c>
      <c r="C8" s="316" t="s">
        <v>133</v>
      </c>
      <c r="D8" s="311" t="s">
        <v>134</v>
      </c>
    </row>
    <row r="9" spans="2:4" ht="51.75" customHeight="1">
      <c r="B9" s="313" t="s">
        <v>139</v>
      </c>
      <c r="C9" s="327" t="s">
        <v>151</v>
      </c>
      <c r="D9" s="302" t="s">
        <v>152</v>
      </c>
    </row>
    <row r="10" spans="2:4"/>
  </sheetData>
  <mergeCells count="1">
    <mergeCell ref="B2:D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ImpactoValoracion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5</xdr:col>
                    <xdr:colOff>723900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G13"/>
  <sheetViews>
    <sheetView workbookViewId="0"/>
  </sheetViews>
  <sheetFormatPr baseColWidth="10" defaultColWidth="0" defaultRowHeight="13.8" zeroHeight="1"/>
  <cols>
    <col min="1" max="1" width="2.5546875" style="8" customWidth="1"/>
    <col min="2" max="2" width="16.5546875" style="11" customWidth="1"/>
    <col min="3" max="3" width="22" style="11" customWidth="1"/>
    <col min="4" max="4" width="73.5546875" style="11" customWidth="1"/>
    <col min="5" max="5" width="2.5546875" style="8" customWidth="1"/>
    <col min="6" max="6" width="11.44140625" style="8" customWidth="1"/>
    <col min="7" max="7" width="2.5546875" style="8" customWidth="1"/>
    <col min="8" max="16384" width="11.44140625" style="8" hidden="1"/>
  </cols>
  <sheetData>
    <row r="1" spans="2:4" ht="10.35" customHeight="1"/>
    <row r="2" spans="2:4">
      <c r="B2" s="526" t="s">
        <v>232</v>
      </c>
      <c r="C2" s="526"/>
      <c r="D2" s="526"/>
    </row>
    <row r="3" spans="2:4">
      <c r="B3" s="527"/>
      <c r="C3" s="527"/>
      <c r="D3" s="527"/>
    </row>
    <row r="4" spans="2:4" ht="6" customHeight="1"/>
    <row r="5" spans="2:4">
      <c r="B5" s="309" t="s">
        <v>75</v>
      </c>
      <c r="C5" s="309" t="s">
        <v>67</v>
      </c>
      <c r="D5" s="309" t="s">
        <v>65</v>
      </c>
    </row>
    <row r="6" spans="2:4" ht="44.25" customHeight="1">
      <c r="B6" s="310" t="s">
        <v>79</v>
      </c>
      <c r="C6" s="316" t="s">
        <v>82</v>
      </c>
      <c r="D6" s="311" t="s">
        <v>96</v>
      </c>
    </row>
    <row r="7" spans="2:4" ht="44.25" customHeight="1">
      <c r="B7" s="313" t="s">
        <v>98</v>
      </c>
      <c r="C7" s="327" t="s">
        <v>115</v>
      </c>
      <c r="D7" s="302" t="s">
        <v>116</v>
      </c>
    </row>
    <row r="8" spans="2:4" ht="44.25" customHeight="1">
      <c r="B8" s="310" t="s">
        <v>118</v>
      </c>
      <c r="C8" s="316" t="s">
        <v>135</v>
      </c>
      <c r="D8" s="311" t="s">
        <v>136</v>
      </c>
    </row>
    <row r="9" spans="2:4" ht="44.25" customHeight="1">
      <c r="B9" s="313" t="s">
        <v>137</v>
      </c>
      <c r="C9" s="327" t="s">
        <v>153</v>
      </c>
      <c r="D9" s="302" t="s">
        <v>154</v>
      </c>
    </row>
    <row r="10" spans="2:4" ht="44.25" customHeight="1">
      <c r="B10" s="310" t="s">
        <v>155</v>
      </c>
      <c r="C10" s="316" t="s">
        <v>167</v>
      </c>
      <c r="D10" s="311" t="s">
        <v>168</v>
      </c>
    </row>
    <row r="11" spans="2:4" ht="44.25" customHeight="1">
      <c r="B11" s="313" t="s">
        <v>169</v>
      </c>
      <c r="C11" s="327" t="s">
        <v>176</v>
      </c>
      <c r="D11" s="302" t="s">
        <v>177</v>
      </c>
    </row>
    <row r="12" spans="2:4" ht="44.25" customHeight="1">
      <c r="B12" s="310" t="s">
        <v>18</v>
      </c>
      <c r="C12" s="316" t="s">
        <v>184</v>
      </c>
      <c r="D12" s="311" t="s">
        <v>185</v>
      </c>
    </row>
    <row r="13" spans="2:4"/>
  </sheetData>
  <mergeCells count="1">
    <mergeCell ref="B2:D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1" r:id="rId3" name="Button 3">
              <controlPr defaultSize="0" print="0" autoFill="0" autoPict="0" macro="[0]!AutonomiaValoracion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5</xdr:col>
                    <xdr:colOff>723900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G20"/>
  <sheetViews>
    <sheetView workbookViewId="0"/>
  </sheetViews>
  <sheetFormatPr baseColWidth="10" defaultColWidth="0" defaultRowHeight="13.8" zeroHeight="1"/>
  <cols>
    <col min="1" max="1" width="2.5546875" style="8" customWidth="1"/>
    <col min="2" max="4" width="13.5546875" style="8" customWidth="1"/>
    <col min="5" max="5" width="2.5546875" style="8" customWidth="1"/>
    <col min="6" max="6" width="11.44140625" style="8" customWidth="1"/>
    <col min="7" max="7" width="2.5546875" style="8" customWidth="1"/>
    <col min="8" max="16384" width="11.44140625" style="8" hidden="1"/>
  </cols>
  <sheetData>
    <row r="1" spans="2:4" ht="10.35" customHeight="1"/>
    <row r="2" spans="2:4">
      <c r="B2" s="526" t="s">
        <v>233</v>
      </c>
      <c r="C2" s="526"/>
      <c r="D2" s="526"/>
    </row>
    <row r="3" spans="2:4">
      <c r="B3" s="527"/>
      <c r="C3" s="527"/>
      <c r="D3" s="527"/>
    </row>
    <row r="4" spans="2:4" ht="6" customHeight="1"/>
    <row r="5" spans="2:4" ht="27.6">
      <c r="B5" s="216" t="s">
        <v>76</v>
      </c>
      <c r="C5" s="216" t="s">
        <v>7</v>
      </c>
      <c r="D5" s="216" t="s">
        <v>77</v>
      </c>
    </row>
    <row r="6" spans="2:4" ht="17.25" customHeight="1">
      <c r="B6" s="278">
        <v>1</v>
      </c>
      <c r="C6" s="299">
        <v>0</v>
      </c>
      <c r="D6" s="299">
        <v>0</v>
      </c>
    </row>
    <row r="7" spans="2:4" ht="17.25" customHeight="1">
      <c r="B7" s="278">
        <v>2</v>
      </c>
      <c r="C7" s="299">
        <v>0</v>
      </c>
      <c r="D7" s="299">
        <v>0.5</v>
      </c>
    </row>
    <row r="8" spans="2:4" ht="17.25" customHeight="1">
      <c r="B8" s="278">
        <v>3</v>
      </c>
      <c r="C8" s="299">
        <v>0.5</v>
      </c>
      <c r="D8" s="299">
        <v>2</v>
      </c>
    </row>
    <row r="9" spans="2:4" ht="17.25" customHeight="1">
      <c r="B9" s="278">
        <v>4</v>
      </c>
      <c r="C9" s="299">
        <v>2</v>
      </c>
      <c r="D9" s="299">
        <v>6</v>
      </c>
    </row>
    <row r="10" spans="2:4" ht="17.25" customHeight="1">
      <c r="B10" s="278">
        <v>5</v>
      </c>
      <c r="C10" s="299">
        <v>6</v>
      </c>
      <c r="D10" s="299">
        <v>12</v>
      </c>
    </row>
    <row r="11" spans="2:4" ht="17.25" customHeight="1">
      <c r="B11" s="278">
        <v>6</v>
      </c>
      <c r="C11" s="299">
        <v>12</v>
      </c>
      <c r="D11" s="299">
        <v>24</v>
      </c>
    </row>
    <row r="12" spans="2:4" ht="17.25" customHeight="1">
      <c r="B12" s="278">
        <v>7</v>
      </c>
      <c r="C12" s="299">
        <v>24</v>
      </c>
      <c r="D12" s="299">
        <v>48</v>
      </c>
    </row>
    <row r="13" spans="2:4" ht="17.25" customHeight="1">
      <c r="B13" s="278">
        <v>8</v>
      </c>
      <c r="C13" s="299">
        <v>48</v>
      </c>
      <c r="D13" s="299">
        <v>96</v>
      </c>
    </row>
    <row r="14" spans="2:4" ht="17.25" customHeight="1">
      <c r="B14" s="278">
        <v>9</v>
      </c>
      <c r="C14" s="299">
        <v>96</v>
      </c>
      <c r="D14" s="299">
        <v>192</v>
      </c>
    </row>
    <row r="15" spans="2:4" ht="17.25" customHeight="1">
      <c r="B15" s="278">
        <v>10</v>
      </c>
      <c r="C15" s="299">
        <v>192</v>
      </c>
      <c r="D15" s="299">
        <v>384</v>
      </c>
    </row>
    <row r="16" spans="2:4" ht="17.25" customHeight="1">
      <c r="B16" s="278">
        <v>11</v>
      </c>
      <c r="C16" s="299">
        <v>384</v>
      </c>
      <c r="D16" s="299">
        <v>768</v>
      </c>
    </row>
    <row r="17" spans="2:4" ht="17.25" customHeight="1">
      <c r="B17" s="278">
        <v>12</v>
      </c>
      <c r="C17" s="299">
        <v>768</v>
      </c>
      <c r="D17" s="299">
        <v>1508.5</v>
      </c>
    </row>
    <row r="18" spans="2:4" ht="17.25" customHeight="1">
      <c r="B18" s="278">
        <v>13</v>
      </c>
      <c r="C18" s="299">
        <v>1508.5</v>
      </c>
      <c r="D18" s="299">
        <v>3072</v>
      </c>
    </row>
    <row r="19" spans="2:4" ht="17.25" customHeight="1">
      <c r="B19" s="279">
        <v>14</v>
      </c>
      <c r="C19" s="300">
        <v>3072</v>
      </c>
      <c r="D19" s="300" t="s">
        <v>190</v>
      </c>
    </row>
    <row r="20" spans="2:4"/>
  </sheetData>
  <mergeCells count="1">
    <mergeCell ref="B2:D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MagnitudesValoracion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5</xdr:col>
                    <xdr:colOff>723900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1:F9"/>
  <sheetViews>
    <sheetView workbookViewId="0"/>
  </sheetViews>
  <sheetFormatPr baseColWidth="10" defaultColWidth="0" defaultRowHeight="13.8" zeroHeight="1"/>
  <cols>
    <col min="1" max="1" width="2.5546875" style="8" customWidth="1"/>
    <col min="2" max="2" width="13.44140625" style="8" customWidth="1"/>
    <col min="3" max="3" width="45.44140625" style="8" customWidth="1"/>
    <col min="4" max="4" width="2.5546875" style="8" customWidth="1"/>
    <col min="5" max="5" width="11.44140625" style="8" customWidth="1"/>
    <col min="6" max="6" width="2.5546875" style="8" customWidth="1"/>
    <col min="7" max="16384" width="11.44140625" style="8" hidden="1"/>
  </cols>
  <sheetData>
    <row r="1" spans="2:3" ht="10.35" customHeight="1"/>
    <row r="2" spans="2:3">
      <c r="B2" s="530" t="s">
        <v>234</v>
      </c>
      <c r="C2" s="530"/>
    </row>
    <row r="3" spans="2:3">
      <c r="B3" s="531"/>
      <c r="C3" s="531"/>
    </row>
    <row r="4" spans="2:3" ht="6" customHeight="1"/>
    <row r="5" spans="2:3">
      <c r="B5" s="216" t="s">
        <v>235</v>
      </c>
      <c r="C5" s="216" t="s">
        <v>65</v>
      </c>
    </row>
    <row r="6" spans="2:3" ht="51.75" customHeight="1">
      <c r="B6" s="280">
        <v>1</v>
      </c>
      <c r="C6" s="19" t="s">
        <v>236</v>
      </c>
    </row>
    <row r="7" spans="2:3" ht="51.75" customHeight="1">
      <c r="B7" s="280">
        <v>2</v>
      </c>
      <c r="C7" s="19" t="s">
        <v>237</v>
      </c>
    </row>
    <row r="8" spans="2:3" ht="51.75" customHeight="1">
      <c r="B8" s="281">
        <v>3</v>
      </c>
      <c r="C8" s="224" t="s">
        <v>238</v>
      </c>
    </row>
    <row r="9" spans="2:3"/>
  </sheetData>
  <mergeCells count="1">
    <mergeCell ref="B2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CriticidadValoracion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4</xdr:col>
                    <xdr:colOff>723900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">
    <tabColor rgb="FFFFC000"/>
  </sheetPr>
  <dimension ref="A1:N51"/>
  <sheetViews>
    <sheetView workbookViewId="0"/>
  </sheetViews>
  <sheetFormatPr baseColWidth="10" defaultColWidth="0" defaultRowHeight="13.8" zeroHeight="1"/>
  <cols>
    <col min="1" max="1" width="2.5546875" style="8" customWidth="1"/>
    <col min="2" max="2" width="20" style="8" customWidth="1"/>
    <col min="3" max="3" width="20" style="9" customWidth="1"/>
    <col min="4" max="11" width="19.44140625" style="11" customWidth="1"/>
    <col min="12" max="12" width="2.5546875" style="8" customWidth="1"/>
    <col min="13" max="13" width="27.44140625" style="8" bestFit="1" customWidth="1"/>
    <col min="14" max="14" width="2.5546875" style="8" customWidth="1"/>
    <col min="15" max="16384" width="11.44140625" style="8" hidden="1"/>
  </cols>
  <sheetData>
    <row r="1" spans="2:13"/>
    <row r="2" spans="2:13" ht="27.6">
      <c r="C2" s="267"/>
      <c r="D2" s="258" t="s">
        <v>239</v>
      </c>
      <c r="E2" s="258" t="s">
        <v>240</v>
      </c>
      <c r="F2" s="258" t="s">
        <v>241</v>
      </c>
      <c r="G2" s="258" t="s">
        <v>242</v>
      </c>
      <c r="H2" s="258" t="s">
        <v>243</v>
      </c>
      <c r="I2" s="258" t="s">
        <v>244</v>
      </c>
      <c r="J2" s="258" t="s">
        <v>245</v>
      </c>
      <c r="K2" s="258" t="s">
        <v>246</v>
      </c>
    </row>
    <row r="3" spans="2:13" ht="27.6">
      <c r="C3" s="263"/>
      <c r="D3" s="259" t="s">
        <v>239</v>
      </c>
      <c r="E3" s="259" t="s">
        <v>240</v>
      </c>
      <c r="F3" s="259" t="s">
        <v>241</v>
      </c>
      <c r="G3" s="259" t="s">
        <v>242</v>
      </c>
      <c r="H3" s="259" t="s">
        <v>243</v>
      </c>
      <c r="I3" s="259" t="s">
        <v>244</v>
      </c>
      <c r="J3" s="259" t="s">
        <v>247</v>
      </c>
      <c r="K3" s="259" t="s">
        <v>248</v>
      </c>
    </row>
    <row r="4" spans="2:13">
      <c r="C4" s="263" t="s">
        <v>249</v>
      </c>
      <c r="D4" s="259">
        <f>COUNTIFS(Datos_Origen[Ctpolp],"&gt;120%",Datos_Origen[Área],D$3)</f>
        <v>0</v>
      </c>
      <c r="E4" s="259">
        <f>COUNTIFS(Datos_Origen[Ctpolp],"&gt;120%",Datos_Origen[Área],E$3)</f>
        <v>0</v>
      </c>
      <c r="F4" s="259">
        <f>COUNTIFS(Datos_Origen[Ctpolp],"&gt;120%",Datos_Origen[Área],F$3)</f>
        <v>0</v>
      </c>
      <c r="G4" s="259">
        <f>COUNTIFS(Datos_Origen[Ctpolp],"&gt;120%",Datos_Origen[Área],G$3)</f>
        <v>0</v>
      </c>
      <c r="H4" s="259">
        <f>COUNTIFS(Datos_Origen[Ctpolp],"&gt;120%",Datos_Origen[Área],H$3)</f>
        <v>0</v>
      </c>
      <c r="I4" s="259">
        <f>COUNTIFS(Datos_Origen[Ctpolp],"&gt;120%",Datos_Origen[Área],I$3)</f>
        <v>0</v>
      </c>
      <c r="J4" s="259">
        <f>COUNTIFS(Datos_Origen[Ctpolp],"&gt;120%",Datos_Origen[Área],J$3)</f>
        <v>0</v>
      </c>
      <c r="K4" s="259">
        <f>COUNTIFS(Datos_Origen[Ctpolp],"&gt;120%",Datos_Origen[Área],K$3)</f>
        <v>0</v>
      </c>
    </row>
    <row r="5" spans="2:13">
      <c r="C5" s="263" t="s">
        <v>250</v>
      </c>
      <c r="D5" s="259">
        <f>COUNTIFS(Datos_Origen[Ctpolp],"&lt;=120%",Datos_Origen[Ctpolp],"&gt;=80%",Datos_Origen[Área],D$3)</f>
        <v>0</v>
      </c>
      <c r="E5" s="259">
        <f>COUNTIFS(Datos_Origen[Ctpolp],"&lt;=120%",Datos_Origen[Ctpolp],"&gt;=80%",Datos_Origen[Área],E$3)</f>
        <v>0</v>
      </c>
      <c r="F5" s="259">
        <f>COUNTIFS(Datos_Origen[Ctpolp],"&lt;=120%",Datos_Origen[Ctpolp],"&gt;=80%",Datos_Origen[Área],F$3)</f>
        <v>0</v>
      </c>
      <c r="G5" s="259">
        <f>COUNTIFS(Datos_Origen[Ctpolp],"&lt;=120%",Datos_Origen[Ctpolp],"&gt;=80%",Datos_Origen[Área],G$3)</f>
        <v>0</v>
      </c>
      <c r="H5" s="259">
        <f>COUNTIFS(Datos_Origen[Ctpolp],"&lt;=120%",Datos_Origen[Ctpolp],"&gt;=80%",Datos_Origen[Área],H$3)</f>
        <v>0</v>
      </c>
      <c r="I5" s="259">
        <f>COUNTIFS(Datos_Origen[Ctpolp],"&lt;=120%",Datos_Origen[Ctpolp],"&gt;=80%",Datos_Origen[Área],I$3)</f>
        <v>0</v>
      </c>
      <c r="J5" s="259">
        <f>COUNTIFS(Datos_Origen[Ctpolp],"&lt;=120%",Datos_Origen[Ctpolp],"&gt;=80%",Datos_Origen[Área],J$3)</f>
        <v>0</v>
      </c>
      <c r="K5" s="259">
        <f>COUNTIFS(Datos_Origen[Ctpolp],"&lt;=120%",Datos_Origen[Ctpolp],"&gt;=80%",Datos_Origen[Área],K$3)</f>
        <v>0</v>
      </c>
    </row>
    <row r="6" spans="2:13">
      <c r="C6" s="263" t="s">
        <v>251</v>
      </c>
      <c r="D6" s="259">
        <f>COUNTIFS(Datos_Origen[Ctpolp],"&lt;80%",Datos_Origen[Área],D$3)</f>
        <v>1</v>
      </c>
      <c r="E6" s="259">
        <f>COUNTIFS(Datos_Origen[Ctpolp],"&lt;80%",Datos_Origen[Área],E$3)</f>
        <v>0</v>
      </c>
      <c r="F6" s="259">
        <f>COUNTIFS(Datos_Origen[Ctpolp],"&lt;80%",Datos_Origen[Área],F$3)</f>
        <v>0</v>
      </c>
      <c r="G6" s="259">
        <f>COUNTIFS(Datos_Origen[Ctpolp],"&lt;80%",Datos_Origen[Área],G$3)</f>
        <v>0</v>
      </c>
      <c r="H6" s="259">
        <f>COUNTIFS(Datos_Origen[Ctpolp],"&lt;80%",Datos_Origen[Área],H$3)</f>
        <v>0</v>
      </c>
      <c r="I6" s="259">
        <f>COUNTIFS(Datos_Origen[Ctpolp],"&lt;80%",Datos_Origen[Área],I$3)</f>
        <v>0</v>
      </c>
      <c r="J6" s="259">
        <f>COUNTIFS(Datos_Origen[Ctpolp],"&lt;80%",Datos_Origen[Área],J$3)</f>
        <v>0</v>
      </c>
      <c r="K6" s="259">
        <f>COUNTIFS(Datos_Origen[Ctpolp],"&lt;80%",Datos_Origen[Área],K$3)</f>
        <v>0</v>
      </c>
    </row>
    <row r="7" spans="2:13">
      <c r="D7" s="260">
        <f>SUM(D4:D6)</f>
        <v>1</v>
      </c>
      <c r="E7" s="260">
        <f t="shared" ref="E7:K7" si="0">SUM(E4:E6)</f>
        <v>0</v>
      </c>
      <c r="F7" s="260">
        <f t="shared" si="0"/>
        <v>0</v>
      </c>
      <c r="G7" s="260">
        <f t="shared" si="0"/>
        <v>0</v>
      </c>
      <c r="H7" s="260">
        <f t="shared" si="0"/>
        <v>0</v>
      </c>
      <c r="I7" s="260">
        <f t="shared" si="0"/>
        <v>0</v>
      </c>
      <c r="J7" s="260">
        <f t="shared" ref="J7" si="1">SUM(J4:J6)</f>
        <v>0</v>
      </c>
      <c r="K7" s="260">
        <f t="shared" si="0"/>
        <v>0</v>
      </c>
    </row>
    <row r="8" spans="2:13" ht="27.6">
      <c r="D8" s="258" t="s">
        <v>239</v>
      </c>
      <c r="E8" s="258" t="s">
        <v>240</v>
      </c>
      <c r="F8" s="258" t="s">
        <v>241</v>
      </c>
      <c r="G8" s="258" t="s">
        <v>242</v>
      </c>
      <c r="H8" s="258" t="s">
        <v>243</v>
      </c>
      <c r="I8" s="258" t="s">
        <v>244</v>
      </c>
      <c r="J8" s="258" t="s">
        <v>247</v>
      </c>
      <c r="K8" s="258" t="s">
        <v>248</v>
      </c>
    </row>
    <row r="9" spans="2:13">
      <c r="B9" s="253" t="s">
        <v>249</v>
      </c>
      <c r="C9" s="263" t="s">
        <v>249</v>
      </c>
      <c r="D9" s="261">
        <f>D4/D$7</f>
        <v>0</v>
      </c>
      <c r="E9" s="261" t="e">
        <f t="shared" ref="E9:K9" si="2">E4/E$7</f>
        <v>#DIV/0!</v>
      </c>
      <c r="F9" s="262" t="e">
        <f t="shared" si="2"/>
        <v>#DIV/0!</v>
      </c>
      <c r="G9" s="262" t="e">
        <f t="shared" si="2"/>
        <v>#DIV/0!</v>
      </c>
      <c r="H9" s="262" t="e">
        <f t="shared" si="2"/>
        <v>#DIV/0!</v>
      </c>
      <c r="I9" s="262" t="e">
        <f t="shared" si="2"/>
        <v>#DIV/0!</v>
      </c>
      <c r="J9" s="262" t="e">
        <f t="shared" ref="J9" si="3">J4/J$7</f>
        <v>#DIV/0!</v>
      </c>
      <c r="K9" s="262" t="e">
        <f t="shared" si="2"/>
        <v>#DIV/0!</v>
      </c>
    </row>
    <row r="10" spans="2:13">
      <c r="B10" s="253" t="s">
        <v>250</v>
      </c>
      <c r="C10" s="263" t="s">
        <v>250</v>
      </c>
      <c r="D10" s="262">
        <f t="shared" ref="D10:K11" si="4">D5/D$7</f>
        <v>0</v>
      </c>
      <c r="E10" s="262" t="e">
        <f t="shared" si="4"/>
        <v>#DIV/0!</v>
      </c>
      <c r="F10" s="262" t="e">
        <f t="shared" si="4"/>
        <v>#DIV/0!</v>
      </c>
      <c r="G10" s="262" t="e">
        <f t="shared" si="4"/>
        <v>#DIV/0!</v>
      </c>
      <c r="H10" s="262" t="e">
        <f t="shared" si="4"/>
        <v>#DIV/0!</v>
      </c>
      <c r="I10" s="262" t="e">
        <f t="shared" si="4"/>
        <v>#DIV/0!</v>
      </c>
      <c r="J10" s="262" t="e">
        <f t="shared" ref="J10" si="5">J5/J$7</f>
        <v>#DIV/0!</v>
      </c>
      <c r="K10" s="262" t="e">
        <f t="shared" si="4"/>
        <v>#DIV/0!</v>
      </c>
    </row>
    <row r="11" spans="2:13">
      <c r="B11" s="253" t="s">
        <v>251</v>
      </c>
      <c r="C11" s="263" t="s">
        <v>251</v>
      </c>
      <c r="D11" s="262">
        <f t="shared" si="4"/>
        <v>1</v>
      </c>
      <c r="E11" s="262" t="e">
        <f t="shared" si="4"/>
        <v>#DIV/0!</v>
      </c>
      <c r="F11" s="262" t="e">
        <f t="shared" si="4"/>
        <v>#DIV/0!</v>
      </c>
      <c r="G11" s="262" t="e">
        <f t="shared" si="4"/>
        <v>#DIV/0!</v>
      </c>
      <c r="H11" s="261" t="e">
        <f t="shared" si="4"/>
        <v>#DIV/0!</v>
      </c>
      <c r="I11" s="262" t="e">
        <f t="shared" si="4"/>
        <v>#DIV/0!</v>
      </c>
      <c r="J11" s="262" t="e">
        <f t="shared" ref="J11" si="6">J6/J$7</f>
        <v>#DIV/0!</v>
      </c>
      <c r="K11" s="262" t="e">
        <f t="shared" si="4"/>
        <v>#DIV/0!</v>
      </c>
    </row>
    <row r="12" spans="2:13"/>
    <row r="13" spans="2:13">
      <c r="M13" s="253" t="s">
        <v>241</v>
      </c>
    </row>
    <row r="14" spans="2:13">
      <c r="M14" s="253" t="s">
        <v>240</v>
      </c>
    </row>
    <row r="15" spans="2:13">
      <c r="M15" s="253" t="s">
        <v>248</v>
      </c>
    </row>
    <row r="16" spans="2:13">
      <c r="M16" s="253" t="s">
        <v>243</v>
      </c>
    </row>
    <row r="17" spans="2:13">
      <c r="M17" s="253" t="s">
        <v>242</v>
      </c>
    </row>
    <row r="18" spans="2:13">
      <c r="M18" s="253" t="s">
        <v>247</v>
      </c>
    </row>
    <row r="19" spans="2:13">
      <c r="M19" s="253" t="s">
        <v>244</v>
      </c>
    </row>
    <row r="20" spans="2:13">
      <c r="M20" s="253" t="s">
        <v>252</v>
      </c>
    </row>
    <row r="21" spans="2:13"/>
    <row r="22" spans="2:13"/>
    <row r="23" spans="2:13"/>
    <row r="24" spans="2:13"/>
    <row r="25" spans="2:13"/>
    <row r="26" spans="2:13"/>
    <row r="27" spans="2:13"/>
    <row r="28" spans="2:13"/>
    <row r="29" spans="2:13" ht="27.6">
      <c r="D29" s="264" t="s">
        <v>253</v>
      </c>
      <c r="E29" s="264" t="s">
        <v>254</v>
      </c>
    </row>
    <row r="30" spans="2:13" ht="33.75" customHeight="1">
      <c r="B30" s="259" t="s">
        <v>239</v>
      </c>
      <c r="C30" s="258" t="s">
        <v>239</v>
      </c>
      <c r="D30" s="265">
        <f>SUMIFS(Datos_Origen[Costo Mensual de Nivelación],Datos_Origen[Área],$B30,Datos_Origen[Básico],"&gt;0")</f>
        <v>17053912.544999994</v>
      </c>
      <c r="E30" s="265">
        <f>SUMIFS(Datos_Origen[Costo Mensual Sobrepago],Datos_Origen[Área],$B30)</f>
        <v>0</v>
      </c>
    </row>
    <row r="31" spans="2:13" ht="33.75" customHeight="1">
      <c r="B31" s="259" t="s">
        <v>240</v>
      </c>
      <c r="C31" s="258" t="s">
        <v>240</v>
      </c>
      <c r="D31" s="265">
        <f>SUMIFS(Datos_Origen[Costo Mensual de Nivelación],Datos_Origen[Área],$B31,Datos_Origen[Básico],"&gt;0")</f>
        <v>0</v>
      </c>
      <c r="E31" s="265">
        <f>SUMIFS(Datos_Origen[Costo Mensual Sobrepago],Datos_Origen[Área],$B31)</f>
        <v>0</v>
      </c>
    </row>
    <row r="32" spans="2:13" ht="33.75" customHeight="1">
      <c r="B32" s="259" t="s">
        <v>241</v>
      </c>
      <c r="C32" s="258" t="s">
        <v>241</v>
      </c>
      <c r="D32" s="265">
        <f>SUMIFS(Datos_Origen[Costo Mensual de Nivelación],Datos_Origen[Área],$B32,Datos_Origen[Básico],"&gt;0")</f>
        <v>0</v>
      </c>
      <c r="E32" s="265">
        <f>SUMIFS(Datos_Origen[Costo Mensual Sobrepago],Datos_Origen[Área],$B32)</f>
        <v>0</v>
      </c>
    </row>
    <row r="33" spans="2:5" ht="33.75" customHeight="1">
      <c r="B33" s="259" t="s">
        <v>242</v>
      </c>
      <c r="C33" s="258" t="s">
        <v>242</v>
      </c>
      <c r="D33" s="265">
        <f>SUMIFS(Datos_Origen[Costo Mensual de Nivelación],Datos_Origen[Área],$B33,Datos_Origen[Básico],"&gt;0")</f>
        <v>0</v>
      </c>
      <c r="E33" s="265">
        <f>SUMIFS(Datos_Origen[Costo Mensual Sobrepago],Datos_Origen[Área],$B33)</f>
        <v>0</v>
      </c>
    </row>
    <row r="34" spans="2:5" ht="33.75" customHeight="1">
      <c r="B34" s="259" t="s">
        <v>243</v>
      </c>
      <c r="C34" s="258" t="s">
        <v>243</v>
      </c>
      <c r="D34" s="265">
        <f>SUMIFS(Datos_Origen[Costo Mensual de Nivelación],Datos_Origen[Área],$B34,Datos_Origen[Básico],"&gt;0")</f>
        <v>0</v>
      </c>
      <c r="E34" s="265">
        <f>SUMIFS(Datos_Origen[Costo Mensual Sobrepago],Datos_Origen[Área],$B34)</f>
        <v>0</v>
      </c>
    </row>
    <row r="35" spans="2:5" ht="33.75" customHeight="1">
      <c r="B35" s="259" t="s">
        <v>244</v>
      </c>
      <c r="C35" s="258" t="s">
        <v>244</v>
      </c>
      <c r="D35" s="265">
        <f>SUMIFS(Datos_Origen[Costo Mensual de Nivelación],Datos_Origen[Área],$B35,Datos_Origen[Básico],"&gt;0")</f>
        <v>0</v>
      </c>
      <c r="E35" s="265">
        <f>SUMIFS(Datos_Origen[Costo Mensual Sobrepago],Datos_Origen[Área],$B35)</f>
        <v>0</v>
      </c>
    </row>
    <row r="36" spans="2:5" ht="33.75" customHeight="1">
      <c r="B36" s="259" t="s">
        <v>247</v>
      </c>
      <c r="C36" s="258" t="s">
        <v>247</v>
      </c>
      <c r="D36" s="265">
        <f>SUMIFS(Datos_Origen[Costo Mensual de Nivelación],Datos_Origen[Área],$B36,Datos_Origen[Básico],"&gt;0")</f>
        <v>0</v>
      </c>
      <c r="E36" s="265">
        <f>SUMIFS(Datos_Origen[Costo Mensual Sobrepago],Datos_Origen[Área],$B36)</f>
        <v>0</v>
      </c>
    </row>
    <row r="37" spans="2:5" ht="33.75" customHeight="1">
      <c r="B37" s="259" t="s">
        <v>248</v>
      </c>
      <c r="C37" s="258" t="s">
        <v>248</v>
      </c>
      <c r="D37" s="265">
        <f>SUMIFS(Datos_Origen[Costo Mensual de Nivelación],Datos_Origen[Área],$B37,Datos_Origen[Básico],"&gt;0")</f>
        <v>0</v>
      </c>
      <c r="E37" s="265">
        <f>SUMIFS(Datos_Origen[Costo Mensual Sobrepago],Datos_Origen[Área],$B37)</f>
        <v>0</v>
      </c>
    </row>
    <row r="38" spans="2:5" ht="25.5" customHeight="1">
      <c r="D38" s="266">
        <f>SUM(D30:D37)</f>
        <v>17053912.544999994</v>
      </c>
      <c r="E38" s="266">
        <f>SUM(E30:E37)</f>
        <v>0</v>
      </c>
    </row>
    <row r="39" spans="2:5"/>
    <row r="40" spans="2:5"/>
    <row r="41" spans="2:5"/>
    <row r="42" spans="2:5"/>
    <row r="43" spans="2:5"/>
    <row r="44" spans="2:5"/>
    <row r="45" spans="2:5"/>
    <row r="46" spans="2:5"/>
    <row r="47" spans="2:5"/>
    <row r="48" spans="2:5"/>
    <row r="49"/>
    <row r="50"/>
    <row r="51"/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4">
    <pageSetUpPr fitToPage="1"/>
  </sheetPr>
  <dimension ref="A1:XER359"/>
  <sheetViews>
    <sheetView showGridLines="0" topLeftCell="A32" zoomScaleNormal="100" workbookViewId="0">
      <selection activeCell="B99" sqref="B9:B99"/>
    </sheetView>
  </sheetViews>
  <sheetFormatPr baseColWidth="10" defaultColWidth="0" defaultRowHeight="13.2"/>
  <cols>
    <col min="1" max="1" width="1.5546875" style="271" customWidth="1"/>
    <col min="2" max="2" width="8.44140625" style="277" customWidth="1"/>
    <col min="3" max="3" width="51" style="277" bestFit="1" customWidth="1"/>
    <col min="4" max="4" width="13.77734375" style="275" bestFit="1" customWidth="1"/>
    <col min="5" max="5" width="8.5546875" style="418" bestFit="1" customWidth="1"/>
    <col min="6" max="6" width="27" style="419" bestFit="1" customWidth="1"/>
    <col min="7" max="7" width="10.77734375" style="410" bestFit="1" customWidth="1"/>
    <col min="8" max="9" width="10.33203125" style="419" bestFit="1" customWidth="1"/>
    <col min="10" max="10" width="7.77734375" style="410" bestFit="1" customWidth="1"/>
    <col min="11" max="11" width="10.33203125" style="419" bestFit="1" customWidth="1"/>
    <col min="12" max="12" width="11.109375" style="419" bestFit="1" customWidth="1"/>
    <col min="13" max="13" width="8" style="412" bestFit="1" customWidth="1"/>
    <col min="14" max="14" width="10.44140625" style="271" bestFit="1" customWidth="1"/>
    <col min="15" max="15" width="11.109375" style="271" bestFit="1" customWidth="1"/>
    <col min="16" max="16" width="7.77734375" style="411" bestFit="1" customWidth="1"/>
    <col min="17" max="17" width="1.88671875" style="271" customWidth="1"/>
    <col min="18" max="19" width="11.44140625" style="271" hidden="1"/>
    <col min="20" max="20" width="51" style="271" hidden="1"/>
    <col min="21" max="21" width="16.88671875" style="271" hidden="1"/>
    <col min="22" max="22" width="1" style="271" hidden="1"/>
    <col min="23" max="24" width="11.88671875" style="271" hidden="1"/>
    <col min="25" max="25" width="9.88671875" style="271" hidden="1"/>
    <col min="26" max="26" width="1" style="271" hidden="1"/>
    <col min="27" max="28" width="11.88671875" style="271" hidden="1"/>
    <col min="29" max="29" width="9.88671875" style="271" hidden="1"/>
    <col min="30" max="30" width="1" style="271" hidden="1"/>
    <col min="31" max="32" width="11.88671875" style="271" hidden="1"/>
    <col min="33" max="33" width="9.88671875" style="271" hidden="1"/>
    <col min="34" max="34" width="1" style="271" hidden="1"/>
    <col min="35" max="36" width="11.88671875" style="271" hidden="1"/>
    <col min="37" max="37" width="9.88671875" style="271" hidden="1"/>
    <col min="38" max="16372" width="11.44140625" style="271" hidden="1"/>
    <col min="16373" max="16384" width="8.88671875" style="271" hidden="1"/>
  </cols>
  <sheetData>
    <row r="1" spans="2:37">
      <c r="B1" s="23"/>
      <c r="C1" s="23"/>
      <c r="D1" s="24"/>
      <c r="E1" s="416"/>
      <c r="F1" s="417"/>
      <c r="G1" s="409"/>
      <c r="H1" s="417"/>
      <c r="I1" s="417"/>
      <c r="J1" s="409"/>
      <c r="K1" s="417"/>
      <c r="L1" s="417"/>
      <c r="M1" s="411"/>
    </row>
    <row r="2" spans="2:37">
      <c r="B2" s="544"/>
      <c r="C2" s="544"/>
      <c r="D2" s="544"/>
      <c r="E2" s="544"/>
      <c r="F2" s="544"/>
      <c r="G2" s="544"/>
      <c r="H2" s="544"/>
      <c r="I2" s="544"/>
      <c r="J2" s="544"/>
      <c r="K2" s="544"/>
      <c r="L2" s="544"/>
      <c r="M2" s="544"/>
    </row>
    <row r="3" spans="2:37">
      <c r="B3" s="544"/>
      <c r="C3" s="544"/>
      <c r="D3" s="544"/>
      <c r="E3" s="544"/>
      <c r="F3" s="544"/>
      <c r="G3" s="544"/>
      <c r="H3" s="544"/>
      <c r="I3" s="544"/>
      <c r="J3" s="544"/>
      <c r="K3" s="544"/>
      <c r="L3" s="544"/>
      <c r="M3" s="544"/>
    </row>
    <row r="4" spans="2:37">
      <c r="B4" s="23"/>
      <c r="C4" s="23"/>
      <c r="D4" s="24"/>
      <c r="E4" s="416"/>
      <c r="F4" s="417"/>
      <c r="G4" s="409"/>
      <c r="H4" s="417"/>
      <c r="I4" s="417"/>
      <c r="J4" s="409"/>
      <c r="K4" s="417"/>
      <c r="L4" s="417"/>
      <c r="M4" s="411"/>
    </row>
    <row r="5" spans="2:37">
      <c r="B5" s="23"/>
      <c r="C5" s="23"/>
      <c r="D5" s="24"/>
      <c r="E5" s="416"/>
      <c r="F5" s="417"/>
      <c r="G5" s="409"/>
      <c r="H5" s="417"/>
      <c r="I5" s="417"/>
      <c r="J5" s="409"/>
      <c r="K5" s="417"/>
      <c r="L5" s="417"/>
      <c r="M5" s="411"/>
    </row>
    <row r="6" spans="2:37" s="482" customFormat="1" ht="20.399999999999999">
      <c r="B6" s="479"/>
      <c r="C6" s="479"/>
      <c r="D6" s="480"/>
      <c r="E6" s="481" t="s">
        <v>255</v>
      </c>
      <c r="F6" s="481" t="s">
        <v>256</v>
      </c>
      <c r="H6" s="481" t="s">
        <v>255</v>
      </c>
      <c r="I6" s="481" t="s">
        <v>256</v>
      </c>
      <c r="K6" s="481" t="s">
        <v>255</v>
      </c>
      <c r="L6" s="481" t="s">
        <v>256</v>
      </c>
      <c r="N6" s="481" t="s">
        <v>255</v>
      </c>
      <c r="O6" s="481" t="s">
        <v>256</v>
      </c>
      <c r="X6" s="482" t="s">
        <v>255</v>
      </c>
      <c r="Y6" s="482" t="s">
        <v>256</v>
      </c>
      <c r="AB6" s="482" t="s">
        <v>255</v>
      </c>
      <c r="AC6" s="482" t="s">
        <v>256</v>
      </c>
      <c r="AF6" s="482" t="s">
        <v>255</v>
      </c>
      <c r="AG6" s="482" t="s">
        <v>256</v>
      </c>
      <c r="AJ6" s="482" t="s">
        <v>255</v>
      </c>
      <c r="AK6" s="482" t="s">
        <v>256</v>
      </c>
    </row>
    <row r="7" spans="2:37" s="29" customFormat="1" ht="48">
      <c r="B7" s="485" t="s">
        <v>257</v>
      </c>
      <c r="C7" s="485" t="s">
        <v>258</v>
      </c>
      <c r="D7" s="485" t="s">
        <v>259</v>
      </c>
      <c r="E7" s="493" t="s">
        <v>260</v>
      </c>
      <c r="F7" s="23" t="s">
        <v>896</v>
      </c>
      <c r="G7" s="23" t="s">
        <v>262</v>
      </c>
      <c r="H7" s="488" t="s">
        <v>263</v>
      </c>
      <c r="I7" s="488" t="s">
        <v>264</v>
      </c>
      <c r="J7" s="487" t="s">
        <v>265</v>
      </c>
      <c r="K7" s="488" t="s">
        <v>266</v>
      </c>
      <c r="L7" s="488" t="s">
        <v>267</v>
      </c>
      <c r="M7" s="487" t="s">
        <v>268</v>
      </c>
      <c r="N7" s="488" t="s">
        <v>269</v>
      </c>
      <c r="O7" s="488" t="s">
        <v>270</v>
      </c>
      <c r="P7" s="487" t="s">
        <v>271</v>
      </c>
      <c r="Q7"/>
      <c r="S7" s="447" t="s">
        <v>257</v>
      </c>
      <c r="T7" s="447" t="s">
        <v>258</v>
      </c>
      <c r="U7" s="447" t="s">
        <v>259</v>
      </c>
      <c r="V7" s="110"/>
      <c r="W7" s="448" t="s">
        <v>260</v>
      </c>
      <c r="X7" s="448" t="s">
        <v>261</v>
      </c>
      <c r="Y7" s="450" t="s">
        <v>262</v>
      </c>
      <c r="Z7" s="110"/>
      <c r="AA7" s="449" t="s">
        <v>263</v>
      </c>
      <c r="AB7" s="449" t="s">
        <v>264</v>
      </c>
      <c r="AC7" s="450" t="s">
        <v>265</v>
      </c>
      <c r="AD7" s="110"/>
      <c r="AE7" s="449" t="s">
        <v>266</v>
      </c>
      <c r="AF7" s="449" t="s">
        <v>267</v>
      </c>
      <c r="AG7" s="450" t="s">
        <v>268</v>
      </c>
      <c r="AH7" s="110"/>
      <c r="AI7" s="449" t="s">
        <v>269</v>
      </c>
      <c r="AJ7" s="449" t="s">
        <v>270</v>
      </c>
      <c r="AK7" s="450" t="s">
        <v>271</v>
      </c>
    </row>
    <row r="8" spans="2:37" ht="14.4">
      <c r="B8" s="486" t="s">
        <v>909</v>
      </c>
      <c r="C8" s="542" t="s">
        <v>910</v>
      </c>
      <c r="D8" s="29" t="s">
        <v>909</v>
      </c>
      <c r="E8" s="275"/>
      <c r="F8" s="275" t="e">
        <v>#N/A</v>
      </c>
      <c r="G8" s="275" t="e">
        <v>#N/A</v>
      </c>
      <c r="H8" s="491" t="e">
        <v>#DIV/0!</v>
      </c>
      <c r="I8" s="491" t="e">
        <v>#N/A</v>
      </c>
      <c r="J8" s="494" t="e">
        <v>#DIV/0!</v>
      </c>
      <c r="K8" s="418" t="e">
        <v>#DIV/0!</v>
      </c>
      <c r="L8" s="418" t="e">
        <v>#N/A</v>
      </c>
      <c r="M8" s="494" t="e">
        <v>#DIV/0!</v>
      </c>
      <c r="N8" s="418" t="e">
        <v>#DIV/0!</v>
      </c>
      <c r="O8" s="418" t="e">
        <v>#N/A</v>
      </c>
      <c r="P8" s="494" t="e">
        <v>#DIV/0!</v>
      </c>
      <c r="Q8"/>
      <c r="S8" s="451" t="str">
        <f>+B8</f>
        <v>#N/D</v>
      </c>
      <c r="T8" s="452" t="str">
        <f>+C8</f>
        <v>(en blanco)</v>
      </c>
      <c r="U8" s="453" t="str">
        <f>+D8</f>
        <v>#N/D</v>
      </c>
      <c r="V8" s="110"/>
      <c r="W8" s="454">
        <f>+E8</f>
        <v>0</v>
      </c>
      <c r="X8" s="454" t="e">
        <f>+F8</f>
        <v>#N/A</v>
      </c>
      <c r="Y8" s="455" t="e">
        <f>+G8</f>
        <v>#N/A</v>
      </c>
      <c r="Z8" s="110"/>
      <c r="AA8" s="454" t="e">
        <f>+H8</f>
        <v>#DIV/0!</v>
      </c>
      <c r="AB8" s="454" t="e">
        <f>+I8</f>
        <v>#N/A</v>
      </c>
      <c r="AC8" s="455" t="e">
        <f>+J8</f>
        <v>#DIV/0!</v>
      </c>
      <c r="AD8" s="110"/>
      <c r="AE8" s="454" t="e">
        <f>+K8</f>
        <v>#DIV/0!</v>
      </c>
      <c r="AF8" s="454" t="e">
        <f>+L8</f>
        <v>#N/A</v>
      </c>
      <c r="AG8" s="455" t="e">
        <f>+M8</f>
        <v>#DIV/0!</v>
      </c>
      <c r="AH8" s="110"/>
      <c r="AI8" s="454" t="e">
        <f>+N8</f>
        <v>#DIV/0!</v>
      </c>
      <c r="AJ8" s="454" t="e">
        <f>+O8</f>
        <v>#N/A</v>
      </c>
      <c r="AK8" s="455" t="e">
        <f>+P8</f>
        <v>#DIV/0!</v>
      </c>
    </row>
    <row r="9" spans="2:37" ht="14.4">
      <c r="B9" s="486">
        <v>25</v>
      </c>
      <c r="C9" s="543" t="s">
        <v>910</v>
      </c>
      <c r="D9" s="29" t="s">
        <v>909</v>
      </c>
      <c r="E9" s="275"/>
      <c r="F9" s="275">
        <v>99323796.033712953</v>
      </c>
      <c r="G9" s="275">
        <v>0</v>
      </c>
      <c r="H9" s="491" t="e">
        <v>#DIV/0!</v>
      </c>
      <c r="I9" s="491">
        <v>116871000</v>
      </c>
      <c r="J9" s="494" t="e">
        <v>#DIV/0!</v>
      </c>
      <c r="K9" s="418" t="e">
        <v>#DIV/0!</v>
      </c>
      <c r="L9" s="418">
        <v>122308000</v>
      </c>
      <c r="M9" s="494" t="e">
        <v>#DIV/0!</v>
      </c>
      <c r="N9" s="418" t="e">
        <v>#DIV/0!</v>
      </c>
      <c r="O9" s="418">
        <v>125572000</v>
      </c>
      <c r="P9" s="494" t="e">
        <v>#DIV/0!</v>
      </c>
      <c r="Q9" s="470"/>
      <c r="S9" s="545">
        <f t="shared" ref="S9:S10" si="0">+B9</f>
        <v>25</v>
      </c>
      <c r="T9" s="456" t="str">
        <f t="shared" ref="T9:T10" si="1">+C9</f>
        <v>(en blanco)</v>
      </c>
      <c r="U9" s="457" t="str">
        <f t="shared" ref="U9:U10" si="2">+D9</f>
        <v>#N/D</v>
      </c>
      <c r="V9" s="110"/>
      <c r="W9" s="458">
        <f t="shared" ref="W9:W10" si="3">+E9</f>
        <v>0</v>
      </c>
      <c r="X9" s="458">
        <f t="shared" ref="X9:X10" si="4">+F9</f>
        <v>99323796.033712953</v>
      </c>
      <c r="Y9" s="459">
        <f t="shared" ref="Y9:Y10" si="5">+G9</f>
        <v>0</v>
      </c>
      <c r="Z9" s="110"/>
      <c r="AA9" s="458" t="e">
        <f t="shared" ref="AA9:AA10" si="6">+H9</f>
        <v>#DIV/0!</v>
      </c>
      <c r="AB9" s="458">
        <f t="shared" ref="AB9:AB10" si="7">+I9</f>
        <v>116871000</v>
      </c>
      <c r="AC9" s="459" t="e">
        <f t="shared" ref="AC9:AC10" si="8">+J9</f>
        <v>#DIV/0!</v>
      </c>
      <c r="AD9" s="110"/>
      <c r="AE9" s="458" t="e">
        <f t="shared" ref="AE9:AE10" si="9">+K9</f>
        <v>#DIV/0!</v>
      </c>
      <c r="AF9" s="458">
        <f t="shared" ref="AF9:AF10" si="10">+L9</f>
        <v>122308000</v>
      </c>
      <c r="AG9" s="459" t="e">
        <f t="shared" ref="AG9:AG10" si="11">+M9</f>
        <v>#DIV/0!</v>
      </c>
      <c r="AH9" s="110"/>
      <c r="AI9" s="458" t="e">
        <f t="shared" ref="AI9:AI10" si="12">+N9</f>
        <v>#DIV/0!</v>
      </c>
      <c r="AJ9" s="458">
        <f t="shared" ref="AJ9:AJ10" si="13">+O9</f>
        <v>125572000</v>
      </c>
      <c r="AK9" s="459" t="e">
        <f t="shared" ref="AK9:AK10" si="14">+P9</f>
        <v>#DIV/0!</v>
      </c>
    </row>
    <row r="10" spans="2:37" ht="14.4">
      <c r="B10" s="486">
        <v>24</v>
      </c>
      <c r="C10" s="543" t="s">
        <v>910</v>
      </c>
      <c r="D10" s="29" t="s">
        <v>909</v>
      </c>
      <c r="E10" s="275"/>
      <c r="F10" s="275">
        <v>84473371.104576558</v>
      </c>
      <c r="G10" s="275">
        <v>0</v>
      </c>
      <c r="H10" s="491" t="e">
        <v>#DIV/0!</v>
      </c>
      <c r="I10" s="491">
        <v>99397000</v>
      </c>
      <c r="J10" s="494" t="e">
        <v>#DIV/0!</v>
      </c>
      <c r="K10" s="418" t="e">
        <v>#DIV/0!</v>
      </c>
      <c r="L10" s="418">
        <v>103940000</v>
      </c>
      <c r="M10" s="494" t="e">
        <v>#DIV/0!</v>
      </c>
      <c r="N10" s="418" t="e">
        <v>#DIV/0!</v>
      </c>
      <c r="O10" s="418">
        <v>106717000</v>
      </c>
      <c r="P10" s="494" t="e">
        <v>#DIV/0!</v>
      </c>
      <c r="Q10" s="7"/>
      <c r="S10" s="546">
        <f t="shared" si="0"/>
        <v>24</v>
      </c>
      <c r="T10" s="460" t="str">
        <f t="shared" si="1"/>
        <v>(en blanco)</v>
      </c>
      <c r="U10" s="461" t="str">
        <f t="shared" si="2"/>
        <v>#N/D</v>
      </c>
      <c r="V10" s="110"/>
      <c r="W10" s="462">
        <f t="shared" si="3"/>
        <v>0</v>
      </c>
      <c r="X10" s="462">
        <f t="shared" si="4"/>
        <v>84473371.104576558</v>
      </c>
      <c r="Y10" s="463">
        <f t="shared" si="5"/>
        <v>0</v>
      </c>
      <c r="Z10" s="110"/>
      <c r="AA10" s="462" t="e">
        <f t="shared" si="6"/>
        <v>#DIV/0!</v>
      </c>
      <c r="AB10" s="462">
        <f t="shared" si="7"/>
        <v>99397000</v>
      </c>
      <c r="AC10" s="463" t="e">
        <f t="shared" si="8"/>
        <v>#DIV/0!</v>
      </c>
      <c r="AD10" s="110"/>
      <c r="AE10" s="462" t="e">
        <f t="shared" si="9"/>
        <v>#DIV/0!</v>
      </c>
      <c r="AF10" s="462">
        <f t="shared" si="10"/>
        <v>103940000</v>
      </c>
      <c r="AG10" s="463" t="e">
        <f t="shared" si="11"/>
        <v>#DIV/0!</v>
      </c>
      <c r="AH10" s="110"/>
      <c r="AI10" s="462" t="e">
        <f t="shared" si="12"/>
        <v>#DIV/0!</v>
      </c>
      <c r="AJ10" s="462">
        <f t="shared" si="13"/>
        <v>106717000</v>
      </c>
      <c r="AK10" s="463" t="e">
        <f t="shared" si="14"/>
        <v>#DIV/0!</v>
      </c>
    </row>
    <row r="11" spans="2:37" ht="14.4">
      <c r="B11" s="486">
        <v>23</v>
      </c>
      <c r="C11" s="543" t="s">
        <v>910</v>
      </c>
      <c r="D11" s="29" t="s">
        <v>909</v>
      </c>
      <c r="E11" s="275"/>
      <c r="F11" s="275">
        <v>71543626.062120274</v>
      </c>
      <c r="G11" s="275">
        <v>0</v>
      </c>
      <c r="H11" s="491" t="e">
        <v>#DIV/0!</v>
      </c>
      <c r="I11" s="491">
        <v>84183000</v>
      </c>
      <c r="J11" s="494" t="e">
        <v>#DIV/0!</v>
      </c>
      <c r="K11" s="418" t="e">
        <v>#DIV/0!</v>
      </c>
      <c r="L11" s="418">
        <v>87948000</v>
      </c>
      <c r="M11" s="494" t="e">
        <v>#DIV/0!</v>
      </c>
      <c r="N11" s="418" t="e">
        <v>#DIV/0!</v>
      </c>
      <c r="O11" s="418">
        <v>90300000</v>
      </c>
      <c r="P11" s="494" t="e">
        <v>#DIV/0!</v>
      </c>
      <c r="Q11"/>
      <c r="S11" s="464">
        <f t="shared" ref="S11:S74" si="15">+B11</f>
        <v>23</v>
      </c>
      <c r="T11" s="465" t="str">
        <f t="shared" ref="T11:T74" si="16">+C11</f>
        <v>(en blanco)</v>
      </c>
      <c r="U11" s="466" t="str">
        <f t="shared" ref="U11:U74" si="17">+D11</f>
        <v>#N/D</v>
      </c>
      <c r="V11" s="110"/>
      <c r="W11" s="467">
        <f t="shared" ref="W11:W74" si="18">+E11</f>
        <v>0</v>
      </c>
      <c r="X11" s="467">
        <f t="shared" ref="X11:X74" si="19">+F11</f>
        <v>71543626.062120274</v>
      </c>
      <c r="Y11" s="468">
        <f t="shared" ref="Y11:Y74" si="20">+G11</f>
        <v>0</v>
      </c>
      <c r="Z11" s="110"/>
      <c r="AA11" s="467" t="e">
        <f t="shared" ref="AA11:AA74" si="21">+H11</f>
        <v>#DIV/0!</v>
      </c>
      <c r="AB11" s="467">
        <f t="shared" ref="AB11:AB74" si="22">+I11</f>
        <v>84183000</v>
      </c>
      <c r="AC11" s="468" t="e">
        <f t="shared" ref="AC11:AC74" si="23">+J11</f>
        <v>#DIV/0!</v>
      </c>
      <c r="AD11" s="110"/>
      <c r="AE11" s="467" t="e">
        <f t="shared" ref="AE11:AE74" si="24">+K11</f>
        <v>#DIV/0!</v>
      </c>
      <c r="AF11" s="467">
        <f t="shared" ref="AF11:AF74" si="25">+L11</f>
        <v>87948000</v>
      </c>
      <c r="AG11" s="468" t="e">
        <f t="shared" ref="AG11:AG74" si="26">+M11</f>
        <v>#DIV/0!</v>
      </c>
      <c r="AH11" s="110"/>
      <c r="AI11" s="467" t="e">
        <f t="shared" ref="AI11:AI74" si="27">+N11</f>
        <v>#DIV/0!</v>
      </c>
      <c r="AJ11" s="467">
        <f t="shared" ref="AJ11:AJ74" si="28">+O11</f>
        <v>90300000</v>
      </c>
      <c r="AK11" s="468" t="e">
        <f t="shared" ref="AK11:AK74" si="29">+P11</f>
        <v>#DIV/0!</v>
      </c>
    </row>
    <row r="12" spans="2:37" ht="14.4">
      <c r="B12" s="486">
        <v>22</v>
      </c>
      <c r="C12" s="543" t="s">
        <v>910</v>
      </c>
      <c r="D12" s="29" t="s">
        <v>909</v>
      </c>
      <c r="E12" s="275"/>
      <c r="F12" s="275">
        <v>60277903.682548784</v>
      </c>
      <c r="G12" s="275">
        <v>0</v>
      </c>
      <c r="H12" s="491" t="e">
        <v>#DIV/0!</v>
      </c>
      <c r="I12" s="491">
        <v>70927000</v>
      </c>
      <c r="J12" s="494" t="e">
        <v>#DIV/0!</v>
      </c>
      <c r="K12" s="418" t="e">
        <v>#DIV/0!</v>
      </c>
      <c r="L12" s="418">
        <v>74014000</v>
      </c>
      <c r="M12" s="494" t="e">
        <v>#DIV/0!</v>
      </c>
      <c r="N12" s="418" t="e">
        <v>#DIV/0!</v>
      </c>
      <c r="O12" s="418">
        <v>75996000</v>
      </c>
      <c r="P12" s="494" t="e">
        <v>#DIV/0!</v>
      </c>
      <c r="Q12"/>
      <c r="S12" s="545">
        <f t="shared" si="15"/>
        <v>22</v>
      </c>
      <c r="T12" s="460" t="str">
        <f t="shared" si="16"/>
        <v>(en blanco)</v>
      </c>
      <c r="U12" s="461" t="str">
        <f t="shared" si="17"/>
        <v>#N/D</v>
      </c>
      <c r="V12" s="110"/>
      <c r="W12" s="462">
        <f t="shared" si="18"/>
        <v>0</v>
      </c>
      <c r="X12" s="462">
        <f t="shared" si="19"/>
        <v>60277903.682548784</v>
      </c>
      <c r="Y12" s="463">
        <f t="shared" si="20"/>
        <v>0</v>
      </c>
      <c r="Z12" s="110"/>
      <c r="AA12" s="462" t="e">
        <f t="shared" si="21"/>
        <v>#DIV/0!</v>
      </c>
      <c r="AB12" s="462">
        <f t="shared" si="22"/>
        <v>70927000</v>
      </c>
      <c r="AC12" s="463" t="e">
        <f t="shared" si="23"/>
        <v>#DIV/0!</v>
      </c>
      <c r="AD12" s="110"/>
      <c r="AE12" s="462" t="e">
        <f t="shared" si="24"/>
        <v>#DIV/0!</v>
      </c>
      <c r="AF12" s="462">
        <f t="shared" si="25"/>
        <v>74014000</v>
      </c>
      <c r="AG12" s="463" t="e">
        <f t="shared" si="26"/>
        <v>#DIV/0!</v>
      </c>
      <c r="AH12" s="110"/>
      <c r="AI12" s="462" t="e">
        <f t="shared" si="27"/>
        <v>#DIV/0!</v>
      </c>
      <c r="AJ12" s="462">
        <f t="shared" si="28"/>
        <v>75996000</v>
      </c>
      <c r="AK12" s="463" t="e">
        <f t="shared" si="29"/>
        <v>#DIV/0!</v>
      </c>
    </row>
    <row r="13" spans="2:37" ht="14.4">
      <c r="B13" s="486">
        <v>21</v>
      </c>
      <c r="C13" s="543" t="s">
        <v>910</v>
      </c>
      <c r="D13" s="29" t="s">
        <v>909</v>
      </c>
      <c r="E13" s="275"/>
      <c r="F13" s="275">
        <v>50506232.294474483</v>
      </c>
      <c r="G13" s="275">
        <v>0</v>
      </c>
      <c r="H13" s="491" t="e">
        <v>#DIV/0!</v>
      </c>
      <c r="I13" s="491">
        <v>59429000</v>
      </c>
      <c r="J13" s="494" t="e">
        <v>#DIV/0!</v>
      </c>
      <c r="K13" s="418" t="e">
        <v>#DIV/0!</v>
      </c>
      <c r="L13" s="418">
        <v>61928000</v>
      </c>
      <c r="M13" s="494" t="e">
        <v>#DIV/0!</v>
      </c>
      <c r="N13" s="418" t="e">
        <v>#DIV/0!</v>
      </c>
      <c r="O13" s="418">
        <v>63588000</v>
      </c>
      <c r="P13" s="494" t="e">
        <v>#DIV/0!</v>
      </c>
      <c r="Q13"/>
      <c r="S13" s="547">
        <f t="shared" si="15"/>
        <v>21</v>
      </c>
      <c r="T13" s="456" t="str">
        <f t="shared" si="16"/>
        <v>(en blanco)</v>
      </c>
      <c r="U13" s="457" t="str">
        <f t="shared" si="17"/>
        <v>#N/D</v>
      </c>
      <c r="V13" s="110"/>
      <c r="W13" s="458">
        <f t="shared" si="18"/>
        <v>0</v>
      </c>
      <c r="X13" s="458">
        <f t="shared" si="19"/>
        <v>50506232.294474483</v>
      </c>
      <c r="Y13" s="459">
        <f t="shared" si="20"/>
        <v>0</v>
      </c>
      <c r="Z13" s="110"/>
      <c r="AA13" s="458" t="e">
        <f t="shared" si="21"/>
        <v>#DIV/0!</v>
      </c>
      <c r="AB13" s="458">
        <f t="shared" si="22"/>
        <v>59429000</v>
      </c>
      <c r="AC13" s="459" t="e">
        <f t="shared" si="23"/>
        <v>#DIV/0!</v>
      </c>
      <c r="AD13" s="110"/>
      <c r="AE13" s="458" t="e">
        <f t="shared" si="24"/>
        <v>#DIV/0!</v>
      </c>
      <c r="AF13" s="458">
        <f t="shared" si="25"/>
        <v>61928000</v>
      </c>
      <c r="AG13" s="459" t="e">
        <f t="shared" si="26"/>
        <v>#DIV/0!</v>
      </c>
      <c r="AH13" s="110"/>
      <c r="AI13" s="458" t="e">
        <f t="shared" si="27"/>
        <v>#DIV/0!</v>
      </c>
      <c r="AJ13" s="458">
        <f t="shared" si="28"/>
        <v>63588000</v>
      </c>
      <c r="AK13" s="459" t="e">
        <f t="shared" si="29"/>
        <v>#DIV/0!</v>
      </c>
    </row>
    <row r="14" spans="2:37" ht="14.4">
      <c r="B14" s="486">
        <v>20</v>
      </c>
      <c r="C14" s="496" t="s">
        <v>272</v>
      </c>
      <c r="D14" s="29" t="s">
        <v>273</v>
      </c>
      <c r="E14" s="491">
        <v>23937000</v>
      </c>
      <c r="F14" s="491">
        <v>42014447.591948964</v>
      </c>
      <c r="G14" s="494">
        <v>0.569732588953209</v>
      </c>
      <c r="H14" s="491">
        <v>28165949.790000003</v>
      </c>
      <c r="I14" s="491">
        <v>49437000</v>
      </c>
      <c r="J14" s="494">
        <v>0.56973420292493482</v>
      </c>
      <c r="K14" s="491">
        <v>49110087.455000006</v>
      </c>
      <c r="L14" s="491">
        <v>51425000</v>
      </c>
      <c r="M14" s="494">
        <v>0.9549846855614974</v>
      </c>
      <c r="N14" s="491">
        <v>49110087.455000006</v>
      </c>
      <c r="O14" s="491">
        <v>52806000</v>
      </c>
      <c r="P14" s="494">
        <v>0.93000960979812908</v>
      </c>
      <c r="Q14"/>
      <c r="S14" s="547">
        <f t="shared" si="15"/>
        <v>20</v>
      </c>
      <c r="T14" s="460" t="str">
        <f t="shared" si="16"/>
        <v>GEERENTE GENERAL</v>
      </c>
      <c r="U14" s="461" t="str">
        <f t="shared" si="17"/>
        <v>Crítico</v>
      </c>
      <c r="V14" s="110"/>
      <c r="W14" s="462">
        <f t="shared" si="18"/>
        <v>23937000</v>
      </c>
      <c r="X14" s="462">
        <f t="shared" si="19"/>
        <v>42014447.591948964</v>
      </c>
      <c r="Y14" s="463">
        <f t="shared" si="20"/>
        <v>0.569732588953209</v>
      </c>
      <c r="Z14" s="110"/>
      <c r="AA14" s="462">
        <f t="shared" si="21"/>
        <v>28165949.790000003</v>
      </c>
      <c r="AB14" s="462">
        <f t="shared" si="22"/>
        <v>49437000</v>
      </c>
      <c r="AC14" s="463">
        <f t="shared" si="23"/>
        <v>0.56973420292493482</v>
      </c>
      <c r="AD14" s="110"/>
      <c r="AE14" s="462">
        <f t="shared" si="24"/>
        <v>49110087.455000006</v>
      </c>
      <c r="AF14" s="462">
        <f t="shared" si="25"/>
        <v>51425000</v>
      </c>
      <c r="AG14" s="463">
        <f t="shared" si="26"/>
        <v>0.9549846855614974</v>
      </c>
      <c r="AH14" s="110"/>
      <c r="AI14" s="462">
        <f t="shared" si="27"/>
        <v>49110087.455000006</v>
      </c>
      <c r="AJ14" s="462">
        <f t="shared" si="28"/>
        <v>52806000</v>
      </c>
      <c r="AK14" s="463">
        <f t="shared" si="29"/>
        <v>0.93000960979812908</v>
      </c>
    </row>
    <row r="15" spans="2:37" ht="14.4">
      <c r="B15" s="486">
        <v>19</v>
      </c>
      <c r="C15" s="496" t="s">
        <v>910</v>
      </c>
      <c r="D15" s="29" t="s">
        <v>909</v>
      </c>
      <c r="E15" s="275"/>
      <c r="F15" s="275">
        <v>34589235.127380766</v>
      </c>
      <c r="G15" s="275">
        <v>0</v>
      </c>
      <c r="H15" s="491" t="e">
        <v>#DIV/0!</v>
      </c>
      <c r="I15" s="491">
        <v>40700000</v>
      </c>
      <c r="J15" s="494" t="e">
        <v>#DIV/0!</v>
      </c>
      <c r="K15" s="418" t="e">
        <v>#DIV/0!</v>
      </c>
      <c r="L15" s="418">
        <v>42241000</v>
      </c>
      <c r="M15" s="494" t="e">
        <v>#DIV/0!</v>
      </c>
      <c r="N15" s="418" t="e">
        <v>#DIV/0!</v>
      </c>
      <c r="O15" s="418">
        <v>43378000</v>
      </c>
      <c r="P15" s="494" t="e">
        <v>#DIV/0!</v>
      </c>
      <c r="Q15"/>
      <c r="S15" s="547">
        <f t="shared" si="15"/>
        <v>19</v>
      </c>
      <c r="T15" s="456" t="str">
        <f t="shared" si="16"/>
        <v>(en blanco)</v>
      </c>
      <c r="U15" s="457" t="str">
        <f t="shared" si="17"/>
        <v>#N/D</v>
      </c>
      <c r="V15" s="110"/>
      <c r="W15" s="458">
        <f t="shared" si="18"/>
        <v>0</v>
      </c>
      <c r="X15" s="458">
        <f t="shared" si="19"/>
        <v>34589235.127380766</v>
      </c>
      <c r="Y15" s="459">
        <f t="shared" si="20"/>
        <v>0</v>
      </c>
      <c r="Z15" s="110"/>
      <c r="AA15" s="458" t="e">
        <f t="shared" si="21"/>
        <v>#DIV/0!</v>
      </c>
      <c r="AB15" s="458">
        <f t="shared" si="22"/>
        <v>40700000</v>
      </c>
      <c r="AC15" s="459" t="e">
        <f t="shared" si="23"/>
        <v>#DIV/0!</v>
      </c>
      <c r="AD15" s="110"/>
      <c r="AE15" s="458" t="e">
        <f t="shared" si="24"/>
        <v>#DIV/0!</v>
      </c>
      <c r="AF15" s="458">
        <f t="shared" si="25"/>
        <v>42241000</v>
      </c>
      <c r="AG15" s="459" t="e">
        <f t="shared" si="26"/>
        <v>#DIV/0!</v>
      </c>
      <c r="AH15" s="110"/>
      <c r="AI15" s="458" t="e">
        <f t="shared" si="27"/>
        <v>#DIV/0!</v>
      </c>
      <c r="AJ15" s="458">
        <f t="shared" si="28"/>
        <v>43378000</v>
      </c>
      <c r="AK15" s="459" t="e">
        <f t="shared" si="29"/>
        <v>#DIV/0!</v>
      </c>
    </row>
    <row r="16" spans="2:37" ht="14.4">
      <c r="B16" s="547">
        <v>18</v>
      </c>
      <c r="C16" s="497" t="s">
        <v>274</v>
      </c>
      <c r="D16" s="498" t="s">
        <v>273</v>
      </c>
      <c r="E16" s="492">
        <v>26376000</v>
      </c>
      <c r="F16" s="489">
        <v>28188101.982922979</v>
      </c>
      <c r="G16" s="489">
        <v>0.93571394115074535</v>
      </c>
      <c r="H16" s="492">
        <v>26376000</v>
      </c>
      <c r="I16" s="492">
        <v>33168000</v>
      </c>
      <c r="J16" s="495">
        <v>0.79522431259044868</v>
      </c>
      <c r="K16" s="490">
        <v>32970000</v>
      </c>
      <c r="L16" s="490">
        <v>34324000</v>
      </c>
      <c r="M16" s="495">
        <v>0.96055238317212444</v>
      </c>
      <c r="N16" s="490">
        <v>33620000</v>
      </c>
      <c r="O16" s="490">
        <v>35251000</v>
      </c>
      <c r="P16" s="495">
        <v>0.9537318090266943</v>
      </c>
      <c r="Q16"/>
      <c r="S16" s="547">
        <f t="shared" si="15"/>
        <v>18</v>
      </c>
      <c r="T16" s="460" t="str">
        <f t="shared" si="16"/>
        <v>GERENTE COMERCIAL Y MERCADEO</v>
      </c>
      <c r="U16" s="461" t="str">
        <f t="shared" si="17"/>
        <v>Crítico</v>
      </c>
      <c r="V16" s="110"/>
      <c r="W16" s="462">
        <f t="shared" si="18"/>
        <v>26376000</v>
      </c>
      <c r="X16" s="462">
        <f t="shared" si="19"/>
        <v>28188101.982922979</v>
      </c>
      <c r="Y16" s="463">
        <f t="shared" si="20"/>
        <v>0.93571394115074535</v>
      </c>
      <c r="Z16" s="110"/>
      <c r="AA16" s="462">
        <f t="shared" si="21"/>
        <v>26376000</v>
      </c>
      <c r="AB16" s="462">
        <f t="shared" si="22"/>
        <v>33168000</v>
      </c>
      <c r="AC16" s="463">
        <f t="shared" si="23"/>
        <v>0.79522431259044868</v>
      </c>
      <c r="AD16" s="110"/>
      <c r="AE16" s="462">
        <f t="shared" si="24"/>
        <v>32970000</v>
      </c>
      <c r="AF16" s="462">
        <f t="shared" si="25"/>
        <v>34324000</v>
      </c>
      <c r="AG16" s="463">
        <f t="shared" si="26"/>
        <v>0.96055238317212444</v>
      </c>
      <c r="AH16" s="110"/>
      <c r="AI16" s="462">
        <f t="shared" si="27"/>
        <v>33620000</v>
      </c>
      <c r="AJ16" s="462">
        <f t="shared" si="28"/>
        <v>35251000</v>
      </c>
      <c r="AK16" s="463">
        <f t="shared" si="29"/>
        <v>0.9537318090266943</v>
      </c>
    </row>
    <row r="17" spans="2:37" ht="14.4">
      <c r="B17" s="550"/>
      <c r="C17" s="497" t="s">
        <v>275</v>
      </c>
      <c r="D17" s="498" t="s">
        <v>273</v>
      </c>
      <c r="E17" s="492">
        <v>20846000</v>
      </c>
      <c r="F17" s="489">
        <v>28188101.982922979</v>
      </c>
      <c r="G17" s="489">
        <v>0.73953187811754761</v>
      </c>
      <c r="H17" s="492">
        <v>20846000</v>
      </c>
      <c r="I17" s="492">
        <v>33168000</v>
      </c>
      <c r="J17" s="495">
        <v>0.62849734684032799</v>
      </c>
      <c r="K17" s="490">
        <v>27851416.666666664</v>
      </c>
      <c r="L17" s="490">
        <v>34324000</v>
      </c>
      <c r="M17" s="495">
        <v>0.81142689274754298</v>
      </c>
      <c r="N17" s="490">
        <v>28401416.666666664</v>
      </c>
      <c r="O17" s="490">
        <v>35251000</v>
      </c>
      <c r="P17" s="495">
        <v>0.8056910915056783</v>
      </c>
      <c r="Q17"/>
      <c r="S17" s="547">
        <f t="shared" si="15"/>
        <v>0</v>
      </c>
      <c r="T17" s="456" t="str">
        <f t="shared" si="16"/>
        <v>GERENCIA DE OPERACIONES</v>
      </c>
      <c r="U17" s="457" t="str">
        <f t="shared" si="17"/>
        <v>Crítico</v>
      </c>
      <c r="V17" s="110"/>
      <c r="W17" s="458">
        <f t="shared" si="18"/>
        <v>20846000</v>
      </c>
      <c r="X17" s="458">
        <f t="shared" si="19"/>
        <v>28188101.982922979</v>
      </c>
      <c r="Y17" s="459">
        <f t="shared" si="20"/>
        <v>0.73953187811754761</v>
      </c>
      <c r="Z17" s="110"/>
      <c r="AA17" s="458">
        <f t="shared" si="21"/>
        <v>20846000</v>
      </c>
      <c r="AB17" s="458">
        <f t="shared" si="22"/>
        <v>33168000</v>
      </c>
      <c r="AC17" s="459">
        <f t="shared" si="23"/>
        <v>0.62849734684032799</v>
      </c>
      <c r="AD17" s="110"/>
      <c r="AE17" s="458">
        <f t="shared" si="24"/>
        <v>27851416.666666664</v>
      </c>
      <c r="AF17" s="458">
        <f t="shared" si="25"/>
        <v>34324000</v>
      </c>
      <c r="AG17" s="459">
        <f t="shared" si="26"/>
        <v>0.81142689274754298</v>
      </c>
      <c r="AH17" s="110"/>
      <c r="AI17" s="458">
        <f t="shared" si="27"/>
        <v>28401416.666666664</v>
      </c>
      <c r="AJ17" s="458">
        <f t="shared" si="28"/>
        <v>35251000</v>
      </c>
      <c r="AK17" s="459">
        <f t="shared" si="29"/>
        <v>0.8056910915056783</v>
      </c>
    </row>
    <row r="18" spans="2:37" ht="14.4">
      <c r="B18" s="486">
        <v>17</v>
      </c>
      <c r="C18" s="496" t="s">
        <v>910</v>
      </c>
      <c r="D18" s="29" t="s">
        <v>909</v>
      </c>
      <c r="E18" s="275"/>
      <c r="F18" s="275">
        <v>22597733.710984141</v>
      </c>
      <c r="G18" s="275">
        <v>0</v>
      </c>
      <c r="H18" s="491" t="e">
        <v>#DIV/0!</v>
      </c>
      <c r="I18" s="491">
        <v>26590000</v>
      </c>
      <c r="J18" s="494" t="e">
        <v>#DIV/0!</v>
      </c>
      <c r="K18" s="418" t="e">
        <v>#DIV/0!</v>
      </c>
      <c r="L18" s="418">
        <v>27410000</v>
      </c>
      <c r="M18" s="494" t="e">
        <v>#DIV/0!</v>
      </c>
      <c r="N18" s="418" t="e">
        <v>#DIV/0!</v>
      </c>
      <c r="O18" s="418">
        <v>28153000</v>
      </c>
      <c r="P18" s="494" t="e">
        <v>#DIV/0!</v>
      </c>
      <c r="Q18"/>
      <c r="S18" s="546">
        <f t="shared" si="15"/>
        <v>17</v>
      </c>
      <c r="T18" s="460" t="str">
        <f t="shared" si="16"/>
        <v>(en blanco)</v>
      </c>
      <c r="U18" s="461" t="str">
        <f t="shared" si="17"/>
        <v>#N/D</v>
      </c>
      <c r="V18" s="110"/>
      <c r="W18" s="462">
        <f t="shared" si="18"/>
        <v>0</v>
      </c>
      <c r="X18" s="462">
        <f t="shared" si="19"/>
        <v>22597733.710984141</v>
      </c>
      <c r="Y18" s="463">
        <f t="shared" si="20"/>
        <v>0</v>
      </c>
      <c r="Z18" s="110"/>
      <c r="AA18" s="462" t="e">
        <f t="shared" si="21"/>
        <v>#DIV/0!</v>
      </c>
      <c r="AB18" s="462">
        <f t="shared" si="22"/>
        <v>26590000</v>
      </c>
      <c r="AC18" s="463" t="e">
        <f t="shared" si="23"/>
        <v>#DIV/0!</v>
      </c>
      <c r="AD18" s="110"/>
      <c r="AE18" s="462" t="e">
        <f t="shared" si="24"/>
        <v>#DIV/0!</v>
      </c>
      <c r="AF18" s="462">
        <f t="shared" si="25"/>
        <v>27410000</v>
      </c>
      <c r="AG18" s="463" t="e">
        <f t="shared" si="26"/>
        <v>#DIV/0!</v>
      </c>
      <c r="AH18" s="110"/>
      <c r="AI18" s="462" t="e">
        <f t="shared" si="27"/>
        <v>#DIV/0!</v>
      </c>
      <c r="AJ18" s="462">
        <f t="shared" si="28"/>
        <v>28153000</v>
      </c>
      <c r="AK18" s="463" t="e">
        <f t="shared" si="29"/>
        <v>#DIV/0!</v>
      </c>
    </row>
    <row r="19" spans="2:37" ht="14.4">
      <c r="B19" s="486">
        <v>16</v>
      </c>
      <c r="C19" s="496" t="s">
        <v>276</v>
      </c>
      <c r="D19" s="29" t="s">
        <v>277</v>
      </c>
      <c r="E19" s="491">
        <v>13796000</v>
      </c>
      <c r="F19" s="275">
        <v>17733144.475870442</v>
      </c>
      <c r="G19" s="275">
        <v>0.77797821016866298</v>
      </c>
      <c r="H19" s="491">
        <v>16233339.320000002</v>
      </c>
      <c r="I19" s="491">
        <v>20866000</v>
      </c>
      <c r="J19" s="494">
        <v>0.77798041407073715</v>
      </c>
      <c r="K19" s="418">
        <v>17586117.596666668</v>
      </c>
      <c r="L19" s="418">
        <v>21393000</v>
      </c>
      <c r="M19" s="494">
        <v>0.82205009099549697</v>
      </c>
      <c r="N19" s="418">
        <v>17586117.596666668</v>
      </c>
      <c r="O19" s="418">
        <v>21977000</v>
      </c>
      <c r="P19" s="494">
        <v>0.80020556020688305</v>
      </c>
      <c r="Q19"/>
      <c r="S19" s="548">
        <f t="shared" si="15"/>
        <v>16</v>
      </c>
      <c r="T19" s="465" t="str">
        <f t="shared" si="16"/>
        <v>GERENTE ADMINISTRATIVA Y FINANCIERA</v>
      </c>
      <c r="U19" s="466" t="str">
        <f t="shared" si="17"/>
        <v>Muy Importante</v>
      </c>
      <c r="V19" s="110"/>
      <c r="W19" s="467">
        <f t="shared" si="18"/>
        <v>13796000</v>
      </c>
      <c r="X19" s="467">
        <f t="shared" si="19"/>
        <v>17733144.475870442</v>
      </c>
      <c r="Y19" s="468">
        <f t="shared" si="20"/>
        <v>0.77797821016866298</v>
      </c>
      <c r="Z19" s="110"/>
      <c r="AA19" s="467">
        <f t="shared" si="21"/>
        <v>16233339.320000002</v>
      </c>
      <c r="AB19" s="467">
        <f t="shared" si="22"/>
        <v>20866000</v>
      </c>
      <c r="AC19" s="468">
        <f t="shared" si="23"/>
        <v>0.77798041407073715</v>
      </c>
      <c r="AD19" s="110"/>
      <c r="AE19" s="467">
        <f t="shared" si="24"/>
        <v>17586117.596666668</v>
      </c>
      <c r="AF19" s="467">
        <f t="shared" si="25"/>
        <v>21393000</v>
      </c>
      <c r="AG19" s="468">
        <f t="shared" si="26"/>
        <v>0.82205009099549697</v>
      </c>
      <c r="AH19" s="110"/>
      <c r="AI19" s="467">
        <f t="shared" si="27"/>
        <v>17586117.596666668</v>
      </c>
      <c r="AJ19" s="467">
        <f t="shared" si="28"/>
        <v>21977000</v>
      </c>
      <c r="AK19" s="468">
        <f t="shared" si="29"/>
        <v>0.80020556020688305</v>
      </c>
    </row>
    <row r="20" spans="2:37" ht="14.4">
      <c r="B20" s="547">
        <v>15</v>
      </c>
      <c r="C20" s="497" t="s">
        <v>278</v>
      </c>
      <c r="D20" s="498" t="s">
        <v>277</v>
      </c>
      <c r="E20" s="492">
        <v>11496000</v>
      </c>
      <c r="F20" s="489">
        <v>13508498.583531136</v>
      </c>
      <c r="G20" s="489">
        <v>0.85101981755510048</v>
      </c>
      <c r="H20" s="492">
        <v>13526998.32</v>
      </c>
      <c r="I20" s="492">
        <v>15895000</v>
      </c>
      <c r="J20" s="495">
        <v>0.85102222837370245</v>
      </c>
      <c r="K20" s="490">
        <v>13526998.32</v>
      </c>
      <c r="L20" s="490">
        <v>16168000</v>
      </c>
      <c r="M20" s="495">
        <v>0.83665254329539829</v>
      </c>
      <c r="N20" s="490">
        <v>13526998.32</v>
      </c>
      <c r="O20" s="490">
        <v>16613000</v>
      </c>
      <c r="P20" s="495">
        <v>0.81424175765966411</v>
      </c>
      <c r="Q20"/>
      <c r="S20" s="540">
        <f t="shared" si="15"/>
        <v>15</v>
      </c>
      <c r="T20" s="452" t="str">
        <f t="shared" si="16"/>
        <v>DIRECTOR DE LOGISTICA</v>
      </c>
      <c r="U20" s="453" t="str">
        <f t="shared" si="17"/>
        <v>Muy Importante</v>
      </c>
      <c r="V20" s="110"/>
      <c r="W20" s="454">
        <f t="shared" si="18"/>
        <v>11496000</v>
      </c>
      <c r="X20" s="454">
        <f t="shared" si="19"/>
        <v>13508498.583531136</v>
      </c>
      <c r="Y20" s="455">
        <f t="shared" si="20"/>
        <v>0.85101981755510048</v>
      </c>
      <c r="Z20" s="110"/>
      <c r="AA20" s="454">
        <f t="shared" si="21"/>
        <v>13526998.32</v>
      </c>
      <c r="AB20" s="454">
        <f t="shared" si="22"/>
        <v>15895000</v>
      </c>
      <c r="AC20" s="455">
        <f t="shared" si="23"/>
        <v>0.85102222837370245</v>
      </c>
      <c r="AD20" s="110"/>
      <c r="AE20" s="454">
        <f t="shared" si="24"/>
        <v>13526998.32</v>
      </c>
      <c r="AF20" s="454">
        <f t="shared" si="25"/>
        <v>16168000</v>
      </c>
      <c r="AG20" s="455">
        <f t="shared" si="26"/>
        <v>0.83665254329539829</v>
      </c>
      <c r="AH20" s="110"/>
      <c r="AI20" s="454">
        <f t="shared" si="27"/>
        <v>13526998.32</v>
      </c>
      <c r="AJ20" s="454">
        <f t="shared" si="28"/>
        <v>16613000</v>
      </c>
      <c r="AK20" s="455">
        <f t="shared" si="29"/>
        <v>0.81424175765966411</v>
      </c>
    </row>
    <row r="21" spans="2:37" ht="14.4">
      <c r="B21" s="550"/>
      <c r="C21" s="497" t="s">
        <v>279</v>
      </c>
      <c r="D21" s="498" t="s">
        <v>277</v>
      </c>
      <c r="E21" s="492">
        <v>8714000</v>
      </c>
      <c r="F21" s="489">
        <v>13508498.583531136</v>
      </c>
      <c r="G21" s="489">
        <v>0.6450753905858686</v>
      </c>
      <c r="H21" s="492">
        <v>10253502.380000001</v>
      </c>
      <c r="I21" s="492">
        <v>15895000</v>
      </c>
      <c r="J21" s="495">
        <v>0.6450772179930796</v>
      </c>
      <c r="K21" s="490">
        <v>10253502.380000001</v>
      </c>
      <c r="L21" s="490">
        <v>16168000</v>
      </c>
      <c r="M21" s="495">
        <v>0.63418495670460173</v>
      </c>
      <c r="N21" s="490">
        <v>10253502.380000001</v>
      </c>
      <c r="O21" s="490">
        <v>16613000</v>
      </c>
      <c r="P21" s="495">
        <v>0.61719751881057006</v>
      </c>
      <c r="Q21"/>
      <c r="S21" s="540">
        <f t="shared" si="15"/>
        <v>0</v>
      </c>
      <c r="T21" s="465" t="str">
        <f t="shared" si="16"/>
        <v>DIRECTOR DE GESTION HUMANA</v>
      </c>
      <c r="U21" s="466" t="str">
        <f t="shared" si="17"/>
        <v>Muy Importante</v>
      </c>
      <c r="V21" s="110"/>
      <c r="W21" s="467">
        <f t="shared" si="18"/>
        <v>8714000</v>
      </c>
      <c r="X21" s="467">
        <f t="shared" si="19"/>
        <v>13508498.583531136</v>
      </c>
      <c r="Y21" s="468">
        <f t="shared" si="20"/>
        <v>0.6450753905858686</v>
      </c>
      <c r="Z21" s="110"/>
      <c r="AA21" s="467">
        <f t="shared" si="21"/>
        <v>10253502.380000001</v>
      </c>
      <c r="AB21" s="467">
        <f t="shared" si="22"/>
        <v>15895000</v>
      </c>
      <c r="AC21" s="468">
        <f t="shared" si="23"/>
        <v>0.6450772179930796</v>
      </c>
      <c r="AD21" s="110"/>
      <c r="AE21" s="467">
        <f t="shared" si="24"/>
        <v>10253502.380000001</v>
      </c>
      <c r="AF21" s="467">
        <f t="shared" si="25"/>
        <v>16168000</v>
      </c>
      <c r="AG21" s="468">
        <f t="shared" si="26"/>
        <v>0.63418495670460173</v>
      </c>
      <c r="AH21" s="110"/>
      <c r="AI21" s="467">
        <f t="shared" si="27"/>
        <v>10253502.380000001</v>
      </c>
      <c r="AJ21" s="467">
        <f t="shared" si="28"/>
        <v>16613000</v>
      </c>
      <c r="AK21" s="468">
        <f t="shared" si="29"/>
        <v>0.61719751881057006</v>
      </c>
    </row>
    <row r="22" spans="2:37" ht="14.4">
      <c r="B22" s="550"/>
      <c r="C22" s="497" t="s">
        <v>280</v>
      </c>
      <c r="D22" s="498" t="s">
        <v>273</v>
      </c>
      <c r="E22" s="492">
        <v>7900000</v>
      </c>
      <c r="F22" s="489">
        <v>13508498.583531136</v>
      </c>
      <c r="G22" s="489">
        <v>0.5848170284173011</v>
      </c>
      <c r="H22" s="492">
        <v>9295693</v>
      </c>
      <c r="I22" s="492">
        <v>15895000</v>
      </c>
      <c r="J22" s="495">
        <v>0.58481868512110724</v>
      </c>
      <c r="K22" s="490">
        <v>9295693</v>
      </c>
      <c r="L22" s="490">
        <v>16168000</v>
      </c>
      <c r="M22" s="495">
        <v>0.57494390153389408</v>
      </c>
      <c r="N22" s="490">
        <v>9295693</v>
      </c>
      <c r="O22" s="490">
        <v>16613000</v>
      </c>
      <c r="P22" s="495">
        <v>0.55954330945644981</v>
      </c>
      <c r="Q22"/>
      <c r="S22" s="540">
        <f t="shared" si="15"/>
        <v>0</v>
      </c>
      <c r="T22" s="452" t="str">
        <f t="shared" si="16"/>
        <v>DIRECTOR DESARROLLO</v>
      </c>
      <c r="U22" s="453" t="str">
        <f t="shared" si="17"/>
        <v>Crítico</v>
      </c>
      <c r="V22" s="110"/>
      <c r="W22" s="454">
        <f t="shared" si="18"/>
        <v>7900000</v>
      </c>
      <c r="X22" s="454">
        <f t="shared" si="19"/>
        <v>13508498.583531136</v>
      </c>
      <c r="Y22" s="455">
        <f t="shared" si="20"/>
        <v>0.5848170284173011</v>
      </c>
      <c r="Z22" s="110"/>
      <c r="AA22" s="454">
        <f t="shared" si="21"/>
        <v>9295693</v>
      </c>
      <c r="AB22" s="454">
        <f t="shared" si="22"/>
        <v>15895000</v>
      </c>
      <c r="AC22" s="455">
        <f t="shared" si="23"/>
        <v>0.58481868512110724</v>
      </c>
      <c r="AD22" s="110"/>
      <c r="AE22" s="454">
        <f t="shared" si="24"/>
        <v>9295693</v>
      </c>
      <c r="AF22" s="454">
        <f t="shared" si="25"/>
        <v>16168000</v>
      </c>
      <c r="AG22" s="455">
        <f t="shared" si="26"/>
        <v>0.57494390153389408</v>
      </c>
      <c r="AH22" s="110"/>
      <c r="AI22" s="454">
        <f t="shared" si="27"/>
        <v>9295693</v>
      </c>
      <c r="AJ22" s="454">
        <f t="shared" si="28"/>
        <v>16613000</v>
      </c>
      <c r="AK22" s="455">
        <f t="shared" si="29"/>
        <v>0.55954330945644981</v>
      </c>
    </row>
    <row r="23" spans="2:37" ht="14.4">
      <c r="B23" s="550"/>
      <c r="C23" s="497" t="s">
        <v>281</v>
      </c>
      <c r="D23" s="498" t="s">
        <v>273</v>
      </c>
      <c r="E23" s="492">
        <v>11496000</v>
      </c>
      <c r="F23" s="489">
        <v>13508498.583531136</v>
      </c>
      <c r="G23" s="489">
        <v>0.85101981755510048</v>
      </c>
      <c r="H23" s="492">
        <v>13526998.32</v>
      </c>
      <c r="I23" s="492">
        <v>15895000</v>
      </c>
      <c r="J23" s="495">
        <v>0.85102222837370245</v>
      </c>
      <c r="K23" s="490">
        <v>13526998.32</v>
      </c>
      <c r="L23" s="490">
        <v>16168000</v>
      </c>
      <c r="M23" s="495">
        <v>0.83665254329539829</v>
      </c>
      <c r="N23" s="490">
        <v>13526998.32</v>
      </c>
      <c r="O23" s="490">
        <v>16613000</v>
      </c>
      <c r="P23" s="495">
        <v>0.81424175765966411</v>
      </c>
      <c r="Q23"/>
      <c r="S23" s="540">
        <f t="shared" si="15"/>
        <v>0</v>
      </c>
      <c r="T23" s="465" t="str">
        <f t="shared" si="16"/>
        <v>DIRECTOR DE INNOVACION</v>
      </c>
      <c r="U23" s="466" t="str">
        <f t="shared" si="17"/>
        <v>Crítico</v>
      </c>
      <c r="V23" s="110"/>
      <c r="W23" s="467">
        <f t="shared" si="18"/>
        <v>11496000</v>
      </c>
      <c r="X23" s="467">
        <f t="shared" si="19"/>
        <v>13508498.583531136</v>
      </c>
      <c r="Y23" s="468">
        <f t="shared" si="20"/>
        <v>0.85101981755510048</v>
      </c>
      <c r="Z23" s="110"/>
      <c r="AA23" s="467">
        <f t="shared" si="21"/>
        <v>13526998.32</v>
      </c>
      <c r="AB23" s="467">
        <f t="shared" si="22"/>
        <v>15895000</v>
      </c>
      <c r="AC23" s="468">
        <f t="shared" si="23"/>
        <v>0.85102222837370245</v>
      </c>
      <c r="AD23" s="110"/>
      <c r="AE23" s="467">
        <f t="shared" si="24"/>
        <v>13526998.32</v>
      </c>
      <c r="AF23" s="467">
        <f t="shared" si="25"/>
        <v>16168000</v>
      </c>
      <c r="AG23" s="468">
        <f t="shared" si="26"/>
        <v>0.83665254329539829</v>
      </c>
      <c r="AH23" s="110"/>
      <c r="AI23" s="467">
        <f t="shared" si="27"/>
        <v>13526998.32</v>
      </c>
      <c r="AJ23" s="467">
        <f t="shared" si="28"/>
        <v>16613000</v>
      </c>
      <c r="AK23" s="468">
        <f t="shared" si="29"/>
        <v>0.81424175765966411</v>
      </c>
    </row>
    <row r="24" spans="2:37" ht="14.4">
      <c r="B24" s="550"/>
      <c r="C24" s="497" t="s">
        <v>282</v>
      </c>
      <c r="D24" s="498" t="s">
        <v>277</v>
      </c>
      <c r="E24" s="492">
        <v>5358000</v>
      </c>
      <c r="F24" s="489">
        <v>13508498.583531136</v>
      </c>
      <c r="G24" s="489">
        <v>0.39663919471644293</v>
      </c>
      <c r="H24" s="492">
        <v>6304597.8600000003</v>
      </c>
      <c r="I24" s="492">
        <v>15895000</v>
      </c>
      <c r="J24" s="495">
        <v>0.39664031833910035</v>
      </c>
      <c r="K24" s="490">
        <v>9363939.8600000013</v>
      </c>
      <c r="L24" s="490">
        <v>16168000</v>
      </c>
      <c r="M24" s="495">
        <v>0.57916500865907972</v>
      </c>
      <c r="N24" s="490">
        <v>9363939.8600000013</v>
      </c>
      <c r="O24" s="490">
        <v>16613000</v>
      </c>
      <c r="P24" s="495">
        <v>0.56365134894359847</v>
      </c>
      <c r="Q24"/>
      <c r="S24" s="540">
        <f t="shared" si="15"/>
        <v>0</v>
      </c>
      <c r="T24" s="452" t="str">
        <f t="shared" si="16"/>
        <v>DIRECTOR NACIONAL DE VENTAS</v>
      </c>
      <c r="U24" s="453" t="str">
        <f t="shared" si="17"/>
        <v>Muy Importante</v>
      </c>
      <c r="V24" s="110"/>
      <c r="W24" s="454">
        <f t="shared" si="18"/>
        <v>5358000</v>
      </c>
      <c r="X24" s="454">
        <f t="shared" si="19"/>
        <v>13508498.583531136</v>
      </c>
      <c r="Y24" s="455">
        <f t="shared" si="20"/>
        <v>0.39663919471644293</v>
      </c>
      <c r="Z24" s="110"/>
      <c r="AA24" s="454">
        <f t="shared" si="21"/>
        <v>6304597.8600000003</v>
      </c>
      <c r="AB24" s="454">
        <f t="shared" si="22"/>
        <v>15895000</v>
      </c>
      <c r="AC24" s="455">
        <f t="shared" si="23"/>
        <v>0.39664031833910035</v>
      </c>
      <c r="AD24" s="110"/>
      <c r="AE24" s="454">
        <f t="shared" si="24"/>
        <v>9363939.8600000013</v>
      </c>
      <c r="AF24" s="454">
        <f t="shared" si="25"/>
        <v>16168000</v>
      </c>
      <c r="AG24" s="455">
        <f t="shared" si="26"/>
        <v>0.57916500865907972</v>
      </c>
      <c r="AH24" s="110"/>
      <c r="AI24" s="454">
        <f t="shared" si="27"/>
        <v>9363939.8600000013</v>
      </c>
      <c r="AJ24" s="454">
        <f t="shared" si="28"/>
        <v>16613000</v>
      </c>
      <c r="AK24" s="455">
        <f t="shared" si="29"/>
        <v>0.56365134894359847</v>
      </c>
    </row>
    <row r="25" spans="2:37" ht="14.4">
      <c r="B25" s="550"/>
      <c r="C25" s="497" t="s">
        <v>283</v>
      </c>
      <c r="D25" s="498" t="s">
        <v>273</v>
      </c>
      <c r="E25" s="492">
        <v>10000000</v>
      </c>
      <c r="F25" s="489">
        <v>13508498.583531136</v>
      </c>
      <c r="G25" s="489">
        <v>0.740274719515571</v>
      </c>
      <c r="H25" s="492">
        <v>11766700.000000002</v>
      </c>
      <c r="I25" s="492">
        <v>15895000</v>
      </c>
      <c r="J25" s="495">
        <v>0.74027681660899669</v>
      </c>
      <c r="K25" s="490">
        <v>11766700.000000002</v>
      </c>
      <c r="L25" s="490">
        <v>16168000</v>
      </c>
      <c r="M25" s="495">
        <v>0.72777709054923312</v>
      </c>
      <c r="N25" s="490">
        <v>11766700.000000002</v>
      </c>
      <c r="O25" s="490">
        <v>16613000</v>
      </c>
      <c r="P25" s="495">
        <v>0.70828267019803781</v>
      </c>
      <c r="Q25"/>
      <c r="S25" s="540">
        <f t="shared" si="15"/>
        <v>0</v>
      </c>
      <c r="T25" s="465" t="str">
        <f t="shared" si="16"/>
        <v>DIRECTOR DE VENTAS EEUU</v>
      </c>
      <c r="U25" s="466" t="str">
        <f t="shared" si="17"/>
        <v>Crítico</v>
      </c>
      <c r="V25" s="110"/>
      <c r="W25" s="467">
        <f t="shared" si="18"/>
        <v>10000000</v>
      </c>
      <c r="X25" s="467">
        <f t="shared" si="19"/>
        <v>13508498.583531136</v>
      </c>
      <c r="Y25" s="468">
        <f t="shared" si="20"/>
        <v>0.740274719515571</v>
      </c>
      <c r="Z25" s="110"/>
      <c r="AA25" s="467">
        <f t="shared" si="21"/>
        <v>11766700.000000002</v>
      </c>
      <c r="AB25" s="467">
        <f t="shared" si="22"/>
        <v>15895000</v>
      </c>
      <c r="AC25" s="468">
        <f t="shared" si="23"/>
        <v>0.74027681660899669</v>
      </c>
      <c r="AD25" s="110"/>
      <c r="AE25" s="467">
        <f t="shared" si="24"/>
        <v>11766700.000000002</v>
      </c>
      <c r="AF25" s="467">
        <f t="shared" si="25"/>
        <v>16168000</v>
      </c>
      <c r="AG25" s="468">
        <f t="shared" si="26"/>
        <v>0.72777709054923312</v>
      </c>
      <c r="AH25" s="110"/>
      <c r="AI25" s="467">
        <f t="shared" si="27"/>
        <v>11766700.000000002</v>
      </c>
      <c r="AJ25" s="467">
        <f t="shared" si="28"/>
        <v>16613000</v>
      </c>
      <c r="AK25" s="468">
        <f t="shared" si="29"/>
        <v>0.70828267019803781</v>
      </c>
    </row>
    <row r="26" spans="2:37" ht="14.4">
      <c r="B26" s="550"/>
      <c r="C26" s="497" t="s">
        <v>284</v>
      </c>
      <c r="D26" s="498" t="s">
        <v>277</v>
      </c>
      <c r="E26" s="492">
        <v>5367000</v>
      </c>
      <c r="F26" s="489">
        <v>13508498.583531136</v>
      </c>
      <c r="G26" s="489">
        <v>0.39730544196400697</v>
      </c>
      <c r="H26" s="492">
        <v>6315187.8900000006</v>
      </c>
      <c r="I26" s="492">
        <v>15895000</v>
      </c>
      <c r="J26" s="495">
        <v>0.39730656747404847</v>
      </c>
      <c r="K26" s="490">
        <v>10292332.490000002</v>
      </c>
      <c r="L26" s="490">
        <v>16168000</v>
      </c>
      <c r="M26" s="495">
        <v>0.63658662110341424</v>
      </c>
      <c r="N26" s="490">
        <v>10292332.490000002</v>
      </c>
      <c r="O26" s="490">
        <v>16613000</v>
      </c>
      <c r="P26" s="495">
        <v>0.61953485162222366</v>
      </c>
      <c r="Q26"/>
      <c r="S26" s="549">
        <f t="shared" si="15"/>
        <v>0</v>
      </c>
      <c r="T26" s="452" t="str">
        <f t="shared" si="16"/>
        <v>DIRECTOR DE VENTAS LATAM</v>
      </c>
      <c r="U26" s="453" t="str">
        <f t="shared" si="17"/>
        <v>Muy Importante</v>
      </c>
      <c r="V26" s="110"/>
      <c r="W26" s="454">
        <f t="shared" si="18"/>
        <v>5367000</v>
      </c>
      <c r="X26" s="454">
        <f t="shared" si="19"/>
        <v>13508498.583531136</v>
      </c>
      <c r="Y26" s="455">
        <f t="shared" si="20"/>
        <v>0.39730544196400697</v>
      </c>
      <c r="Z26" s="110"/>
      <c r="AA26" s="454">
        <f t="shared" si="21"/>
        <v>6315187.8900000006</v>
      </c>
      <c r="AB26" s="454">
        <f t="shared" si="22"/>
        <v>15895000</v>
      </c>
      <c r="AC26" s="455">
        <f t="shared" si="23"/>
        <v>0.39730656747404847</v>
      </c>
      <c r="AD26" s="110"/>
      <c r="AE26" s="454">
        <f t="shared" si="24"/>
        <v>10292332.490000002</v>
      </c>
      <c r="AF26" s="454">
        <f t="shared" si="25"/>
        <v>16168000</v>
      </c>
      <c r="AG26" s="455">
        <f t="shared" si="26"/>
        <v>0.63658662110341424</v>
      </c>
      <c r="AH26" s="110"/>
      <c r="AI26" s="454">
        <f t="shared" si="27"/>
        <v>10292332.490000002</v>
      </c>
      <c r="AJ26" s="454">
        <f t="shared" si="28"/>
        <v>16613000</v>
      </c>
      <c r="AK26" s="455">
        <f t="shared" si="29"/>
        <v>0.61953485162222366</v>
      </c>
    </row>
    <row r="27" spans="2:37" ht="14.4">
      <c r="B27" s="540">
        <v>14</v>
      </c>
      <c r="C27" s="496" t="s">
        <v>285</v>
      </c>
      <c r="D27" s="29" t="s">
        <v>277</v>
      </c>
      <c r="E27" s="491">
        <v>7900000</v>
      </c>
      <c r="F27" s="275">
        <v>10306232.294588367</v>
      </c>
      <c r="G27" s="275">
        <v>0.76652648360625064</v>
      </c>
      <c r="H27" s="491">
        <v>9295693</v>
      </c>
      <c r="I27" s="491">
        <v>12127000</v>
      </c>
      <c r="J27" s="494">
        <v>0.76652865506720536</v>
      </c>
      <c r="K27" s="418">
        <v>9295693</v>
      </c>
      <c r="L27" s="418">
        <v>12231000</v>
      </c>
      <c r="M27" s="494">
        <v>0.76001087400866651</v>
      </c>
      <c r="N27" s="418">
        <v>9295693</v>
      </c>
      <c r="O27" s="418">
        <v>12577000</v>
      </c>
      <c r="P27" s="494">
        <v>0.73910256818001108</v>
      </c>
      <c r="Q27"/>
      <c r="S27" s="545">
        <f t="shared" si="15"/>
        <v>14</v>
      </c>
      <c r="T27" s="456" t="str">
        <f t="shared" si="16"/>
        <v>DIRECTOR DE PRODUCCION</v>
      </c>
      <c r="U27" s="457" t="str">
        <f t="shared" si="17"/>
        <v>Muy Importante</v>
      </c>
      <c r="V27" s="110"/>
      <c r="W27" s="458">
        <f t="shared" si="18"/>
        <v>7900000</v>
      </c>
      <c r="X27" s="458">
        <f t="shared" si="19"/>
        <v>10306232.294588367</v>
      </c>
      <c r="Y27" s="459">
        <f t="shared" si="20"/>
        <v>0.76652648360625064</v>
      </c>
      <c r="Z27" s="110"/>
      <c r="AA27" s="458">
        <f t="shared" si="21"/>
        <v>9295693</v>
      </c>
      <c r="AB27" s="458">
        <f t="shared" si="22"/>
        <v>12127000</v>
      </c>
      <c r="AC27" s="459">
        <f t="shared" si="23"/>
        <v>0.76652865506720536</v>
      </c>
      <c r="AD27" s="110"/>
      <c r="AE27" s="458">
        <f t="shared" si="24"/>
        <v>9295693</v>
      </c>
      <c r="AF27" s="458">
        <f t="shared" si="25"/>
        <v>12231000</v>
      </c>
      <c r="AG27" s="459">
        <f t="shared" si="26"/>
        <v>0.76001087400866651</v>
      </c>
      <c r="AH27" s="110"/>
      <c r="AI27" s="458">
        <f t="shared" si="27"/>
        <v>9295693</v>
      </c>
      <c r="AJ27" s="458">
        <f t="shared" si="28"/>
        <v>12577000</v>
      </c>
      <c r="AK27" s="459">
        <f t="shared" si="29"/>
        <v>0.73910256818001108</v>
      </c>
    </row>
    <row r="28" spans="2:37" ht="14.4">
      <c r="B28" s="541"/>
      <c r="C28" s="496" t="s">
        <v>286</v>
      </c>
      <c r="D28" s="29" t="s">
        <v>277</v>
      </c>
      <c r="E28" s="491">
        <v>7900000</v>
      </c>
      <c r="F28" s="275">
        <v>10306232.294588367</v>
      </c>
      <c r="G28" s="275">
        <v>0.76652648360625064</v>
      </c>
      <c r="H28" s="491">
        <v>9295693</v>
      </c>
      <c r="I28" s="491">
        <v>12127000</v>
      </c>
      <c r="J28" s="494">
        <v>0.76652865506720536</v>
      </c>
      <c r="K28" s="418">
        <v>9295693</v>
      </c>
      <c r="L28" s="418">
        <v>12231000</v>
      </c>
      <c r="M28" s="494">
        <v>0.76001087400866651</v>
      </c>
      <c r="N28" s="418">
        <v>9295693</v>
      </c>
      <c r="O28" s="418">
        <v>12577000</v>
      </c>
      <c r="P28" s="494">
        <v>0.73910256818001108</v>
      </c>
      <c r="Q28"/>
      <c r="S28" s="547">
        <f t="shared" si="15"/>
        <v>0</v>
      </c>
      <c r="T28" s="460" t="str">
        <f t="shared" si="16"/>
        <v>DIRECTOR DE CALIDAD Y CONTROL DE PROCESOS</v>
      </c>
      <c r="U28" s="461" t="str">
        <f t="shared" si="17"/>
        <v>Muy Importante</v>
      </c>
      <c r="V28" s="110"/>
      <c r="W28" s="462">
        <f t="shared" si="18"/>
        <v>7900000</v>
      </c>
      <c r="X28" s="462">
        <f t="shared" si="19"/>
        <v>10306232.294588367</v>
      </c>
      <c r="Y28" s="463">
        <f t="shared" si="20"/>
        <v>0.76652648360625064</v>
      </c>
      <c r="Z28" s="110"/>
      <c r="AA28" s="462">
        <f t="shared" si="21"/>
        <v>9295693</v>
      </c>
      <c r="AB28" s="462">
        <f t="shared" si="22"/>
        <v>12127000</v>
      </c>
      <c r="AC28" s="463">
        <f t="shared" si="23"/>
        <v>0.76652865506720536</v>
      </c>
      <c r="AD28" s="110"/>
      <c r="AE28" s="462">
        <f t="shared" si="24"/>
        <v>9295693</v>
      </c>
      <c r="AF28" s="462">
        <f t="shared" si="25"/>
        <v>12231000</v>
      </c>
      <c r="AG28" s="463">
        <f t="shared" si="26"/>
        <v>0.76001087400866651</v>
      </c>
      <c r="AH28" s="110"/>
      <c r="AI28" s="462">
        <f t="shared" si="27"/>
        <v>9295693</v>
      </c>
      <c r="AJ28" s="462">
        <f t="shared" si="28"/>
        <v>12577000</v>
      </c>
      <c r="AK28" s="463">
        <f t="shared" si="29"/>
        <v>0.73910256818001108</v>
      </c>
    </row>
    <row r="29" spans="2:37" ht="14.4">
      <c r="B29" s="541"/>
      <c r="C29" s="496" t="s">
        <v>287</v>
      </c>
      <c r="D29" s="29" t="s">
        <v>273</v>
      </c>
      <c r="E29" s="491">
        <v>7900000</v>
      </c>
      <c r="F29" s="275">
        <v>10306232.294588367</v>
      </c>
      <c r="G29" s="275">
        <v>0.76652648360625064</v>
      </c>
      <c r="H29" s="491">
        <v>9295693</v>
      </c>
      <c r="I29" s="491">
        <v>12127000</v>
      </c>
      <c r="J29" s="494">
        <v>0.76652865506720536</v>
      </c>
      <c r="K29" s="418">
        <v>9295693</v>
      </c>
      <c r="L29" s="418">
        <v>12231000</v>
      </c>
      <c r="M29" s="494">
        <v>0.76001087400866651</v>
      </c>
      <c r="N29" s="418">
        <v>9295693</v>
      </c>
      <c r="O29" s="418">
        <v>12577000</v>
      </c>
      <c r="P29" s="494">
        <v>0.73910256818001108</v>
      </c>
      <c r="Q29"/>
      <c r="S29" s="547">
        <f t="shared" si="15"/>
        <v>0</v>
      </c>
      <c r="T29" s="456" t="str">
        <f t="shared" si="16"/>
        <v>DIRECTOR DE MATERIALES</v>
      </c>
      <c r="U29" s="457" t="str">
        <f t="shared" si="17"/>
        <v>Crítico</v>
      </c>
      <c r="V29" s="110"/>
      <c r="W29" s="458">
        <f t="shared" si="18"/>
        <v>7900000</v>
      </c>
      <c r="X29" s="458">
        <f t="shared" si="19"/>
        <v>10306232.294588367</v>
      </c>
      <c r="Y29" s="459">
        <f t="shared" si="20"/>
        <v>0.76652648360625064</v>
      </c>
      <c r="Z29" s="110"/>
      <c r="AA29" s="458">
        <f t="shared" si="21"/>
        <v>9295693</v>
      </c>
      <c r="AB29" s="458">
        <f t="shared" si="22"/>
        <v>12127000</v>
      </c>
      <c r="AC29" s="459">
        <f t="shared" si="23"/>
        <v>0.76652865506720536</v>
      </c>
      <c r="AD29" s="110"/>
      <c r="AE29" s="458">
        <f t="shared" si="24"/>
        <v>9295693</v>
      </c>
      <c r="AF29" s="458">
        <f t="shared" si="25"/>
        <v>12231000</v>
      </c>
      <c r="AG29" s="459">
        <f t="shared" si="26"/>
        <v>0.76001087400866651</v>
      </c>
      <c r="AH29" s="110"/>
      <c r="AI29" s="458">
        <f t="shared" si="27"/>
        <v>9295693</v>
      </c>
      <c r="AJ29" s="458">
        <f t="shared" si="28"/>
        <v>12577000</v>
      </c>
      <c r="AK29" s="459">
        <f t="shared" si="29"/>
        <v>0.73910256818001108</v>
      </c>
    </row>
    <row r="30" spans="2:37" ht="14.4">
      <c r="B30" s="541"/>
      <c r="C30" s="496" t="s">
        <v>288</v>
      </c>
      <c r="D30" s="29" t="s">
        <v>277</v>
      </c>
      <c r="E30" s="491">
        <v>7900000</v>
      </c>
      <c r="F30" s="275">
        <v>10306232.294588367</v>
      </c>
      <c r="G30" s="275">
        <v>0.76652648360625064</v>
      </c>
      <c r="H30" s="491">
        <v>9295693</v>
      </c>
      <c r="I30" s="491">
        <v>12127000</v>
      </c>
      <c r="J30" s="494">
        <v>0.76652865506720536</v>
      </c>
      <c r="K30" s="418">
        <v>9295693</v>
      </c>
      <c r="L30" s="418">
        <v>12231000</v>
      </c>
      <c r="M30" s="494">
        <v>0.76001087400866651</v>
      </c>
      <c r="N30" s="418">
        <v>9295693</v>
      </c>
      <c r="O30" s="418">
        <v>12577000</v>
      </c>
      <c r="P30" s="494">
        <v>0.73910256818001108</v>
      </c>
      <c r="Q30"/>
      <c r="S30" s="546">
        <f t="shared" si="15"/>
        <v>0</v>
      </c>
      <c r="T30" s="460" t="str">
        <f t="shared" si="16"/>
        <v>DIRECTOR DE MANTENIMIENTO Y PROYECTOS</v>
      </c>
      <c r="U30" s="461" t="str">
        <f t="shared" si="17"/>
        <v>Muy Importante</v>
      </c>
      <c r="V30" s="110"/>
      <c r="W30" s="462">
        <f t="shared" si="18"/>
        <v>7900000</v>
      </c>
      <c r="X30" s="462">
        <f t="shared" si="19"/>
        <v>10306232.294588367</v>
      </c>
      <c r="Y30" s="463">
        <f t="shared" si="20"/>
        <v>0.76652648360625064</v>
      </c>
      <c r="Z30" s="110"/>
      <c r="AA30" s="462">
        <f t="shared" si="21"/>
        <v>9295693</v>
      </c>
      <c r="AB30" s="462">
        <f t="shared" si="22"/>
        <v>12127000</v>
      </c>
      <c r="AC30" s="463">
        <f t="shared" si="23"/>
        <v>0.76652865506720536</v>
      </c>
      <c r="AD30" s="110"/>
      <c r="AE30" s="462">
        <f t="shared" si="24"/>
        <v>9295693</v>
      </c>
      <c r="AF30" s="462">
        <f t="shared" si="25"/>
        <v>12231000</v>
      </c>
      <c r="AG30" s="463">
        <f t="shared" si="26"/>
        <v>0.76001087400866651</v>
      </c>
      <c r="AH30" s="110"/>
      <c r="AI30" s="462">
        <f t="shared" si="27"/>
        <v>9295693</v>
      </c>
      <c r="AJ30" s="462">
        <f t="shared" si="28"/>
        <v>12577000</v>
      </c>
      <c r="AK30" s="463">
        <f t="shared" si="29"/>
        <v>0.73910256818001108</v>
      </c>
    </row>
    <row r="31" spans="2:37" ht="14.4">
      <c r="B31" s="541"/>
      <c r="C31" s="496" t="s">
        <v>289</v>
      </c>
      <c r="D31" s="29" t="s">
        <v>290</v>
      </c>
      <c r="E31" s="491">
        <v>10347000</v>
      </c>
      <c r="F31" s="275">
        <v>10306232.294588367</v>
      </c>
      <c r="G31" s="275">
        <v>1.0039556361865665</v>
      </c>
      <c r="H31" s="491">
        <v>12175004.49</v>
      </c>
      <c r="I31" s="491">
        <v>12127000</v>
      </c>
      <c r="J31" s="494">
        <v>1.0039584802506802</v>
      </c>
      <c r="K31" s="418">
        <v>12175004.49</v>
      </c>
      <c r="L31" s="418">
        <v>12231000</v>
      </c>
      <c r="M31" s="494">
        <v>0.99542183713514842</v>
      </c>
      <c r="N31" s="418">
        <v>12175004.49</v>
      </c>
      <c r="O31" s="418">
        <v>12577000</v>
      </c>
      <c r="P31" s="494">
        <v>0.96803724974159178</v>
      </c>
      <c r="Q31"/>
      <c r="S31" s="548">
        <f t="shared" si="15"/>
        <v>0</v>
      </c>
      <c r="T31" s="465" t="str">
        <f t="shared" si="16"/>
        <v>DIRECTOR ADMINISTRATIVO Y CONTABLE</v>
      </c>
      <c r="U31" s="466" t="str">
        <f t="shared" si="17"/>
        <v>Relevante</v>
      </c>
      <c r="V31" s="110"/>
      <c r="W31" s="467">
        <f t="shared" si="18"/>
        <v>10347000</v>
      </c>
      <c r="X31" s="467">
        <f t="shared" si="19"/>
        <v>10306232.294588367</v>
      </c>
      <c r="Y31" s="468">
        <f t="shared" si="20"/>
        <v>1.0039556361865665</v>
      </c>
      <c r="Z31" s="110"/>
      <c r="AA31" s="467">
        <f t="shared" si="21"/>
        <v>12175004.49</v>
      </c>
      <c r="AB31" s="467">
        <f t="shared" si="22"/>
        <v>12127000</v>
      </c>
      <c r="AC31" s="468">
        <f t="shared" si="23"/>
        <v>1.0039584802506802</v>
      </c>
      <c r="AD31" s="110"/>
      <c r="AE31" s="467">
        <f t="shared" si="24"/>
        <v>12175004.49</v>
      </c>
      <c r="AF31" s="467">
        <f t="shared" si="25"/>
        <v>12231000</v>
      </c>
      <c r="AG31" s="468">
        <f t="shared" si="26"/>
        <v>0.99542183713514842</v>
      </c>
      <c r="AH31" s="110"/>
      <c r="AI31" s="467">
        <f t="shared" si="27"/>
        <v>12175004.49</v>
      </c>
      <c r="AJ31" s="467">
        <f t="shared" si="28"/>
        <v>12577000</v>
      </c>
      <c r="AK31" s="468">
        <f t="shared" si="29"/>
        <v>0.96803724974159178</v>
      </c>
    </row>
    <row r="32" spans="2:37" ht="14.4">
      <c r="B32" s="541"/>
      <c r="C32" s="496" t="s">
        <v>291</v>
      </c>
      <c r="D32" s="29" t="s">
        <v>277</v>
      </c>
      <c r="E32" s="491">
        <v>5119000</v>
      </c>
      <c r="F32" s="275">
        <v>10306232.294588367</v>
      </c>
      <c r="G32" s="275">
        <v>0.4966897556430882</v>
      </c>
      <c r="H32" s="491">
        <v>6023373.7300000004</v>
      </c>
      <c r="I32" s="491">
        <v>12127000</v>
      </c>
      <c r="J32" s="494">
        <v>0.49669116269481328</v>
      </c>
      <c r="K32" s="418">
        <v>6023373.7300000004</v>
      </c>
      <c r="L32" s="418">
        <v>12231000</v>
      </c>
      <c r="M32" s="494">
        <v>0.49246780557599545</v>
      </c>
      <c r="N32" s="418">
        <v>6023373.7300000004</v>
      </c>
      <c r="O32" s="418">
        <v>12577000</v>
      </c>
      <c r="P32" s="494">
        <v>0.47891975272322496</v>
      </c>
      <c r="Q32"/>
      <c r="S32" s="540">
        <f t="shared" si="15"/>
        <v>0</v>
      </c>
      <c r="T32" s="452" t="str">
        <f t="shared" si="16"/>
        <v>COOORDINADOR DE MERCADEO</v>
      </c>
      <c r="U32" s="453" t="str">
        <f t="shared" si="17"/>
        <v>Muy Importante</v>
      </c>
      <c r="V32" s="110"/>
      <c r="W32" s="454">
        <f t="shared" si="18"/>
        <v>5119000</v>
      </c>
      <c r="X32" s="454">
        <f t="shared" si="19"/>
        <v>10306232.294588367</v>
      </c>
      <c r="Y32" s="455">
        <f t="shared" si="20"/>
        <v>0.4966897556430882</v>
      </c>
      <c r="Z32" s="110"/>
      <c r="AA32" s="454">
        <f t="shared" si="21"/>
        <v>6023373.7300000004</v>
      </c>
      <c r="AB32" s="454">
        <f t="shared" si="22"/>
        <v>12127000</v>
      </c>
      <c r="AC32" s="455">
        <f t="shared" si="23"/>
        <v>0.49669116269481328</v>
      </c>
      <c r="AD32" s="110"/>
      <c r="AE32" s="454">
        <f t="shared" si="24"/>
        <v>6023373.7300000004</v>
      </c>
      <c r="AF32" s="454">
        <f t="shared" si="25"/>
        <v>12231000</v>
      </c>
      <c r="AG32" s="455">
        <f t="shared" si="26"/>
        <v>0.49246780557599545</v>
      </c>
      <c r="AH32" s="110"/>
      <c r="AI32" s="454">
        <f t="shared" si="27"/>
        <v>6023373.7300000004</v>
      </c>
      <c r="AJ32" s="454">
        <f t="shared" si="28"/>
        <v>12577000</v>
      </c>
      <c r="AK32" s="455">
        <f t="shared" si="29"/>
        <v>0.47891975272322496</v>
      </c>
    </row>
    <row r="33" spans="2:37" ht="14.4">
      <c r="B33" s="541"/>
      <c r="C33" s="496" t="s">
        <v>292</v>
      </c>
      <c r="D33" s="29" t="s">
        <v>290</v>
      </c>
      <c r="E33" s="491">
        <v>9754000</v>
      </c>
      <c r="F33" s="275">
        <v>10306232.294588367</v>
      </c>
      <c r="G33" s="275">
        <v>0.94641763558169223</v>
      </c>
      <c r="H33" s="491">
        <v>11477239.180000002</v>
      </c>
      <c r="I33" s="491">
        <v>12127000</v>
      </c>
      <c r="J33" s="494">
        <v>0.94642031664880033</v>
      </c>
      <c r="K33" s="418">
        <v>11477239.180000002</v>
      </c>
      <c r="L33" s="418">
        <v>12231000</v>
      </c>
      <c r="M33" s="494">
        <v>0.93837291963044733</v>
      </c>
      <c r="N33" s="418">
        <v>11477239.180000002</v>
      </c>
      <c r="O33" s="418">
        <v>12577000</v>
      </c>
      <c r="P33" s="494">
        <v>0.91255777848453534</v>
      </c>
      <c r="Q33"/>
      <c r="S33" s="540">
        <f t="shared" si="15"/>
        <v>0</v>
      </c>
      <c r="T33" s="465" t="str">
        <f t="shared" si="16"/>
        <v>DIRECTOR TIC</v>
      </c>
      <c r="U33" s="466" t="str">
        <f t="shared" si="17"/>
        <v>Relevante</v>
      </c>
      <c r="V33" s="110"/>
      <c r="W33" s="467">
        <f t="shared" si="18"/>
        <v>9754000</v>
      </c>
      <c r="X33" s="467">
        <f t="shared" si="19"/>
        <v>10306232.294588367</v>
      </c>
      <c r="Y33" s="468">
        <f t="shared" si="20"/>
        <v>0.94641763558169223</v>
      </c>
      <c r="Z33" s="110"/>
      <c r="AA33" s="467">
        <f t="shared" si="21"/>
        <v>11477239.180000002</v>
      </c>
      <c r="AB33" s="467">
        <f t="shared" si="22"/>
        <v>12127000</v>
      </c>
      <c r="AC33" s="468">
        <f t="shared" si="23"/>
        <v>0.94642031664880033</v>
      </c>
      <c r="AD33" s="110"/>
      <c r="AE33" s="467">
        <f t="shared" si="24"/>
        <v>11477239.180000002</v>
      </c>
      <c r="AF33" s="467">
        <f t="shared" si="25"/>
        <v>12231000</v>
      </c>
      <c r="AG33" s="468">
        <f t="shared" si="26"/>
        <v>0.93837291963044733</v>
      </c>
      <c r="AH33" s="110"/>
      <c r="AI33" s="467">
        <f t="shared" si="27"/>
        <v>11477239.180000002</v>
      </c>
      <c r="AJ33" s="467">
        <f t="shared" si="28"/>
        <v>12577000</v>
      </c>
      <c r="AK33" s="468">
        <f t="shared" si="29"/>
        <v>0.91255777848453534</v>
      </c>
    </row>
    <row r="34" spans="2:37" ht="14.4">
      <c r="B34" s="541"/>
      <c r="C34" s="496" t="s">
        <v>293</v>
      </c>
      <c r="D34" s="29" t="s">
        <v>273</v>
      </c>
      <c r="E34" s="491">
        <v>7900000</v>
      </c>
      <c r="F34" s="275">
        <v>10306232.294588367</v>
      </c>
      <c r="G34" s="275">
        <v>0.76652648360625064</v>
      </c>
      <c r="H34" s="491">
        <v>9295693</v>
      </c>
      <c r="I34" s="491">
        <v>12127000</v>
      </c>
      <c r="J34" s="494">
        <v>0.76652865506720536</v>
      </c>
      <c r="K34" s="418">
        <v>9295693</v>
      </c>
      <c r="L34" s="418">
        <v>12231000</v>
      </c>
      <c r="M34" s="494">
        <v>0.76001087400866651</v>
      </c>
      <c r="N34" s="418">
        <v>9295693</v>
      </c>
      <c r="O34" s="418">
        <v>12577000</v>
      </c>
      <c r="P34" s="494">
        <v>0.73910256818001108</v>
      </c>
      <c r="Q34"/>
      <c r="S34" s="540">
        <f t="shared" si="15"/>
        <v>0</v>
      </c>
      <c r="T34" s="452" t="str">
        <f t="shared" si="16"/>
        <v>DIRECTOR INGENIERIA</v>
      </c>
      <c r="U34" s="453" t="str">
        <f t="shared" si="17"/>
        <v>Crítico</v>
      </c>
      <c r="V34" s="110"/>
      <c r="W34" s="454">
        <f t="shared" si="18"/>
        <v>7900000</v>
      </c>
      <c r="X34" s="454">
        <f t="shared" si="19"/>
        <v>10306232.294588367</v>
      </c>
      <c r="Y34" s="455">
        <f t="shared" si="20"/>
        <v>0.76652648360625064</v>
      </c>
      <c r="Z34" s="110"/>
      <c r="AA34" s="454">
        <f t="shared" si="21"/>
        <v>9295693</v>
      </c>
      <c r="AB34" s="454">
        <f t="shared" si="22"/>
        <v>12127000</v>
      </c>
      <c r="AC34" s="455">
        <f t="shared" si="23"/>
        <v>0.76652865506720536</v>
      </c>
      <c r="AD34" s="110"/>
      <c r="AE34" s="454">
        <f t="shared" si="24"/>
        <v>9295693</v>
      </c>
      <c r="AF34" s="454">
        <f t="shared" si="25"/>
        <v>12231000</v>
      </c>
      <c r="AG34" s="455">
        <f t="shared" si="26"/>
        <v>0.76001087400866651</v>
      </c>
      <c r="AH34" s="110"/>
      <c r="AI34" s="454">
        <f t="shared" si="27"/>
        <v>9295693</v>
      </c>
      <c r="AJ34" s="454">
        <f t="shared" si="28"/>
        <v>12577000</v>
      </c>
      <c r="AK34" s="455">
        <f t="shared" si="29"/>
        <v>0.73910256818001108</v>
      </c>
    </row>
    <row r="35" spans="2:37" ht="14.4">
      <c r="B35" s="547">
        <v>13</v>
      </c>
      <c r="C35" s="497" t="s">
        <v>294</v>
      </c>
      <c r="D35" s="498" t="s">
        <v>295</v>
      </c>
      <c r="E35" s="492">
        <v>5786000</v>
      </c>
      <c r="F35" s="489">
        <v>8700849.8583322912</v>
      </c>
      <c r="G35" s="489">
        <v>0.66499251156013095</v>
      </c>
      <c r="H35" s="492">
        <v>6808212.620000001</v>
      </c>
      <c r="I35" s="492">
        <v>10238000</v>
      </c>
      <c r="J35" s="495">
        <v>0.66499439538972471</v>
      </c>
      <c r="K35" s="490">
        <v>6808212.620000001</v>
      </c>
      <c r="L35" s="490">
        <v>10323000</v>
      </c>
      <c r="M35" s="495">
        <v>0.65951880461106283</v>
      </c>
      <c r="N35" s="490">
        <v>6808212.620000001</v>
      </c>
      <c r="O35" s="490">
        <v>10640000</v>
      </c>
      <c r="P35" s="495">
        <v>0.63986960714285723</v>
      </c>
      <c r="Q35"/>
      <c r="S35" s="540">
        <f t="shared" si="15"/>
        <v>13</v>
      </c>
      <c r="T35" s="465" t="str">
        <f t="shared" si="16"/>
        <v>JEFE DE COMPRAS</v>
      </c>
      <c r="U35" s="466" t="str">
        <f t="shared" si="17"/>
        <v>Importante</v>
      </c>
      <c r="V35" s="110"/>
      <c r="W35" s="467">
        <f t="shared" si="18"/>
        <v>5786000</v>
      </c>
      <c r="X35" s="467">
        <f t="shared" si="19"/>
        <v>8700849.8583322912</v>
      </c>
      <c r="Y35" s="468">
        <f t="shared" si="20"/>
        <v>0.66499251156013095</v>
      </c>
      <c r="Z35" s="110"/>
      <c r="AA35" s="467">
        <f t="shared" si="21"/>
        <v>6808212.620000001</v>
      </c>
      <c r="AB35" s="467">
        <f t="shared" si="22"/>
        <v>10238000</v>
      </c>
      <c r="AC35" s="468">
        <f t="shared" si="23"/>
        <v>0.66499439538972471</v>
      </c>
      <c r="AD35" s="110"/>
      <c r="AE35" s="467">
        <f t="shared" si="24"/>
        <v>6808212.620000001</v>
      </c>
      <c r="AF35" s="467">
        <f t="shared" si="25"/>
        <v>10323000</v>
      </c>
      <c r="AG35" s="468">
        <f t="shared" si="26"/>
        <v>0.65951880461106283</v>
      </c>
      <c r="AH35" s="110"/>
      <c r="AI35" s="467">
        <f t="shared" si="27"/>
        <v>6808212.620000001</v>
      </c>
      <c r="AJ35" s="467">
        <f t="shared" si="28"/>
        <v>10640000</v>
      </c>
      <c r="AK35" s="468">
        <f t="shared" si="29"/>
        <v>0.63986960714285723</v>
      </c>
    </row>
    <row r="36" spans="2:37" ht="14.4">
      <c r="B36" s="550"/>
      <c r="C36" s="497" t="s">
        <v>296</v>
      </c>
      <c r="D36" s="498" t="s">
        <v>295</v>
      </c>
      <c r="E36" s="492">
        <v>5119000</v>
      </c>
      <c r="F36" s="489">
        <v>8700849.8583322912</v>
      </c>
      <c r="G36" s="489">
        <v>0.58833333333500004</v>
      </c>
      <c r="H36" s="492">
        <v>6023373.7300000004</v>
      </c>
      <c r="I36" s="492">
        <v>10238000</v>
      </c>
      <c r="J36" s="495">
        <v>0.58833500000000005</v>
      </c>
      <c r="K36" s="490">
        <v>6023373.7300000004</v>
      </c>
      <c r="L36" s="490">
        <v>10323000</v>
      </c>
      <c r="M36" s="495">
        <v>0.58349062578707744</v>
      </c>
      <c r="N36" s="490">
        <v>6023373.7300000004</v>
      </c>
      <c r="O36" s="490">
        <v>10640000</v>
      </c>
      <c r="P36" s="495">
        <v>0.56610655357142858</v>
      </c>
      <c r="Q36"/>
      <c r="S36" s="540">
        <f t="shared" si="15"/>
        <v>0</v>
      </c>
      <c r="T36" s="452" t="str">
        <f t="shared" si="16"/>
        <v>COORDINADOR  SST</v>
      </c>
      <c r="U36" s="453" t="str">
        <f t="shared" si="17"/>
        <v>Importante</v>
      </c>
      <c r="V36" s="110"/>
      <c r="W36" s="454">
        <f t="shared" si="18"/>
        <v>5119000</v>
      </c>
      <c r="X36" s="454">
        <f t="shared" si="19"/>
        <v>8700849.8583322912</v>
      </c>
      <c r="Y36" s="455">
        <f t="shared" si="20"/>
        <v>0.58833333333500004</v>
      </c>
      <c r="Z36" s="110"/>
      <c r="AA36" s="454">
        <f t="shared" si="21"/>
        <v>6023373.7300000004</v>
      </c>
      <c r="AB36" s="454">
        <f t="shared" si="22"/>
        <v>10238000</v>
      </c>
      <c r="AC36" s="455">
        <f t="shared" si="23"/>
        <v>0.58833500000000005</v>
      </c>
      <c r="AD36" s="110"/>
      <c r="AE36" s="454">
        <f t="shared" si="24"/>
        <v>6023373.7300000004</v>
      </c>
      <c r="AF36" s="454">
        <f t="shared" si="25"/>
        <v>10323000</v>
      </c>
      <c r="AG36" s="455">
        <f t="shared" si="26"/>
        <v>0.58349062578707744</v>
      </c>
      <c r="AH36" s="110"/>
      <c r="AI36" s="454">
        <f t="shared" si="27"/>
        <v>6023373.7300000004</v>
      </c>
      <c r="AJ36" s="454">
        <f t="shared" si="28"/>
        <v>10640000</v>
      </c>
      <c r="AK36" s="455">
        <f t="shared" si="29"/>
        <v>0.56610655357142858</v>
      </c>
    </row>
    <row r="37" spans="2:37" ht="14.4">
      <c r="B37" s="550"/>
      <c r="C37" s="497" t="s">
        <v>297</v>
      </c>
      <c r="D37" s="498" t="s">
        <v>277</v>
      </c>
      <c r="E37" s="492">
        <v>6324000</v>
      </c>
      <c r="F37" s="489">
        <v>8700849.8583322912</v>
      </c>
      <c r="G37" s="489">
        <v>0.72682555186765785</v>
      </c>
      <c r="H37" s="492">
        <v>7441261.080000001</v>
      </c>
      <c r="I37" s="492">
        <v>10238000</v>
      </c>
      <c r="J37" s="495">
        <v>0.7268276108614965</v>
      </c>
      <c r="K37" s="490">
        <v>7441261.080000001</v>
      </c>
      <c r="L37" s="490">
        <v>10323000</v>
      </c>
      <c r="M37" s="495">
        <v>0.72084288288288301</v>
      </c>
      <c r="N37" s="490">
        <v>7441261.080000001</v>
      </c>
      <c r="O37" s="490">
        <v>10640000</v>
      </c>
      <c r="P37" s="495">
        <v>0.69936664285714301</v>
      </c>
      <c r="Q37"/>
      <c r="S37" s="540">
        <f t="shared" si="15"/>
        <v>0</v>
      </c>
      <c r="T37" s="465" t="str">
        <f t="shared" si="16"/>
        <v>JEFE DE MEJORAMIENTO CONTINUO</v>
      </c>
      <c r="U37" s="466" t="str">
        <f t="shared" si="17"/>
        <v>Muy Importante</v>
      </c>
      <c r="V37" s="110"/>
      <c r="W37" s="467">
        <f t="shared" si="18"/>
        <v>6324000</v>
      </c>
      <c r="X37" s="467">
        <f t="shared" si="19"/>
        <v>8700849.8583322912</v>
      </c>
      <c r="Y37" s="468">
        <f t="shared" si="20"/>
        <v>0.72682555186765785</v>
      </c>
      <c r="Z37" s="110"/>
      <c r="AA37" s="467">
        <f t="shared" si="21"/>
        <v>7441261.080000001</v>
      </c>
      <c r="AB37" s="467">
        <f t="shared" si="22"/>
        <v>10238000</v>
      </c>
      <c r="AC37" s="468">
        <f t="shared" si="23"/>
        <v>0.7268276108614965</v>
      </c>
      <c r="AD37" s="110"/>
      <c r="AE37" s="467">
        <f t="shared" si="24"/>
        <v>7441261.080000001</v>
      </c>
      <c r="AF37" s="467">
        <f t="shared" si="25"/>
        <v>10323000</v>
      </c>
      <c r="AG37" s="468">
        <f t="shared" si="26"/>
        <v>0.72084288288288301</v>
      </c>
      <c r="AH37" s="110"/>
      <c r="AI37" s="467">
        <f t="shared" si="27"/>
        <v>7441261.080000001</v>
      </c>
      <c r="AJ37" s="467">
        <f t="shared" si="28"/>
        <v>10640000</v>
      </c>
      <c r="AK37" s="468">
        <f t="shared" si="29"/>
        <v>0.69936664285714301</v>
      </c>
    </row>
    <row r="38" spans="2:37" ht="14.4">
      <c r="B38" s="550"/>
      <c r="C38" s="497" t="s">
        <v>298</v>
      </c>
      <c r="D38" s="498" t="s">
        <v>273</v>
      </c>
      <c r="E38" s="492">
        <v>7900000</v>
      </c>
      <c r="F38" s="489">
        <v>8700849.8583322912</v>
      </c>
      <c r="G38" s="489">
        <v>0.90795728332613801</v>
      </c>
      <c r="H38" s="492">
        <v>9295693</v>
      </c>
      <c r="I38" s="492">
        <v>10238000</v>
      </c>
      <c r="J38" s="495">
        <v>0.90795985544051572</v>
      </c>
      <c r="K38" s="490">
        <v>9295693</v>
      </c>
      <c r="L38" s="490">
        <v>10323000</v>
      </c>
      <c r="M38" s="495">
        <v>0.90048367722561273</v>
      </c>
      <c r="N38" s="490">
        <v>9295693</v>
      </c>
      <c r="O38" s="490">
        <v>10640000</v>
      </c>
      <c r="P38" s="495">
        <v>0.87365535714285714</v>
      </c>
      <c r="Q38"/>
      <c r="S38" s="540">
        <f t="shared" si="15"/>
        <v>0</v>
      </c>
      <c r="T38" s="452" t="str">
        <f t="shared" si="16"/>
        <v>DIRECTOR DE CENTRO DE TRANSFORMACIÓN</v>
      </c>
      <c r="U38" s="453" t="str">
        <f t="shared" si="17"/>
        <v>Crítico</v>
      </c>
      <c r="V38" s="110"/>
      <c r="W38" s="454">
        <f t="shared" si="18"/>
        <v>7900000</v>
      </c>
      <c r="X38" s="454">
        <f t="shared" si="19"/>
        <v>8700849.8583322912</v>
      </c>
      <c r="Y38" s="455">
        <f t="shared" si="20"/>
        <v>0.90795728332613801</v>
      </c>
      <c r="Z38" s="110"/>
      <c r="AA38" s="454">
        <f t="shared" si="21"/>
        <v>9295693</v>
      </c>
      <c r="AB38" s="454">
        <f t="shared" si="22"/>
        <v>10238000</v>
      </c>
      <c r="AC38" s="455">
        <f t="shared" si="23"/>
        <v>0.90795985544051572</v>
      </c>
      <c r="AD38" s="110"/>
      <c r="AE38" s="454">
        <f t="shared" si="24"/>
        <v>9295693</v>
      </c>
      <c r="AF38" s="454">
        <f t="shared" si="25"/>
        <v>10323000</v>
      </c>
      <c r="AG38" s="455">
        <f t="shared" si="26"/>
        <v>0.90048367722561273</v>
      </c>
      <c r="AH38" s="110"/>
      <c r="AI38" s="454">
        <f t="shared" si="27"/>
        <v>9295693</v>
      </c>
      <c r="AJ38" s="454">
        <f t="shared" si="28"/>
        <v>10640000</v>
      </c>
      <c r="AK38" s="455">
        <f t="shared" si="29"/>
        <v>0.87365535714285714</v>
      </c>
    </row>
    <row r="39" spans="2:37" ht="14.4">
      <c r="B39" s="540">
        <v>12</v>
      </c>
      <c r="C39" s="496" t="s">
        <v>299</v>
      </c>
      <c r="D39" s="29" t="s">
        <v>295</v>
      </c>
      <c r="E39" s="491">
        <v>4945000</v>
      </c>
      <c r="F39" s="275">
        <v>7287535.4107442275</v>
      </c>
      <c r="G39" s="275">
        <v>0.67855587949657725</v>
      </c>
      <c r="H39" s="491">
        <v>5818633.1500000004</v>
      </c>
      <c r="I39" s="491">
        <v>8575000</v>
      </c>
      <c r="J39" s="494">
        <v>0.67855780174927116</v>
      </c>
      <c r="K39" s="418">
        <v>5818633.1500000004</v>
      </c>
      <c r="L39" s="418">
        <v>8645000</v>
      </c>
      <c r="M39" s="494">
        <v>0.67306340659340669</v>
      </c>
      <c r="N39" s="418">
        <v>5818633.1500000004</v>
      </c>
      <c r="O39" s="418">
        <v>8935000</v>
      </c>
      <c r="P39" s="494">
        <v>0.65121803581421378</v>
      </c>
      <c r="Q39"/>
      <c r="S39" s="540">
        <f t="shared" si="15"/>
        <v>12</v>
      </c>
      <c r="T39" s="465" t="str">
        <f t="shared" si="16"/>
        <v>JEFE DE CALIDAD</v>
      </c>
      <c r="U39" s="466" t="str">
        <f t="shared" si="17"/>
        <v>Importante</v>
      </c>
      <c r="V39" s="110"/>
      <c r="W39" s="467">
        <f t="shared" si="18"/>
        <v>4945000</v>
      </c>
      <c r="X39" s="467">
        <f t="shared" si="19"/>
        <v>7287535.4107442275</v>
      </c>
      <c r="Y39" s="468">
        <f t="shared" si="20"/>
        <v>0.67855587949657725</v>
      </c>
      <c r="Z39" s="110"/>
      <c r="AA39" s="467">
        <f t="shared" si="21"/>
        <v>5818633.1500000004</v>
      </c>
      <c r="AB39" s="467">
        <f t="shared" si="22"/>
        <v>8575000</v>
      </c>
      <c r="AC39" s="468">
        <f t="shared" si="23"/>
        <v>0.67855780174927116</v>
      </c>
      <c r="AD39" s="110"/>
      <c r="AE39" s="467">
        <f t="shared" si="24"/>
        <v>5818633.1500000004</v>
      </c>
      <c r="AF39" s="467">
        <f t="shared" si="25"/>
        <v>8645000</v>
      </c>
      <c r="AG39" s="468">
        <f t="shared" si="26"/>
        <v>0.67306340659340669</v>
      </c>
      <c r="AH39" s="110"/>
      <c r="AI39" s="467">
        <f t="shared" si="27"/>
        <v>5818633.1500000004</v>
      </c>
      <c r="AJ39" s="467">
        <f t="shared" si="28"/>
        <v>8935000</v>
      </c>
      <c r="AK39" s="468">
        <f t="shared" si="29"/>
        <v>0.65121803581421378</v>
      </c>
    </row>
    <row r="40" spans="2:37" ht="14.4">
      <c r="B40" s="541"/>
      <c r="C40" s="496" t="s">
        <v>300</v>
      </c>
      <c r="D40" s="29" t="s">
        <v>273</v>
      </c>
      <c r="E40" s="491">
        <v>4033000</v>
      </c>
      <c r="F40" s="275">
        <v>7287535.4107442275</v>
      </c>
      <c r="G40" s="275">
        <v>0.55341068999184972</v>
      </c>
      <c r="H40" s="491">
        <v>4745510.1100000003</v>
      </c>
      <c r="I40" s="491">
        <v>8575000</v>
      </c>
      <c r="J40" s="494">
        <v>0.5534122577259476</v>
      </c>
      <c r="K40" s="418">
        <v>4745510.1100000003</v>
      </c>
      <c r="L40" s="418">
        <v>8645000</v>
      </c>
      <c r="M40" s="494">
        <v>0.54893118681318687</v>
      </c>
      <c r="N40" s="418">
        <v>4745510.1100000003</v>
      </c>
      <c r="O40" s="418">
        <v>8935000</v>
      </c>
      <c r="P40" s="494">
        <v>0.5311147297146056</v>
      </c>
      <c r="Q40"/>
      <c r="S40" s="540">
        <f t="shared" si="15"/>
        <v>0</v>
      </c>
      <c r="T40" s="452" t="str">
        <f t="shared" si="16"/>
        <v>COORDINADOR DE INGENIERIA</v>
      </c>
      <c r="U40" s="453" t="str">
        <f t="shared" si="17"/>
        <v>Crítico</v>
      </c>
      <c r="V40" s="110"/>
      <c r="W40" s="454">
        <f t="shared" si="18"/>
        <v>4033000</v>
      </c>
      <c r="X40" s="454">
        <f t="shared" si="19"/>
        <v>7287535.4107442275</v>
      </c>
      <c r="Y40" s="455">
        <f t="shared" si="20"/>
        <v>0.55341068999184972</v>
      </c>
      <c r="Z40" s="110"/>
      <c r="AA40" s="454">
        <f t="shared" si="21"/>
        <v>4745510.1100000003</v>
      </c>
      <c r="AB40" s="454">
        <f t="shared" si="22"/>
        <v>8575000</v>
      </c>
      <c r="AC40" s="455">
        <f t="shared" si="23"/>
        <v>0.5534122577259476</v>
      </c>
      <c r="AD40" s="110"/>
      <c r="AE40" s="454">
        <f t="shared" si="24"/>
        <v>4745510.1100000003</v>
      </c>
      <c r="AF40" s="454">
        <f t="shared" si="25"/>
        <v>8645000</v>
      </c>
      <c r="AG40" s="455">
        <f t="shared" si="26"/>
        <v>0.54893118681318687</v>
      </c>
      <c r="AH40" s="110"/>
      <c r="AI40" s="454">
        <f t="shared" si="27"/>
        <v>4745510.1100000003</v>
      </c>
      <c r="AJ40" s="454">
        <f t="shared" si="28"/>
        <v>8935000</v>
      </c>
      <c r="AK40" s="455">
        <f t="shared" si="29"/>
        <v>0.5311147297146056</v>
      </c>
    </row>
    <row r="41" spans="2:37" ht="14.4">
      <c r="B41" s="541"/>
      <c r="C41" s="496" t="s">
        <v>301</v>
      </c>
      <c r="D41" s="29" t="s">
        <v>277</v>
      </c>
      <c r="E41" s="491">
        <v>3800000</v>
      </c>
      <c r="F41" s="275">
        <v>7287535.4107442275</v>
      </c>
      <c r="G41" s="275">
        <v>0.52143828960303207</v>
      </c>
      <c r="H41" s="491">
        <v>4471346</v>
      </c>
      <c r="I41" s="491">
        <v>8575000</v>
      </c>
      <c r="J41" s="494">
        <v>0.5214397667638484</v>
      </c>
      <c r="K41" s="418">
        <v>7883689</v>
      </c>
      <c r="L41" s="418">
        <v>8645000</v>
      </c>
      <c r="M41" s="494">
        <v>0.91193626373626369</v>
      </c>
      <c r="N41" s="418">
        <v>7883689</v>
      </c>
      <c r="O41" s="418">
        <v>8935000</v>
      </c>
      <c r="P41" s="494">
        <v>0.88233788472299945</v>
      </c>
      <c r="Q41"/>
      <c r="S41" s="549">
        <f t="shared" si="15"/>
        <v>0</v>
      </c>
      <c r="T41" s="465" t="str">
        <f t="shared" si="16"/>
        <v>LIDER DE ZONA</v>
      </c>
      <c r="U41" s="466" t="str">
        <f t="shared" si="17"/>
        <v>Muy Importante</v>
      </c>
      <c r="V41" s="110"/>
      <c r="W41" s="467">
        <f t="shared" si="18"/>
        <v>3800000</v>
      </c>
      <c r="X41" s="467">
        <f t="shared" si="19"/>
        <v>7287535.4107442275</v>
      </c>
      <c r="Y41" s="468">
        <f t="shared" si="20"/>
        <v>0.52143828960303207</v>
      </c>
      <c r="Z41" s="110"/>
      <c r="AA41" s="467">
        <f t="shared" si="21"/>
        <v>4471346</v>
      </c>
      <c r="AB41" s="467">
        <f t="shared" si="22"/>
        <v>8575000</v>
      </c>
      <c r="AC41" s="468">
        <f t="shared" si="23"/>
        <v>0.5214397667638484</v>
      </c>
      <c r="AD41" s="110"/>
      <c r="AE41" s="467">
        <f t="shared" si="24"/>
        <v>7883689</v>
      </c>
      <c r="AF41" s="467">
        <f t="shared" si="25"/>
        <v>8645000</v>
      </c>
      <c r="AG41" s="468">
        <f t="shared" si="26"/>
        <v>0.91193626373626369</v>
      </c>
      <c r="AH41" s="110"/>
      <c r="AI41" s="467">
        <f t="shared" si="27"/>
        <v>7883689</v>
      </c>
      <c r="AJ41" s="467">
        <f t="shared" si="28"/>
        <v>8935000</v>
      </c>
      <c r="AK41" s="468">
        <f t="shared" si="29"/>
        <v>0.88233788472299945</v>
      </c>
    </row>
    <row r="42" spans="2:37" ht="14.4">
      <c r="B42" s="541"/>
      <c r="C42" s="496" t="s">
        <v>302</v>
      </c>
      <c r="D42" s="29" t="s">
        <v>290</v>
      </c>
      <c r="E42" s="491">
        <v>4734000</v>
      </c>
      <c r="F42" s="275">
        <v>7287535.4107442275</v>
      </c>
      <c r="G42" s="275">
        <v>0.64960233236335629</v>
      </c>
      <c r="H42" s="491">
        <v>5570355.7800000003</v>
      </c>
      <c r="I42" s="491">
        <v>8575000</v>
      </c>
      <c r="J42" s="494">
        <v>0.64960417259475223</v>
      </c>
      <c r="K42" s="418">
        <v>5570355.7800000003</v>
      </c>
      <c r="L42" s="418">
        <v>8645000</v>
      </c>
      <c r="M42" s="494">
        <v>0.64434421978021983</v>
      </c>
      <c r="N42" s="418">
        <v>5570355.7800000003</v>
      </c>
      <c r="O42" s="418">
        <v>8935000</v>
      </c>
      <c r="P42" s="494">
        <v>0.62343097705651929</v>
      </c>
      <c r="Q42"/>
      <c r="S42" s="545">
        <f t="shared" si="15"/>
        <v>0</v>
      </c>
      <c r="T42" s="460" t="str">
        <f t="shared" si="16"/>
        <v>ADMINISTRADOR FEDEXTRU</v>
      </c>
      <c r="U42" s="461" t="str">
        <f t="shared" si="17"/>
        <v>Relevante</v>
      </c>
      <c r="V42" s="110"/>
      <c r="W42" s="462">
        <f t="shared" si="18"/>
        <v>4734000</v>
      </c>
      <c r="X42" s="462">
        <f t="shared" si="19"/>
        <v>7287535.4107442275</v>
      </c>
      <c r="Y42" s="463">
        <f t="shared" si="20"/>
        <v>0.64960233236335629</v>
      </c>
      <c r="Z42" s="110"/>
      <c r="AA42" s="462">
        <f t="shared" si="21"/>
        <v>5570355.7800000003</v>
      </c>
      <c r="AB42" s="462">
        <f t="shared" si="22"/>
        <v>8575000</v>
      </c>
      <c r="AC42" s="463">
        <f t="shared" si="23"/>
        <v>0.64960417259475223</v>
      </c>
      <c r="AD42" s="110"/>
      <c r="AE42" s="462">
        <f t="shared" si="24"/>
        <v>5570355.7800000003</v>
      </c>
      <c r="AF42" s="462">
        <f t="shared" si="25"/>
        <v>8645000</v>
      </c>
      <c r="AG42" s="463">
        <f t="shared" si="26"/>
        <v>0.64434421978021983</v>
      </c>
      <c r="AH42" s="110"/>
      <c r="AI42" s="462">
        <f t="shared" si="27"/>
        <v>5570355.7800000003</v>
      </c>
      <c r="AJ42" s="462">
        <f t="shared" si="28"/>
        <v>8935000</v>
      </c>
      <c r="AK42" s="463">
        <f t="shared" si="29"/>
        <v>0.62343097705651929</v>
      </c>
    </row>
    <row r="43" spans="2:37" ht="14.4">
      <c r="B43" s="541"/>
      <c r="C43" s="496" t="s">
        <v>303</v>
      </c>
      <c r="D43" s="29" t="s">
        <v>290</v>
      </c>
      <c r="E43" s="491">
        <v>9562000</v>
      </c>
      <c r="F43" s="275">
        <v>7287535.4107442275</v>
      </c>
      <c r="G43" s="275">
        <v>1.3121034013642614</v>
      </c>
      <c r="H43" s="491">
        <v>11251318.540000001</v>
      </c>
      <c r="I43" s="491">
        <v>8575000</v>
      </c>
      <c r="J43" s="494">
        <v>1.3121071183673469</v>
      </c>
      <c r="K43" s="418">
        <v>11251318.540000001</v>
      </c>
      <c r="L43" s="418">
        <v>8645000</v>
      </c>
      <c r="M43" s="494">
        <v>1.3014827692307693</v>
      </c>
      <c r="N43" s="418">
        <v>11251318.540000001</v>
      </c>
      <c r="O43" s="418">
        <v>8935000</v>
      </c>
      <c r="P43" s="494">
        <v>1.2592410229434807</v>
      </c>
      <c r="Q43"/>
      <c r="S43" s="547">
        <f t="shared" si="15"/>
        <v>0</v>
      </c>
      <c r="T43" s="456" t="str">
        <f t="shared" si="16"/>
        <v>DIRECTOR COSTOS</v>
      </c>
      <c r="U43" s="457" t="str">
        <f t="shared" si="17"/>
        <v>Relevante</v>
      </c>
      <c r="V43" s="110"/>
      <c r="W43" s="458">
        <f t="shared" si="18"/>
        <v>9562000</v>
      </c>
      <c r="X43" s="458">
        <f t="shared" si="19"/>
        <v>7287535.4107442275</v>
      </c>
      <c r="Y43" s="459">
        <f t="shared" si="20"/>
        <v>1.3121034013642614</v>
      </c>
      <c r="Z43" s="110"/>
      <c r="AA43" s="458">
        <f t="shared" si="21"/>
        <v>11251318.540000001</v>
      </c>
      <c r="AB43" s="458">
        <f t="shared" si="22"/>
        <v>8575000</v>
      </c>
      <c r="AC43" s="459">
        <f t="shared" si="23"/>
        <v>1.3121071183673469</v>
      </c>
      <c r="AD43" s="110"/>
      <c r="AE43" s="458">
        <f t="shared" si="24"/>
        <v>11251318.540000001</v>
      </c>
      <c r="AF43" s="458">
        <f t="shared" si="25"/>
        <v>8645000</v>
      </c>
      <c r="AG43" s="459">
        <f t="shared" si="26"/>
        <v>1.3014827692307693</v>
      </c>
      <c r="AH43" s="110"/>
      <c r="AI43" s="458">
        <f t="shared" si="27"/>
        <v>11251318.540000001</v>
      </c>
      <c r="AJ43" s="458">
        <f t="shared" si="28"/>
        <v>8935000</v>
      </c>
      <c r="AK43" s="459">
        <f t="shared" si="29"/>
        <v>1.2592410229434807</v>
      </c>
    </row>
    <row r="44" spans="2:37" ht="14.4">
      <c r="B44" s="541"/>
      <c r="C44" s="496" t="s">
        <v>304</v>
      </c>
      <c r="D44" s="29" t="s">
        <v>290</v>
      </c>
      <c r="E44" s="491">
        <v>4610000</v>
      </c>
      <c r="F44" s="275">
        <v>7287535.4107442275</v>
      </c>
      <c r="G44" s="275">
        <v>0.63258697764999416</v>
      </c>
      <c r="H44" s="491">
        <v>5424448.7000000002</v>
      </c>
      <c r="I44" s="491">
        <v>8575000</v>
      </c>
      <c r="J44" s="494">
        <v>0.63258876967930033</v>
      </c>
      <c r="K44" s="418">
        <v>5424448.7000000002</v>
      </c>
      <c r="L44" s="418">
        <v>8645000</v>
      </c>
      <c r="M44" s="494">
        <v>0.62746659340659339</v>
      </c>
      <c r="N44" s="418">
        <v>5424448.7000000002</v>
      </c>
      <c r="O44" s="418">
        <v>8935000</v>
      </c>
      <c r="P44" s="494">
        <v>0.60710114157806383</v>
      </c>
      <c r="Q44"/>
      <c r="S44" s="547">
        <f t="shared" si="15"/>
        <v>0</v>
      </c>
      <c r="T44" s="460" t="str">
        <f t="shared" si="16"/>
        <v>COORDINADORA DE GESTION HUMANA</v>
      </c>
      <c r="U44" s="461" t="str">
        <f t="shared" si="17"/>
        <v>Relevante</v>
      </c>
      <c r="V44" s="110"/>
      <c r="W44" s="462">
        <f t="shared" si="18"/>
        <v>4610000</v>
      </c>
      <c r="X44" s="462">
        <f t="shared" si="19"/>
        <v>7287535.4107442275</v>
      </c>
      <c r="Y44" s="463">
        <f t="shared" si="20"/>
        <v>0.63258697764999416</v>
      </c>
      <c r="Z44" s="110"/>
      <c r="AA44" s="462">
        <f t="shared" si="21"/>
        <v>5424448.7000000002</v>
      </c>
      <c r="AB44" s="462">
        <f t="shared" si="22"/>
        <v>8575000</v>
      </c>
      <c r="AC44" s="463">
        <f t="shared" si="23"/>
        <v>0.63258876967930033</v>
      </c>
      <c r="AD44" s="110"/>
      <c r="AE44" s="462">
        <f t="shared" si="24"/>
        <v>5424448.7000000002</v>
      </c>
      <c r="AF44" s="462">
        <f t="shared" si="25"/>
        <v>8645000</v>
      </c>
      <c r="AG44" s="463">
        <f t="shared" si="26"/>
        <v>0.62746659340659339</v>
      </c>
      <c r="AH44" s="110"/>
      <c r="AI44" s="462">
        <f t="shared" si="27"/>
        <v>5424448.7000000002</v>
      </c>
      <c r="AJ44" s="462">
        <f t="shared" si="28"/>
        <v>8935000</v>
      </c>
      <c r="AK44" s="463">
        <f t="shared" si="29"/>
        <v>0.60710114157806383</v>
      </c>
    </row>
    <row r="45" spans="2:37" ht="14.4">
      <c r="B45" s="541"/>
      <c r="C45" s="496" t="s">
        <v>305</v>
      </c>
      <c r="D45" s="29" t="s">
        <v>273</v>
      </c>
      <c r="E45" s="491">
        <v>4033000</v>
      </c>
      <c r="F45" s="275">
        <v>7287535.4107442275</v>
      </c>
      <c r="G45" s="275">
        <v>0.55341068999184961</v>
      </c>
      <c r="H45" s="491">
        <v>4745510.1100000003</v>
      </c>
      <c r="I45" s="491">
        <v>8575000</v>
      </c>
      <c r="J45" s="494">
        <v>0.5534122577259476</v>
      </c>
      <c r="K45" s="418">
        <v>4745510.1100000003</v>
      </c>
      <c r="L45" s="418">
        <v>8645000</v>
      </c>
      <c r="M45" s="494">
        <v>0.54893118681318687</v>
      </c>
      <c r="N45" s="418">
        <v>4745510.1100000003</v>
      </c>
      <c r="O45" s="418">
        <v>8935000</v>
      </c>
      <c r="P45" s="494">
        <v>0.53111472971460549</v>
      </c>
      <c r="Q45"/>
      <c r="S45" s="547">
        <f t="shared" si="15"/>
        <v>0</v>
      </c>
      <c r="T45" s="456" t="str">
        <f t="shared" si="16"/>
        <v>COORDINADOR DE DISEÑO Y DESARROLLO</v>
      </c>
      <c r="U45" s="457" t="str">
        <f t="shared" si="17"/>
        <v>Crítico</v>
      </c>
      <c r="V45" s="110"/>
      <c r="W45" s="458">
        <f t="shared" si="18"/>
        <v>4033000</v>
      </c>
      <c r="X45" s="458">
        <f t="shared" si="19"/>
        <v>7287535.4107442275</v>
      </c>
      <c r="Y45" s="459">
        <f t="shared" si="20"/>
        <v>0.55341068999184961</v>
      </c>
      <c r="Z45" s="110"/>
      <c r="AA45" s="458">
        <f t="shared" si="21"/>
        <v>4745510.1100000003</v>
      </c>
      <c r="AB45" s="458">
        <f t="shared" si="22"/>
        <v>8575000</v>
      </c>
      <c r="AC45" s="459">
        <f t="shared" si="23"/>
        <v>0.5534122577259476</v>
      </c>
      <c r="AD45" s="110"/>
      <c r="AE45" s="458">
        <f t="shared" si="24"/>
        <v>4745510.1100000003</v>
      </c>
      <c r="AF45" s="458">
        <f t="shared" si="25"/>
        <v>8645000</v>
      </c>
      <c r="AG45" s="459">
        <f t="shared" si="26"/>
        <v>0.54893118681318687</v>
      </c>
      <c r="AH45" s="110"/>
      <c r="AI45" s="458">
        <f t="shared" si="27"/>
        <v>4745510.1100000003</v>
      </c>
      <c r="AJ45" s="458">
        <f t="shared" si="28"/>
        <v>8935000</v>
      </c>
      <c r="AK45" s="459">
        <f t="shared" si="29"/>
        <v>0.53111472971460549</v>
      </c>
    </row>
    <row r="46" spans="2:37" ht="14.4">
      <c r="B46" s="541"/>
      <c r="C46" s="496" t="s">
        <v>306</v>
      </c>
      <c r="D46" s="29" t="s">
        <v>295</v>
      </c>
      <c r="E46" s="491">
        <v>5119000</v>
      </c>
      <c r="F46" s="275">
        <v>7287535.4107442275</v>
      </c>
      <c r="G46" s="275">
        <v>0.70243226433629513</v>
      </c>
      <c r="H46" s="491">
        <v>6023373.7300000004</v>
      </c>
      <c r="I46" s="491">
        <v>8575000</v>
      </c>
      <c r="J46" s="494">
        <v>0.70243425422740535</v>
      </c>
      <c r="K46" s="418">
        <v>6023373.7300000004</v>
      </c>
      <c r="L46" s="418">
        <v>8645000</v>
      </c>
      <c r="M46" s="494">
        <v>0.69674652747252752</v>
      </c>
      <c r="N46" s="418">
        <v>6023373.7300000004</v>
      </c>
      <c r="O46" s="418">
        <v>8935000</v>
      </c>
      <c r="P46" s="494">
        <v>0.67413248237269174</v>
      </c>
      <c r="Q46"/>
      <c r="S46" s="547">
        <f t="shared" si="15"/>
        <v>0</v>
      </c>
      <c r="T46" s="460" t="str">
        <f t="shared" si="16"/>
        <v>COORDINADORA DE COMERCIO EXTERIOR</v>
      </c>
      <c r="U46" s="461" t="str">
        <f t="shared" si="17"/>
        <v>Importante</v>
      </c>
      <c r="V46" s="110"/>
      <c r="W46" s="462">
        <f t="shared" si="18"/>
        <v>5119000</v>
      </c>
      <c r="X46" s="462">
        <f t="shared" si="19"/>
        <v>7287535.4107442275</v>
      </c>
      <c r="Y46" s="463">
        <f t="shared" si="20"/>
        <v>0.70243226433629513</v>
      </c>
      <c r="Z46" s="110"/>
      <c r="AA46" s="462">
        <f t="shared" si="21"/>
        <v>6023373.7300000004</v>
      </c>
      <c r="AB46" s="462">
        <f t="shared" si="22"/>
        <v>8575000</v>
      </c>
      <c r="AC46" s="463">
        <f t="shared" si="23"/>
        <v>0.70243425422740535</v>
      </c>
      <c r="AD46" s="110"/>
      <c r="AE46" s="462">
        <f t="shared" si="24"/>
        <v>6023373.7300000004</v>
      </c>
      <c r="AF46" s="462">
        <f t="shared" si="25"/>
        <v>8645000</v>
      </c>
      <c r="AG46" s="463">
        <f t="shared" si="26"/>
        <v>0.69674652747252752</v>
      </c>
      <c r="AH46" s="110"/>
      <c r="AI46" s="462">
        <f t="shared" si="27"/>
        <v>6023373.7300000004</v>
      </c>
      <c r="AJ46" s="462">
        <f t="shared" si="28"/>
        <v>8935000</v>
      </c>
      <c r="AK46" s="463">
        <f t="shared" si="29"/>
        <v>0.67413248237269174</v>
      </c>
    </row>
    <row r="47" spans="2:37" ht="14.4">
      <c r="B47" s="541"/>
      <c r="C47" s="496" t="s">
        <v>307</v>
      </c>
      <c r="D47" s="29" t="s">
        <v>273</v>
      </c>
      <c r="E47" s="491">
        <v>5260000</v>
      </c>
      <c r="F47" s="275">
        <v>7287535.4107442275</v>
      </c>
      <c r="G47" s="275">
        <v>0.72178036929261813</v>
      </c>
      <c r="H47" s="491">
        <v>6189284.2000000002</v>
      </c>
      <c r="I47" s="491">
        <v>8575000</v>
      </c>
      <c r="J47" s="494">
        <v>0.72178241399416909</v>
      </c>
      <c r="K47" s="418">
        <v>10307629.200000001</v>
      </c>
      <c r="L47" s="418">
        <v>8645000</v>
      </c>
      <c r="M47" s="494">
        <v>1.1923226373626374</v>
      </c>
      <c r="N47" s="418">
        <v>10307629.200000001</v>
      </c>
      <c r="O47" s="418">
        <v>8935000</v>
      </c>
      <c r="P47" s="494">
        <v>1.1536238612199219</v>
      </c>
      <c r="Q47"/>
      <c r="S47" s="547">
        <f t="shared" si="15"/>
        <v>0</v>
      </c>
      <c r="T47" s="456" t="str">
        <f t="shared" si="16"/>
        <v>LIDER DE VENTAS EEUU</v>
      </c>
      <c r="U47" s="457" t="str">
        <f t="shared" si="17"/>
        <v>Crítico</v>
      </c>
      <c r="V47" s="110"/>
      <c r="W47" s="458">
        <f t="shared" si="18"/>
        <v>5260000</v>
      </c>
      <c r="X47" s="458">
        <f t="shared" si="19"/>
        <v>7287535.4107442275</v>
      </c>
      <c r="Y47" s="459">
        <f t="shared" si="20"/>
        <v>0.72178036929261813</v>
      </c>
      <c r="Z47" s="110"/>
      <c r="AA47" s="458">
        <f t="shared" si="21"/>
        <v>6189284.2000000002</v>
      </c>
      <c r="AB47" s="458">
        <f t="shared" si="22"/>
        <v>8575000</v>
      </c>
      <c r="AC47" s="459">
        <f t="shared" si="23"/>
        <v>0.72178241399416909</v>
      </c>
      <c r="AD47" s="110"/>
      <c r="AE47" s="458">
        <f t="shared" si="24"/>
        <v>10307629.200000001</v>
      </c>
      <c r="AF47" s="458">
        <f t="shared" si="25"/>
        <v>8645000</v>
      </c>
      <c r="AG47" s="459">
        <f t="shared" si="26"/>
        <v>1.1923226373626374</v>
      </c>
      <c r="AH47" s="110"/>
      <c r="AI47" s="458">
        <f t="shared" si="27"/>
        <v>10307629.200000001</v>
      </c>
      <c r="AJ47" s="458">
        <f t="shared" si="28"/>
        <v>8935000</v>
      </c>
      <c r="AK47" s="459">
        <f t="shared" si="29"/>
        <v>1.1536238612199219</v>
      </c>
    </row>
    <row r="48" spans="2:37" ht="14.4">
      <c r="B48" s="541"/>
      <c r="C48" s="496" t="s">
        <v>308</v>
      </c>
      <c r="D48" s="29" t="s">
        <v>273</v>
      </c>
      <c r="E48" s="491">
        <v>5400000</v>
      </c>
      <c r="F48" s="275">
        <v>7287535.4107442275</v>
      </c>
      <c r="G48" s="275">
        <v>0.74099125364641405</v>
      </c>
      <c r="H48" s="491">
        <v>6354018.0000000009</v>
      </c>
      <c r="I48" s="491">
        <v>8575000</v>
      </c>
      <c r="J48" s="494">
        <v>0.74099335276967937</v>
      </c>
      <c r="K48" s="418">
        <v>6354018.0000000009</v>
      </c>
      <c r="L48" s="418">
        <v>8645000</v>
      </c>
      <c r="M48" s="494">
        <v>0.73499340659340673</v>
      </c>
      <c r="N48" s="418">
        <v>6354018.0000000009</v>
      </c>
      <c r="O48" s="418">
        <v>8935000</v>
      </c>
      <c r="P48" s="494">
        <v>0.71113799664241761</v>
      </c>
      <c r="Q48"/>
      <c r="S48" s="547">
        <f t="shared" si="15"/>
        <v>0</v>
      </c>
      <c r="T48" s="460" t="str">
        <f t="shared" si="16"/>
        <v>JEFE DE TERCERIZADOS</v>
      </c>
      <c r="U48" s="461" t="str">
        <f t="shared" si="17"/>
        <v>Crítico</v>
      </c>
      <c r="V48" s="110"/>
      <c r="W48" s="462">
        <f t="shared" si="18"/>
        <v>5400000</v>
      </c>
      <c r="X48" s="462">
        <f t="shared" si="19"/>
        <v>7287535.4107442275</v>
      </c>
      <c r="Y48" s="463">
        <f t="shared" si="20"/>
        <v>0.74099125364641405</v>
      </c>
      <c r="Z48" s="110"/>
      <c r="AA48" s="462">
        <f t="shared" si="21"/>
        <v>6354018.0000000009</v>
      </c>
      <c r="AB48" s="462">
        <f t="shared" si="22"/>
        <v>8575000</v>
      </c>
      <c r="AC48" s="463">
        <f t="shared" si="23"/>
        <v>0.74099335276967937</v>
      </c>
      <c r="AD48" s="110"/>
      <c r="AE48" s="462">
        <f t="shared" si="24"/>
        <v>6354018.0000000009</v>
      </c>
      <c r="AF48" s="462">
        <f t="shared" si="25"/>
        <v>8645000</v>
      </c>
      <c r="AG48" s="463">
        <f t="shared" si="26"/>
        <v>0.73499340659340673</v>
      </c>
      <c r="AH48" s="110"/>
      <c r="AI48" s="462">
        <f t="shared" si="27"/>
        <v>6354018.0000000009</v>
      </c>
      <c r="AJ48" s="462">
        <f t="shared" si="28"/>
        <v>8935000</v>
      </c>
      <c r="AK48" s="463">
        <f t="shared" si="29"/>
        <v>0.71113799664241761</v>
      </c>
    </row>
    <row r="49" spans="2:37" ht="14.4">
      <c r="B49" s="541"/>
      <c r="C49" s="496" t="s">
        <v>309</v>
      </c>
      <c r="D49" s="29" t="s">
        <v>290</v>
      </c>
      <c r="E49" s="491">
        <v>4807000</v>
      </c>
      <c r="F49" s="275">
        <v>7287535.4107442275</v>
      </c>
      <c r="G49" s="275">
        <v>0.6596194363478356</v>
      </c>
      <c r="H49" s="491">
        <v>5656252.6900000004</v>
      </c>
      <c r="I49" s="491">
        <v>8575000</v>
      </c>
      <c r="J49" s="494">
        <v>0.65962130495626825</v>
      </c>
      <c r="K49" s="418">
        <v>5656252.6900000004</v>
      </c>
      <c r="L49" s="418">
        <v>8645000</v>
      </c>
      <c r="M49" s="494">
        <v>0.65428024175824184</v>
      </c>
      <c r="N49" s="418">
        <v>5656252.6900000004</v>
      </c>
      <c r="O49" s="418">
        <v>8935000</v>
      </c>
      <c r="P49" s="494">
        <v>0.63304450923335198</v>
      </c>
      <c r="Q49"/>
      <c r="S49" s="547">
        <f t="shared" si="15"/>
        <v>0</v>
      </c>
      <c r="T49" s="456" t="str">
        <f t="shared" si="16"/>
        <v>COORDINADORA DE CONTABILIDAD</v>
      </c>
      <c r="U49" s="457" t="str">
        <f t="shared" si="17"/>
        <v>Relevante</v>
      </c>
      <c r="V49" s="110"/>
      <c r="W49" s="458">
        <f t="shared" si="18"/>
        <v>4807000</v>
      </c>
      <c r="X49" s="458">
        <f t="shared" si="19"/>
        <v>7287535.4107442275</v>
      </c>
      <c r="Y49" s="459">
        <f t="shared" si="20"/>
        <v>0.6596194363478356</v>
      </c>
      <c r="Z49" s="110"/>
      <c r="AA49" s="458">
        <f t="shared" si="21"/>
        <v>5656252.6900000004</v>
      </c>
      <c r="AB49" s="458">
        <f t="shared" si="22"/>
        <v>8575000</v>
      </c>
      <c r="AC49" s="459">
        <f t="shared" si="23"/>
        <v>0.65962130495626825</v>
      </c>
      <c r="AD49" s="110"/>
      <c r="AE49" s="458">
        <f t="shared" si="24"/>
        <v>5656252.6900000004</v>
      </c>
      <c r="AF49" s="458">
        <f t="shared" si="25"/>
        <v>8645000</v>
      </c>
      <c r="AG49" s="459">
        <f t="shared" si="26"/>
        <v>0.65428024175824184</v>
      </c>
      <c r="AH49" s="110"/>
      <c r="AI49" s="458">
        <f t="shared" si="27"/>
        <v>5656252.6900000004</v>
      </c>
      <c r="AJ49" s="458">
        <f t="shared" si="28"/>
        <v>8935000</v>
      </c>
      <c r="AK49" s="459">
        <f t="shared" si="29"/>
        <v>0.63304450923335198</v>
      </c>
    </row>
    <row r="50" spans="2:37" ht="14.4">
      <c r="B50" s="547">
        <v>11</v>
      </c>
      <c r="C50" s="497" t="s">
        <v>310</v>
      </c>
      <c r="D50" s="498" t="s">
        <v>295</v>
      </c>
      <c r="E50" s="492">
        <v>5576000</v>
      </c>
      <c r="F50" s="489">
        <v>6066288.9518241743</v>
      </c>
      <c r="G50" s="489">
        <v>0.91917810778256104</v>
      </c>
      <c r="H50" s="492">
        <v>6561111.9200000009</v>
      </c>
      <c r="I50" s="492">
        <v>7138000</v>
      </c>
      <c r="J50" s="495">
        <v>0.91918071168394522</v>
      </c>
      <c r="K50" s="490">
        <v>6561111.9200000009</v>
      </c>
      <c r="L50" s="490">
        <v>7195000</v>
      </c>
      <c r="M50" s="495">
        <v>0.91189880750521202</v>
      </c>
      <c r="N50" s="490">
        <v>6561111.9200000009</v>
      </c>
      <c r="O50" s="490">
        <v>7463000</v>
      </c>
      <c r="P50" s="495">
        <v>0.87915207289293862</v>
      </c>
      <c r="Q50"/>
      <c r="S50" s="547">
        <f t="shared" si="15"/>
        <v>11</v>
      </c>
      <c r="T50" s="460" t="str">
        <f t="shared" si="16"/>
        <v>COORDINADOR DE MANTENIMIENTO</v>
      </c>
      <c r="U50" s="461" t="str">
        <f t="shared" si="17"/>
        <v>Importante</v>
      </c>
      <c r="V50" s="110"/>
      <c r="W50" s="462">
        <f t="shared" si="18"/>
        <v>5576000</v>
      </c>
      <c r="X50" s="462">
        <f t="shared" si="19"/>
        <v>6066288.9518241743</v>
      </c>
      <c r="Y50" s="463">
        <f t="shared" si="20"/>
        <v>0.91917810778256104</v>
      </c>
      <c r="Z50" s="110"/>
      <c r="AA50" s="462">
        <f t="shared" si="21"/>
        <v>6561111.9200000009</v>
      </c>
      <c r="AB50" s="462">
        <f t="shared" si="22"/>
        <v>7138000</v>
      </c>
      <c r="AC50" s="463">
        <f t="shared" si="23"/>
        <v>0.91918071168394522</v>
      </c>
      <c r="AD50" s="110"/>
      <c r="AE50" s="462">
        <f t="shared" si="24"/>
        <v>6561111.9200000009</v>
      </c>
      <c r="AF50" s="462">
        <f t="shared" si="25"/>
        <v>7195000</v>
      </c>
      <c r="AG50" s="463">
        <f t="shared" si="26"/>
        <v>0.91189880750521202</v>
      </c>
      <c r="AH50" s="110"/>
      <c r="AI50" s="462">
        <f t="shared" si="27"/>
        <v>6561111.9200000009</v>
      </c>
      <c r="AJ50" s="462">
        <f t="shared" si="28"/>
        <v>7463000</v>
      </c>
      <c r="AK50" s="463">
        <f t="shared" si="29"/>
        <v>0.87915207289293862</v>
      </c>
    </row>
    <row r="51" spans="2:37" ht="14.4">
      <c r="B51" s="550"/>
      <c r="C51" s="497" t="s">
        <v>311</v>
      </c>
      <c r="D51" s="498" t="s">
        <v>295</v>
      </c>
      <c r="E51" s="492">
        <v>4033000</v>
      </c>
      <c r="F51" s="489">
        <v>6066288.9518241743</v>
      </c>
      <c r="G51" s="489">
        <v>0.66482161203139689</v>
      </c>
      <c r="H51" s="492">
        <v>4745510.1100000003</v>
      </c>
      <c r="I51" s="492">
        <v>7138000</v>
      </c>
      <c r="J51" s="495">
        <v>0.66482349537685625</v>
      </c>
      <c r="K51" s="490">
        <v>4745510.1100000003</v>
      </c>
      <c r="L51" s="490">
        <v>7195000</v>
      </c>
      <c r="M51" s="495">
        <v>0.65955665184155665</v>
      </c>
      <c r="N51" s="490">
        <v>4745510.1100000003</v>
      </c>
      <c r="O51" s="490">
        <v>7463000</v>
      </c>
      <c r="P51" s="495">
        <v>0.63587164813077857</v>
      </c>
      <c r="Q51"/>
      <c r="S51" s="547">
        <f t="shared" si="15"/>
        <v>0</v>
      </c>
      <c r="T51" s="456" t="str">
        <f t="shared" si="16"/>
        <v>COORDINADOR DE PRODUCCION</v>
      </c>
      <c r="U51" s="457" t="str">
        <f t="shared" si="17"/>
        <v>Importante</v>
      </c>
      <c r="V51" s="110"/>
      <c r="W51" s="458">
        <f t="shared" si="18"/>
        <v>4033000</v>
      </c>
      <c r="X51" s="458">
        <f t="shared" si="19"/>
        <v>6066288.9518241743</v>
      </c>
      <c r="Y51" s="459">
        <f t="shared" si="20"/>
        <v>0.66482161203139689</v>
      </c>
      <c r="Z51" s="110"/>
      <c r="AA51" s="458">
        <f t="shared" si="21"/>
        <v>4745510.1100000003</v>
      </c>
      <c r="AB51" s="458">
        <f t="shared" si="22"/>
        <v>7138000</v>
      </c>
      <c r="AC51" s="459">
        <f t="shared" si="23"/>
        <v>0.66482349537685625</v>
      </c>
      <c r="AD51" s="110"/>
      <c r="AE51" s="458">
        <f t="shared" si="24"/>
        <v>4745510.1100000003</v>
      </c>
      <c r="AF51" s="458">
        <f t="shared" si="25"/>
        <v>7195000</v>
      </c>
      <c r="AG51" s="459">
        <f t="shared" si="26"/>
        <v>0.65955665184155665</v>
      </c>
      <c r="AH51" s="110"/>
      <c r="AI51" s="458">
        <f t="shared" si="27"/>
        <v>4745510.1100000003</v>
      </c>
      <c r="AJ51" s="458">
        <f t="shared" si="28"/>
        <v>7463000</v>
      </c>
      <c r="AK51" s="459">
        <f t="shared" si="29"/>
        <v>0.63587164813077857</v>
      </c>
    </row>
    <row r="52" spans="2:37" ht="14.4">
      <c r="B52" s="550"/>
      <c r="C52" s="497" t="s">
        <v>312</v>
      </c>
      <c r="D52" s="498" t="s">
        <v>290</v>
      </c>
      <c r="E52" s="492">
        <v>2735000</v>
      </c>
      <c r="F52" s="489">
        <v>6066288.9518241743</v>
      </c>
      <c r="G52" s="489">
        <v>0.45085224619535591</v>
      </c>
      <c r="H52" s="492">
        <v>3218192.45</v>
      </c>
      <c r="I52" s="492">
        <v>7138000</v>
      </c>
      <c r="J52" s="495">
        <v>0.45085352339590923</v>
      </c>
      <c r="K52" s="490">
        <v>3218192.45</v>
      </c>
      <c r="L52" s="490">
        <v>7195000</v>
      </c>
      <c r="M52" s="495">
        <v>0.44728178596247398</v>
      </c>
      <c r="N52" s="490">
        <v>3218192.45</v>
      </c>
      <c r="O52" s="490">
        <v>7463000</v>
      </c>
      <c r="P52" s="495">
        <v>0.43121967707356296</v>
      </c>
      <c r="Q52"/>
      <c r="S52" s="547">
        <f t="shared" si="15"/>
        <v>0</v>
      </c>
      <c r="T52" s="460" t="str">
        <f t="shared" si="16"/>
        <v>LIDER DE COSTOS</v>
      </c>
      <c r="U52" s="461" t="str">
        <f t="shared" si="17"/>
        <v>Relevante</v>
      </c>
      <c r="V52" s="110"/>
      <c r="W52" s="462">
        <f t="shared" si="18"/>
        <v>2735000</v>
      </c>
      <c r="X52" s="462">
        <f t="shared" si="19"/>
        <v>6066288.9518241743</v>
      </c>
      <c r="Y52" s="463">
        <f t="shared" si="20"/>
        <v>0.45085224619535591</v>
      </c>
      <c r="Z52" s="110"/>
      <c r="AA52" s="462">
        <f t="shared" si="21"/>
        <v>3218192.45</v>
      </c>
      <c r="AB52" s="462">
        <f t="shared" si="22"/>
        <v>7138000</v>
      </c>
      <c r="AC52" s="463">
        <f t="shared" si="23"/>
        <v>0.45085352339590923</v>
      </c>
      <c r="AD52" s="110"/>
      <c r="AE52" s="462">
        <f t="shared" si="24"/>
        <v>3218192.45</v>
      </c>
      <c r="AF52" s="462">
        <f t="shared" si="25"/>
        <v>7195000</v>
      </c>
      <c r="AG52" s="463">
        <f t="shared" si="26"/>
        <v>0.44728178596247398</v>
      </c>
      <c r="AH52" s="110"/>
      <c r="AI52" s="462">
        <f t="shared" si="27"/>
        <v>3218192.45</v>
      </c>
      <c r="AJ52" s="462">
        <f t="shared" si="28"/>
        <v>7463000</v>
      </c>
      <c r="AK52" s="463">
        <f t="shared" si="29"/>
        <v>0.43121967707356296</v>
      </c>
    </row>
    <row r="53" spans="2:37" ht="14.4">
      <c r="B53" s="550"/>
      <c r="C53" s="497" t="s">
        <v>313</v>
      </c>
      <c r="D53" s="498" t="s">
        <v>295</v>
      </c>
      <c r="E53" s="492">
        <v>3600000</v>
      </c>
      <c r="F53" s="489">
        <v>6066288.9518241743</v>
      </c>
      <c r="G53" s="489">
        <v>0.59344354160997481</v>
      </c>
      <c r="H53" s="492">
        <v>4236012</v>
      </c>
      <c r="I53" s="492">
        <v>7138000</v>
      </c>
      <c r="J53" s="495">
        <v>0.59344522275147105</v>
      </c>
      <c r="K53" s="490">
        <v>4236012</v>
      </c>
      <c r="L53" s="490">
        <v>7195000</v>
      </c>
      <c r="M53" s="495">
        <v>0.5887438498957609</v>
      </c>
      <c r="N53" s="490">
        <v>4236012</v>
      </c>
      <c r="O53" s="490">
        <v>7463000</v>
      </c>
      <c r="P53" s="495">
        <v>0.56760176872571355</v>
      </c>
      <c r="Q53"/>
      <c r="S53" s="546">
        <f t="shared" si="15"/>
        <v>0</v>
      </c>
      <c r="T53" s="456" t="str">
        <f t="shared" si="16"/>
        <v>COORDINADOR DE TERCERIZADOS</v>
      </c>
      <c r="U53" s="457" t="str">
        <f t="shared" si="17"/>
        <v>Importante</v>
      </c>
      <c r="V53" s="110"/>
      <c r="W53" s="458">
        <f t="shared" si="18"/>
        <v>3600000</v>
      </c>
      <c r="X53" s="458">
        <f t="shared" si="19"/>
        <v>6066288.9518241743</v>
      </c>
      <c r="Y53" s="459">
        <f t="shared" si="20"/>
        <v>0.59344354160997481</v>
      </c>
      <c r="Z53" s="110"/>
      <c r="AA53" s="458">
        <f t="shared" si="21"/>
        <v>4236012</v>
      </c>
      <c r="AB53" s="458">
        <f t="shared" si="22"/>
        <v>7138000</v>
      </c>
      <c r="AC53" s="459">
        <f t="shared" si="23"/>
        <v>0.59344522275147105</v>
      </c>
      <c r="AD53" s="110"/>
      <c r="AE53" s="458">
        <f t="shared" si="24"/>
        <v>4236012</v>
      </c>
      <c r="AF53" s="458">
        <f t="shared" si="25"/>
        <v>7195000</v>
      </c>
      <c r="AG53" s="459">
        <f t="shared" si="26"/>
        <v>0.5887438498957609</v>
      </c>
      <c r="AH53" s="110"/>
      <c r="AI53" s="458">
        <f t="shared" si="27"/>
        <v>4236012</v>
      </c>
      <c r="AJ53" s="458">
        <f t="shared" si="28"/>
        <v>7463000</v>
      </c>
      <c r="AK53" s="459">
        <f t="shared" si="29"/>
        <v>0.56760176872571355</v>
      </c>
    </row>
    <row r="54" spans="2:37" ht="14.4">
      <c r="B54" s="550"/>
      <c r="C54" s="497" t="s">
        <v>314</v>
      </c>
      <c r="D54" s="498" t="s">
        <v>295</v>
      </c>
      <c r="E54" s="492">
        <v>4311000</v>
      </c>
      <c r="F54" s="489">
        <v>6066288.9518241743</v>
      </c>
      <c r="G54" s="489">
        <v>0.7106486410779449</v>
      </c>
      <c r="H54" s="492">
        <v>5072624.37</v>
      </c>
      <c r="I54" s="492">
        <v>7138000</v>
      </c>
      <c r="J54" s="495">
        <v>0.71065065424488649</v>
      </c>
      <c r="K54" s="490">
        <v>5072624.37</v>
      </c>
      <c r="L54" s="490">
        <v>7195000</v>
      </c>
      <c r="M54" s="495">
        <v>0.70502076025017379</v>
      </c>
      <c r="N54" s="490">
        <v>5072624.37</v>
      </c>
      <c r="O54" s="490">
        <v>7463000</v>
      </c>
      <c r="P54" s="495">
        <v>0.67970311804904193</v>
      </c>
      <c r="Q54"/>
      <c r="S54" s="548">
        <f t="shared" si="15"/>
        <v>0</v>
      </c>
      <c r="T54" s="452" t="str">
        <f t="shared" si="16"/>
        <v>PROGRAMADOR DE PRODUCCION</v>
      </c>
      <c r="U54" s="453" t="str">
        <f t="shared" si="17"/>
        <v>Importante</v>
      </c>
      <c r="V54" s="110"/>
      <c r="W54" s="454">
        <f t="shared" si="18"/>
        <v>4311000</v>
      </c>
      <c r="X54" s="454">
        <f t="shared" si="19"/>
        <v>6066288.9518241743</v>
      </c>
      <c r="Y54" s="455">
        <f t="shared" si="20"/>
        <v>0.7106486410779449</v>
      </c>
      <c r="Z54" s="110"/>
      <c r="AA54" s="454">
        <f t="shared" si="21"/>
        <v>5072624.37</v>
      </c>
      <c r="AB54" s="454">
        <f t="shared" si="22"/>
        <v>7138000</v>
      </c>
      <c r="AC54" s="455">
        <f t="shared" si="23"/>
        <v>0.71065065424488649</v>
      </c>
      <c r="AD54" s="110"/>
      <c r="AE54" s="454">
        <f t="shared" si="24"/>
        <v>5072624.37</v>
      </c>
      <c r="AF54" s="454">
        <f t="shared" si="25"/>
        <v>7195000</v>
      </c>
      <c r="AG54" s="455">
        <f t="shared" si="26"/>
        <v>0.70502076025017379</v>
      </c>
      <c r="AH54" s="110"/>
      <c r="AI54" s="454">
        <f t="shared" si="27"/>
        <v>5072624.37</v>
      </c>
      <c r="AJ54" s="454">
        <f t="shared" si="28"/>
        <v>7463000</v>
      </c>
      <c r="AK54" s="455">
        <f t="shared" si="29"/>
        <v>0.67970311804904193</v>
      </c>
    </row>
    <row r="55" spans="2:37" ht="14.4">
      <c r="B55" s="550"/>
      <c r="C55" s="497" t="s">
        <v>315</v>
      </c>
      <c r="D55" s="498" t="s">
        <v>290</v>
      </c>
      <c r="E55" s="492">
        <v>6324000</v>
      </c>
      <c r="F55" s="489">
        <v>6066288.9518241743</v>
      </c>
      <c r="G55" s="489">
        <v>1.0424824880948558</v>
      </c>
      <c r="H55" s="492">
        <v>7441261.080000001</v>
      </c>
      <c r="I55" s="492">
        <v>7138000</v>
      </c>
      <c r="J55" s="495">
        <v>1.0424854413000841</v>
      </c>
      <c r="K55" s="490">
        <v>7441261.080000001</v>
      </c>
      <c r="L55" s="490">
        <v>7195000</v>
      </c>
      <c r="M55" s="495">
        <v>1.0342266963168869</v>
      </c>
      <c r="N55" s="490">
        <v>7441261.080000001</v>
      </c>
      <c r="O55" s="490">
        <v>7463000</v>
      </c>
      <c r="P55" s="495">
        <v>0.9970871070615035</v>
      </c>
      <c r="Q55"/>
      <c r="S55" s="549">
        <f t="shared" si="15"/>
        <v>0</v>
      </c>
      <c r="T55" s="465" t="str">
        <f t="shared" si="16"/>
        <v>INGENIERO DE MEJORA CONTINUA</v>
      </c>
      <c r="U55" s="466" t="str">
        <f t="shared" si="17"/>
        <v>Relevante</v>
      </c>
      <c r="V55" s="110"/>
      <c r="W55" s="467">
        <f t="shared" si="18"/>
        <v>6324000</v>
      </c>
      <c r="X55" s="467">
        <f t="shared" si="19"/>
        <v>6066288.9518241743</v>
      </c>
      <c r="Y55" s="468">
        <f t="shared" si="20"/>
        <v>1.0424824880948558</v>
      </c>
      <c r="Z55" s="110"/>
      <c r="AA55" s="467">
        <f t="shared" si="21"/>
        <v>7441261.080000001</v>
      </c>
      <c r="AB55" s="467">
        <f t="shared" si="22"/>
        <v>7138000</v>
      </c>
      <c r="AC55" s="468">
        <f t="shared" si="23"/>
        <v>1.0424854413000841</v>
      </c>
      <c r="AD55" s="110"/>
      <c r="AE55" s="467">
        <f t="shared" si="24"/>
        <v>7441261.080000001</v>
      </c>
      <c r="AF55" s="467">
        <f t="shared" si="25"/>
        <v>7195000</v>
      </c>
      <c r="AG55" s="468">
        <f t="shared" si="26"/>
        <v>1.0342266963168869</v>
      </c>
      <c r="AH55" s="110"/>
      <c r="AI55" s="467">
        <f t="shared" si="27"/>
        <v>7441261.080000001</v>
      </c>
      <c r="AJ55" s="467">
        <f t="shared" si="28"/>
        <v>7463000</v>
      </c>
      <c r="AK55" s="468">
        <f t="shared" si="29"/>
        <v>0.9970871070615035</v>
      </c>
    </row>
    <row r="56" spans="2:37" ht="14.4">
      <c r="B56" s="550"/>
      <c r="C56" s="497" t="s">
        <v>316</v>
      </c>
      <c r="D56" s="498" t="s">
        <v>295</v>
      </c>
      <c r="E56" s="492">
        <v>4610000</v>
      </c>
      <c r="F56" s="489">
        <v>6066288.9518241743</v>
      </c>
      <c r="G56" s="489">
        <v>0.75993742411721776</v>
      </c>
      <c r="H56" s="492">
        <v>5424448.7000000002</v>
      </c>
      <c r="I56" s="492">
        <v>7138000</v>
      </c>
      <c r="J56" s="495">
        <v>0.75993957691230041</v>
      </c>
      <c r="K56" s="490">
        <v>5424448.7000000002</v>
      </c>
      <c r="L56" s="490">
        <v>7195000</v>
      </c>
      <c r="M56" s="495">
        <v>0.75391920778318278</v>
      </c>
      <c r="N56" s="490">
        <v>5424448.7000000002</v>
      </c>
      <c r="O56" s="490">
        <v>7463000</v>
      </c>
      <c r="P56" s="495">
        <v>0.72684559828487205</v>
      </c>
      <c r="Q56"/>
      <c r="S56" s="545">
        <f t="shared" si="15"/>
        <v>0</v>
      </c>
      <c r="T56" s="460" t="str">
        <f t="shared" si="16"/>
        <v>COORDINADOR CEDI</v>
      </c>
      <c r="U56" s="461" t="str">
        <f t="shared" si="17"/>
        <v>Importante</v>
      </c>
      <c r="V56" s="110"/>
      <c r="W56" s="462">
        <f t="shared" si="18"/>
        <v>4610000</v>
      </c>
      <c r="X56" s="462">
        <f t="shared" si="19"/>
        <v>6066288.9518241743</v>
      </c>
      <c r="Y56" s="463">
        <f t="shared" si="20"/>
        <v>0.75993742411721776</v>
      </c>
      <c r="Z56" s="110"/>
      <c r="AA56" s="462">
        <f t="shared" si="21"/>
        <v>5424448.7000000002</v>
      </c>
      <c r="AB56" s="462">
        <f t="shared" si="22"/>
        <v>7138000</v>
      </c>
      <c r="AC56" s="463">
        <f t="shared" si="23"/>
        <v>0.75993957691230041</v>
      </c>
      <c r="AD56" s="110"/>
      <c r="AE56" s="462">
        <f t="shared" si="24"/>
        <v>5424448.7000000002</v>
      </c>
      <c r="AF56" s="462">
        <f t="shared" si="25"/>
        <v>7195000</v>
      </c>
      <c r="AG56" s="463">
        <f t="shared" si="26"/>
        <v>0.75391920778318278</v>
      </c>
      <c r="AH56" s="110"/>
      <c r="AI56" s="462">
        <f t="shared" si="27"/>
        <v>5424448.7000000002</v>
      </c>
      <c r="AJ56" s="462">
        <f t="shared" si="28"/>
        <v>7463000</v>
      </c>
      <c r="AK56" s="463">
        <f t="shared" si="29"/>
        <v>0.72684559828487205</v>
      </c>
    </row>
    <row r="57" spans="2:37" ht="14.4">
      <c r="B57" s="550"/>
      <c r="C57" s="497" t="s">
        <v>317</v>
      </c>
      <c r="D57" s="498" t="s">
        <v>273</v>
      </c>
      <c r="E57" s="492">
        <v>4033000</v>
      </c>
      <c r="F57" s="489">
        <v>6066288.9518241743</v>
      </c>
      <c r="G57" s="489">
        <v>0.66482161203139678</v>
      </c>
      <c r="H57" s="492">
        <v>4745510.1100000003</v>
      </c>
      <c r="I57" s="492">
        <v>7138000</v>
      </c>
      <c r="J57" s="495">
        <v>0.66482349537685625</v>
      </c>
      <c r="K57" s="490">
        <v>4745510.1100000003</v>
      </c>
      <c r="L57" s="490">
        <v>7195000</v>
      </c>
      <c r="M57" s="495">
        <v>0.65955665184155665</v>
      </c>
      <c r="N57" s="490">
        <v>4745510.1100000003</v>
      </c>
      <c r="O57" s="490">
        <v>7463000</v>
      </c>
      <c r="P57" s="495">
        <v>0.63587164813077857</v>
      </c>
      <c r="Q57"/>
      <c r="S57" s="547">
        <f t="shared" si="15"/>
        <v>0</v>
      </c>
      <c r="T57" s="456" t="str">
        <f t="shared" si="16"/>
        <v>COORDINADOR DE LABORATORIO</v>
      </c>
      <c r="U57" s="457" t="str">
        <f t="shared" si="17"/>
        <v>Crítico</v>
      </c>
      <c r="V57" s="110"/>
      <c r="W57" s="458">
        <f t="shared" si="18"/>
        <v>4033000</v>
      </c>
      <c r="X57" s="458">
        <f t="shared" si="19"/>
        <v>6066288.9518241743</v>
      </c>
      <c r="Y57" s="459">
        <f t="shared" si="20"/>
        <v>0.66482161203139678</v>
      </c>
      <c r="Z57" s="110"/>
      <c r="AA57" s="458">
        <f t="shared" si="21"/>
        <v>4745510.1100000003</v>
      </c>
      <c r="AB57" s="458">
        <f t="shared" si="22"/>
        <v>7138000</v>
      </c>
      <c r="AC57" s="459">
        <f t="shared" si="23"/>
        <v>0.66482349537685625</v>
      </c>
      <c r="AD57" s="110"/>
      <c r="AE57" s="458">
        <f t="shared" si="24"/>
        <v>4745510.1100000003</v>
      </c>
      <c r="AF57" s="458">
        <f t="shared" si="25"/>
        <v>7195000</v>
      </c>
      <c r="AG57" s="459">
        <f t="shared" si="26"/>
        <v>0.65955665184155665</v>
      </c>
      <c r="AH57" s="110"/>
      <c r="AI57" s="458">
        <f t="shared" si="27"/>
        <v>4745510.1100000003</v>
      </c>
      <c r="AJ57" s="458">
        <f t="shared" si="28"/>
        <v>7463000</v>
      </c>
      <c r="AK57" s="459">
        <f t="shared" si="29"/>
        <v>0.63587164813077857</v>
      </c>
    </row>
    <row r="58" spans="2:37" ht="14.4">
      <c r="B58" s="550"/>
      <c r="C58" s="497" t="s">
        <v>318</v>
      </c>
      <c r="D58" s="498" t="s">
        <v>273</v>
      </c>
      <c r="E58" s="492">
        <v>7900000</v>
      </c>
      <c r="F58" s="489">
        <v>6066288.9518241743</v>
      </c>
      <c r="G58" s="489">
        <v>1.3022788829774448</v>
      </c>
      <c r="H58" s="492">
        <v>9295693</v>
      </c>
      <c r="I58" s="492">
        <v>7138000</v>
      </c>
      <c r="J58" s="495">
        <v>1.3022825721490614</v>
      </c>
      <c r="K58" s="490">
        <v>9295693</v>
      </c>
      <c r="L58" s="490">
        <v>7195000</v>
      </c>
      <c r="M58" s="495">
        <v>1.2919656706045866</v>
      </c>
      <c r="N58" s="490">
        <v>9295693</v>
      </c>
      <c r="O58" s="490">
        <v>7463000</v>
      </c>
      <c r="P58" s="495">
        <v>1.2455705480369825</v>
      </c>
      <c r="Q58"/>
      <c r="S58" s="547">
        <f t="shared" si="15"/>
        <v>0</v>
      </c>
      <c r="T58" s="460" t="str">
        <f t="shared" si="16"/>
        <v>INGENIERO DE FORMULACIONES</v>
      </c>
      <c r="U58" s="461" t="str">
        <f t="shared" si="17"/>
        <v>Crítico</v>
      </c>
      <c r="V58" s="110"/>
      <c r="W58" s="462">
        <f t="shared" si="18"/>
        <v>7900000</v>
      </c>
      <c r="X58" s="462">
        <f t="shared" si="19"/>
        <v>6066288.9518241743</v>
      </c>
      <c r="Y58" s="463">
        <f t="shared" si="20"/>
        <v>1.3022788829774448</v>
      </c>
      <c r="Z58" s="110"/>
      <c r="AA58" s="462">
        <f t="shared" si="21"/>
        <v>9295693</v>
      </c>
      <c r="AB58" s="462">
        <f t="shared" si="22"/>
        <v>7138000</v>
      </c>
      <c r="AC58" s="463">
        <f t="shared" si="23"/>
        <v>1.3022825721490614</v>
      </c>
      <c r="AD58" s="110"/>
      <c r="AE58" s="462">
        <f t="shared" si="24"/>
        <v>9295693</v>
      </c>
      <c r="AF58" s="462">
        <f t="shared" si="25"/>
        <v>7195000</v>
      </c>
      <c r="AG58" s="463">
        <f t="shared" si="26"/>
        <v>1.2919656706045866</v>
      </c>
      <c r="AH58" s="110"/>
      <c r="AI58" s="462">
        <f t="shared" si="27"/>
        <v>9295693</v>
      </c>
      <c r="AJ58" s="462">
        <f t="shared" si="28"/>
        <v>7463000</v>
      </c>
      <c r="AK58" s="463">
        <f t="shared" si="29"/>
        <v>1.2455705480369825</v>
      </c>
    </row>
    <row r="59" spans="2:37" ht="14.4">
      <c r="B59" s="550"/>
      <c r="C59" s="497" t="s">
        <v>319</v>
      </c>
      <c r="D59" s="498" t="s">
        <v>295</v>
      </c>
      <c r="E59" s="492">
        <v>4552000</v>
      </c>
      <c r="F59" s="489">
        <v>6066288.9518241743</v>
      </c>
      <c r="G59" s="489">
        <v>0.75037638928016814</v>
      </c>
      <c r="H59" s="492">
        <v>5356201.8400000008</v>
      </c>
      <c r="I59" s="492">
        <v>7138000</v>
      </c>
      <c r="J59" s="495">
        <v>0.75037851499019348</v>
      </c>
      <c r="K59" s="490">
        <v>5356201.8400000008</v>
      </c>
      <c r="L59" s="490">
        <v>7195000</v>
      </c>
      <c r="M59" s="495">
        <v>0.74443389020152895</v>
      </c>
      <c r="N59" s="490">
        <v>5356201.8400000008</v>
      </c>
      <c r="O59" s="490">
        <v>7463000</v>
      </c>
      <c r="P59" s="495">
        <v>0.71770090312206902</v>
      </c>
      <c r="Q59"/>
      <c r="S59" s="546">
        <f t="shared" si="15"/>
        <v>0</v>
      </c>
      <c r="T59" s="456" t="str">
        <f t="shared" si="16"/>
        <v>LIDER DE COMERCIO EXTERIOR</v>
      </c>
      <c r="U59" s="457" t="str">
        <f t="shared" si="17"/>
        <v>Importante</v>
      </c>
      <c r="V59" s="110"/>
      <c r="W59" s="458">
        <f t="shared" si="18"/>
        <v>4552000</v>
      </c>
      <c r="X59" s="458">
        <f t="shared" si="19"/>
        <v>6066288.9518241743</v>
      </c>
      <c r="Y59" s="459">
        <f t="shared" si="20"/>
        <v>0.75037638928016814</v>
      </c>
      <c r="Z59" s="110"/>
      <c r="AA59" s="458">
        <f t="shared" si="21"/>
        <v>5356201.8400000008</v>
      </c>
      <c r="AB59" s="458">
        <f t="shared" si="22"/>
        <v>7138000</v>
      </c>
      <c r="AC59" s="459">
        <f t="shared" si="23"/>
        <v>0.75037851499019348</v>
      </c>
      <c r="AD59" s="110"/>
      <c r="AE59" s="458">
        <f t="shared" si="24"/>
        <v>5356201.8400000008</v>
      </c>
      <c r="AF59" s="458">
        <f t="shared" si="25"/>
        <v>7195000</v>
      </c>
      <c r="AG59" s="459">
        <f t="shared" si="26"/>
        <v>0.74443389020152895</v>
      </c>
      <c r="AH59" s="110"/>
      <c r="AI59" s="458">
        <f t="shared" si="27"/>
        <v>5356201.8400000008</v>
      </c>
      <c r="AJ59" s="458">
        <f t="shared" si="28"/>
        <v>7463000</v>
      </c>
      <c r="AK59" s="459">
        <f t="shared" si="29"/>
        <v>0.71770090312206902</v>
      </c>
    </row>
    <row r="60" spans="2:37" ht="14.4">
      <c r="B60" s="550"/>
      <c r="C60" s="497" t="s">
        <v>320</v>
      </c>
      <c r="D60" s="498" t="s">
        <v>290</v>
      </c>
      <c r="E60" s="492">
        <v>3788000</v>
      </c>
      <c r="F60" s="489">
        <v>6066288.9518241743</v>
      </c>
      <c r="G60" s="489">
        <v>0.6244344821162735</v>
      </c>
      <c r="H60" s="492">
        <v>4457225.96</v>
      </c>
      <c r="I60" s="492">
        <v>7138000</v>
      </c>
      <c r="J60" s="495">
        <v>0.62443625105071443</v>
      </c>
      <c r="K60" s="490">
        <v>4457225.96</v>
      </c>
      <c r="L60" s="490">
        <v>7195000</v>
      </c>
      <c r="M60" s="495">
        <v>0.61948936205698402</v>
      </c>
      <c r="N60" s="490">
        <v>4457225.96</v>
      </c>
      <c r="O60" s="490">
        <v>7463000</v>
      </c>
      <c r="P60" s="495">
        <v>0.59724319442583407</v>
      </c>
      <c r="Q60"/>
      <c r="S60" s="548">
        <f t="shared" si="15"/>
        <v>0</v>
      </c>
      <c r="T60" s="452" t="str">
        <f t="shared" si="16"/>
        <v>LIDER DE GESTIÓN HUMANA Y DESARROLLO DEL TALENTO</v>
      </c>
      <c r="U60" s="453" t="str">
        <f t="shared" si="17"/>
        <v>Relevante</v>
      </c>
      <c r="V60" s="110"/>
      <c r="W60" s="454">
        <f t="shared" si="18"/>
        <v>3788000</v>
      </c>
      <c r="X60" s="454">
        <f t="shared" si="19"/>
        <v>6066288.9518241743</v>
      </c>
      <c r="Y60" s="455">
        <f t="shared" si="20"/>
        <v>0.6244344821162735</v>
      </c>
      <c r="Z60" s="110"/>
      <c r="AA60" s="454">
        <f t="shared" si="21"/>
        <v>4457225.96</v>
      </c>
      <c r="AB60" s="454">
        <f t="shared" si="22"/>
        <v>7138000</v>
      </c>
      <c r="AC60" s="455">
        <f t="shared" si="23"/>
        <v>0.62443625105071443</v>
      </c>
      <c r="AD60" s="110"/>
      <c r="AE60" s="454">
        <f t="shared" si="24"/>
        <v>4457225.96</v>
      </c>
      <c r="AF60" s="454">
        <f t="shared" si="25"/>
        <v>7195000</v>
      </c>
      <c r="AG60" s="455">
        <f t="shared" si="26"/>
        <v>0.61948936205698402</v>
      </c>
      <c r="AH60" s="110"/>
      <c r="AI60" s="454">
        <f t="shared" si="27"/>
        <v>4457225.96</v>
      </c>
      <c r="AJ60" s="454">
        <f t="shared" si="28"/>
        <v>7463000</v>
      </c>
      <c r="AK60" s="455">
        <f t="shared" si="29"/>
        <v>0.59724319442583407</v>
      </c>
    </row>
    <row r="61" spans="2:37" ht="14.4">
      <c r="B61" s="550"/>
      <c r="C61" s="497" t="s">
        <v>321</v>
      </c>
      <c r="D61" s="498" t="s">
        <v>290</v>
      </c>
      <c r="E61" s="492">
        <v>5500000</v>
      </c>
      <c r="F61" s="489">
        <v>6066288.9518241743</v>
      </c>
      <c r="G61" s="489">
        <v>0.90664985523746155</v>
      </c>
      <c r="H61" s="492">
        <v>6471685.0000000009</v>
      </c>
      <c r="I61" s="492">
        <v>7138000</v>
      </c>
      <c r="J61" s="495">
        <v>0.90665242364808085</v>
      </c>
      <c r="K61" s="490">
        <v>6471685.0000000009</v>
      </c>
      <c r="L61" s="490">
        <v>7195000</v>
      </c>
      <c r="M61" s="495">
        <v>0.89946977067407941</v>
      </c>
      <c r="N61" s="490">
        <v>6471685.0000000009</v>
      </c>
      <c r="O61" s="490">
        <v>7463000</v>
      </c>
      <c r="P61" s="495">
        <v>0.86716936888650686</v>
      </c>
      <c r="Q61"/>
      <c r="S61" s="540">
        <f t="shared" si="15"/>
        <v>0</v>
      </c>
      <c r="T61" s="465" t="str">
        <f t="shared" si="16"/>
        <v>COORDINADOR TIC</v>
      </c>
      <c r="U61" s="466" t="str">
        <f t="shared" si="17"/>
        <v>Relevante</v>
      </c>
      <c r="V61" s="110"/>
      <c r="W61" s="467">
        <f t="shared" si="18"/>
        <v>5500000</v>
      </c>
      <c r="X61" s="467">
        <f t="shared" si="19"/>
        <v>6066288.9518241743</v>
      </c>
      <c r="Y61" s="468">
        <f t="shared" si="20"/>
        <v>0.90664985523746155</v>
      </c>
      <c r="Z61" s="110"/>
      <c r="AA61" s="467">
        <f t="shared" si="21"/>
        <v>6471685.0000000009</v>
      </c>
      <c r="AB61" s="467">
        <f t="shared" si="22"/>
        <v>7138000</v>
      </c>
      <c r="AC61" s="468">
        <f t="shared" si="23"/>
        <v>0.90665242364808085</v>
      </c>
      <c r="AD61" s="110"/>
      <c r="AE61" s="467">
        <f t="shared" si="24"/>
        <v>6471685.0000000009</v>
      </c>
      <c r="AF61" s="467">
        <f t="shared" si="25"/>
        <v>7195000</v>
      </c>
      <c r="AG61" s="468">
        <f t="shared" si="26"/>
        <v>0.89946977067407941</v>
      </c>
      <c r="AH61" s="110"/>
      <c r="AI61" s="467">
        <f t="shared" si="27"/>
        <v>6471685.0000000009</v>
      </c>
      <c r="AJ61" s="467">
        <f t="shared" si="28"/>
        <v>7463000</v>
      </c>
      <c r="AK61" s="468">
        <f t="shared" si="29"/>
        <v>0.86716936888650686</v>
      </c>
    </row>
    <row r="62" spans="2:37" ht="14.4">
      <c r="B62" s="540">
        <v>10</v>
      </c>
      <c r="C62" s="496" t="s">
        <v>322</v>
      </c>
      <c r="D62" s="29" t="s">
        <v>277</v>
      </c>
      <c r="E62" s="491">
        <v>3788000</v>
      </c>
      <c r="F62" s="275">
        <v>5017563.7393625565</v>
      </c>
      <c r="G62" s="275">
        <v>0.75494805781605012</v>
      </c>
      <c r="H62" s="491">
        <v>4457225.96</v>
      </c>
      <c r="I62" s="491">
        <v>5904000</v>
      </c>
      <c r="J62" s="494">
        <v>0.75495019647696482</v>
      </c>
      <c r="K62" s="418">
        <v>4457225.96</v>
      </c>
      <c r="L62" s="418">
        <v>5949000</v>
      </c>
      <c r="M62" s="494">
        <v>0.74923952933266091</v>
      </c>
      <c r="N62" s="418">
        <v>4457225.96</v>
      </c>
      <c r="O62" s="418">
        <v>6197000</v>
      </c>
      <c r="P62" s="494">
        <v>0.71925543972890105</v>
      </c>
      <c r="Q62"/>
      <c r="S62" s="540">
        <f t="shared" si="15"/>
        <v>10</v>
      </c>
      <c r="T62" s="452" t="str">
        <f t="shared" si="16"/>
        <v>LIDER DE DISEÑO Y COMUNICACIONES EN MERCADEO</v>
      </c>
      <c r="U62" s="453" t="str">
        <f t="shared" si="17"/>
        <v>Muy Importante</v>
      </c>
      <c r="V62" s="110"/>
      <c r="W62" s="454">
        <f t="shared" si="18"/>
        <v>3788000</v>
      </c>
      <c r="X62" s="454">
        <f t="shared" si="19"/>
        <v>5017563.7393625565</v>
      </c>
      <c r="Y62" s="455">
        <f t="shared" si="20"/>
        <v>0.75494805781605012</v>
      </c>
      <c r="Z62" s="110"/>
      <c r="AA62" s="454">
        <f t="shared" si="21"/>
        <v>4457225.96</v>
      </c>
      <c r="AB62" s="454">
        <f t="shared" si="22"/>
        <v>5904000</v>
      </c>
      <c r="AC62" s="455">
        <f t="shared" si="23"/>
        <v>0.75495019647696482</v>
      </c>
      <c r="AD62" s="110"/>
      <c r="AE62" s="454">
        <f t="shared" si="24"/>
        <v>4457225.96</v>
      </c>
      <c r="AF62" s="454">
        <f t="shared" si="25"/>
        <v>5949000</v>
      </c>
      <c r="AG62" s="455">
        <f t="shared" si="26"/>
        <v>0.74923952933266091</v>
      </c>
      <c r="AH62" s="110"/>
      <c r="AI62" s="454">
        <f t="shared" si="27"/>
        <v>4457225.96</v>
      </c>
      <c r="AJ62" s="454">
        <f t="shared" si="28"/>
        <v>6197000</v>
      </c>
      <c r="AK62" s="455">
        <f t="shared" si="29"/>
        <v>0.71925543972890105</v>
      </c>
    </row>
    <row r="63" spans="2:37" ht="14.4">
      <c r="B63" s="541"/>
      <c r="C63" s="496" t="s">
        <v>323</v>
      </c>
      <c r="D63" s="29" t="s">
        <v>295</v>
      </c>
      <c r="E63" s="491">
        <v>2700000</v>
      </c>
      <c r="F63" s="275">
        <v>5017563.7393625565</v>
      </c>
      <c r="G63" s="275">
        <v>0.5381097560990854</v>
      </c>
      <c r="H63" s="491">
        <v>3177009.0000000005</v>
      </c>
      <c r="I63" s="491">
        <v>5904000</v>
      </c>
      <c r="J63" s="494">
        <v>0.53811128048780499</v>
      </c>
      <c r="K63" s="418">
        <v>4353679</v>
      </c>
      <c r="L63" s="418">
        <v>5949000</v>
      </c>
      <c r="M63" s="494">
        <v>0.73183375357202896</v>
      </c>
      <c r="N63" s="418">
        <v>4353679</v>
      </c>
      <c r="O63" s="418">
        <v>6197000</v>
      </c>
      <c r="P63" s="494">
        <v>0.70254623204776501</v>
      </c>
      <c r="Q63"/>
      <c r="S63" s="540">
        <f t="shared" si="15"/>
        <v>0</v>
      </c>
      <c r="T63" s="465" t="str">
        <f t="shared" si="16"/>
        <v>LIDER DE CANAL</v>
      </c>
      <c r="U63" s="466" t="str">
        <f t="shared" si="17"/>
        <v>Importante</v>
      </c>
      <c r="V63" s="110"/>
      <c r="W63" s="467">
        <f t="shared" si="18"/>
        <v>2700000</v>
      </c>
      <c r="X63" s="467">
        <f t="shared" si="19"/>
        <v>5017563.7393625565</v>
      </c>
      <c r="Y63" s="468">
        <f t="shared" si="20"/>
        <v>0.5381097560990854</v>
      </c>
      <c r="Z63" s="110"/>
      <c r="AA63" s="467">
        <f t="shared" si="21"/>
        <v>3177009.0000000005</v>
      </c>
      <c r="AB63" s="467">
        <f t="shared" si="22"/>
        <v>5904000</v>
      </c>
      <c r="AC63" s="468">
        <f t="shared" si="23"/>
        <v>0.53811128048780499</v>
      </c>
      <c r="AD63" s="110"/>
      <c r="AE63" s="467">
        <f t="shared" si="24"/>
        <v>4353679</v>
      </c>
      <c r="AF63" s="467">
        <f t="shared" si="25"/>
        <v>5949000</v>
      </c>
      <c r="AG63" s="468">
        <f t="shared" si="26"/>
        <v>0.73183375357202896</v>
      </c>
      <c r="AH63" s="110"/>
      <c r="AI63" s="467">
        <f t="shared" si="27"/>
        <v>4353679</v>
      </c>
      <c r="AJ63" s="467">
        <f t="shared" si="28"/>
        <v>6197000</v>
      </c>
      <c r="AK63" s="468">
        <f t="shared" si="29"/>
        <v>0.70254623204776501</v>
      </c>
    </row>
    <row r="64" spans="2:37" ht="14.4">
      <c r="B64" s="547">
        <v>9</v>
      </c>
      <c r="C64" s="497" t="s">
        <v>324</v>
      </c>
      <c r="D64" s="498" t="s">
        <v>290</v>
      </c>
      <c r="E64" s="492">
        <v>2404000</v>
      </c>
      <c r="F64" s="489">
        <v>4096317.280441653</v>
      </c>
      <c r="G64" s="489">
        <v>0.58686860304453947</v>
      </c>
      <c r="H64" s="492">
        <v>2828714.68</v>
      </c>
      <c r="I64" s="492">
        <v>4820000</v>
      </c>
      <c r="J64" s="495">
        <v>0.58687026556016597</v>
      </c>
      <c r="K64" s="490">
        <v>2828714.68</v>
      </c>
      <c r="L64" s="490">
        <v>4855000</v>
      </c>
      <c r="M64" s="495">
        <v>0.58263948094747686</v>
      </c>
      <c r="N64" s="490">
        <v>2828714.68</v>
      </c>
      <c r="O64" s="490">
        <v>5087000</v>
      </c>
      <c r="P64" s="495">
        <v>0.55606736386868494</v>
      </c>
      <c r="Q64"/>
      <c r="S64" s="540">
        <f t="shared" si="15"/>
        <v>9</v>
      </c>
      <c r="T64" s="452" t="str">
        <f t="shared" si="16"/>
        <v>ANALISTA DE SEGURIDAD Y SALUD EN EL TRABAJO</v>
      </c>
      <c r="U64" s="453" t="str">
        <f t="shared" si="17"/>
        <v>Relevante</v>
      </c>
      <c r="V64" s="110"/>
      <c r="W64" s="454">
        <f t="shared" si="18"/>
        <v>2404000</v>
      </c>
      <c r="X64" s="454">
        <f t="shared" si="19"/>
        <v>4096317.280441653</v>
      </c>
      <c r="Y64" s="455">
        <f t="shared" si="20"/>
        <v>0.58686860304453947</v>
      </c>
      <c r="Z64" s="110"/>
      <c r="AA64" s="454">
        <f t="shared" si="21"/>
        <v>2828714.68</v>
      </c>
      <c r="AB64" s="454">
        <f t="shared" si="22"/>
        <v>4820000</v>
      </c>
      <c r="AC64" s="455">
        <f t="shared" si="23"/>
        <v>0.58687026556016597</v>
      </c>
      <c r="AD64" s="110"/>
      <c r="AE64" s="454">
        <f t="shared" si="24"/>
        <v>2828714.68</v>
      </c>
      <c r="AF64" s="454">
        <f t="shared" si="25"/>
        <v>4855000</v>
      </c>
      <c r="AG64" s="455">
        <f t="shared" si="26"/>
        <v>0.58263948094747686</v>
      </c>
      <c r="AH64" s="110"/>
      <c r="AI64" s="454">
        <f t="shared" si="27"/>
        <v>2828714.68</v>
      </c>
      <c r="AJ64" s="454">
        <f t="shared" si="28"/>
        <v>5087000</v>
      </c>
      <c r="AK64" s="455">
        <f t="shared" si="29"/>
        <v>0.55606736386868494</v>
      </c>
    </row>
    <row r="65" spans="2:37" ht="14.4">
      <c r="B65" s="550"/>
      <c r="C65" s="497" t="s">
        <v>325</v>
      </c>
      <c r="D65" s="498" t="s">
        <v>290</v>
      </c>
      <c r="E65" s="492">
        <v>5748000</v>
      </c>
      <c r="F65" s="489">
        <v>4096317.280441653</v>
      </c>
      <c r="G65" s="489">
        <v>1.4032116182612366</v>
      </c>
      <c r="H65" s="492">
        <v>6763499.1600000001</v>
      </c>
      <c r="I65" s="492">
        <v>4820000</v>
      </c>
      <c r="J65" s="495">
        <v>1.4032155933609958</v>
      </c>
      <c r="K65" s="490">
        <v>6763499.1600000001</v>
      </c>
      <c r="L65" s="490">
        <v>4855000</v>
      </c>
      <c r="M65" s="495">
        <v>1.3930997239958807</v>
      </c>
      <c r="N65" s="490">
        <v>6763499.1600000001</v>
      </c>
      <c r="O65" s="490">
        <v>5087000</v>
      </c>
      <c r="P65" s="495">
        <v>1.3295653941419305</v>
      </c>
      <c r="Q65"/>
      <c r="S65" s="540">
        <f t="shared" si="15"/>
        <v>0</v>
      </c>
      <c r="T65" s="465" t="str">
        <f t="shared" si="16"/>
        <v>INGENIERO DE DATOS</v>
      </c>
      <c r="U65" s="466" t="str">
        <f t="shared" si="17"/>
        <v>Relevante</v>
      </c>
      <c r="V65" s="110"/>
      <c r="W65" s="467">
        <f t="shared" si="18"/>
        <v>5748000</v>
      </c>
      <c r="X65" s="467">
        <f t="shared" si="19"/>
        <v>4096317.280441653</v>
      </c>
      <c r="Y65" s="468">
        <f t="shared" si="20"/>
        <v>1.4032116182612366</v>
      </c>
      <c r="Z65" s="110"/>
      <c r="AA65" s="467">
        <f t="shared" si="21"/>
        <v>6763499.1600000001</v>
      </c>
      <c r="AB65" s="467">
        <f t="shared" si="22"/>
        <v>4820000</v>
      </c>
      <c r="AC65" s="468">
        <f t="shared" si="23"/>
        <v>1.4032155933609958</v>
      </c>
      <c r="AD65" s="110"/>
      <c r="AE65" s="467">
        <f t="shared" si="24"/>
        <v>6763499.1600000001</v>
      </c>
      <c r="AF65" s="467">
        <f t="shared" si="25"/>
        <v>4855000</v>
      </c>
      <c r="AG65" s="468">
        <f t="shared" si="26"/>
        <v>1.3930997239958807</v>
      </c>
      <c r="AH65" s="110"/>
      <c r="AI65" s="467">
        <f t="shared" si="27"/>
        <v>6763499.1600000001</v>
      </c>
      <c r="AJ65" s="467">
        <f t="shared" si="28"/>
        <v>5087000</v>
      </c>
      <c r="AK65" s="468">
        <f t="shared" si="29"/>
        <v>1.3295653941419305</v>
      </c>
    </row>
    <row r="66" spans="2:37" ht="14.4">
      <c r="B66" s="550"/>
      <c r="C66" s="497" t="s">
        <v>326</v>
      </c>
      <c r="D66" s="498" t="s">
        <v>273</v>
      </c>
      <c r="E66" s="492">
        <v>3800000</v>
      </c>
      <c r="F66" s="489">
        <v>4096317.280441653</v>
      </c>
      <c r="G66" s="489">
        <v>0.92766251729170135</v>
      </c>
      <c r="H66" s="492">
        <v>4471346</v>
      </c>
      <c r="I66" s="492">
        <v>4820000</v>
      </c>
      <c r="J66" s="495">
        <v>0.92766514522821575</v>
      </c>
      <c r="K66" s="490">
        <v>4471346</v>
      </c>
      <c r="L66" s="490">
        <v>4855000</v>
      </c>
      <c r="M66" s="495">
        <v>0.92097754891864059</v>
      </c>
      <c r="N66" s="490">
        <v>4471346</v>
      </c>
      <c r="O66" s="490">
        <v>5087000</v>
      </c>
      <c r="P66" s="495">
        <v>0.87897503440141533</v>
      </c>
      <c r="Q66"/>
      <c r="S66" s="540">
        <f t="shared" si="15"/>
        <v>0</v>
      </c>
      <c r="T66" s="452" t="str">
        <f t="shared" si="16"/>
        <v>LIDER MECANICO EXPERTO EN MOLDES</v>
      </c>
      <c r="U66" s="453" t="str">
        <f t="shared" si="17"/>
        <v>Crítico</v>
      </c>
      <c r="V66" s="110"/>
      <c r="W66" s="454">
        <f t="shared" si="18"/>
        <v>3800000</v>
      </c>
      <c r="X66" s="454">
        <f t="shared" si="19"/>
        <v>4096317.280441653</v>
      </c>
      <c r="Y66" s="455">
        <f t="shared" si="20"/>
        <v>0.92766251729170135</v>
      </c>
      <c r="Z66" s="110"/>
      <c r="AA66" s="454">
        <f t="shared" si="21"/>
        <v>4471346</v>
      </c>
      <c r="AB66" s="454">
        <f t="shared" si="22"/>
        <v>4820000</v>
      </c>
      <c r="AC66" s="455">
        <f t="shared" si="23"/>
        <v>0.92766514522821575</v>
      </c>
      <c r="AD66" s="110"/>
      <c r="AE66" s="454">
        <f t="shared" si="24"/>
        <v>4471346</v>
      </c>
      <c r="AF66" s="454">
        <f t="shared" si="25"/>
        <v>4855000</v>
      </c>
      <c r="AG66" s="455">
        <f t="shared" si="26"/>
        <v>0.92097754891864059</v>
      </c>
      <c r="AH66" s="110"/>
      <c r="AI66" s="454">
        <f t="shared" si="27"/>
        <v>4471346</v>
      </c>
      <c r="AJ66" s="454">
        <f t="shared" si="28"/>
        <v>5087000</v>
      </c>
      <c r="AK66" s="455">
        <f t="shared" si="29"/>
        <v>0.87897503440141533</v>
      </c>
    </row>
    <row r="67" spans="2:37" ht="14.4">
      <c r="B67" s="550"/>
      <c r="C67" s="497" t="s">
        <v>327</v>
      </c>
      <c r="D67" s="498" t="s">
        <v>290</v>
      </c>
      <c r="E67" s="492">
        <v>2404000</v>
      </c>
      <c r="F67" s="489">
        <v>4096317.280441653</v>
      </c>
      <c r="G67" s="489">
        <v>0.58686860304453947</v>
      </c>
      <c r="H67" s="492">
        <v>2828714.68</v>
      </c>
      <c r="I67" s="492">
        <v>4820000</v>
      </c>
      <c r="J67" s="495">
        <v>0.58687026556016597</v>
      </c>
      <c r="K67" s="490">
        <v>2828714.68</v>
      </c>
      <c r="L67" s="490">
        <v>4855000</v>
      </c>
      <c r="M67" s="495">
        <v>0.58263948094747686</v>
      </c>
      <c r="N67" s="490">
        <v>2828714.68</v>
      </c>
      <c r="O67" s="490">
        <v>5087000</v>
      </c>
      <c r="P67" s="495">
        <v>0.55606736386868494</v>
      </c>
      <c r="Q67"/>
      <c r="S67" s="549">
        <f t="shared" si="15"/>
        <v>0</v>
      </c>
      <c r="T67" s="465" t="str">
        <f t="shared" si="16"/>
        <v>LIDER DE TECNOLOGÍAS DE LA INFORMACIÓN</v>
      </c>
      <c r="U67" s="466" t="str">
        <f t="shared" si="17"/>
        <v>Relevante</v>
      </c>
      <c r="V67" s="110"/>
      <c r="W67" s="467">
        <f t="shared" si="18"/>
        <v>2404000</v>
      </c>
      <c r="X67" s="467">
        <f t="shared" si="19"/>
        <v>4096317.280441653</v>
      </c>
      <c r="Y67" s="468">
        <f t="shared" si="20"/>
        <v>0.58686860304453947</v>
      </c>
      <c r="Z67" s="110"/>
      <c r="AA67" s="467">
        <f t="shared" si="21"/>
        <v>2828714.68</v>
      </c>
      <c r="AB67" s="467">
        <f t="shared" si="22"/>
        <v>4820000</v>
      </c>
      <c r="AC67" s="468">
        <f t="shared" si="23"/>
        <v>0.58687026556016597</v>
      </c>
      <c r="AD67" s="110"/>
      <c r="AE67" s="467">
        <f t="shared" si="24"/>
        <v>2828714.68</v>
      </c>
      <c r="AF67" s="467">
        <f t="shared" si="25"/>
        <v>4855000</v>
      </c>
      <c r="AG67" s="468">
        <f t="shared" si="26"/>
        <v>0.58263948094747686</v>
      </c>
      <c r="AH67" s="110"/>
      <c r="AI67" s="467">
        <f t="shared" si="27"/>
        <v>2828714.68</v>
      </c>
      <c r="AJ67" s="467">
        <f t="shared" si="28"/>
        <v>5087000</v>
      </c>
      <c r="AK67" s="468">
        <f t="shared" si="29"/>
        <v>0.55606736386868494</v>
      </c>
    </row>
    <row r="68" spans="2:37" ht="14.4">
      <c r="B68" s="540">
        <v>8</v>
      </c>
      <c r="C68" s="496" t="s">
        <v>328</v>
      </c>
      <c r="D68" s="29" t="s">
        <v>290</v>
      </c>
      <c r="E68" s="491">
        <v>2404000</v>
      </c>
      <c r="F68" s="275">
        <v>3283002.8328518891</v>
      </c>
      <c r="G68" s="275">
        <v>0.73225645008404872</v>
      </c>
      <c r="H68" s="491">
        <v>2828714.68</v>
      </c>
      <c r="I68" s="491">
        <v>3863000</v>
      </c>
      <c r="J68" s="494">
        <v>0.73225852446285278</v>
      </c>
      <c r="K68" s="418">
        <v>2828714.68</v>
      </c>
      <c r="L68" s="418">
        <v>3889000</v>
      </c>
      <c r="M68" s="494">
        <v>0.72736299305734131</v>
      </c>
      <c r="N68" s="418">
        <v>2828714.68</v>
      </c>
      <c r="O68" s="418">
        <v>4105000</v>
      </c>
      <c r="P68" s="494">
        <v>0.68909005602923268</v>
      </c>
      <c r="Q68"/>
      <c r="S68" s="545">
        <f t="shared" si="15"/>
        <v>8</v>
      </c>
      <c r="T68" s="460" t="str">
        <f t="shared" si="16"/>
        <v>ANALISTA DE COMERCIO EXTERIOR</v>
      </c>
      <c r="U68" s="461" t="str">
        <f t="shared" si="17"/>
        <v>Relevante</v>
      </c>
      <c r="V68" s="110"/>
      <c r="W68" s="462">
        <f t="shared" si="18"/>
        <v>2404000</v>
      </c>
      <c r="X68" s="462">
        <f t="shared" si="19"/>
        <v>3283002.8328518891</v>
      </c>
      <c r="Y68" s="463">
        <f t="shared" si="20"/>
        <v>0.73225645008404872</v>
      </c>
      <c r="Z68" s="110"/>
      <c r="AA68" s="462">
        <f t="shared" si="21"/>
        <v>2828714.68</v>
      </c>
      <c r="AB68" s="462">
        <f t="shared" si="22"/>
        <v>3863000</v>
      </c>
      <c r="AC68" s="463">
        <f t="shared" si="23"/>
        <v>0.73225852446285278</v>
      </c>
      <c r="AD68" s="110"/>
      <c r="AE68" s="462">
        <f t="shared" si="24"/>
        <v>2828714.68</v>
      </c>
      <c r="AF68" s="462">
        <f t="shared" si="25"/>
        <v>3889000</v>
      </c>
      <c r="AG68" s="463">
        <f t="shared" si="26"/>
        <v>0.72736299305734131</v>
      </c>
      <c r="AH68" s="110"/>
      <c r="AI68" s="462">
        <f t="shared" si="27"/>
        <v>2828714.68</v>
      </c>
      <c r="AJ68" s="462">
        <f t="shared" si="28"/>
        <v>4105000</v>
      </c>
      <c r="AK68" s="463">
        <f t="shared" si="29"/>
        <v>0.68909005602923268</v>
      </c>
    </row>
    <row r="69" spans="2:37" ht="14.4">
      <c r="B69" s="541"/>
      <c r="C69" s="496" t="s">
        <v>329</v>
      </c>
      <c r="D69" s="29" t="s">
        <v>290</v>
      </c>
      <c r="E69" s="491">
        <v>2500000</v>
      </c>
      <c r="F69" s="275">
        <v>3283002.8328518891</v>
      </c>
      <c r="G69" s="275">
        <v>0.76149797221718885</v>
      </c>
      <c r="H69" s="491">
        <v>2941675.0000000005</v>
      </c>
      <c r="I69" s="491">
        <v>3863000</v>
      </c>
      <c r="J69" s="494">
        <v>0.76150012943308321</v>
      </c>
      <c r="K69" s="418">
        <v>2941675.0000000005</v>
      </c>
      <c r="L69" s="418">
        <v>3889000</v>
      </c>
      <c r="M69" s="494">
        <v>0.75640910259706873</v>
      </c>
      <c r="N69" s="418">
        <v>2941675.0000000005</v>
      </c>
      <c r="O69" s="418">
        <v>4105000</v>
      </c>
      <c r="P69" s="494">
        <v>0.71660779537149832</v>
      </c>
      <c r="Q69"/>
      <c r="S69" s="547">
        <f t="shared" si="15"/>
        <v>0</v>
      </c>
      <c r="T69" s="456" t="str">
        <f t="shared" si="16"/>
        <v>ANALISTA DE NOMINA</v>
      </c>
      <c r="U69" s="457" t="str">
        <f t="shared" si="17"/>
        <v>Relevante</v>
      </c>
      <c r="V69" s="110"/>
      <c r="W69" s="458">
        <f t="shared" si="18"/>
        <v>2500000</v>
      </c>
      <c r="X69" s="458">
        <f t="shared" si="19"/>
        <v>3283002.8328518891</v>
      </c>
      <c r="Y69" s="459">
        <f t="shared" si="20"/>
        <v>0.76149797221718885</v>
      </c>
      <c r="Z69" s="110"/>
      <c r="AA69" s="458">
        <f t="shared" si="21"/>
        <v>2941675.0000000005</v>
      </c>
      <c r="AB69" s="458">
        <f t="shared" si="22"/>
        <v>3863000</v>
      </c>
      <c r="AC69" s="459">
        <f t="shared" si="23"/>
        <v>0.76150012943308321</v>
      </c>
      <c r="AD69" s="110"/>
      <c r="AE69" s="458">
        <f t="shared" si="24"/>
        <v>2941675.0000000005</v>
      </c>
      <c r="AF69" s="458">
        <f t="shared" si="25"/>
        <v>3889000</v>
      </c>
      <c r="AG69" s="459">
        <f t="shared" si="26"/>
        <v>0.75640910259706873</v>
      </c>
      <c r="AH69" s="110"/>
      <c r="AI69" s="458">
        <f t="shared" si="27"/>
        <v>2941675.0000000005</v>
      </c>
      <c r="AJ69" s="458">
        <f t="shared" si="28"/>
        <v>4105000</v>
      </c>
      <c r="AK69" s="459">
        <f t="shared" si="29"/>
        <v>0.71660779537149832</v>
      </c>
    </row>
    <row r="70" spans="2:37" ht="14.4">
      <c r="B70" s="541"/>
      <c r="C70" s="496" t="s">
        <v>330</v>
      </c>
      <c r="D70" s="29" t="s">
        <v>290</v>
      </c>
      <c r="E70" s="491">
        <v>2404000</v>
      </c>
      <c r="F70" s="275">
        <v>3283002.8328518891</v>
      </c>
      <c r="G70" s="275">
        <v>0.73225645008404872</v>
      </c>
      <c r="H70" s="491">
        <v>2828714.68</v>
      </c>
      <c r="I70" s="491">
        <v>3863000</v>
      </c>
      <c r="J70" s="494">
        <v>0.73225852446285278</v>
      </c>
      <c r="K70" s="418">
        <v>2828714.68</v>
      </c>
      <c r="L70" s="418">
        <v>3889000</v>
      </c>
      <c r="M70" s="494">
        <v>0.72736299305734131</v>
      </c>
      <c r="N70" s="418">
        <v>2828714.68</v>
      </c>
      <c r="O70" s="418">
        <v>4105000</v>
      </c>
      <c r="P70" s="494">
        <v>0.68909005602923268</v>
      </c>
      <c r="Q70"/>
      <c r="S70" s="547">
        <f t="shared" si="15"/>
        <v>0</v>
      </c>
      <c r="T70" s="460" t="str">
        <f t="shared" si="16"/>
        <v>ANALISTA GESTIÓN HUMANA</v>
      </c>
      <c r="U70" s="461" t="str">
        <f t="shared" si="17"/>
        <v>Relevante</v>
      </c>
      <c r="V70" s="110"/>
      <c r="W70" s="462">
        <f t="shared" si="18"/>
        <v>2404000</v>
      </c>
      <c r="X70" s="462">
        <f t="shared" si="19"/>
        <v>3283002.8328518891</v>
      </c>
      <c r="Y70" s="463">
        <f t="shared" si="20"/>
        <v>0.73225645008404872</v>
      </c>
      <c r="Z70" s="110"/>
      <c r="AA70" s="462">
        <f t="shared" si="21"/>
        <v>2828714.68</v>
      </c>
      <c r="AB70" s="462">
        <f t="shared" si="22"/>
        <v>3863000</v>
      </c>
      <c r="AC70" s="463">
        <f t="shared" si="23"/>
        <v>0.73225852446285278</v>
      </c>
      <c r="AD70" s="110"/>
      <c r="AE70" s="462">
        <f t="shared" si="24"/>
        <v>2828714.68</v>
      </c>
      <c r="AF70" s="462">
        <f t="shared" si="25"/>
        <v>3889000</v>
      </c>
      <c r="AG70" s="463">
        <f t="shared" si="26"/>
        <v>0.72736299305734131</v>
      </c>
      <c r="AH70" s="110"/>
      <c r="AI70" s="462">
        <f t="shared" si="27"/>
        <v>2828714.68</v>
      </c>
      <c r="AJ70" s="462">
        <f t="shared" si="28"/>
        <v>4105000</v>
      </c>
      <c r="AK70" s="463">
        <f t="shared" si="29"/>
        <v>0.68909005602923268</v>
      </c>
    </row>
    <row r="71" spans="2:37" ht="14.4">
      <c r="B71" s="541"/>
      <c r="C71" s="496" t="s">
        <v>331</v>
      </c>
      <c r="D71" s="29" t="s">
        <v>295</v>
      </c>
      <c r="E71" s="491">
        <v>3200000</v>
      </c>
      <c r="F71" s="275">
        <v>3283002.8328518895</v>
      </c>
      <c r="G71" s="275">
        <v>0.97471740443800159</v>
      </c>
      <c r="H71" s="491">
        <v>3765344.0000000005</v>
      </c>
      <c r="I71" s="491">
        <v>3863000</v>
      </c>
      <c r="J71" s="494">
        <v>0.97472016567434661</v>
      </c>
      <c r="K71" s="418">
        <v>3765344.0000000005</v>
      </c>
      <c r="L71" s="418">
        <v>3889000</v>
      </c>
      <c r="M71" s="494">
        <v>0.9682036513242479</v>
      </c>
      <c r="N71" s="418">
        <v>3765344.0000000005</v>
      </c>
      <c r="O71" s="418">
        <v>4105000</v>
      </c>
      <c r="P71" s="494">
        <v>0.91725797807551779</v>
      </c>
      <c r="Q71"/>
      <c r="S71" s="547">
        <f t="shared" si="15"/>
        <v>0</v>
      </c>
      <c r="T71" s="456" t="str">
        <f t="shared" si="16"/>
        <v>ANALISTA DE MATRICERIA CNC</v>
      </c>
      <c r="U71" s="457" t="str">
        <f t="shared" si="17"/>
        <v>Importante</v>
      </c>
      <c r="V71" s="110"/>
      <c r="W71" s="458">
        <f t="shared" si="18"/>
        <v>3200000</v>
      </c>
      <c r="X71" s="458">
        <f t="shared" si="19"/>
        <v>3283002.8328518895</v>
      </c>
      <c r="Y71" s="459">
        <f t="shared" si="20"/>
        <v>0.97471740443800159</v>
      </c>
      <c r="Z71" s="110"/>
      <c r="AA71" s="458">
        <f t="shared" si="21"/>
        <v>3765344.0000000005</v>
      </c>
      <c r="AB71" s="458">
        <f t="shared" si="22"/>
        <v>3863000</v>
      </c>
      <c r="AC71" s="459">
        <f t="shared" si="23"/>
        <v>0.97472016567434661</v>
      </c>
      <c r="AD71" s="110"/>
      <c r="AE71" s="458">
        <f t="shared" si="24"/>
        <v>3765344.0000000005</v>
      </c>
      <c r="AF71" s="458">
        <f t="shared" si="25"/>
        <v>3889000</v>
      </c>
      <c r="AG71" s="459">
        <f t="shared" si="26"/>
        <v>0.9682036513242479</v>
      </c>
      <c r="AH71" s="110"/>
      <c r="AI71" s="458">
        <f t="shared" si="27"/>
        <v>3765344.0000000005</v>
      </c>
      <c r="AJ71" s="458">
        <f t="shared" si="28"/>
        <v>4105000</v>
      </c>
      <c r="AK71" s="459">
        <f t="shared" si="29"/>
        <v>0.91725797807551779</v>
      </c>
    </row>
    <row r="72" spans="2:37" ht="14.4">
      <c r="B72" s="541"/>
      <c r="C72" s="496" t="s">
        <v>332</v>
      </c>
      <c r="D72" s="29" t="s">
        <v>290</v>
      </c>
      <c r="E72" s="491">
        <v>2404000</v>
      </c>
      <c r="F72" s="275">
        <v>3283002.8328518891</v>
      </c>
      <c r="G72" s="275">
        <v>0.73225645008404872</v>
      </c>
      <c r="H72" s="491">
        <v>2828714.68</v>
      </c>
      <c r="I72" s="491">
        <v>3863000</v>
      </c>
      <c r="J72" s="494">
        <v>0.73225852446285278</v>
      </c>
      <c r="K72" s="418">
        <v>2828714.68</v>
      </c>
      <c r="L72" s="418">
        <v>3889000</v>
      </c>
      <c r="M72" s="494">
        <v>0.72736299305734131</v>
      </c>
      <c r="N72" s="418">
        <v>2828714.68</v>
      </c>
      <c r="O72" s="418">
        <v>4105000</v>
      </c>
      <c r="P72" s="494">
        <v>0.68909005602923268</v>
      </c>
      <c r="Q72"/>
      <c r="S72" s="547">
        <f t="shared" si="15"/>
        <v>0</v>
      </c>
      <c r="T72" s="460" t="str">
        <f t="shared" si="16"/>
        <v>ANALISTA DE DE COMPRAS</v>
      </c>
      <c r="U72" s="461" t="str">
        <f t="shared" si="17"/>
        <v>Relevante</v>
      </c>
      <c r="V72" s="110"/>
      <c r="W72" s="462">
        <f t="shared" si="18"/>
        <v>2404000</v>
      </c>
      <c r="X72" s="462">
        <f t="shared" si="19"/>
        <v>3283002.8328518891</v>
      </c>
      <c r="Y72" s="463">
        <f t="shared" si="20"/>
        <v>0.73225645008404872</v>
      </c>
      <c r="Z72" s="110"/>
      <c r="AA72" s="462">
        <f t="shared" si="21"/>
        <v>2828714.68</v>
      </c>
      <c r="AB72" s="462">
        <f t="shared" si="22"/>
        <v>3863000</v>
      </c>
      <c r="AC72" s="463">
        <f t="shared" si="23"/>
        <v>0.73225852446285278</v>
      </c>
      <c r="AD72" s="110"/>
      <c r="AE72" s="462">
        <f t="shared" si="24"/>
        <v>2828714.68</v>
      </c>
      <c r="AF72" s="462">
        <f t="shared" si="25"/>
        <v>3889000</v>
      </c>
      <c r="AG72" s="463">
        <f t="shared" si="26"/>
        <v>0.72736299305734131</v>
      </c>
      <c r="AH72" s="110"/>
      <c r="AI72" s="462">
        <f t="shared" si="27"/>
        <v>2828714.68</v>
      </c>
      <c r="AJ72" s="462">
        <f t="shared" si="28"/>
        <v>4105000</v>
      </c>
      <c r="AK72" s="463">
        <f t="shared" si="29"/>
        <v>0.68909005602923268</v>
      </c>
    </row>
    <row r="73" spans="2:37" ht="14.4">
      <c r="B73" s="541"/>
      <c r="C73" s="496" t="s">
        <v>333</v>
      </c>
      <c r="D73" s="29" t="s">
        <v>290</v>
      </c>
      <c r="E73" s="491">
        <v>2602000</v>
      </c>
      <c r="F73" s="275">
        <v>3283002.8328518891</v>
      </c>
      <c r="G73" s="275">
        <v>0.79256708948365007</v>
      </c>
      <c r="H73" s="491">
        <v>3061695.3400000003</v>
      </c>
      <c r="I73" s="491">
        <v>3863000</v>
      </c>
      <c r="J73" s="494">
        <v>0.79256933471395297</v>
      </c>
      <c r="K73" s="418">
        <v>3061695.3400000003</v>
      </c>
      <c r="L73" s="418">
        <v>3889000</v>
      </c>
      <c r="M73" s="494">
        <v>0.78727059398302912</v>
      </c>
      <c r="N73" s="418">
        <v>3061695.3400000003</v>
      </c>
      <c r="O73" s="418">
        <v>4105000</v>
      </c>
      <c r="P73" s="494">
        <v>0.74584539342265532</v>
      </c>
      <c r="Q73"/>
      <c r="S73" s="547">
        <f t="shared" si="15"/>
        <v>0</v>
      </c>
      <c r="T73" s="456" t="str">
        <f t="shared" si="16"/>
        <v>ANALISTA COTIZACIONES DISEÑO Y DESARROLLO</v>
      </c>
      <c r="U73" s="457" t="str">
        <f t="shared" si="17"/>
        <v>Relevante</v>
      </c>
      <c r="V73" s="110"/>
      <c r="W73" s="458">
        <f t="shared" si="18"/>
        <v>2602000</v>
      </c>
      <c r="X73" s="458">
        <f t="shared" si="19"/>
        <v>3283002.8328518891</v>
      </c>
      <c r="Y73" s="459">
        <f t="shared" si="20"/>
        <v>0.79256708948365007</v>
      </c>
      <c r="Z73" s="110"/>
      <c r="AA73" s="458">
        <f t="shared" si="21"/>
        <v>3061695.3400000003</v>
      </c>
      <c r="AB73" s="458">
        <f t="shared" si="22"/>
        <v>3863000</v>
      </c>
      <c r="AC73" s="459">
        <f t="shared" si="23"/>
        <v>0.79256933471395297</v>
      </c>
      <c r="AD73" s="110"/>
      <c r="AE73" s="458">
        <f t="shared" si="24"/>
        <v>3061695.3400000003</v>
      </c>
      <c r="AF73" s="458">
        <f t="shared" si="25"/>
        <v>3889000</v>
      </c>
      <c r="AG73" s="459">
        <f t="shared" si="26"/>
        <v>0.78727059398302912</v>
      </c>
      <c r="AH73" s="110"/>
      <c r="AI73" s="458">
        <f t="shared" si="27"/>
        <v>3061695.3400000003</v>
      </c>
      <c r="AJ73" s="458">
        <f t="shared" si="28"/>
        <v>4105000</v>
      </c>
      <c r="AK73" s="459">
        <f t="shared" si="29"/>
        <v>0.74584539342265532</v>
      </c>
    </row>
    <row r="74" spans="2:37" ht="14.4">
      <c r="B74" s="541"/>
      <c r="C74" s="496" t="s">
        <v>334</v>
      </c>
      <c r="D74" s="29" t="s">
        <v>290</v>
      </c>
      <c r="E74" s="491">
        <v>2404000</v>
      </c>
      <c r="F74" s="275">
        <v>3283002.8328518891</v>
      </c>
      <c r="G74" s="275">
        <v>0.73225645008404872</v>
      </c>
      <c r="H74" s="491">
        <v>2828714.68</v>
      </c>
      <c r="I74" s="491">
        <v>3863000</v>
      </c>
      <c r="J74" s="494">
        <v>0.73225852446285278</v>
      </c>
      <c r="K74" s="418">
        <v>2828714.68</v>
      </c>
      <c r="L74" s="418">
        <v>3889000</v>
      </c>
      <c r="M74" s="494">
        <v>0.72736299305734131</v>
      </c>
      <c r="N74" s="418">
        <v>2828714.68</v>
      </c>
      <c r="O74" s="418">
        <v>4105000</v>
      </c>
      <c r="P74" s="494">
        <v>0.68909005602923268</v>
      </c>
      <c r="Q74"/>
      <c r="S74" s="547">
        <f t="shared" si="15"/>
        <v>0</v>
      </c>
      <c r="T74" s="460" t="str">
        <f t="shared" si="16"/>
        <v>ANALISTA DE MEJORA CONTINUA</v>
      </c>
      <c r="U74" s="461" t="str">
        <f t="shared" si="17"/>
        <v>Relevante</v>
      </c>
      <c r="V74" s="110"/>
      <c r="W74" s="462">
        <f t="shared" si="18"/>
        <v>2404000</v>
      </c>
      <c r="X74" s="462">
        <f t="shared" si="19"/>
        <v>3283002.8328518891</v>
      </c>
      <c r="Y74" s="463">
        <f t="shared" si="20"/>
        <v>0.73225645008404872</v>
      </c>
      <c r="Z74" s="110"/>
      <c r="AA74" s="462">
        <f t="shared" si="21"/>
        <v>2828714.68</v>
      </c>
      <c r="AB74" s="462">
        <f t="shared" si="22"/>
        <v>3863000</v>
      </c>
      <c r="AC74" s="463">
        <f t="shared" si="23"/>
        <v>0.73225852446285278</v>
      </c>
      <c r="AD74" s="110"/>
      <c r="AE74" s="462">
        <f t="shared" si="24"/>
        <v>2828714.68</v>
      </c>
      <c r="AF74" s="462">
        <f t="shared" si="25"/>
        <v>3889000</v>
      </c>
      <c r="AG74" s="463">
        <f t="shared" si="26"/>
        <v>0.72736299305734131</v>
      </c>
      <c r="AH74" s="110"/>
      <c r="AI74" s="462">
        <f t="shared" si="27"/>
        <v>2828714.68</v>
      </c>
      <c r="AJ74" s="462">
        <f t="shared" si="28"/>
        <v>4105000</v>
      </c>
      <c r="AK74" s="463">
        <f t="shared" si="29"/>
        <v>0.68909005602923268</v>
      </c>
    </row>
    <row r="75" spans="2:37" ht="14.4">
      <c r="B75" s="541"/>
      <c r="C75" s="496" t="s">
        <v>335</v>
      </c>
      <c r="D75" s="29" t="s">
        <v>290</v>
      </c>
      <c r="E75" s="491">
        <v>2404000</v>
      </c>
      <c r="F75" s="275">
        <v>3283002.8328518891</v>
      </c>
      <c r="G75" s="275">
        <v>0.73225645008404872</v>
      </c>
      <c r="H75" s="491">
        <v>2828714.68</v>
      </c>
      <c r="I75" s="491">
        <v>3863000</v>
      </c>
      <c r="J75" s="494">
        <v>0.73225852446285278</v>
      </c>
      <c r="K75" s="418">
        <v>2828714.68</v>
      </c>
      <c r="L75" s="418">
        <v>3889000</v>
      </c>
      <c r="M75" s="494">
        <v>0.72736299305734131</v>
      </c>
      <c r="N75" s="418">
        <v>2828714.68</v>
      </c>
      <c r="O75" s="418">
        <v>4105000</v>
      </c>
      <c r="P75" s="494">
        <v>0.68909005602923268</v>
      </c>
      <c r="Q75"/>
      <c r="S75" s="547">
        <f t="shared" ref="S75:S88" si="30">+B75</f>
        <v>0</v>
      </c>
      <c r="T75" s="456" t="str">
        <f t="shared" ref="T75:T88" si="31">+C75</f>
        <v>ANALISTA CALIDAD</v>
      </c>
      <c r="U75" s="457" t="str">
        <f t="shared" ref="U75:U88" si="32">+D75</f>
        <v>Relevante</v>
      </c>
      <c r="V75" s="110"/>
      <c r="W75" s="458">
        <f t="shared" ref="W75:W88" si="33">+E75</f>
        <v>2404000</v>
      </c>
      <c r="X75" s="458">
        <f t="shared" ref="X75:X88" si="34">+F75</f>
        <v>3283002.8328518891</v>
      </c>
      <c r="Y75" s="459">
        <f t="shared" ref="Y75:Y88" si="35">+G75</f>
        <v>0.73225645008404872</v>
      </c>
      <c r="Z75" s="110"/>
      <c r="AA75" s="458">
        <f t="shared" ref="AA75:AA88" si="36">+H75</f>
        <v>2828714.68</v>
      </c>
      <c r="AB75" s="458">
        <f t="shared" ref="AB75:AB88" si="37">+I75</f>
        <v>3863000</v>
      </c>
      <c r="AC75" s="459">
        <f t="shared" ref="AC75:AC88" si="38">+J75</f>
        <v>0.73225852446285278</v>
      </c>
      <c r="AD75" s="110"/>
      <c r="AE75" s="458">
        <f t="shared" ref="AE75:AE88" si="39">+K75</f>
        <v>2828714.68</v>
      </c>
      <c r="AF75" s="458">
        <f t="shared" ref="AF75:AF88" si="40">+L75</f>
        <v>3889000</v>
      </c>
      <c r="AG75" s="459">
        <f t="shared" ref="AG75:AG88" si="41">+M75</f>
        <v>0.72736299305734131</v>
      </c>
      <c r="AH75" s="110"/>
      <c r="AI75" s="458">
        <f t="shared" ref="AI75:AI88" si="42">+N75</f>
        <v>2828714.68</v>
      </c>
      <c r="AJ75" s="458">
        <f t="shared" ref="AJ75:AJ88" si="43">+O75</f>
        <v>4105000</v>
      </c>
      <c r="AK75" s="459">
        <f t="shared" ref="AK75:AK88" si="44">+P75</f>
        <v>0.68909005602923268</v>
      </c>
    </row>
    <row r="76" spans="2:37" ht="14.4">
      <c r="B76" s="547">
        <v>7</v>
      </c>
      <c r="C76" s="497" t="s">
        <v>336</v>
      </c>
      <c r="D76" s="498" t="s">
        <v>290</v>
      </c>
      <c r="E76" s="492">
        <v>2404000</v>
      </c>
      <c r="F76" s="489">
        <v>2597167.1388028408</v>
      </c>
      <c r="G76" s="489">
        <v>0.92562390925218585</v>
      </c>
      <c r="H76" s="492">
        <v>2828714.68</v>
      </c>
      <c r="I76" s="492">
        <v>3056000</v>
      </c>
      <c r="J76" s="495">
        <v>0.92562653141361262</v>
      </c>
      <c r="K76" s="490">
        <v>2828714.68</v>
      </c>
      <c r="L76" s="490">
        <v>3075000</v>
      </c>
      <c r="M76" s="495">
        <v>0.91990721300813016</v>
      </c>
      <c r="N76" s="490">
        <v>2828714.68</v>
      </c>
      <c r="O76" s="490">
        <v>3279000</v>
      </c>
      <c r="P76" s="495">
        <v>0.86267602317779812</v>
      </c>
      <c r="Q76"/>
      <c r="S76" s="547">
        <f t="shared" si="30"/>
        <v>7</v>
      </c>
      <c r="T76" s="460" t="str">
        <f t="shared" si="31"/>
        <v>ANALISTA DE MERCADEO</v>
      </c>
      <c r="U76" s="461" t="str">
        <f t="shared" si="32"/>
        <v>Relevante</v>
      </c>
      <c r="V76" s="110"/>
      <c r="W76" s="462">
        <f t="shared" si="33"/>
        <v>2404000</v>
      </c>
      <c r="X76" s="462">
        <f t="shared" si="34"/>
        <v>2597167.1388028408</v>
      </c>
      <c r="Y76" s="463">
        <f t="shared" si="35"/>
        <v>0.92562390925218585</v>
      </c>
      <c r="Z76" s="110"/>
      <c r="AA76" s="462">
        <f t="shared" si="36"/>
        <v>2828714.68</v>
      </c>
      <c r="AB76" s="462">
        <f t="shared" si="37"/>
        <v>3056000</v>
      </c>
      <c r="AC76" s="463">
        <f t="shared" si="38"/>
        <v>0.92562653141361262</v>
      </c>
      <c r="AD76" s="110"/>
      <c r="AE76" s="462">
        <f t="shared" si="39"/>
        <v>2828714.68</v>
      </c>
      <c r="AF76" s="462">
        <f t="shared" si="40"/>
        <v>3075000</v>
      </c>
      <c r="AG76" s="463">
        <f t="shared" si="41"/>
        <v>0.91990721300813016</v>
      </c>
      <c r="AH76" s="110"/>
      <c r="AI76" s="462">
        <f t="shared" si="42"/>
        <v>2828714.68</v>
      </c>
      <c r="AJ76" s="462">
        <f t="shared" si="43"/>
        <v>3279000</v>
      </c>
      <c r="AK76" s="463">
        <f t="shared" si="44"/>
        <v>0.86267602317779812</v>
      </c>
    </row>
    <row r="77" spans="2:37" ht="14.4">
      <c r="B77" s="550"/>
      <c r="C77" s="497" t="s">
        <v>337</v>
      </c>
      <c r="D77" s="498" t="s">
        <v>295</v>
      </c>
      <c r="E77" s="492">
        <v>2850000</v>
      </c>
      <c r="F77" s="489">
        <v>2597167.1388028408</v>
      </c>
      <c r="G77" s="489">
        <v>1.097349476442899</v>
      </c>
      <c r="H77" s="492">
        <v>3353509.5000000005</v>
      </c>
      <c r="I77" s="492">
        <v>3056000</v>
      </c>
      <c r="J77" s="495">
        <v>1.0973525850785342</v>
      </c>
      <c r="K77" s="490">
        <v>3353509.5000000005</v>
      </c>
      <c r="L77" s="490">
        <v>3075000</v>
      </c>
      <c r="M77" s="495">
        <v>1.0905721951219511</v>
      </c>
      <c r="N77" s="490">
        <v>3353509.5000000005</v>
      </c>
      <c r="O77" s="490">
        <v>3279000</v>
      </c>
      <c r="P77" s="495">
        <v>1.0227232387923149</v>
      </c>
      <c r="Q77"/>
      <c r="S77" s="547">
        <f t="shared" si="30"/>
        <v>0</v>
      </c>
      <c r="T77" s="456" t="str">
        <f t="shared" si="31"/>
        <v>TECNICO DE MANTENIMIENTO</v>
      </c>
      <c r="U77" s="457" t="str">
        <f t="shared" si="32"/>
        <v>Importante</v>
      </c>
      <c r="V77" s="110"/>
      <c r="W77" s="458">
        <f t="shared" si="33"/>
        <v>2850000</v>
      </c>
      <c r="X77" s="458">
        <f t="shared" si="34"/>
        <v>2597167.1388028408</v>
      </c>
      <c r="Y77" s="459">
        <f t="shared" si="35"/>
        <v>1.097349476442899</v>
      </c>
      <c r="Z77" s="110"/>
      <c r="AA77" s="458">
        <f t="shared" si="36"/>
        <v>3353509.5000000005</v>
      </c>
      <c r="AB77" s="458">
        <f t="shared" si="37"/>
        <v>3056000</v>
      </c>
      <c r="AC77" s="459">
        <f t="shared" si="38"/>
        <v>1.0973525850785342</v>
      </c>
      <c r="AD77" s="110"/>
      <c r="AE77" s="458">
        <f t="shared" si="39"/>
        <v>3353509.5000000005</v>
      </c>
      <c r="AF77" s="458">
        <f t="shared" si="40"/>
        <v>3075000</v>
      </c>
      <c r="AG77" s="459">
        <f t="shared" si="41"/>
        <v>1.0905721951219511</v>
      </c>
      <c r="AH77" s="110"/>
      <c r="AI77" s="458">
        <f t="shared" si="42"/>
        <v>3353509.5000000005</v>
      </c>
      <c r="AJ77" s="458">
        <f t="shared" si="43"/>
        <v>3279000</v>
      </c>
      <c r="AK77" s="459">
        <f t="shared" si="44"/>
        <v>1.0227232387923149</v>
      </c>
    </row>
    <row r="78" spans="2:37" ht="14.4">
      <c r="B78" s="550"/>
      <c r="C78" s="497" t="s">
        <v>338</v>
      </c>
      <c r="D78" s="498" t="s">
        <v>290</v>
      </c>
      <c r="E78" s="492">
        <v>2404000</v>
      </c>
      <c r="F78" s="489">
        <v>2597167.1388028408</v>
      </c>
      <c r="G78" s="489">
        <v>0.92562390925218585</v>
      </c>
      <c r="H78" s="492">
        <v>2828714.68</v>
      </c>
      <c r="I78" s="492">
        <v>3056000</v>
      </c>
      <c r="J78" s="495">
        <v>0.92562653141361262</v>
      </c>
      <c r="K78" s="490">
        <v>2828714.68</v>
      </c>
      <c r="L78" s="490">
        <v>3075000</v>
      </c>
      <c r="M78" s="495">
        <v>0.91990721300813016</v>
      </c>
      <c r="N78" s="490">
        <v>2828714.68</v>
      </c>
      <c r="O78" s="490">
        <v>3279000</v>
      </c>
      <c r="P78" s="495">
        <v>0.86267602317779812</v>
      </c>
      <c r="Q78"/>
      <c r="S78" s="547">
        <f t="shared" si="30"/>
        <v>0</v>
      </c>
      <c r="T78" s="460" t="str">
        <f t="shared" si="31"/>
        <v>ANALISTA TESORERIA</v>
      </c>
      <c r="U78" s="461" t="str">
        <f t="shared" si="32"/>
        <v>Relevante</v>
      </c>
      <c r="V78" s="110"/>
      <c r="W78" s="462">
        <f t="shared" si="33"/>
        <v>2404000</v>
      </c>
      <c r="X78" s="462">
        <f t="shared" si="34"/>
        <v>2597167.1388028408</v>
      </c>
      <c r="Y78" s="463">
        <f t="shared" si="35"/>
        <v>0.92562390925218585</v>
      </c>
      <c r="Z78" s="110"/>
      <c r="AA78" s="462">
        <f t="shared" si="36"/>
        <v>2828714.68</v>
      </c>
      <c r="AB78" s="462">
        <f t="shared" si="37"/>
        <v>3056000</v>
      </c>
      <c r="AC78" s="463">
        <f t="shared" si="38"/>
        <v>0.92562653141361262</v>
      </c>
      <c r="AD78" s="110"/>
      <c r="AE78" s="462">
        <f t="shared" si="39"/>
        <v>2828714.68</v>
      </c>
      <c r="AF78" s="462">
        <f t="shared" si="40"/>
        <v>3075000</v>
      </c>
      <c r="AG78" s="463">
        <f t="shared" si="41"/>
        <v>0.91990721300813016</v>
      </c>
      <c r="AH78" s="110"/>
      <c r="AI78" s="462">
        <f t="shared" si="42"/>
        <v>2828714.68</v>
      </c>
      <c r="AJ78" s="462">
        <f t="shared" si="43"/>
        <v>3279000</v>
      </c>
      <c r="AK78" s="463">
        <f t="shared" si="44"/>
        <v>0.86267602317779812</v>
      </c>
    </row>
    <row r="79" spans="2:37" ht="14.4">
      <c r="B79" s="550"/>
      <c r="C79" s="497" t="s">
        <v>339</v>
      </c>
      <c r="D79" s="498" t="s">
        <v>290</v>
      </c>
      <c r="E79" s="492">
        <v>2735000</v>
      </c>
      <c r="F79" s="489">
        <v>2597167.1388028408</v>
      </c>
      <c r="G79" s="489">
        <v>1.0530704624811682</v>
      </c>
      <c r="H79" s="492">
        <v>3218192.45</v>
      </c>
      <c r="I79" s="492">
        <v>3056000</v>
      </c>
      <c r="J79" s="495">
        <v>1.0530734456806283</v>
      </c>
      <c r="K79" s="490">
        <v>3218192.45</v>
      </c>
      <c r="L79" s="490">
        <v>3075000</v>
      </c>
      <c r="M79" s="495">
        <v>1.0465666504065041</v>
      </c>
      <c r="N79" s="490">
        <v>3218192.45</v>
      </c>
      <c r="O79" s="490">
        <v>3279000</v>
      </c>
      <c r="P79" s="495">
        <v>0.98145545898139686</v>
      </c>
      <c r="Q79"/>
      <c r="S79" s="547">
        <f t="shared" si="30"/>
        <v>0</v>
      </c>
      <c r="T79" s="456" t="str">
        <f t="shared" si="31"/>
        <v>ANALISTA DE CARTERA</v>
      </c>
      <c r="U79" s="457" t="str">
        <f t="shared" si="32"/>
        <v>Relevante</v>
      </c>
      <c r="V79" s="110"/>
      <c r="W79" s="458">
        <f t="shared" si="33"/>
        <v>2735000</v>
      </c>
      <c r="X79" s="458">
        <f t="shared" si="34"/>
        <v>2597167.1388028408</v>
      </c>
      <c r="Y79" s="459">
        <f t="shared" si="35"/>
        <v>1.0530704624811682</v>
      </c>
      <c r="Z79" s="110"/>
      <c r="AA79" s="458">
        <f t="shared" si="36"/>
        <v>3218192.45</v>
      </c>
      <c r="AB79" s="458">
        <f t="shared" si="37"/>
        <v>3056000</v>
      </c>
      <c r="AC79" s="459">
        <f t="shared" si="38"/>
        <v>1.0530734456806283</v>
      </c>
      <c r="AD79" s="110"/>
      <c r="AE79" s="458">
        <f t="shared" si="39"/>
        <v>3218192.45</v>
      </c>
      <c r="AF79" s="458">
        <f t="shared" si="40"/>
        <v>3075000</v>
      </c>
      <c r="AG79" s="459">
        <f t="shared" si="41"/>
        <v>1.0465666504065041</v>
      </c>
      <c r="AH79" s="110"/>
      <c r="AI79" s="458">
        <f t="shared" si="42"/>
        <v>3218192.45</v>
      </c>
      <c r="AJ79" s="458">
        <f t="shared" si="43"/>
        <v>3279000</v>
      </c>
      <c r="AK79" s="459">
        <f t="shared" si="44"/>
        <v>0.98145545898139686</v>
      </c>
    </row>
    <row r="80" spans="2:37" ht="14.4">
      <c r="B80" s="550"/>
      <c r="C80" s="497" t="s">
        <v>340</v>
      </c>
      <c r="D80" s="498" t="s">
        <v>290</v>
      </c>
      <c r="E80" s="492">
        <v>2404000</v>
      </c>
      <c r="F80" s="489">
        <v>2597167.1388028408</v>
      </c>
      <c r="G80" s="489">
        <v>0.92562390925218585</v>
      </c>
      <c r="H80" s="492">
        <v>2828714.68</v>
      </c>
      <c r="I80" s="492">
        <v>3056000</v>
      </c>
      <c r="J80" s="495">
        <v>0.92562653141361262</v>
      </c>
      <c r="K80" s="490">
        <v>2828714.68</v>
      </c>
      <c r="L80" s="490">
        <v>3075000</v>
      </c>
      <c r="M80" s="495">
        <v>0.91990721300813016</v>
      </c>
      <c r="N80" s="490">
        <v>2828714.68</v>
      </c>
      <c r="O80" s="490">
        <v>3279000</v>
      </c>
      <c r="P80" s="495">
        <v>0.86267602317779823</v>
      </c>
      <c r="Q80"/>
      <c r="S80" s="547">
        <f t="shared" si="30"/>
        <v>0</v>
      </c>
      <c r="T80" s="460" t="str">
        <f t="shared" si="31"/>
        <v>ANALISTA DE LABORATORIO</v>
      </c>
      <c r="U80" s="461" t="str">
        <f t="shared" si="32"/>
        <v>Relevante</v>
      </c>
      <c r="V80" s="110"/>
      <c r="W80" s="462">
        <f t="shared" si="33"/>
        <v>2404000</v>
      </c>
      <c r="X80" s="462">
        <f t="shared" si="34"/>
        <v>2597167.1388028408</v>
      </c>
      <c r="Y80" s="463">
        <f t="shared" si="35"/>
        <v>0.92562390925218585</v>
      </c>
      <c r="Z80" s="110"/>
      <c r="AA80" s="462">
        <f t="shared" si="36"/>
        <v>2828714.68</v>
      </c>
      <c r="AB80" s="462">
        <f t="shared" si="37"/>
        <v>3056000</v>
      </c>
      <c r="AC80" s="463">
        <f t="shared" si="38"/>
        <v>0.92562653141361262</v>
      </c>
      <c r="AD80" s="110"/>
      <c r="AE80" s="462">
        <f t="shared" si="39"/>
        <v>2828714.68</v>
      </c>
      <c r="AF80" s="462">
        <f t="shared" si="40"/>
        <v>3075000</v>
      </c>
      <c r="AG80" s="463">
        <f t="shared" si="41"/>
        <v>0.91990721300813016</v>
      </c>
      <c r="AH80" s="110"/>
      <c r="AI80" s="462">
        <f t="shared" si="42"/>
        <v>2828714.68</v>
      </c>
      <c r="AJ80" s="462">
        <f t="shared" si="43"/>
        <v>3279000</v>
      </c>
      <c r="AK80" s="463">
        <f t="shared" si="44"/>
        <v>0.86267602317779823</v>
      </c>
    </row>
    <row r="81" spans="2:37" ht="14.4">
      <c r="B81" s="550"/>
      <c r="C81" s="497" t="s">
        <v>341</v>
      </c>
      <c r="D81" s="498" t="s">
        <v>290</v>
      </c>
      <c r="E81" s="492">
        <v>1951000</v>
      </c>
      <c r="F81" s="489">
        <v>2597167.1388028408</v>
      </c>
      <c r="G81" s="489">
        <v>0.75120309773336713</v>
      </c>
      <c r="H81" s="492">
        <v>2295683.1700000004</v>
      </c>
      <c r="I81" s="492">
        <v>3056000</v>
      </c>
      <c r="J81" s="495">
        <v>0.75120522578534044</v>
      </c>
      <c r="K81" s="490">
        <v>2295683.1700000004</v>
      </c>
      <c r="L81" s="490">
        <v>3075000</v>
      </c>
      <c r="M81" s="495">
        <v>0.74656363252032532</v>
      </c>
      <c r="N81" s="490">
        <v>2295683.1700000004</v>
      </c>
      <c r="O81" s="490">
        <v>3279000</v>
      </c>
      <c r="P81" s="495">
        <v>0.70011685574870397</v>
      </c>
      <c r="Q81"/>
      <c r="S81" s="546">
        <f t="shared" si="30"/>
        <v>0</v>
      </c>
      <c r="T81" s="456" t="str">
        <f t="shared" si="31"/>
        <v>ANALISTA OPERATIVO DESARROLLO</v>
      </c>
      <c r="U81" s="457" t="str">
        <f t="shared" si="32"/>
        <v>Relevante</v>
      </c>
      <c r="V81" s="110"/>
      <c r="W81" s="458">
        <f t="shared" si="33"/>
        <v>1951000</v>
      </c>
      <c r="X81" s="458">
        <f t="shared" si="34"/>
        <v>2597167.1388028408</v>
      </c>
      <c r="Y81" s="459">
        <f t="shared" si="35"/>
        <v>0.75120309773336713</v>
      </c>
      <c r="Z81" s="110"/>
      <c r="AA81" s="458">
        <f t="shared" si="36"/>
        <v>2295683.1700000004</v>
      </c>
      <c r="AB81" s="458">
        <f t="shared" si="37"/>
        <v>3056000</v>
      </c>
      <c r="AC81" s="459">
        <f t="shared" si="38"/>
        <v>0.75120522578534044</v>
      </c>
      <c r="AD81" s="110"/>
      <c r="AE81" s="458">
        <f t="shared" si="39"/>
        <v>2295683.1700000004</v>
      </c>
      <c r="AF81" s="458">
        <f t="shared" si="40"/>
        <v>3075000</v>
      </c>
      <c r="AG81" s="459">
        <f t="shared" si="41"/>
        <v>0.74656363252032532</v>
      </c>
      <c r="AH81" s="110"/>
      <c r="AI81" s="458">
        <f t="shared" si="42"/>
        <v>2295683.1700000004</v>
      </c>
      <c r="AJ81" s="458">
        <f t="shared" si="43"/>
        <v>3279000</v>
      </c>
      <c r="AK81" s="459">
        <f t="shared" si="44"/>
        <v>0.70011685574870397</v>
      </c>
    </row>
    <row r="82" spans="2:37" ht="14.4">
      <c r="B82" s="550"/>
      <c r="C82" s="497" t="s">
        <v>342</v>
      </c>
      <c r="D82" s="498" t="s">
        <v>290</v>
      </c>
      <c r="E82" s="492">
        <v>2156000</v>
      </c>
      <c r="F82" s="489">
        <v>2597167.1388028408</v>
      </c>
      <c r="G82" s="489">
        <v>0.83013525305645286</v>
      </c>
      <c r="H82" s="492">
        <v>2536900.52</v>
      </c>
      <c r="I82" s="492">
        <v>3056000</v>
      </c>
      <c r="J82" s="495">
        <v>0.8301376047120419</v>
      </c>
      <c r="K82" s="490">
        <v>2536900.52</v>
      </c>
      <c r="L82" s="490">
        <v>3075000</v>
      </c>
      <c r="M82" s="495">
        <v>0.82500829918699192</v>
      </c>
      <c r="N82" s="490">
        <v>2536900.52</v>
      </c>
      <c r="O82" s="490">
        <v>3279000</v>
      </c>
      <c r="P82" s="495">
        <v>0.77368115888990552</v>
      </c>
      <c r="Q82"/>
      <c r="S82" s="548">
        <f t="shared" si="30"/>
        <v>0</v>
      </c>
      <c r="T82" s="452" t="str">
        <f t="shared" si="31"/>
        <v>AUXILIAR SERVICIO AL CLIENTE</v>
      </c>
      <c r="U82" s="453" t="str">
        <f t="shared" si="32"/>
        <v>Relevante</v>
      </c>
      <c r="V82" s="110"/>
      <c r="W82" s="454">
        <f t="shared" si="33"/>
        <v>2156000</v>
      </c>
      <c r="X82" s="454">
        <f t="shared" si="34"/>
        <v>2597167.1388028408</v>
      </c>
      <c r="Y82" s="455">
        <f t="shared" si="35"/>
        <v>0.83013525305645286</v>
      </c>
      <c r="Z82" s="110"/>
      <c r="AA82" s="454">
        <f t="shared" si="36"/>
        <v>2536900.52</v>
      </c>
      <c r="AB82" s="454">
        <f t="shared" si="37"/>
        <v>3056000</v>
      </c>
      <c r="AC82" s="455">
        <f t="shared" si="38"/>
        <v>0.8301376047120419</v>
      </c>
      <c r="AD82" s="110"/>
      <c r="AE82" s="454">
        <f t="shared" si="39"/>
        <v>2536900.52</v>
      </c>
      <c r="AF82" s="454">
        <f t="shared" si="40"/>
        <v>3075000</v>
      </c>
      <c r="AG82" s="455">
        <f t="shared" si="41"/>
        <v>0.82500829918699192</v>
      </c>
      <c r="AH82" s="110"/>
      <c r="AI82" s="454">
        <f t="shared" si="42"/>
        <v>2536900.52</v>
      </c>
      <c r="AJ82" s="454">
        <f t="shared" si="43"/>
        <v>3279000</v>
      </c>
      <c r="AK82" s="455">
        <f t="shared" si="44"/>
        <v>0.77368115888990552</v>
      </c>
    </row>
    <row r="83" spans="2:37" ht="14.4">
      <c r="B83" s="550"/>
      <c r="C83" s="497" t="s">
        <v>343</v>
      </c>
      <c r="D83" s="498" t="s">
        <v>290</v>
      </c>
      <c r="E83" s="492">
        <v>2404000</v>
      </c>
      <c r="F83" s="489">
        <v>2597167.1388028408</v>
      </c>
      <c r="G83" s="489">
        <v>0.92562390925218585</v>
      </c>
      <c r="H83" s="492">
        <v>2828714.68</v>
      </c>
      <c r="I83" s="492">
        <v>3056000</v>
      </c>
      <c r="J83" s="495">
        <v>0.92562653141361262</v>
      </c>
      <c r="K83" s="490">
        <v>2828714.68</v>
      </c>
      <c r="L83" s="490">
        <v>3075000</v>
      </c>
      <c r="M83" s="495">
        <v>0.91990721300813016</v>
      </c>
      <c r="N83" s="490">
        <v>2828714.68</v>
      </c>
      <c r="O83" s="490">
        <v>3279000</v>
      </c>
      <c r="P83" s="495">
        <v>0.86267602317779812</v>
      </c>
      <c r="Q83"/>
      <c r="S83" s="540">
        <f t="shared" si="30"/>
        <v>0</v>
      </c>
      <c r="T83" s="465" t="str">
        <f t="shared" si="31"/>
        <v>ANALISTA ADMINISTRATIVA DE DISEÑO Y DESARROLLO</v>
      </c>
      <c r="U83" s="466" t="str">
        <f t="shared" si="32"/>
        <v>Relevante</v>
      </c>
      <c r="V83" s="110"/>
      <c r="W83" s="467">
        <f t="shared" si="33"/>
        <v>2404000</v>
      </c>
      <c r="X83" s="467">
        <f t="shared" si="34"/>
        <v>2597167.1388028408</v>
      </c>
      <c r="Y83" s="468">
        <f t="shared" si="35"/>
        <v>0.92562390925218585</v>
      </c>
      <c r="Z83" s="110"/>
      <c r="AA83" s="467">
        <f t="shared" si="36"/>
        <v>2828714.68</v>
      </c>
      <c r="AB83" s="467">
        <f t="shared" si="37"/>
        <v>3056000</v>
      </c>
      <c r="AC83" s="468">
        <f t="shared" si="38"/>
        <v>0.92562653141361262</v>
      </c>
      <c r="AD83" s="110"/>
      <c r="AE83" s="467">
        <f t="shared" si="39"/>
        <v>2828714.68</v>
      </c>
      <c r="AF83" s="467">
        <f t="shared" si="40"/>
        <v>3075000</v>
      </c>
      <c r="AG83" s="468">
        <f t="shared" si="41"/>
        <v>0.91990721300813016</v>
      </c>
      <c r="AH83" s="110"/>
      <c r="AI83" s="467">
        <f t="shared" si="42"/>
        <v>2828714.68</v>
      </c>
      <c r="AJ83" s="467">
        <f t="shared" si="43"/>
        <v>3279000</v>
      </c>
      <c r="AK83" s="468">
        <f t="shared" si="44"/>
        <v>0.86267602317779812</v>
      </c>
    </row>
    <row r="84" spans="2:37" ht="14.4">
      <c r="B84" s="550"/>
      <c r="C84" s="497" t="s">
        <v>344</v>
      </c>
      <c r="D84" s="498" t="s">
        <v>290</v>
      </c>
      <c r="E84" s="492">
        <v>2645000</v>
      </c>
      <c r="F84" s="489">
        <v>2597167.1388028408</v>
      </c>
      <c r="G84" s="489">
        <v>1.0184173211198135</v>
      </c>
      <c r="H84" s="492">
        <v>3112292.1500000004</v>
      </c>
      <c r="I84" s="492">
        <v>3056000</v>
      </c>
      <c r="J84" s="495">
        <v>1.0184202061518326</v>
      </c>
      <c r="K84" s="490">
        <v>3112292.1500000004</v>
      </c>
      <c r="L84" s="490">
        <v>3075000</v>
      </c>
      <c r="M84" s="495">
        <v>1.0121275284552846</v>
      </c>
      <c r="N84" s="490">
        <v>3112292.1500000004</v>
      </c>
      <c r="O84" s="490">
        <v>3279000</v>
      </c>
      <c r="P84" s="495">
        <v>0.94915893565111331</v>
      </c>
      <c r="Q84"/>
      <c r="S84" s="540">
        <f t="shared" si="30"/>
        <v>0</v>
      </c>
      <c r="T84" s="452" t="str">
        <f t="shared" si="31"/>
        <v>LIDER SOPORTE TIC</v>
      </c>
      <c r="U84" s="453" t="str">
        <f t="shared" si="32"/>
        <v>Relevante</v>
      </c>
      <c r="V84" s="110"/>
      <c r="W84" s="454">
        <f t="shared" si="33"/>
        <v>2645000</v>
      </c>
      <c r="X84" s="454">
        <f t="shared" si="34"/>
        <v>2597167.1388028408</v>
      </c>
      <c r="Y84" s="455">
        <f t="shared" si="35"/>
        <v>1.0184173211198135</v>
      </c>
      <c r="Z84" s="110"/>
      <c r="AA84" s="454">
        <f t="shared" si="36"/>
        <v>3112292.1500000004</v>
      </c>
      <c r="AB84" s="454">
        <f t="shared" si="37"/>
        <v>3056000</v>
      </c>
      <c r="AC84" s="455">
        <f t="shared" si="38"/>
        <v>1.0184202061518326</v>
      </c>
      <c r="AD84" s="110"/>
      <c r="AE84" s="454">
        <f t="shared" si="39"/>
        <v>3112292.1500000004</v>
      </c>
      <c r="AF84" s="454">
        <f t="shared" si="40"/>
        <v>3075000</v>
      </c>
      <c r="AG84" s="455">
        <f t="shared" si="41"/>
        <v>1.0121275284552846</v>
      </c>
      <c r="AH84" s="110"/>
      <c r="AI84" s="454">
        <f t="shared" si="42"/>
        <v>3112292.1500000004</v>
      </c>
      <c r="AJ84" s="454">
        <f t="shared" si="43"/>
        <v>3279000</v>
      </c>
      <c r="AK84" s="455">
        <f t="shared" si="44"/>
        <v>0.94915893565111331</v>
      </c>
    </row>
    <row r="85" spans="2:37" ht="14.4">
      <c r="B85" s="550"/>
      <c r="C85" s="497" t="s">
        <v>345</v>
      </c>
      <c r="D85" s="498" t="s">
        <v>290</v>
      </c>
      <c r="E85" s="492">
        <v>2404000</v>
      </c>
      <c r="F85" s="489">
        <v>2597167.1388028408</v>
      </c>
      <c r="G85" s="489">
        <v>0.92562390925218585</v>
      </c>
      <c r="H85" s="492">
        <v>2828714.68</v>
      </c>
      <c r="I85" s="492">
        <v>3056000</v>
      </c>
      <c r="J85" s="495">
        <v>0.92562653141361262</v>
      </c>
      <c r="K85" s="490">
        <v>2828714.68</v>
      </c>
      <c r="L85" s="490">
        <v>3075000</v>
      </c>
      <c r="M85" s="495">
        <v>0.91990721300813016</v>
      </c>
      <c r="N85" s="490">
        <v>2828714.68</v>
      </c>
      <c r="O85" s="490">
        <v>3279000</v>
      </c>
      <c r="P85" s="495">
        <v>0.86267602317779812</v>
      </c>
      <c r="Q85"/>
      <c r="S85" s="549">
        <f t="shared" si="30"/>
        <v>0</v>
      </c>
      <c r="T85" s="465" t="str">
        <f t="shared" si="31"/>
        <v>ANALISTA DOCUMENTAL DE INGENIERIA</v>
      </c>
      <c r="U85" s="466" t="str">
        <f t="shared" si="32"/>
        <v>Relevante</v>
      </c>
      <c r="V85" s="110"/>
      <c r="W85" s="467">
        <f t="shared" si="33"/>
        <v>2404000</v>
      </c>
      <c r="X85" s="467">
        <f t="shared" si="34"/>
        <v>2597167.1388028408</v>
      </c>
      <c r="Y85" s="468">
        <f t="shared" si="35"/>
        <v>0.92562390925218585</v>
      </c>
      <c r="Z85" s="110"/>
      <c r="AA85" s="467">
        <f t="shared" si="36"/>
        <v>2828714.68</v>
      </c>
      <c r="AB85" s="467">
        <f t="shared" si="37"/>
        <v>3056000</v>
      </c>
      <c r="AC85" s="468">
        <f t="shared" si="38"/>
        <v>0.92562653141361262</v>
      </c>
      <c r="AD85" s="110"/>
      <c r="AE85" s="467">
        <f t="shared" si="39"/>
        <v>2828714.68</v>
      </c>
      <c r="AF85" s="467">
        <f t="shared" si="40"/>
        <v>3075000</v>
      </c>
      <c r="AG85" s="468">
        <f t="shared" si="41"/>
        <v>0.91990721300813016</v>
      </c>
      <c r="AH85" s="110"/>
      <c r="AI85" s="467">
        <f t="shared" si="42"/>
        <v>2828714.68</v>
      </c>
      <c r="AJ85" s="467">
        <f t="shared" si="43"/>
        <v>3279000</v>
      </c>
      <c r="AK85" s="468">
        <f t="shared" si="44"/>
        <v>0.86267602317779812</v>
      </c>
    </row>
    <row r="86" spans="2:37" ht="14.4">
      <c r="B86" s="550"/>
      <c r="C86" s="497" t="s">
        <v>346</v>
      </c>
      <c r="D86" s="498" t="s">
        <v>290</v>
      </c>
      <c r="E86" s="492">
        <v>2404000</v>
      </c>
      <c r="F86" s="489">
        <v>2597167.1388028408</v>
      </c>
      <c r="G86" s="489">
        <v>0.92562390925218585</v>
      </c>
      <c r="H86" s="492">
        <v>2828714.68</v>
      </c>
      <c r="I86" s="492">
        <v>3056000</v>
      </c>
      <c r="J86" s="495">
        <v>0.92562653141361262</v>
      </c>
      <c r="K86" s="490">
        <v>2828714.68</v>
      </c>
      <c r="L86" s="490">
        <v>3075000</v>
      </c>
      <c r="M86" s="495">
        <v>0.91990721300813016</v>
      </c>
      <c r="N86" s="490">
        <v>2828714.68</v>
      </c>
      <c r="O86" s="490">
        <v>3279000</v>
      </c>
      <c r="P86" s="495">
        <v>0.86267602317779812</v>
      </c>
      <c r="Q86"/>
      <c r="S86" s="469">
        <f t="shared" si="30"/>
        <v>0</v>
      </c>
      <c r="T86" s="460" t="str">
        <f t="shared" si="31"/>
        <v>ANALISTA DE IMPUESTOS Y REGISTROS CONTABLES</v>
      </c>
      <c r="U86" s="461" t="str">
        <f t="shared" si="32"/>
        <v>Relevante</v>
      </c>
      <c r="V86" s="110"/>
      <c r="W86" s="462">
        <f t="shared" si="33"/>
        <v>2404000</v>
      </c>
      <c r="X86" s="462">
        <f t="shared" si="34"/>
        <v>2597167.1388028408</v>
      </c>
      <c r="Y86" s="463">
        <f t="shared" si="35"/>
        <v>0.92562390925218585</v>
      </c>
      <c r="Z86" s="110"/>
      <c r="AA86" s="462">
        <f t="shared" si="36"/>
        <v>2828714.68</v>
      </c>
      <c r="AB86" s="462">
        <f t="shared" si="37"/>
        <v>3056000</v>
      </c>
      <c r="AC86" s="463">
        <f t="shared" si="38"/>
        <v>0.92562653141361262</v>
      </c>
      <c r="AD86" s="110"/>
      <c r="AE86" s="462">
        <f t="shared" si="39"/>
        <v>2828714.68</v>
      </c>
      <c r="AF86" s="462">
        <f t="shared" si="40"/>
        <v>3075000</v>
      </c>
      <c r="AG86" s="463">
        <f t="shared" si="41"/>
        <v>0.91990721300813016</v>
      </c>
      <c r="AH86" s="110"/>
      <c r="AI86" s="462">
        <f t="shared" si="42"/>
        <v>2828714.68</v>
      </c>
      <c r="AJ86" s="462">
        <f t="shared" si="43"/>
        <v>3279000</v>
      </c>
      <c r="AK86" s="463">
        <f t="shared" si="44"/>
        <v>0.86267602317779812</v>
      </c>
    </row>
    <row r="87" spans="2:37" ht="14.4">
      <c r="B87" s="550"/>
      <c r="C87" s="497" t="s">
        <v>347</v>
      </c>
      <c r="D87" s="498" t="s">
        <v>290</v>
      </c>
      <c r="E87" s="492">
        <v>2156000</v>
      </c>
      <c r="F87" s="489">
        <v>2597167.1388028408</v>
      </c>
      <c r="G87" s="489">
        <v>0.83013525305645286</v>
      </c>
      <c r="H87" s="492">
        <v>2536900.52</v>
      </c>
      <c r="I87" s="492">
        <v>3056000</v>
      </c>
      <c r="J87" s="495">
        <v>0.8301376047120419</v>
      </c>
      <c r="K87" s="490">
        <v>2536900.52</v>
      </c>
      <c r="L87" s="490">
        <v>3075000</v>
      </c>
      <c r="M87" s="495">
        <v>0.82500829918699192</v>
      </c>
      <c r="N87" s="490">
        <v>2536900.52</v>
      </c>
      <c r="O87" s="490">
        <v>3279000</v>
      </c>
      <c r="P87" s="495">
        <v>0.77368115888990552</v>
      </c>
      <c r="Q87"/>
      <c r="S87" s="548">
        <f t="shared" si="30"/>
        <v>0</v>
      </c>
      <c r="T87" s="465" t="str">
        <f t="shared" si="31"/>
        <v>ANALISTA DE SERVICIOS</v>
      </c>
      <c r="U87" s="466" t="str">
        <f t="shared" si="32"/>
        <v>Relevante</v>
      </c>
      <c r="V87" s="110"/>
      <c r="W87" s="467">
        <f t="shared" si="33"/>
        <v>2156000</v>
      </c>
      <c r="X87" s="467">
        <f t="shared" si="34"/>
        <v>2597167.1388028408</v>
      </c>
      <c r="Y87" s="468">
        <f t="shared" si="35"/>
        <v>0.83013525305645286</v>
      </c>
      <c r="Z87" s="110"/>
      <c r="AA87" s="467">
        <f t="shared" si="36"/>
        <v>2536900.52</v>
      </c>
      <c r="AB87" s="467">
        <f t="shared" si="37"/>
        <v>3056000</v>
      </c>
      <c r="AC87" s="468">
        <f t="shared" si="38"/>
        <v>0.8301376047120419</v>
      </c>
      <c r="AD87" s="110"/>
      <c r="AE87" s="467">
        <f t="shared" si="39"/>
        <v>2536900.52</v>
      </c>
      <c r="AF87" s="467">
        <f t="shared" si="40"/>
        <v>3075000</v>
      </c>
      <c r="AG87" s="468">
        <f t="shared" si="41"/>
        <v>0.82500829918699192</v>
      </c>
      <c r="AH87" s="110"/>
      <c r="AI87" s="467">
        <f t="shared" si="42"/>
        <v>2536900.52</v>
      </c>
      <c r="AJ87" s="467">
        <f t="shared" si="43"/>
        <v>3279000</v>
      </c>
      <c r="AK87" s="468">
        <f t="shared" si="44"/>
        <v>0.77368115888990552</v>
      </c>
    </row>
    <row r="88" spans="2:37" ht="14.4">
      <c r="B88" s="550"/>
      <c r="C88" s="497" t="s">
        <v>348</v>
      </c>
      <c r="D88" s="498" t="s">
        <v>290</v>
      </c>
      <c r="E88" s="492">
        <v>2404000</v>
      </c>
      <c r="F88" s="489">
        <v>2597167.1388028408</v>
      </c>
      <c r="G88" s="489">
        <v>0.92562390925218585</v>
      </c>
      <c r="H88" s="492">
        <v>2828714.68</v>
      </c>
      <c r="I88" s="492">
        <v>3056000</v>
      </c>
      <c r="J88" s="495">
        <v>0.92562653141361262</v>
      </c>
      <c r="K88" s="490">
        <v>2828714.68</v>
      </c>
      <c r="L88" s="490">
        <v>3075000</v>
      </c>
      <c r="M88" s="495">
        <v>0.91990721300813016</v>
      </c>
      <c r="N88" s="490">
        <v>2828714.68</v>
      </c>
      <c r="O88" s="490">
        <v>3279000</v>
      </c>
      <c r="P88" s="495">
        <v>0.86267602317779812</v>
      </c>
      <c r="Q88"/>
      <c r="S88" s="549">
        <f t="shared" si="30"/>
        <v>0</v>
      </c>
      <c r="T88" s="452" t="str">
        <f t="shared" si="31"/>
        <v>ANALISTA TECNICO PROYECTOS ALIADOS</v>
      </c>
      <c r="U88" s="453" t="str">
        <f t="shared" si="32"/>
        <v>Relevante</v>
      </c>
      <c r="V88" s="110"/>
      <c r="W88" s="454">
        <f t="shared" si="33"/>
        <v>2404000</v>
      </c>
      <c r="X88" s="454">
        <f t="shared" si="34"/>
        <v>2597167.1388028408</v>
      </c>
      <c r="Y88" s="455">
        <f t="shared" si="35"/>
        <v>0.92562390925218585</v>
      </c>
      <c r="Z88" s="110"/>
      <c r="AA88" s="454">
        <f t="shared" si="36"/>
        <v>2828714.68</v>
      </c>
      <c r="AB88" s="454">
        <f t="shared" si="37"/>
        <v>3056000</v>
      </c>
      <c r="AC88" s="455">
        <f t="shared" si="38"/>
        <v>0.92562653141361262</v>
      </c>
      <c r="AD88" s="110"/>
      <c r="AE88" s="454">
        <f t="shared" si="39"/>
        <v>2828714.68</v>
      </c>
      <c r="AF88" s="454">
        <f t="shared" si="40"/>
        <v>3075000</v>
      </c>
      <c r="AG88" s="455">
        <f t="shared" si="41"/>
        <v>0.91990721300813016</v>
      </c>
      <c r="AH88" s="110"/>
      <c r="AI88" s="454">
        <f t="shared" si="42"/>
        <v>2828714.68</v>
      </c>
      <c r="AJ88" s="454">
        <f t="shared" si="43"/>
        <v>3279000</v>
      </c>
      <c r="AK88" s="455">
        <f t="shared" si="44"/>
        <v>0.86267602317779812</v>
      </c>
    </row>
    <row r="89" spans="2:37">
      <c r="B89" s="550"/>
      <c r="C89" s="497" t="s">
        <v>349</v>
      </c>
      <c r="D89" s="498" t="s">
        <v>290</v>
      </c>
      <c r="E89" s="492">
        <v>2404000</v>
      </c>
      <c r="F89" s="489">
        <v>2597167.1388028408</v>
      </c>
      <c r="G89" s="489">
        <v>0.92562390925218585</v>
      </c>
      <c r="H89" s="492">
        <v>2828714.68</v>
      </c>
      <c r="I89" s="492">
        <v>3056000</v>
      </c>
      <c r="J89" s="495">
        <v>0.92562653141361262</v>
      </c>
      <c r="K89" s="490">
        <v>2828714.68</v>
      </c>
      <c r="L89" s="490">
        <v>3075000</v>
      </c>
      <c r="M89" s="495">
        <v>0.91990721300813016</v>
      </c>
      <c r="N89" s="490">
        <v>2828714.68</v>
      </c>
      <c r="O89" s="490">
        <v>3279000</v>
      </c>
      <c r="P89" s="495">
        <v>0.86267602317779812</v>
      </c>
    </row>
    <row r="90" spans="2:37">
      <c r="B90" s="540">
        <v>6</v>
      </c>
      <c r="C90" s="496" t="s">
        <v>350</v>
      </c>
      <c r="D90" s="29" t="s">
        <v>295</v>
      </c>
      <c r="E90" s="491">
        <v>2300000</v>
      </c>
      <c r="F90" s="275">
        <v>2351558.0736477291</v>
      </c>
      <c r="G90" s="275">
        <v>0.97807493073400797</v>
      </c>
      <c r="H90" s="491">
        <v>2706341.0000000005</v>
      </c>
      <c r="I90" s="491">
        <v>2767000</v>
      </c>
      <c r="J90" s="494">
        <v>0.97807770148174933</v>
      </c>
      <c r="K90" s="418">
        <v>2706341.0000000005</v>
      </c>
      <c r="L90" s="418">
        <v>2797000</v>
      </c>
      <c r="M90" s="494">
        <v>0.96758705756167329</v>
      </c>
      <c r="N90" s="418">
        <v>2706341.0000000005</v>
      </c>
      <c r="O90" s="418">
        <v>2965000</v>
      </c>
      <c r="P90" s="494">
        <v>0.91276256323777416</v>
      </c>
    </row>
    <row r="91" spans="2:37">
      <c r="B91" s="541"/>
      <c r="C91" s="496" t="s">
        <v>351</v>
      </c>
      <c r="D91" s="29" t="s">
        <v>290</v>
      </c>
      <c r="E91" s="491">
        <v>1951000</v>
      </c>
      <c r="F91" s="275">
        <v>2351558.0736477291</v>
      </c>
      <c r="G91" s="275">
        <v>0.82966269124436942</v>
      </c>
      <c r="H91" s="491">
        <v>2295683.1700000004</v>
      </c>
      <c r="I91" s="491">
        <v>2767000</v>
      </c>
      <c r="J91" s="494">
        <v>0.82966504156125787</v>
      </c>
      <c r="K91" s="418">
        <v>2295683.1700000004</v>
      </c>
      <c r="L91" s="418">
        <v>2797000</v>
      </c>
      <c r="M91" s="494">
        <v>0.82076623882731514</v>
      </c>
      <c r="N91" s="418">
        <v>2295683.1700000004</v>
      </c>
      <c r="O91" s="418">
        <v>2965000</v>
      </c>
      <c r="P91" s="494">
        <v>0.77426076559865109</v>
      </c>
    </row>
    <row r="92" spans="2:37">
      <c r="B92" s="541"/>
      <c r="C92" s="496" t="s">
        <v>352</v>
      </c>
      <c r="D92" s="29" t="s">
        <v>295</v>
      </c>
      <c r="E92" s="491">
        <v>2700000</v>
      </c>
      <c r="F92" s="275">
        <v>2351558.0736477296</v>
      </c>
      <c r="G92" s="275">
        <v>1.1481749186877488</v>
      </c>
      <c r="H92" s="491">
        <v>3177009.0000000005</v>
      </c>
      <c r="I92" s="491">
        <v>2767000</v>
      </c>
      <c r="J92" s="494">
        <v>1.1481781713046624</v>
      </c>
      <c r="K92" s="418">
        <v>3177009.0000000005</v>
      </c>
      <c r="L92" s="418">
        <v>2797000</v>
      </c>
      <c r="M92" s="494">
        <v>1.1358630675723991</v>
      </c>
      <c r="N92" s="418">
        <v>3177009.0000000005</v>
      </c>
      <c r="O92" s="418">
        <v>2965000</v>
      </c>
      <c r="P92" s="494">
        <v>1.0715038785834741</v>
      </c>
    </row>
    <row r="93" spans="2:37">
      <c r="B93" s="541"/>
      <c r="C93" s="496" t="s">
        <v>353</v>
      </c>
      <c r="D93" s="29" t="s">
        <v>290</v>
      </c>
      <c r="E93" s="491">
        <v>2404000</v>
      </c>
      <c r="F93" s="275">
        <v>2351558.0736477291</v>
      </c>
      <c r="G93" s="275">
        <v>1.0223009276019805</v>
      </c>
      <c r="H93" s="491">
        <v>2828714.68</v>
      </c>
      <c r="I93" s="491">
        <v>2767000</v>
      </c>
      <c r="J93" s="494">
        <v>1.0223038236357067</v>
      </c>
      <c r="K93" s="418">
        <v>2828714.68</v>
      </c>
      <c r="L93" s="418">
        <v>2797000</v>
      </c>
      <c r="M93" s="494">
        <v>1.011338820164462</v>
      </c>
      <c r="N93" s="418">
        <v>2828714.68</v>
      </c>
      <c r="O93" s="418">
        <v>2965000</v>
      </c>
      <c r="P93" s="494">
        <v>0.95403530522765601</v>
      </c>
    </row>
    <row r="94" spans="2:37">
      <c r="B94" s="484">
        <v>5</v>
      </c>
      <c r="C94" s="497" t="s">
        <v>354</v>
      </c>
      <c r="D94" s="498" t="s">
        <v>290</v>
      </c>
      <c r="E94" s="492">
        <v>2050000</v>
      </c>
      <c r="F94" s="489">
        <v>2132294.6175576989</v>
      </c>
      <c r="G94" s="489">
        <v>0.96140560648605011</v>
      </c>
      <c r="H94" s="492">
        <v>2412173.5</v>
      </c>
      <c r="I94" s="492">
        <v>2509000</v>
      </c>
      <c r="J94" s="495">
        <v>0.96140833001195691</v>
      </c>
      <c r="K94" s="490">
        <v>2412173.5</v>
      </c>
      <c r="L94" s="490">
        <v>2548000</v>
      </c>
      <c r="M94" s="495">
        <v>0.94669289638932497</v>
      </c>
      <c r="N94" s="490">
        <v>2412173.5</v>
      </c>
      <c r="O94" s="490">
        <v>2685000</v>
      </c>
      <c r="P94" s="495">
        <v>0.89838864059590318</v>
      </c>
    </row>
    <row r="95" spans="2:37">
      <c r="B95" s="540">
        <v>4</v>
      </c>
      <c r="C95" s="496" t="s">
        <v>355</v>
      </c>
      <c r="D95" s="29" t="s">
        <v>290</v>
      </c>
      <c r="E95" s="491">
        <v>1951000</v>
      </c>
      <c r="F95" s="275">
        <v>1948725.2124590687</v>
      </c>
      <c r="G95" s="275">
        <v>1.0011673208343523</v>
      </c>
      <c r="H95" s="491">
        <v>2295683.1700000004</v>
      </c>
      <c r="I95" s="491">
        <v>2293000</v>
      </c>
      <c r="J95" s="494">
        <v>1.0011701569995641</v>
      </c>
      <c r="K95" s="418">
        <v>2295683.1700000004</v>
      </c>
      <c r="L95" s="418">
        <v>2339000</v>
      </c>
      <c r="M95" s="494">
        <v>0.98148061992304425</v>
      </c>
      <c r="N95" s="418">
        <v>2295683.1700000004</v>
      </c>
      <c r="O95" s="418">
        <v>2450000</v>
      </c>
      <c r="P95" s="494">
        <v>0.93701353877551041</v>
      </c>
    </row>
    <row r="96" spans="2:37">
      <c r="B96" s="541"/>
      <c r="C96" s="496" t="s">
        <v>356</v>
      </c>
      <c r="D96" s="29" t="s">
        <v>290</v>
      </c>
      <c r="E96" s="491">
        <v>1951000</v>
      </c>
      <c r="F96" s="275">
        <v>1948725.2124590687</v>
      </c>
      <c r="G96" s="275">
        <v>1.0011673208343523</v>
      </c>
      <c r="H96" s="491">
        <v>2295683.1700000004</v>
      </c>
      <c r="I96" s="491">
        <v>2293000</v>
      </c>
      <c r="J96" s="494">
        <v>1.0011701569995641</v>
      </c>
      <c r="K96" s="418">
        <v>2295683.1700000004</v>
      </c>
      <c r="L96" s="418">
        <v>2339000</v>
      </c>
      <c r="M96" s="494">
        <v>0.98148061992304425</v>
      </c>
      <c r="N96" s="418">
        <v>2295683.1700000004</v>
      </c>
      <c r="O96" s="418">
        <v>2450000</v>
      </c>
      <c r="P96" s="494">
        <v>0.93701353877551041</v>
      </c>
    </row>
    <row r="97" spans="2:16">
      <c r="B97" s="486">
        <v>3</v>
      </c>
      <c r="C97" s="542" t="s">
        <v>910</v>
      </c>
      <c r="D97" s="29" t="s">
        <v>909</v>
      </c>
      <c r="E97" s="275"/>
      <c r="F97" s="275">
        <v>1782152.9744992005</v>
      </c>
      <c r="G97" s="275">
        <v>0</v>
      </c>
      <c r="H97" s="491" t="e">
        <v>#DIV/0!</v>
      </c>
      <c r="I97" s="491">
        <v>2097000</v>
      </c>
      <c r="J97" s="494" t="e">
        <v>#DIV/0!</v>
      </c>
      <c r="K97" s="418" t="e">
        <v>#DIV/0!</v>
      </c>
      <c r="L97" s="418">
        <v>2150000</v>
      </c>
      <c r="M97" s="494" t="e">
        <v>#DIV/0!</v>
      </c>
      <c r="N97" s="418" t="e">
        <v>#DIV/0!</v>
      </c>
      <c r="O97" s="418">
        <v>2237000</v>
      </c>
      <c r="P97" s="494" t="e">
        <v>#DIV/0!</v>
      </c>
    </row>
    <row r="98" spans="2:16">
      <c r="B98" s="486">
        <v>2</v>
      </c>
      <c r="C98" s="543" t="s">
        <v>910</v>
      </c>
      <c r="D98" s="29" t="s">
        <v>909</v>
      </c>
      <c r="E98" s="275"/>
      <c r="F98" s="275">
        <v>1641926.3456044137</v>
      </c>
      <c r="G98" s="275">
        <v>0</v>
      </c>
      <c r="H98" s="491" t="e">
        <v>#DIV/0!</v>
      </c>
      <c r="I98" s="491">
        <v>1932000</v>
      </c>
      <c r="J98" s="494" t="e">
        <v>#DIV/0!</v>
      </c>
      <c r="K98" s="418" t="e">
        <v>#DIV/0!</v>
      </c>
      <c r="L98" s="418">
        <v>1990000</v>
      </c>
      <c r="M98" s="494" t="e">
        <v>#DIV/0!</v>
      </c>
      <c r="N98" s="418" t="e">
        <v>#DIV/0!</v>
      </c>
      <c r="O98" s="418">
        <v>2058000</v>
      </c>
      <c r="P98" s="494" t="e">
        <v>#DIV/0!</v>
      </c>
    </row>
    <row r="99" spans="2:16">
      <c r="B99" s="486">
        <v>1</v>
      </c>
      <c r="C99" s="543" t="s">
        <v>910</v>
      </c>
      <c r="D99" s="29" t="s">
        <v>909</v>
      </c>
      <c r="E99" s="275"/>
      <c r="F99" s="275">
        <v>1518696.8838483889</v>
      </c>
      <c r="G99" s="275">
        <v>0</v>
      </c>
      <c r="H99" s="491" t="e">
        <v>#DIV/0!</v>
      </c>
      <c r="I99" s="491">
        <v>1787000</v>
      </c>
      <c r="J99" s="494" t="e">
        <v>#DIV/0!</v>
      </c>
      <c r="K99" s="418" t="e">
        <v>#DIV/0!</v>
      </c>
      <c r="L99" s="418">
        <v>1851000</v>
      </c>
      <c r="M99" s="494" t="e">
        <v>#DIV/0!</v>
      </c>
      <c r="N99" s="418" t="e">
        <v>#DIV/0!</v>
      </c>
      <c r="O99" s="418">
        <v>1901000</v>
      </c>
      <c r="P99" s="494" t="e">
        <v>#DIV/0!</v>
      </c>
    </row>
    <row r="100" spans="2:16" ht="14.4">
      <c r="B100"/>
      <c r="C100"/>
      <c r="D100"/>
      <c r="E100"/>
      <c r="F100"/>
      <c r="G100" s="7"/>
      <c r="H100"/>
      <c r="I100"/>
      <c r="J100" s="7"/>
      <c r="K100"/>
      <c r="L100"/>
      <c r="M100" s="7"/>
      <c r="N100"/>
    </row>
    <row r="101" spans="2:16" ht="14.4">
      <c r="B101"/>
      <c r="C101"/>
      <c r="D101"/>
      <c r="E101"/>
      <c r="F101"/>
      <c r="G101" s="7"/>
      <c r="H101"/>
      <c r="I101"/>
      <c r="J101" s="7"/>
      <c r="K101"/>
      <c r="L101"/>
      <c r="M101" s="7"/>
      <c r="N101"/>
    </row>
    <row r="102" spans="2:16" ht="14.4">
      <c r="B102"/>
      <c r="C102"/>
      <c r="D102"/>
      <c r="E102"/>
      <c r="F102"/>
      <c r="G102" s="7"/>
      <c r="H102"/>
      <c r="I102"/>
      <c r="J102" s="7"/>
      <c r="K102"/>
      <c r="L102"/>
      <c r="M102" s="7"/>
      <c r="N102"/>
    </row>
    <row r="103" spans="2:16" ht="14.4">
      <c r="B103"/>
      <c r="C103"/>
      <c r="D103"/>
      <c r="E103"/>
      <c r="F103"/>
      <c r="G103" s="7"/>
      <c r="H103"/>
      <c r="I103"/>
      <c r="J103" s="7"/>
      <c r="K103"/>
      <c r="L103"/>
      <c r="M103" s="7"/>
      <c r="N103"/>
    </row>
    <row r="104" spans="2:16" ht="14.4">
      <c r="B104"/>
      <c r="C104"/>
      <c r="D104"/>
      <c r="E104"/>
      <c r="F104"/>
      <c r="G104" s="7"/>
      <c r="H104"/>
      <c r="I104"/>
      <c r="J104" s="7"/>
      <c r="K104"/>
      <c r="L104"/>
      <c r="M104" s="7"/>
      <c r="N104"/>
    </row>
    <row r="105" spans="2:16" ht="14.4">
      <c r="B105"/>
      <c r="C105"/>
      <c r="D105"/>
      <c r="E105"/>
      <c r="F105"/>
      <c r="G105" s="7"/>
      <c r="H105"/>
      <c r="I105"/>
      <c r="J105" s="7"/>
      <c r="K105"/>
      <c r="L105"/>
      <c r="M105" s="7"/>
      <c r="N105"/>
    </row>
    <row r="106" spans="2:16" ht="14.4">
      <c r="B106"/>
      <c r="C106"/>
      <c r="D106"/>
      <c r="E106"/>
      <c r="F106"/>
      <c r="G106" s="7"/>
      <c r="H106"/>
      <c r="I106"/>
      <c r="J106" s="7"/>
      <c r="K106"/>
      <c r="L106"/>
      <c r="M106" s="7"/>
      <c r="N106"/>
    </row>
    <row r="107" spans="2:16" ht="14.4">
      <c r="B107"/>
      <c r="C107"/>
      <c r="D107"/>
      <c r="E107"/>
      <c r="F107"/>
      <c r="G107" s="7"/>
      <c r="H107"/>
      <c r="I107"/>
      <c r="J107" s="7"/>
      <c r="K107"/>
      <c r="L107"/>
      <c r="M107" s="7"/>
      <c r="N107"/>
    </row>
    <row r="108" spans="2:16" ht="14.4">
      <c r="B108"/>
      <c r="C108"/>
      <c r="D108"/>
      <c r="E108"/>
      <c r="F108"/>
      <c r="G108" s="7"/>
      <c r="H108"/>
      <c r="I108"/>
      <c r="J108" s="7"/>
      <c r="K108"/>
      <c r="L108"/>
      <c r="M108" s="7"/>
      <c r="N108"/>
    </row>
    <row r="109" spans="2:16" ht="14.4">
      <c r="B109"/>
      <c r="C109"/>
      <c r="D109"/>
      <c r="E109"/>
      <c r="F109"/>
      <c r="G109" s="7"/>
      <c r="H109"/>
      <c r="I109"/>
      <c r="J109" s="7"/>
      <c r="K109"/>
      <c r="L109"/>
      <c r="M109" s="7"/>
      <c r="N109"/>
    </row>
    <row r="110" spans="2:16" ht="14.4">
      <c r="B110"/>
      <c r="C110"/>
      <c r="D110"/>
      <c r="E110"/>
      <c r="F110"/>
      <c r="G110" s="7"/>
      <c r="H110"/>
      <c r="I110"/>
      <c r="J110" s="7"/>
      <c r="K110"/>
      <c r="L110"/>
      <c r="M110" s="7"/>
      <c r="N110"/>
    </row>
    <row r="111" spans="2:16" ht="14.4">
      <c r="B111"/>
      <c r="C111"/>
      <c r="D111"/>
      <c r="E111"/>
      <c r="F111"/>
      <c r="G111" s="7"/>
      <c r="H111"/>
      <c r="I111"/>
      <c r="J111" s="7"/>
      <c r="K111"/>
      <c r="L111"/>
      <c r="M111" s="7"/>
      <c r="N111"/>
    </row>
    <row r="112" spans="2:16" ht="14.4">
      <c r="B112"/>
      <c r="C112"/>
      <c r="D112"/>
      <c r="E112"/>
      <c r="F112"/>
      <c r="G112" s="7"/>
      <c r="H112"/>
      <c r="I112"/>
      <c r="J112" s="7"/>
      <c r="K112"/>
      <c r="L112"/>
      <c r="M112" s="7"/>
      <c r="N112"/>
    </row>
    <row r="113" spans="2:14" ht="14.4">
      <c r="B113"/>
      <c r="C113"/>
      <c r="D113"/>
      <c r="E113"/>
      <c r="F113"/>
      <c r="G113" s="7"/>
      <c r="H113"/>
      <c r="I113"/>
      <c r="J113" s="7"/>
      <c r="K113"/>
      <c r="L113"/>
      <c r="M113" s="7"/>
      <c r="N113"/>
    </row>
    <row r="114" spans="2:14" ht="14.4">
      <c r="B114"/>
      <c r="C114"/>
      <c r="D114"/>
      <c r="E114"/>
      <c r="F114"/>
      <c r="G114" s="7"/>
      <c r="H114"/>
      <c r="I114"/>
      <c r="J114" s="7"/>
      <c r="K114"/>
      <c r="L114"/>
      <c r="M114" s="7"/>
      <c r="N114"/>
    </row>
    <row r="115" spans="2:14" ht="14.4">
      <c r="B115"/>
      <c r="C115"/>
      <c r="D115"/>
      <c r="E115"/>
      <c r="F115"/>
      <c r="G115" s="7"/>
      <c r="H115"/>
      <c r="I115"/>
      <c r="J115" s="7"/>
      <c r="K115"/>
      <c r="L115"/>
      <c r="M115" s="7"/>
      <c r="N115"/>
    </row>
    <row r="116" spans="2:14" ht="14.4">
      <c r="B116"/>
      <c r="C116"/>
      <c r="D116"/>
      <c r="E116"/>
      <c r="F116"/>
      <c r="G116" s="7"/>
      <c r="H116"/>
      <c r="I116"/>
      <c r="J116" s="7"/>
      <c r="K116"/>
      <c r="L116"/>
      <c r="M116" s="7"/>
      <c r="N116"/>
    </row>
    <row r="117" spans="2:14" ht="14.4">
      <c r="B117"/>
      <c r="C117"/>
      <c r="D117"/>
      <c r="E117"/>
      <c r="F117"/>
      <c r="G117" s="7"/>
      <c r="H117"/>
      <c r="I117"/>
      <c r="J117" s="7"/>
      <c r="K117"/>
      <c r="L117"/>
      <c r="M117" s="7"/>
      <c r="N117"/>
    </row>
    <row r="118" spans="2:14" ht="14.4">
      <c r="B118"/>
      <c r="C118"/>
      <c r="D118"/>
      <c r="E118"/>
      <c r="F118"/>
      <c r="G118" s="7"/>
      <c r="H118"/>
      <c r="I118"/>
      <c r="J118" s="7"/>
      <c r="K118"/>
      <c r="L118"/>
      <c r="M118" s="7"/>
      <c r="N118"/>
    </row>
    <row r="119" spans="2:14" ht="14.4">
      <c r="B119"/>
      <c r="C119"/>
      <c r="D119"/>
      <c r="E119"/>
      <c r="F119"/>
      <c r="G119" s="7"/>
      <c r="H119"/>
      <c r="I119"/>
      <c r="J119" s="7"/>
      <c r="K119"/>
      <c r="L119"/>
      <c r="M119" s="7"/>
      <c r="N119"/>
    </row>
    <row r="120" spans="2:14" ht="14.4">
      <c r="B120"/>
      <c r="C120"/>
      <c r="D120"/>
      <c r="E120"/>
      <c r="F120"/>
      <c r="G120" s="7"/>
      <c r="H120"/>
      <c r="I120"/>
      <c r="J120" s="7"/>
      <c r="K120"/>
      <c r="L120"/>
      <c r="M120" s="7"/>
      <c r="N120"/>
    </row>
    <row r="121" spans="2:14" ht="14.4">
      <c r="B121"/>
      <c r="C121"/>
      <c r="D121"/>
      <c r="E121"/>
      <c r="F121"/>
      <c r="G121" s="7"/>
      <c r="H121"/>
      <c r="I121"/>
      <c r="J121" s="7"/>
      <c r="K121"/>
      <c r="L121"/>
      <c r="M121" s="7"/>
      <c r="N121"/>
    </row>
    <row r="122" spans="2:14" ht="14.4">
      <c r="B122"/>
      <c r="C122"/>
      <c r="D122"/>
      <c r="E122"/>
      <c r="F122"/>
      <c r="G122" s="7"/>
      <c r="H122"/>
      <c r="I122"/>
      <c r="J122" s="7"/>
      <c r="K122"/>
      <c r="L122"/>
      <c r="M122" s="7"/>
      <c r="N122"/>
    </row>
    <row r="123" spans="2:14" ht="14.4">
      <c r="B123"/>
      <c r="C123"/>
      <c r="D123"/>
      <c r="E123"/>
      <c r="F123"/>
      <c r="G123" s="7"/>
      <c r="H123"/>
      <c r="I123"/>
      <c r="J123" s="7"/>
      <c r="K123"/>
      <c r="L123"/>
      <c r="M123" s="7"/>
      <c r="N123"/>
    </row>
    <row r="124" spans="2:14" ht="14.4">
      <c r="B124"/>
      <c r="C124"/>
      <c r="D124"/>
      <c r="E124"/>
      <c r="F124"/>
      <c r="G124" s="7"/>
      <c r="H124"/>
      <c r="I124"/>
      <c r="J124" s="7"/>
      <c r="K124"/>
      <c r="L124"/>
      <c r="M124" s="7"/>
      <c r="N124"/>
    </row>
    <row r="125" spans="2:14" ht="14.4">
      <c r="B125"/>
      <c r="C125"/>
      <c r="D125"/>
      <c r="E125"/>
      <c r="F125"/>
      <c r="G125" s="7"/>
      <c r="H125"/>
      <c r="I125"/>
      <c r="J125" s="7"/>
      <c r="K125"/>
      <c r="L125"/>
      <c r="M125" s="7"/>
      <c r="N125"/>
    </row>
    <row r="126" spans="2:14" ht="14.4">
      <c r="B126"/>
      <c r="C126"/>
      <c r="D126"/>
      <c r="E126"/>
      <c r="F126"/>
      <c r="G126" s="7"/>
      <c r="H126"/>
      <c r="I126"/>
      <c r="J126" s="7"/>
      <c r="K126"/>
      <c r="L126"/>
      <c r="M126" s="7"/>
      <c r="N126"/>
    </row>
    <row r="127" spans="2:14" ht="14.4">
      <c r="B127"/>
      <c r="C127"/>
      <c r="D127"/>
      <c r="E127"/>
      <c r="F127"/>
      <c r="G127" s="7"/>
      <c r="H127"/>
      <c r="I127"/>
      <c r="J127" s="7"/>
      <c r="K127"/>
      <c r="L127"/>
      <c r="M127" s="7"/>
      <c r="N127"/>
    </row>
    <row r="128" spans="2:14" ht="14.4">
      <c r="B128"/>
      <c r="C128"/>
      <c r="D128"/>
      <c r="E128"/>
      <c r="F128"/>
      <c r="G128" s="7"/>
      <c r="H128"/>
      <c r="I128"/>
      <c r="J128" s="7"/>
      <c r="K128"/>
      <c r="L128"/>
      <c r="M128" s="7"/>
      <c r="N128"/>
    </row>
    <row r="129" spans="2:14" ht="14.4">
      <c r="B129"/>
      <c r="C129"/>
      <c r="D129"/>
      <c r="E129"/>
      <c r="F129"/>
      <c r="G129" s="7"/>
      <c r="H129"/>
      <c r="I129"/>
      <c r="J129" s="7"/>
      <c r="K129"/>
      <c r="L129"/>
      <c r="M129" s="7"/>
      <c r="N129"/>
    </row>
    <row r="130" spans="2:14" ht="14.4">
      <c r="B130"/>
      <c r="C130"/>
      <c r="D130"/>
      <c r="E130"/>
      <c r="F130"/>
      <c r="G130" s="7"/>
      <c r="H130"/>
      <c r="I130"/>
      <c r="J130" s="7"/>
      <c r="K130"/>
      <c r="L130"/>
      <c r="M130" s="7"/>
      <c r="N130"/>
    </row>
    <row r="131" spans="2:14" ht="14.4">
      <c r="B131"/>
      <c r="C131"/>
      <c r="D131"/>
      <c r="E131"/>
      <c r="F131"/>
      <c r="G131" s="7"/>
      <c r="H131"/>
      <c r="I131"/>
      <c r="J131" s="7"/>
      <c r="K131"/>
      <c r="L131"/>
      <c r="M131" s="7"/>
      <c r="N131"/>
    </row>
    <row r="132" spans="2:14" ht="14.4">
      <c r="B132"/>
      <c r="C132"/>
      <c r="D132"/>
      <c r="E132"/>
      <c r="F132"/>
      <c r="G132" s="7"/>
      <c r="H132"/>
      <c r="I132"/>
      <c r="J132" s="7"/>
      <c r="K132"/>
      <c r="L132"/>
      <c r="M132" s="7"/>
      <c r="N132"/>
    </row>
    <row r="133" spans="2:14" ht="14.4">
      <c r="B133"/>
      <c r="C133"/>
      <c r="D133"/>
      <c r="E133"/>
      <c r="F133"/>
      <c r="G133" s="7"/>
      <c r="H133"/>
      <c r="I133"/>
      <c r="J133" s="7"/>
      <c r="K133"/>
      <c r="L133"/>
      <c r="M133" s="7"/>
      <c r="N133"/>
    </row>
    <row r="134" spans="2:14" ht="14.4">
      <c r="B134"/>
      <c r="C134"/>
      <c r="D134"/>
      <c r="E134"/>
      <c r="F134"/>
      <c r="G134" s="7"/>
      <c r="H134"/>
      <c r="I134"/>
      <c r="J134" s="7"/>
      <c r="K134"/>
      <c r="L134"/>
      <c r="M134" s="7"/>
      <c r="N134"/>
    </row>
    <row r="135" spans="2:14" ht="14.4">
      <c r="B135"/>
      <c r="C135"/>
      <c r="D135"/>
      <c r="E135"/>
      <c r="F135"/>
      <c r="G135" s="7"/>
      <c r="H135"/>
      <c r="I135"/>
      <c r="J135" s="7"/>
      <c r="K135"/>
      <c r="L135"/>
      <c r="M135" s="7"/>
      <c r="N135"/>
    </row>
    <row r="136" spans="2:14" ht="14.4">
      <c r="B136"/>
      <c r="C136"/>
      <c r="D136"/>
      <c r="E136"/>
      <c r="F136"/>
      <c r="G136" s="7"/>
      <c r="H136"/>
      <c r="I136"/>
      <c r="J136" s="7"/>
      <c r="K136"/>
      <c r="L136"/>
      <c r="M136" s="7"/>
      <c r="N136"/>
    </row>
    <row r="137" spans="2:14" ht="14.4">
      <c r="B137"/>
      <c r="C137"/>
      <c r="D137"/>
      <c r="E137"/>
      <c r="F137"/>
      <c r="G137" s="7"/>
      <c r="H137"/>
      <c r="I137"/>
      <c r="J137" s="7"/>
      <c r="K137"/>
      <c r="L137"/>
      <c r="M137" s="7"/>
      <c r="N137"/>
    </row>
    <row r="138" spans="2:14" ht="14.4">
      <c r="B138"/>
      <c r="C138"/>
      <c r="D138"/>
      <c r="E138"/>
      <c r="F138"/>
      <c r="G138" s="7"/>
      <c r="H138"/>
      <c r="I138"/>
      <c r="J138" s="7"/>
      <c r="K138"/>
      <c r="L138"/>
      <c r="M138" s="7"/>
      <c r="N138"/>
    </row>
    <row r="139" spans="2:14" ht="14.4">
      <c r="B139"/>
      <c r="C139"/>
      <c r="D139"/>
      <c r="E139"/>
      <c r="F139"/>
      <c r="G139" s="7"/>
      <c r="H139"/>
      <c r="I139"/>
      <c r="J139" s="7"/>
      <c r="K139"/>
      <c r="L139"/>
      <c r="M139" s="7"/>
      <c r="N139"/>
    </row>
    <row r="140" spans="2:14" ht="14.4">
      <c r="B140"/>
      <c r="C140"/>
      <c r="D140"/>
      <c r="E140"/>
      <c r="F140"/>
      <c r="G140" s="7"/>
      <c r="H140"/>
      <c r="I140"/>
      <c r="J140" s="7"/>
      <c r="K140"/>
      <c r="L140"/>
      <c r="M140" s="7"/>
      <c r="N140"/>
    </row>
    <row r="141" spans="2:14" ht="14.4">
      <c r="B141"/>
      <c r="C141"/>
      <c r="D141"/>
      <c r="E141"/>
      <c r="F141"/>
      <c r="G141" s="7"/>
      <c r="H141"/>
      <c r="I141"/>
      <c r="J141" s="7"/>
      <c r="K141"/>
      <c r="L141"/>
      <c r="M141" s="7"/>
      <c r="N141"/>
    </row>
    <row r="142" spans="2:14" ht="14.4">
      <c r="B142"/>
      <c r="C142"/>
      <c r="D142"/>
      <c r="E142"/>
      <c r="F142"/>
      <c r="G142" s="7"/>
      <c r="H142"/>
      <c r="I142"/>
      <c r="J142" s="7"/>
      <c r="K142"/>
      <c r="L142"/>
      <c r="M142" s="7"/>
      <c r="N142"/>
    </row>
    <row r="143" spans="2:14" ht="14.4">
      <c r="B143"/>
      <c r="C143"/>
      <c r="D143"/>
      <c r="E143"/>
      <c r="F143"/>
      <c r="G143" s="7"/>
      <c r="H143"/>
      <c r="I143"/>
      <c r="J143" s="7"/>
      <c r="K143"/>
      <c r="L143"/>
      <c r="M143" s="7"/>
      <c r="N143"/>
    </row>
    <row r="144" spans="2:14" ht="14.4">
      <c r="B144"/>
      <c r="C144"/>
      <c r="D144"/>
      <c r="E144"/>
      <c r="F144"/>
      <c r="G144" s="7"/>
      <c r="H144"/>
      <c r="I144"/>
      <c r="J144" s="7"/>
      <c r="K144"/>
      <c r="L144"/>
      <c r="M144" s="7"/>
      <c r="N144"/>
    </row>
    <row r="145" spans="2:14" ht="14.4">
      <c r="B145"/>
      <c r="C145"/>
      <c r="D145"/>
      <c r="E145"/>
      <c r="F145"/>
      <c r="G145" s="7"/>
      <c r="H145"/>
      <c r="I145"/>
      <c r="J145" s="7"/>
      <c r="K145"/>
      <c r="L145"/>
      <c r="M145" s="7"/>
      <c r="N145"/>
    </row>
    <row r="146" spans="2:14" ht="14.4">
      <c r="B146"/>
      <c r="C146"/>
      <c r="D146"/>
      <c r="E146"/>
      <c r="F146"/>
      <c r="G146" s="7"/>
      <c r="H146"/>
      <c r="I146"/>
      <c r="J146" s="7"/>
      <c r="K146"/>
      <c r="L146"/>
      <c r="M146" s="7"/>
      <c r="N146"/>
    </row>
    <row r="147" spans="2:14" ht="14.4">
      <c r="B147"/>
      <c r="C147"/>
      <c r="D147"/>
      <c r="E147"/>
      <c r="F147"/>
      <c r="G147" s="7"/>
      <c r="H147"/>
      <c r="I147"/>
      <c r="J147" s="7"/>
      <c r="K147"/>
      <c r="L147"/>
      <c r="M147" s="7"/>
      <c r="N147"/>
    </row>
    <row r="148" spans="2:14" ht="14.4">
      <c r="B148"/>
      <c r="C148"/>
      <c r="D148"/>
      <c r="E148"/>
      <c r="F148"/>
      <c r="G148" s="7"/>
      <c r="H148"/>
      <c r="I148"/>
      <c r="J148" s="7"/>
      <c r="K148"/>
      <c r="L148"/>
      <c r="M148" s="7"/>
      <c r="N148"/>
    </row>
    <row r="149" spans="2:14" ht="14.4">
      <c r="B149"/>
      <c r="C149"/>
      <c r="D149"/>
      <c r="E149"/>
      <c r="F149"/>
      <c r="G149" s="7"/>
      <c r="H149"/>
      <c r="I149"/>
      <c r="J149" s="7"/>
      <c r="K149"/>
      <c r="L149"/>
      <c r="M149" s="7"/>
      <c r="N149"/>
    </row>
    <row r="150" spans="2:14" ht="14.4">
      <c r="B150"/>
      <c r="C150"/>
      <c r="D150"/>
      <c r="E150"/>
      <c r="F150"/>
      <c r="G150" s="7"/>
      <c r="H150"/>
      <c r="I150"/>
      <c r="J150" s="7"/>
      <c r="K150"/>
      <c r="L150"/>
      <c r="M150" s="7"/>
      <c r="N150"/>
    </row>
    <row r="151" spans="2:14" ht="14.4">
      <c r="B151"/>
      <c r="C151"/>
      <c r="D151"/>
      <c r="E151"/>
      <c r="F151"/>
      <c r="G151" s="7"/>
      <c r="H151"/>
      <c r="I151"/>
      <c r="J151" s="7"/>
      <c r="K151"/>
      <c r="L151"/>
      <c r="M151" s="7"/>
      <c r="N151"/>
    </row>
    <row r="152" spans="2:14" ht="14.4">
      <c r="B152"/>
      <c r="C152"/>
      <c r="D152"/>
      <c r="E152"/>
      <c r="F152"/>
      <c r="G152" s="7"/>
      <c r="H152"/>
      <c r="I152"/>
      <c r="J152" s="7"/>
      <c r="K152"/>
      <c r="L152"/>
      <c r="M152" s="7"/>
      <c r="N152"/>
    </row>
    <row r="153" spans="2:14" ht="14.4">
      <c r="B153"/>
      <c r="C153"/>
      <c r="D153"/>
      <c r="E153"/>
      <c r="F153"/>
      <c r="G153" s="7"/>
      <c r="H153"/>
      <c r="I153"/>
      <c r="J153" s="7"/>
      <c r="K153"/>
      <c r="L153"/>
      <c r="M153" s="7"/>
      <c r="N153"/>
    </row>
    <row r="154" spans="2:14" ht="14.4">
      <c r="B154"/>
      <c r="C154"/>
      <c r="D154"/>
      <c r="E154"/>
      <c r="F154"/>
      <c r="G154" s="7"/>
      <c r="H154"/>
      <c r="I154"/>
      <c r="J154" s="7"/>
      <c r="K154"/>
      <c r="L154"/>
      <c r="M154" s="7"/>
      <c r="N154"/>
    </row>
    <row r="155" spans="2:14" ht="14.4">
      <c r="B155"/>
      <c r="C155"/>
      <c r="D155"/>
      <c r="E155"/>
      <c r="F155"/>
      <c r="G155" s="7"/>
      <c r="H155"/>
      <c r="I155"/>
      <c r="J155" s="7"/>
      <c r="K155"/>
      <c r="L155"/>
      <c r="M155" s="7"/>
      <c r="N155"/>
    </row>
    <row r="156" spans="2:14" ht="14.4">
      <c r="B156"/>
      <c r="C156"/>
      <c r="D156"/>
      <c r="E156"/>
      <c r="F156"/>
      <c r="G156" s="7"/>
      <c r="H156"/>
      <c r="I156"/>
      <c r="J156" s="7"/>
      <c r="K156"/>
      <c r="L156"/>
      <c r="M156" s="7"/>
      <c r="N156"/>
    </row>
    <row r="157" spans="2:14" ht="14.4">
      <c r="B157"/>
      <c r="C157"/>
      <c r="D157"/>
      <c r="E157"/>
      <c r="F157"/>
      <c r="G157" s="7"/>
      <c r="H157"/>
      <c r="I157"/>
      <c r="J157" s="7"/>
      <c r="K157"/>
      <c r="L157"/>
      <c r="M157" s="7"/>
      <c r="N157"/>
    </row>
    <row r="158" spans="2:14" ht="14.4">
      <c r="B158"/>
      <c r="C158"/>
      <c r="D158"/>
      <c r="E158"/>
      <c r="F158"/>
      <c r="G158" s="7"/>
      <c r="H158"/>
      <c r="I158"/>
      <c r="J158" s="7"/>
      <c r="K158"/>
      <c r="L158"/>
      <c r="M158" s="7"/>
      <c r="N158"/>
    </row>
    <row r="159" spans="2:14" ht="14.4">
      <c r="B159"/>
      <c r="C159"/>
      <c r="D159"/>
      <c r="E159"/>
      <c r="F159"/>
      <c r="G159" s="7"/>
      <c r="H159"/>
      <c r="I159"/>
      <c r="J159" s="7"/>
      <c r="K159"/>
      <c r="L159"/>
      <c r="M159" s="7"/>
      <c r="N159"/>
    </row>
    <row r="160" spans="2:14" ht="14.4">
      <c r="B160"/>
      <c r="C160"/>
      <c r="D160"/>
      <c r="E160"/>
      <c r="F160"/>
      <c r="G160" s="7"/>
      <c r="H160"/>
      <c r="I160"/>
      <c r="J160" s="7"/>
      <c r="K160"/>
      <c r="L160"/>
      <c r="M160" s="7"/>
      <c r="N160"/>
    </row>
    <row r="161" spans="2:14" ht="14.4">
      <c r="B161"/>
      <c r="C161"/>
      <c r="D161"/>
      <c r="E161"/>
      <c r="F161"/>
      <c r="G161" s="7"/>
      <c r="H161"/>
      <c r="I161"/>
      <c r="J161" s="7"/>
      <c r="K161"/>
      <c r="L161"/>
      <c r="M161" s="7"/>
      <c r="N161"/>
    </row>
    <row r="162" spans="2:14" ht="14.4">
      <c r="B162"/>
      <c r="C162"/>
      <c r="D162"/>
      <c r="E162"/>
      <c r="F162"/>
      <c r="G162" s="7"/>
      <c r="H162"/>
      <c r="I162"/>
      <c r="J162" s="7"/>
      <c r="K162"/>
      <c r="L162"/>
      <c r="M162" s="7"/>
      <c r="N162"/>
    </row>
    <row r="163" spans="2:14" ht="14.4">
      <c r="B163"/>
      <c r="C163"/>
      <c r="D163"/>
      <c r="E163"/>
      <c r="F163"/>
      <c r="G163" s="7"/>
      <c r="H163"/>
      <c r="I163"/>
      <c r="J163" s="7"/>
      <c r="K163"/>
      <c r="L163"/>
      <c r="M163" s="7"/>
      <c r="N163"/>
    </row>
    <row r="164" spans="2:14" ht="14.4">
      <c r="B164"/>
      <c r="C164"/>
      <c r="D164"/>
      <c r="E164"/>
      <c r="F164"/>
      <c r="G164" s="7"/>
      <c r="H164"/>
      <c r="I164"/>
      <c r="J164" s="7"/>
      <c r="K164"/>
      <c r="L164"/>
      <c r="M164" s="7"/>
      <c r="N164"/>
    </row>
    <row r="165" spans="2:14" ht="14.4">
      <c r="B165"/>
      <c r="C165"/>
      <c r="D165"/>
      <c r="E165"/>
      <c r="F165"/>
      <c r="G165" s="7"/>
      <c r="H165"/>
      <c r="I165"/>
      <c r="J165" s="7"/>
      <c r="K165"/>
      <c r="L165"/>
      <c r="M165" s="7"/>
      <c r="N165"/>
    </row>
    <row r="166" spans="2:14" ht="14.4">
      <c r="B166"/>
      <c r="C166"/>
      <c r="D166"/>
      <c r="E166"/>
      <c r="F166"/>
      <c r="G166" s="7"/>
      <c r="H166"/>
      <c r="I166"/>
      <c r="J166" s="7"/>
      <c r="K166"/>
      <c r="L166"/>
      <c r="M166" s="7"/>
      <c r="N166"/>
    </row>
    <row r="167" spans="2:14" ht="14.4">
      <c r="B167"/>
      <c r="C167"/>
      <c r="D167"/>
      <c r="E167"/>
      <c r="F167"/>
      <c r="G167" s="7"/>
      <c r="H167"/>
      <c r="I167"/>
      <c r="J167" s="7"/>
      <c r="K167"/>
      <c r="L167"/>
      <c r="M167" s="7"/>
      <c r="N167"/>
    </row>
    <row r="168" spans="2:14" ht="14.4">
      <c r="B168"/>
      <c r="C168"/>
      <c r="D168"/>
      <c r="E168"/>
      <c r="F168"/>
      <c r="G168" s="7"/>
      <c r="H168"/>
      <c r="I168"/>
      <c r="J168" s="7"/>
      <c r="K168"/>
      <c r="L168"/>
      <c r="M168" s="7"/>
      <c r="N168"/>
    </row>
    <row r="169" spans="2:14" ht="14.4">
      <c r="B169"/>
      <c r="C169"/>
      <c r="D169"/>
      <c r="E169"/>
      <c r="F169"/>
      <c r="G169" s="7"/>
      <c r="H169"/>
      <c r="I169"/>
      <c r="J169" s="7"/>
      <c r="K169"/>
      <c r="L169"/>
      <c r="M169" s="7"/>
      <c r="N169"/>
    </row>
    <row r="170" spans="2:14">
      <c r="B170" s="276"/>
      <c r="C170" s="276"/>
      <c r="D170" s="276"/>
      <c r="E170" s="419"/>
      <c r="G170" s="472"/>
      <c r="J170" s="472"/>
      <c r="M170" s="472"/>
    </row>
    <row r="171" spans="2:14">
      <c r="B171" s="276"/>
      <c r="C171" s="276"/>
      <c r="D171" s="276"/>
      <c r="E171" s="419"/>
      <c r="G171" s="472"/>
      <c r="J171" s="472"/>
      <c r="M171" s="472"/>
    </row>
    <row r="172" spans="2:14">
      <c r="B172" s="276"/>
      <c r="C172" s="276"/>
      <c r="D172" s="276"/>
      <c r="E172" s="419"/>
      <c r="G172" s="472"/>
      <c r="J172" s="472"/>
      <c r="M172" s="472"/>
    </row>
    <row r="173" spans="2:14">
      <c r="B173" s="276"/>
      <c r="C173" s="276"/>
      <c r="D173" s="276"/>
      <c r="E173" s="419"/>
      <c r="G173" s="472"/>
      <c r="J173" s="472"/>
      <c r="M173" s="472"/>
    </row>
    <row r="174" spans="2:14">
      <c r="B174" s="276"/>
      <c r="C174" s="276"/>
      <c r="D174" s="276"/>
      <c r="E174" s="419"/>
      <c r="G174" s="472"/>
      <c r="J174" s="472"/>
      <c r="M174" s="472"/>
    </row>
    <row r="175" spans="2:14">
      <c r="B175" s="276"/>
      <c r="C175" s="276"/>
      <c r="D175" s="276"/>
      <c r="E175" s="419"/>
      <c r="G175" s="472"/>
      <c r="J175" s="472"/>
      <c r="M175" s="472"/>
    </row>
    <row r="176" spans="2:14">
      <c r="B176" s="276"/>
      <c r="C176" s="276"/>
      <c r="D176" s="276"/>
      <c r="E176" s="419"/>
      <c r="G176" s="472"/>
      <c r="J176" s="472"/>
      <c r="M176" s="472"/>
    </row>
    <row r="177" spans="2:13">
      <c r="B177" s="276"/>
      <c r="D177" s="277"/>
      <c r="E177" s="419"/>
      <c r="G177" s="472"/>
      <c r="J177" s="472"/>
      <c r="M177" s="472"/>
    </row>
    <row r="178" spans="2:13">
      <c r="B178" s="276"/>
      <c r="D178" s="277"/>
      <c r="E178" s="419"/>
      <c r="G178" s="472"/>
      <c r="J178" s="472"/>
      <c r="M178" s="472"/>
    </row>
    <row r="179" spans="2:13">
      <c r="B179" s="276"/>
      <c r="D179" s="277"/>
      <c r="E179" s="419"/>
      <c r="G179" s="472"/>
      <c r="J179" s="472"/>
      <c r="M179" s="472"/>
    </row>
    <row r="180" spans="2:13">
      <c r="B180" s="276"/>
      <c r="D180" s="277"/>
      <c r="E180" s="419"/>
      <c r="G180" s="472"/>
      <c r="J180" s="472"/>
      <c r="M180" s="472"/>
    </row>
    <row r="181" spans="2:13">
      <c r="B181" s="276"/>
      <c r="D181" s="277"/>
      <c r="E181" s="419"/>
      <c r="G181" s="472"/>
      <c r="J181" s="472"/>
      <c r="M181" s="472"/>
    </row>
    <row r="182" spans="2:13">
      <c r="B182" s="276"/>
      <c r="D182" s="277"/>
      <c r="E182" s="419"/>
      <c r="G182" s="472"/>
      <c r="J182" s="472"/>
      <c r="M182" s="472"/>
    </row>
    <row r="183" spans="2:13">
      <c r="B183" s="276"/>
      <c r="D183" s="277"/>
      <c r="E183" s="419"/>
      <c r="G183" s="472"/>
      <c r="J183" s="472"/>
      <c r="M183" s="472"/>
    </row>
    <row r="184" spans="2:13">
      <c r="B184" s="276"/>
      <c r="D184" s="277"/>
      <c r="E184" s="419"/>
      <c r="G184" s="472"/>
      <c r="J184" s="472"/>
      <c r="M184" s="472"/>
    </row>
    <row r="185" spans="2:13">
      <c r="B185" s="276"/>
      <c r="D185" s="277"/>
      <c r="E185" s="419"/>
      <c r="G185" s="472"/>
      <c r="J185" s="472"/>
      <c r="M185" s="472"/>
    </row>
    <row r="186" spans="2:13">
      <c r="B186" s="276"/>
      <c r="D186" s="277"/>
      <c r="E186" s="419"/>
      <c r="G186" s="472"/>
      <c r="J186" s="472"/>
      <c r="M186" s="472"/>
    </row>
    <row r="187" spans="2:13">
      <c r="B187" s="276"/>
      <c r="D187" s="277"/>
      <c r="E187" s="419"/>
      <c r="G187" s="472"/>
      <c r="J187" s="472"/>
      <c r="M187" s="472"/>
    </row>
    <row r="188" spans="2:13">
      <c r="B188" s="276"/>
      <c r="D188" s="277"/>
      <c r="E188" s="419"/>
      <c r="G188" s="472"/>
      <c r="J188" s="472"/>
      <c r="M188" s="472"/>
    </row>
    <row r="189" spans="2:13">
      <c r="B189" s="276"/>
      <c r="D189" s="277"/>
      <c r="E189" s="419"/>
      <c r="G189" s="472"/>
      <c r="J189" s="472"/>
      <c r="M189" s="472"/>
    </row>
    <row r="190" spans="2:13">
      <c r="B190" s="276"/>
      <c r="D190" s="277"/>
      <c r="E190" s="419"/>
      <c r="G190" s="472"/>
      <c r="J190" s="472"/>
      <c r="M190" s="472"/>
    </row>
    <row r="191" spans="2:13">
      <c r="B191" s="276"/>
      <c r="D191" s="277"/>
      <c r="E191" s="419"/>
      <c r="G191" s="472"/>
      <c r="J191" s="472"/>
      <c r="M191" s="472"/>
    </row>
    <row r="192" spans="2:13">
      <c r="B192" s="276"/>
      <c r="D192" s="277"/>
      <c r="E192" s="419"/>
      <c r="G192" s="472"/>
      <c r="J192" s="472"/>
      <c r="M192" s="472"/>
    </row>
    <row r="193" spans="2:13">
      <c r="B193" s="276"/>
      <c r="D193" s="277"/>
      <c r="E193" s="419"/>
      <c r="G193" s="472"/>
      <c r="J193" s="472"/>
      <c r="M193" s="472"/>
    </row>
    <row r="194" spans="2:13">
      <c r="B194" s="276"/>
      <c r="D194" s="277"/>
      <c r="E194" s="419"/>
      <c r="G194" s="472"/>
      <c r="J194" s="472"/>
      <c r="M194" s="472"/>
    </row>
    <row r="195" spans="2:13">
      <c r="B195" s="276"/>
      <c r="D195" s="277"/>
      <c r="E195" s="419"/>
      <c r="G195" s="472"/>
      <c r="J195" s="472"/>
      <c r="M195" s="472"/>
    </row>
    <row r="196" spans="2:13">
      <c r="B196" s="276"/>
      <c r="D196" s="277"/>
      <c r="E196" s="419"/>
      <c r="G196" s="472"/>
      <c r="J196" s="472"/>
      <c r="M196" s="472"/>
    </row>
    <row r="197" spans="2:13">
      <c r="B197" s="276"/>
      <c r="D197" s="277"/>
      <c r="E197" s="419"/>
      <c r="G197" s="472"/>
      <c r="J197" s="472"/>
      <c r="M197" s="472"/>
    </row>
    <row r="198" spans="2:13">
      <c r="B198" s="276"/>
      <c r="D198" s="277"/>
      <c r="E198" s="419"/>
      <c r="G198" s="472"/>
      <c r="J198" s="472"/>
      <c r="M198" s="472"/>
    </row>
    <row r="199" spans="2:13">
      <c r="B199" s="276"/>
      <c r="D199" s="277"/>
      <c r="E199" s="419"/>
      <c r="G199" s="472"/>
      <c r="J199" s="472"/>
      <c r="M199" s="472"/>
    </row>
    <row r="200" spans="2:13">
      <c r="B200" s="276"/>
      <c r="D200" s="277"/>
      <c r="E200" s="419"/>
      <c r="G200" s="472"/>
      <c r="J200" s="472"/>
      <c r="M200" s="472"/>
    </row>
    <row r="201" spans="2:13">
      <c r="B201" s="276"/>
      <c r="D201" s="277"/>
      <c r="E201" s="419"/>
      <c r="G201" s="472"/>
      <c r="J201" s="472"/>
      <c r="M201" s="472"/>
    </row>
    <row r="202" spans="2:13">
      <c r="B202" s="276"/>
      <c r="D202" s="277"/>
      <c r="E202" s="419"/>
      <c r="G202" s="472"/>
      <c r="J202" s="472"/>
      <c r="M202" s="472"/>
    </row>
    <row r="203" spans="2:13">
      <c r="B203" s="276"/>
      <c r="D203" s="277"/>
      <c r="E203" s="419"/>
      <c r="G203" s="472"/>
      <c r="J203" s="472"/>
      <c r="M203" s="472"/>
    </row>
    <row r="204" spans="2:13">
      <c r="B204" s="276"/>
      <c r="D204" s="277"/>
      <c r="E204" s="419"/>
      <c r="G204" s="472"/>
      <c r="J204" s="472"/>
      <c r="M204" s="472"/>
    </row>
    <row r="205" spans="2:13">
      <c r="B205" s="276"/>
      <c r="D205" s="277"/>
      <c r="E205" s="419"/>
      <c r="G205" s="472"/>
      <c r="J205" s="472"/>
      <c r="M205" s="472"/>
    </row>
    <row r="206" spans="2:13">
      <c r="B206" s="276"/>
      <c r="D206" s="277"/>
      <c r="E206" s="419"/>
      <c r="G206" s="472"/>
      <c r="J206" s="472"/>
      <c r="M206" s="472"/>
    </row>
    <row r="207" spans="2:13">
      <c r="B207" s="276"/>
      <c r="D207" s="277"/>
      <c r="E207" s="419"/>
      <c r="G207" s="472"/>
      <c r="J207" s="472"/>
      <c r="M207" s="472"/>
    </row>
    <row r="208" spans="2:13">
      <c r="B208" s="276"/>
      <c r="D208" s="277"/>
      <c r="E208" s="419"/>
      <c r="G208" s="472"/>
      <c r="J208" s="472"/>
      <c r="M208" s="472"/>
    </row>
    <row r="209" spans="2:13">
      <c r="B209" s="276"/>
      <c r="D209" s="277"/>
      <c r="E209" s="419"/>
      <c r="G209" s="472"/>
      <c r="J209" s="472"/>
      <c r="M209" s="472"/>
    </row>
    <row r="210" spans="2:13">
      <c r="B210" s="276"/>
      <c r="D210" s="277"/>
      <c r="E210" s="419"/>
      <c r="G210" s="472"/>
      <c r="J210" s="472"/>
      <c r="M210" s="472"/>
    </row>
    <row r="211" spans="2:13">
      <c r="B211" s="276"/>
      <c r="D211" s="277"/>
      <c r="E211" s="419"/>
      <c r="G211" s="472"/>
      <c r="J211" s="472"/>
      <c r="M211" s="472"/>
    </row>
    <row r="212" spans="2:13">
      <c r="B212" s="276"/>
      <c r="D212" s="277"/>
      <c r="E212" s="419"/>
      <c r="G212" s="472"/>
      <c r="J212" s="472"/>
      <c r="M212" s="472"/>
    </row>
    <row r="213" spans="2:13">
      <c r="B213" s="276"/>
      <c r="D213" s="277"/>
      <c r="E213" s="419"/>
      <c r="G213" s="472"/>
      <c r="J213" s="472"/>
      <c r="M213" s="472"/>
    </row>
    <row r="214" spans="2:13">
      <c r="B214" s="276"/>
      <c r="D214" s="277"/>
      <c r="E214" s="419"/>
      <c r="G214" s="472"/>
      <c r="J214" s="472"/>
      <c r="M214" s="472"/>
    </row>
    <row r="215" spans="2:13">
      <c r="B215" s="276"/>
      <c r="D215" s="277"/>
      <c r="E215" s="419"/>
      <c r="G215" s="472"/>
      <c r="J215" s="472"/>
      <c r="M215" s="472"/>
    </row>
    <row r="216" spans="2:13">
      <c r="B216" s="276"/>
      <c r="D216" s="277"/>
      <c r="E216" s="419"/>
      <c r="G216" s="472"/>
      <c r="J216" s="472"/>
      <c r="M216" s="472"/>
    </row>
    <row r="217" spans="2:13">
      <c r="B217" s="276"/>
      <c r="D217" s="277"/>
      <c r="E217" s="419"/>
      <c r="G217" s="472"/>
      <c r="J217" s="472"/>
      <c r="M217" s="472"/>
    </row>
    <row r="218" spans="2:13">
      <c r="B218" s="276"/>
      <c r="D218" s="277"/>
      <c r="E218" s="419"/>
      <c r="G218" s="472"/>
      <c r="J218" s="472"/>
      <c r="M218" s="472"/>
    </row>
    <row r="219" spans="2:13">
      <c r="B219" s="276"/>
      <c r="D219" s="277"/>
      <c r="E219" s="419"/>
      <c r="G219" s="472"/>
      <c r="J219" s="472"/>
      <c r="M219" s="472"/>
    </row>
    <row r="220" spans="2:13">
      <c r="B220" s="276"/>
      <c r="D220" s="277"/>
      <c r="E220" s="419"/>
      <c r="G220" s="472"/>
      <c r="J220" s="472"/>
      <c r="M220" s="472"/>
    </row>
    <row r="221" spans="2:13">
      <c r="B221" s="276"/>
      <c r="D221" s="277"/>
      <c r="E221" s="419"/>
      <c r="G221" s="472"/>
      <c r="J221" s="472"/>
      <c r="M221" s="472"/>
    </row>
    <row r="222" spans="2:13">
      <c r="B222" s="276"/>
      <c r="D222" s="277"/>
      <c r="E222" s="419"/>
      <c r="G222" s="472"/>
      <c r="J222" s="472"/>
      <c r="M222" s="472"/>
    </row>
    <row r="223" spans="2:13">
      <c r="B223" s="276"/>
      <c r="D223" s="277"/>
      <c r="E223" s="419"/>
      <c r="G223" s="472"/>
      <c r="J223" s="472"/>
      <c r="M223" s="472"/>
    </row>
    <row r="224" spans="2:13">
      <c r="B224" s="276"/>
      <c r="D224" s="277"/>
      <c r="E224" s="419"/>
      <c r="G224" s="472"/>
      <c r="J224" s="472"/>
      <c r="M224" s="472"/>
    </row>
    <row r="225" spans="2:13">
      <c r="B225" s="276"/>
      <c r="D225" s="277"/>
      <c r="E225" s="419"/>
      <c r="G225" s="472"/>
      <c r="J225" s="472"/>
      <c r="M225" s="472"/>
    </row>
    <row r="226" spans="2:13">
      <c r="B226" s="276"/>
      <c r="D226" s="277"/>
      <c r="E226" s="419"/>
      <c r="G226" s="472"/>
      <c r="J226" s="472"/>
      <c r="M226" s="472"/>
    </row>
    <row r="227" spans="2:13">
      <c r="B227" s="276"/>
      <c r="D227" s="277"/>
      <c r="E227" s="419"/>
      <c r="G227" s="472"/>
      <c r="J227" s="472"/>
      <c r="M227" s="472"/>
    </row>
    <row r="228" spans="2:13">
      <c r="B228" s="276"/>
      <c r="D228" s="277"/>
      <c r="E228" s="419"/>
      <c r="G228" s="472"/>
      <c r="J228" s="472"/>
      <c r="M228" s="472"/>
    </row>
    <row r="229" spans="2:13">
      <c r="B229" s="276"/>
      <c r="D229" s="277"/>
      <c r="E229" s="419"/>
      <c r="G229" s="472"/>
      <c r="J229" s="472"/>
      <c r="M229" s="472"/>
    </row>
    <row r="230" spans="2:13">
      <c r="B230" s="276"/>
      <c r="D230" s="277"/>
      <c r="E230" s="419"/>
      <c r="G230" s="472"/>
      <c r="J230" s="472"/>
      <c r="M230" s="472"/>
    </row>
    <row r="231" spans="2:13">
      <c r="B231" s="276"/>
      <c r="D231" s="277"/>
      <c r="E231" s="419"/>
      <c r="G231" s="472"/>
      <c r="J231" s="472"/>
      <c r="M231" s="472"/>
    </row>
    <row r="232" spans="2:13">
      <c r="B232" s="276"/>
      <c r="D232" s="277"/>
      <c r="E232" s="419"/>
      <c r="G232" s="472"/>
      <c r="J232" s="472"/>
      <c r="M232" s="472"/>
    </row>
    <row r="233" spans="2:13">
      <c r="B233" s="276"/>
      <c r="D233" s="277"/>
      <c r="E233" s="419"/>
      <c r="G233" s="472"/>
      <c r="J233" s="472"/>
      <c r="M233" s="472"/>
    </row>
    <row r="234" spans="2:13">
      <c r="B234" s="276"/>
      <c r="D234" s="277"/>
      <c r="E234" s="419"/>
      <c r="G234" s="472"/>
      <c r="J234" s="472"/>
      <c r="M234" s="472"/>
    </row>
    <row r="235" spans="2:13">
      <c r="B235" s="276"/>
      <c r="D235" s="277"/>
      <c r="E235" s="419"/>
      <c r="G235" s="472"/>
      <c r="J235" s="472"/>
      <c r="M235" s="472"/>
    </row>
    <row r="236" spans="2:13">
      <c r="B236" s="276"/>
      <c r="D236" s="277"/>
      <c r="E236" s="419"/>
      <c r="G236" s="472"/>
      <c r="J236" s="472"/>
      <c r="M236" s="472"/>
    </row>
    <row r="237" spans="2:13">
      <c r="B237" s="276"/>
      <c r="D237" s="277"/>
      <c r="E237" s="419"/>
      <c r="G237" s="472"/>
      <c r="J237" s="472"/>
      <c r="M237" s="472"/>
    </row>
    <row r="238" spans="2:13">
      <c r="B238" s="276"/>
      <c r="D238" s="277"/>
      <c r="E238" s="419"/>
      <c r="G238" s="472"/>
      <c r="J238" s="472"/>
      <c r="M238" s="472"/>
    </row>
    <row r="239" spans="2:13">
      <c r="B239" s="276"/>
      <c r="D239" s="277"/>
      <c r="E239" s="419"/>
      <c r="G239" s="472"/>
      <c r="J239" s="472"/>
      <c r="M239" s="472"/>
    </row>
    <row r="240" spans="2:13">
      <c r="B240" s="276"/>
      <c r="D240" s="277"/>
      <c r="E240" s="419"/>
      <c r="G240" s="472"/>
      <c r="J240" s="472"/>
      <c r="M240" s="472"/>
    </row>
    <row r="241" spans="2:13">
      <c r="B241" s="276"/>
      <c r="D241" s="277"/>
      <c r="E241" s="419"/>
      <c r="G241" s="472"/>
      <c r="J241" s="472"/>
      <c r="M241" s="472"/>
    </row>
    <row r="242" spans="2:13">
      <c r="B242" s="276"/>
      <c r="D242" s="277"/>
      <c r="E242" s="419"/>
      <c r="G242" s="472"/>
      <c r="J242" s="472"/>
      <c r="M242" s="472"/>
    </row>
    <row r="243" spans="2:13">
      <c r="B243" s="276"/>
      <c r="D243" s="277"/>
      <c r="E243" s="419"/>
      <c r="G243" s="472"/>
      <c r="J243" s="472"/>
      <c r="M243" s="472"/>
    </row>
    <row r="244" spans="2:13">
      <c r="B244" s="276"/>
      <c r="D244" s="277"/>
      <c r="E244" s="419"/>
      <c r="G244" s="472"/>
      <c r="J244" s="472"/>
      <c r="M244" s="472"/>
    </row>
    <row r="245" spans="2:13">
      <c r="B245" s="276"/>
      <c r="D245" s="277"/>
      <c r="E245" s="419"/>
      <c r="G245" s="472"/>
      <c r="J245" s="472"/>
      <c r="M245" s="472"/>
    </row>
    <row r="246" spans="2:13">
      <c r="B246" s="276"/>
      <c r="D246" s="277"/>
      <c r="E246" s="419"/>
      <c r="G246" s="472"/>
      <c r="J246" s="472"/>
      <c r="M246" s="472"/>
    </row>
    <row r="247" spans="2:13">
      <c r="B247" s="276"/>
      <c r="D247" s="277"/>
      <c r="E247" s="419"/>
      <c r="G247" s="472"/>
      <c r="J247" s="472"/>
      <c r="M247" s="472"/>
    </row>
    <row r="248" spans="2:13">
      <c r="B248" s="276"/>
      <c r="D248" s="277"/>
      <c r="E248" s="419"/>
      <c r="G248" s="472"/>
      <c r="J248" s="472"/>
      <c r="M248" s="472"/>
    </row>
    <row r="249" spans="2:13">
      <c r="B249" s="276"/>
      <c r="D249" s="277"/>
      <c r="E249" s="419"/>
      <c r="G249" s="472"/>
      <c r="J249" s="472"/>
      <c r="M249" s="472"/>
    </row>
    <row r="250" spans="2:13">
      <c r="B250" s="276"/>
      <c r="D250" s="277"/>
      <c r="E250" s="419"/>
      <c r="G250" s="472"/>
      <c r="J250" s="472"/>
      <c r="M250" s="472"/>
    </row>
    <row r="251" spans="2:13">
      <c r="B251" s="276"/>
      <c r="D251" s="277"/>
      <c r="E251" s="419"/>
      <c r="G251" s="472"/>
      <c r="J251" s="472"/>
      <c r="M251" s="472"/>
    </row>
    <row r="252" spans="2:13">
      <c r="B252" s="276"/>
      <c r="D252" s="277"/>
      <c r="E252" s="419"/>
      <c r="G252" s="472"/>
      <c r="J252" s="472"/>
      <c r="M252" s="472"/>
    </row>
    <row r="253" spans="2:13">
      <c r="B253" s="276"/>
      <c r="D253" s="277"/>
      <c r="E253" s="419"/>
      <c r="G253" s="472"/>
      <c r="J253" s="472"/>
      <c r="M253" s="472"/>
    </row>
    <row r="254" spans="2:13">
      <c r="B254" s="276"/>
      <c r="D254" s="277"/>
      <c r="E254" s="419"/>
      <c r="G254" s="472"/>
      <c r="J254" s="472"/>
      <c r="M254" s="472"/>
    </row>
    <row r="255" spans="2:13">
      <c r="B255" s="276"/>
      <c r="D255" s="277"/>
      <c r="E255" s="419"/>
      <c r="G255" s="472"/>
      <c r="J255" s="472"/>
      <c r="M255" s="472"/>
    </row>
    <row r="256" spans="2:13">
      <c r="B256" s="276"/>
      <c r="D256" s="277"/>
      <c r="E256" s="419"/>
      <c r="G256" s="472"/>
      <c r="J256" s="472"/>
      <c r="M256" s="472"/>
    </row>
    <row r="257" spans="2:13">
      <c r="B257" s="276"/>
      <c r="D257" s="277"/>
      <c r="E257" s="419"/>
      <c r="M257" s="473"/>
    </row>
    <row r="258" spans="2:13">
      <c r="B258" s="276"/>
      <c r="D258" s="277"/>
      <c r="E258" s="419"/>
      <c r="M258" s="473"/>
    </row>
    <row r="259" spans="2:13">
      <c r="B259" s="276"/>
      <c r="D259" s="277"/>
      <c r="E259" s="419"/>
      <c r="M259" s="473"/>
    </row>
    <row r="260" spans="2:13">
      <c r="B260" s="276"/>
      <c r="D260" s="277"/>
      <c r="E260" s="419"/>
      <c r="M260" s="473"/>
    </row>
    <row r="261" spans="2:13">
      <c r="B261" s="276"/>
      <c r="D261" s="277"/>
      <c r="E261" s="419"/>
      <c r="M261" s="473"/>
    </row>
    <row r="262" spans="2:13">
      <c r="B262" s="276"/>
      <c r="D262" s="277"/>
      <c r="E262" s="419"/>
      <c r="M262" s="473"/>
    </row>
    <row r="263" spans="2:13">
      <c r="B263" s="276"/>
      <c r="D263" s="277"/>
      <c r="E263" s="419"/>
      <c r="M263" s="473"/>
    </row>
    <row r="264" spans="2:13">
      <c r="B264" s="276"/>
      <c r="D264" s="277"/>
      <c r="E264" s="419"/>
      <c r="M264" s="473"/>
    </row>
    <row r="265" spans="2:13">
      <c r="B265" s="276"/>
      <c r="D265" s="277"/>
      <c r="E265" s="419"/>
      <c r="M265" s="473"/>
    </row>
    <row r="266" spans="2:13">
      <c r="B266" s="276"/>
      <c r="D266" s="277"/>
      <c r="E266" s="419"/>
      <c r="M266" s="473"/>
    </row>
    <row r="267" spans="2:13">
      <c r="B267" s="276"/>
      <c r="D267" s="277"/>
      <c r="E267" s="419"/>
      <c r="M267" s="473"/>
    </row>
    <row r="268" spans="2:13">
      <c r="B268" s="276"/>
      <c r="D268" s="277"/>
      <c r="E268" s="419"/>
      <c r="M268" s="473"/>
    </row>
    <row r="269" spans="2:13">
      <c r="B269" s="276"/>
      <c r="D269" s="277"/>
      <c r="E269" s="419"/>
      <c r="M269" s="473"/>
    </row>
    <row r="270" spans="2:13">
      <c r="B270" s="276"/>
      <c r="D270" s="277"/>
      <c r="E270" s="419"/>
      <c r="M270" s="473"/>
    </row>
    <row r="271" spans="2:13">
      <c r="B271" s="276"/>
      <c r="D271" s="277"/>
      <c r="E271" s="419"/>
      <c r="M271" s="473"/>
    </row>
    <row r="272" spans="2:13">
      <c r="B272" s="276"/>
      <c r="D272" s="277"/>
      <c r="E272" s="419"/>
      <c r="M272" s="473"/>
    </row>
    <row r="273" spans="2:13">
      <c r="B273" s="276"/>
      <c r="D273" s="277"/>
      <c r="E273" s="419"/>
      <c r="M273" s="473"/>
    </row>
    <row r="274" spans="2:13">
      <c r="B274" s="276"/>
      <c r="D274" s="277"/>
      <c r="E274" s="419"/>
      <c r="M274" s="473"/>
    </row>
    <row r="275" spans="2:13">
      <c r="B275" s="276"/>
      <c r="D275" s="277"/>
      <c r="E275" s="419"/>
      <c r="M275" s="473"/>
    </row>
    <row r="276" spans="2:13">
      <c r="B276" s="276"/>
      <c r="D276" s="277"/>
      <c r="E276" s="419"/>
      <c r="M276" s="473"/>
    </row>
    <row r="277" spans="2:13">
      <c r="B277" s="276"/>
      <c r="D277" s="277"/>
      <c r="E277" s="419"/>
      <c r="M277" s="473"/>
    </row>
    <row r="278" spans="2:13">
      <c r="B278" s="276"/>
      <c r="D278" s="277"/>
      <c r="E278" s="419"/>
      <c r="M278" s="473"/>
    </row>
    <row r="279" spans="2:13">
      <c r="B279" s="276"/>
      <c r="D279" s="277"/>
      <c r="E279" s="419"/>
      <c r="M279" s="473"/>
    </row>
    <row r="280" spans="2:13">
      <c r="B280" s="276"/>
      <c r="D280" s="277"/>
      <c r="E280" s="419"/>
      <c r="M280" s="473"/>
    </row>
    <row r="281" spans="2:13">
      <c r="B281" s="276"/>
      <c r="D281" s="277"/>
      <c r="E281" s="419"/>
      <c r="M281" s="473"/>
    </row>
    <row r="282" spans="2:13">
      <c r="B282" s="276"/>
      <c r="D282" s="277"/>
      <c r="E282" s="419"/>
      <c r="M282" s="473"/>
    </row>
    <row r="283" spans="2:13">
      <c r="B283" s="276"/>
      <c r="D283" s="277"/>
      <c r="E283" s="419"/>
      <c r="M283" s="473"/>
    </row>
    <row r="284" spans="2:13">
      <c r="B284" s="276"/>
      <c r="D284" s="277"/>
      <c r="E284" s="419"/>
      <c r="M284" s="473"/>
    </row>
    <row r="285" spans="2:13">
      <c r="B285" s="276"/>
      <c r="D285" s="277"/>
      <c r="E285" s="419"/>
      <c r="M285" s="473"/>
    </row>
    <row r="286" spans="2:13">
      <c r="B286" s="276"/>
      <c r="D286" s="277"/>
      <c r="E286" s="419"/>
      <c r="M286" s="473"/>
    </row>
    <row r="287" spans="2:13">
      <c r="B287" s="276"/>
      <c r="D287" s="277"/>
      <c r="E287" s="419"/>
      <c r="M287" s="473"/>
    </row>
    <row r="288" spans="2:13">
      <c r="B288" s="276"/>
      <c r="D288" s="277"/>
      <c r="E288" s="419"/>
      <c r="M288" s="473"/>
    </row>
    <row r="289" spans="2:13">
      <c r="B289" s="276"/>
      <c r="D289" s="277"/>
      <c r="E289" s="419"/>
      <c r="M289" s="473"/>
    </row>
    <row r="290" spans="2:13">
      <c r="B290" s="276"/>
      <c r="D290" s="277"/>
      <c r="E290" s="419"/>
      <c r="M290" s="473"/>
    </row>
    <row r="291" spans="2:13">
      <c r="B291" s="276"/>
      <c r="D291" s="277"/>
      <c r="E291" s="419"/>
      <c r="M291" s="473"/>
    </row>
    <row r="292" spans="2:13">
      <c r="B292" s="276"/>
      <c r="D292" s="277"/>
      <c r="E292" s="419"/>
      <c r="M292" s="473"/>
    </row>
    <row r="293" spans="2:13">
      <c r="B293" s="276"/>
      <c r="D293" s="277"/>
      <c r="E293" s="419"/>
      <c r="M293" s="473"/>
    </row>
    <row r="294" spans="2:13">
      <c r="B294" s="276"/>
      <c r="D294" s="277"/>
      <c r="E294" s="419"/>
      <c r="M294" s="473"/>
    </row>
    <row r="295" spans="2:13">
      <c r="B295" s="276"/>
      <c r="D295" s="277"/>
      <c r="E295" s="419"/>
      <c r="M295" s="473"/>
    </row>
    <row r="296" spans="2:13">
      <c r="B296" s="276"/>
      <c r="D296" s="277"/>
      <c r="E296" s="419"/>
      <c r="M296" s="473"/>
    </row>
    <row r="297" spans="2:13">
      <c r="B297" s="276"/>
      <c r="D297" s="277"/>
      <c r="E297" s="419"/>
      <c r="M297" s="473"/>
    </row>
    <row r="298" spans="2:13">
      <c r="B298" s="276"/>
      <c r="D298" s="277"/>
      <c r="E298" s="419"/>
      <c r="M298" s="473"/>
    </row>
    <row r="299" spans="2:13">
      <c r="B299" s="276"/>
      <c r="D299" s="277"/>
      <c r="E299" s="419"/>
      <c r="M299" s="473"/>
    </row>
    <row r="300" spans="2:13">
      <c r="B300" s="276"/>
      <c r="D300" s="277"/>
      <c r="E300" s="419"/>
      <c r="M300" s="473"/>
    </row>
    <row r="301" spans="2:13">
      <c r="B301" s="276"/>
      <c r="D301" s="277"/>
      <c r="E301" s="419"/>
      <c r="M301" s="473"/>
    </row>
    <row r="302" spans="2:13">
      <c r="B302" s="276"/>
      <c r="D302" s="277"/>
      <c r="E302" s="419"/>
      <c r="M302" s="473"/>
    </row>
    <row r="303" spans="2:13">
      <c r="B303" s="276"/>
      <c r="D303" s="277"/>
      <c r="E303" s="419"/>
      <c r="M303" s="473"/>
    </row>
    <row r="304" spans="2:13">
      <c r="B304" s="276"/>
      <c r="D304" s="277"/>
      <c r="E304" s="419"/>
      <c r="M304" s="473"/>
    </row>
    <row r="305" spans="2:13">
      <c r="B305" s="276"/>
      <c r="D305" s="277"/>
      <c r="E305" s="419"/>
      <c r="M305" s="473"/>
    </row>
    <row r="306" spans="2:13">
      <c r="B306" s="276"/>
      <c r="D306" s="277"/>
      <c r="E306" s="419"/>
      <c r="M306" s="473"/>
    </row>
    <row r="307" spans="2:13">
      <c r="B307" s="276"/>
      <c r="D307" s="277"/>
      <c r="E307" s="419"/>
      <c r="M307" s="473"/>
    </row>
    <row r="308" spans="2:13">
      <c r="B308" s="276"/>
      <c r="D308" s="277"/>
      <c r="E308" s="419"/>
      <c r="M308" s="473"/>
    </row>
    <row r="309" spans="2:13">
      <c r="B309" s="276"/>
      <c r="D309" s="277"/>
      <c r="E309" s="419"/>
      <c r="M309" s="473"/>
    </row>
    <row r="310" spans="2:13">
      <c r="B310" s="276"/>
      <c r="D310" s="277"/>
      <c r="E310" s="419"/>
      <c r="M310" s="473"/>
    </row>
    <row r="311" spans="2:13">
      <c r="B311" s="276"/>
      <c r="D311" s="277"/>
      <c r="E311" s="419"/>
      <c r="M311" s="473"/>
    </row>
    <row r="312" spans="2:13">
      <c r="B312" s="276"/>
      <c r="D312" s="277"/>
      <c r="E312" s="419"/>
      <c r="M312" s="473"/>
    </row>
    <row r="313" spans="2:13">
      <c r="B313" s="276"/>
      <c r="D313" s="277"/>
      <c r="E313" s="419"/>
      <c r="M313" s="473"/>
    </row>
    <row r="314" spans="2:13">
      <c r="B314" s="276"/>
      <c r="D314" s="277"/>
      <c r="E314" s="419"/>
      <c r="M314" s="473"/>
    </row>
    <row r="315" spans="2:13">
      <c r="B315" s="276"/>
      <c r="D315" s="277"/>
      <c r="E315" s="419"/>
      <c r="M315" s="473"/>
    </row>
    <row r="316" spans="2:13">
      <c r="B316" s="276"/>
      <c r="D316" s="277"/>
      <c r="E316" s="419"/>
      <c r="M316" s="473"/>
    </row>
    <row r="317" spans="2:13">
      <c r="B317" s="276"/>
      <c r="D317" s="277"/>
      <c r="E317" s="419"/>
      <c r="M317" s="473"/>
    </row>
    <row r="318" spans="2:13">
      <c r="B318" s="276"/>
      <c r="D318" s="277"/>
      <c r="E318" s="419"/>
      <c r="M318" s="473"/>
    </row>
    <row r="319" spans="2:13">
      <c r="B319" s="276"/>
      <c r="D319" s="277"/>
      <c r="E319" s="419"/>
      <c r="M319" s="473"/>
    </row>
    <row r="320" spans="2:13">
      <c r="B320" s="276"/>
      <c r="D320" s="277"/>
      <c r="E320" s="419"/>
      <c r="M320" s="473"/>
    </row>
    <row r="321" spans="2:13">
      <c r="B321" s="276"/>
      <c r="D321" s="277"/>
      <c r="E321" s="419"/>
      <c r="M321" s="473"/>
    </row>
    <row r="322" spans="2:13">
      <c r="B322" s="276"/>
      <c r="D322" s="277"/>
      <c r="E322" s="419"/>
      <c r="M322" s="473"/>
    </row>
    <row r="323" spans="2:13">
      <c r="B323" s="276"/>
      <c r="D323" s="277"/>
      <c r="E323" s="419"/>
      <c r="M323" s="473"/>
    </row>
    <row r="324" spans="2:13">
      <c r="B324" s="276"/>
      <c r="D324" s="277"/>
      <c r="E324" s="419"/>
      <c r="M324" s="473"/>
    </row>
    <row r="325" spans="2:13">
      <c r="B325" s="276"/>
      <c r="D325" s="277"/>
      <c r="E325" s="419"/>
      <c r="M325" s="473"/>
    </row>
    <row r="326" spans="2:13">
      <c r="B326" s="276"/>
      <c r="D326" s="277"/>
      <c r="E326" s="419"/>
      <c r="M326" s="473"/>
    </row>
    <row r="327" spans="2:13">
      <c r="B327" s="276"/>
      <c r="D327" s="277"/>
      <c r="E327" s="419"/>
      <c r="M327" s="473"/>
    </row>
    <row r="328" spans="2:13">
      <c r="B328" s="276"/>
      <c r="D328" s="277"/>
      <c r="E328" s="419"/>
      <c r="M328" s="473"/>
    </row>
    <row r="329" spans="2:13">
      <c r="B329" s="276"/>
      <c r="D329" s="277"/>
      <c r="E329" s="419"/>
      <c r="M329" s="473"/>
    </row>
    <row r="330" spans="2:13">
      <c r="B330" s="276"/>
      <c r="D330" s="277"/>
      <c r="E330" s="419"/>
      <c r="M330" s="473"/>
    </row>
    <row r="331" spans="2:13">
      <c r="B331" s="276"/>
      <c r="D331" s="277"/>
      <c r="E331" s="419"/>
      <c r="M331" s="473"/>
    </row>
    <row r="332" spans="2:13">
      <c r="B332" s="276"/>
      <c r="D332" s="277"/>
      <c r="E332" s="419"/>
      <c r="M332" s="473"/>
    </row>
    <row r="333" spans="2:13">
      <c r="B333" s="276"/>
      <c r="D333" s="277"/>
      <c r="E333" s="419"/>
      <c r="M333" s="473"/>
    </row>
    <row r="334" spans="2:13">
      <c r="B334" s="276"/>
      <c r="D334" s="277"/>
      <c r="E334" s="419"/>
      <c r="M334" s="473"/>
    </row>
    <row r="335" spans="2:13">
      <c r="B335" s="276"/>
      <c r="D335" s="277"/>
      <c r="E335" s="419"/>
      <c r="M335" s="473"/>
    </row>
    <row r="336" spans="2:13">
      <c r="B336" s="276"/>
      <c r="D336" s="277"/>
      <c r="E336" s="419"/>
      <c r="M336" s="473"/>
    </row>
    <row r="337" spans="2:13">
      <c r="B337" s="276"/>
      <c r="D337" s="277"/>
      <c r="E337" s="419"/>
      <c r="M337" s="473"/>
    </row>
    <row r="338" spans="2:13">
      <c r="B338" s="276"/>
      <c r="D338" s="277"/>
      <c r="E338" s="419"/>
      <c r="M338" s="473"/>
    </row>
    <row r="339" spans="2:13">
      <c r="B339" s="276"/>
      <c r="D339" s="277"/>
      <c r="E339" s="419"/>
      <c r="M339" s="473"/>
    </row>
    <row r="340" spans="2:13">
      <c r="B340" s="276"/>
      <c r="D340" s="277"/>
      <c r="E340" s="419"/>
      <c r="M340" s="473"/>
    </row>
    <row r="341" spans="2:13">
      <c r="B341" s="276"/>
      <c r="D341" s="277"/>
      <c r="E341" s="419"/>
      <c r="M341" s="473"/>
    </row>
    <row r="342" spans="2:13">
      <c r="B342" s="276"/>
      <c r="D342" s="277"/>
      <c r="E342" s="419"/>
      <c r="M342" s="473"/>
    </row>
    <row r="343" spans="2:13">
      <c r="B343" s="276"/>
      <c r="D343" s="277"/>
      <c r="E343" s="419"/>
      <c r="M343" s="473"/>
    </row>
    <row r="344" spans="2:13">
      <c r="B344" s="276"/>
      <c r="D344" s="277"/>
      <c r="E344" s="419"/>
      <c r="M344" s="473"/>
    </row>
    <row r="345" spans="2:13">
      <c r="B345" s="276"/>
      <c r="D345" s="277"/>
      <c r="E345" s="419"/>
      <c r="M345" s="473"/>
    </row>
    <row r="346" spans="2:13">
      <c r="B346" s="276"/>
      <c r="D346" s="277"/>
      <c r="E346" s="419"/>
      <c r="M346" s="473"/>
    </row>
    <row r="347" spans="2:13">
      <c r="B347" s="276"/>
      <c r="D347" s="277"/>
      <c r="E347" s="419"/>
      <c r="M347" s="473"/>
    </row>
    <row r="348" spans="2:13">
      <c r="B348" s="276"/>
      <c r="D348" s="277"/>
      <c r="E348" s="419"/>
      <c r="M348" s="473"/>
    </row>
    <row r="349" spans="2:13">
      <c r="B349" s="276"/>
      <c r="D349" s="277"/>
      <c r="E349" s="419"/>
      <c r="M349" s="473"/>
    </row>
    <row r="350" spans="2:13">
      <c r="B350" s="276"/>
      <c r="D350" s="277"/>
      <c r="E350" s="419"/>
    </row>
    <row r="351" spans="2:13">
      <c r="B351" s="276"/>
      <c r="D351" s="277"/>
      <c r="E351" s="419"/>
    </row>
    <row r="352" spans="2:13">
      <c r="B352" s="276"/>
      <c r="D352" s="277"/>
      <c r="E352" s="419"/>
    </row>
    <row r="353" spans="2:5">
      <c r="B353" s="276"/>
      <c r="D353" s="277"/>
      <c r="E353" s="419"/>
    </row>
    <row r="354" spans="2:5">
      <c r="B354" s="276"/>
      <c r="D354" s="277"/>
      <c r="E354" s="419"/>
    </row>
    <row r="355" spans="2:5">
      <c r="B355" s="276"/>
      <c r="D355" s="277"/>
      <c r="E355" s="419"/>
    </row>
    <row r="356" spans="2:5">
      <c r="B356" s="276"/>
      <c r="D356" s="277"/>
      <c r="E356" s="419"/>
    </row>
    <row r="357" spans="2:5">
      <c r="B357" s="276"/>
      <c r="D357" s="277"/>
      <c r="E357" s="419"/>
    </row>
    <row r="358" spans="2:5">
      <c r="B358" s="276"/>
      <c r="D358" s="277"/>
      <c r="E358" s="419"/>
    </row>
    <row r="359" spans="2:5">
      <c r="B359" s="276"/>
      <c r="D359" s="277"/>
      <c r="E359" s="419"/>
    </row>
  </sheetData>
  <mergeCells count="27">
    <mergeCell ref="S68:S81"/>
    <mergeCell ref="S82:S85"/>
    <mergeCell ref="S87:S88"/>
    <mergeCell ref="B68:B75"/>
    <mergeCell ref="B76:B89"/>
    <mergeCell ref="S60:S67"/>
    <mergeCell ref="S56:S59"/>
    <mergeCell ref="S54:S55"/>
    <mergeCell ref="S42:S53"/>
    <mergeCell ref="S31:S41"/>
    <mergeCell ref="S9:S10"/>
    <mergeCell ref="S12:S18"/>
    <mergeCell ref="S27:S30"/>
    <mergeCell ref="S19:S26"/>
    <mergeCell ref="B16:B17"/>
    <mergeCell ref="B20:B26"/>
    <mergeCell ref="B27:B34"/>
    <mergeCell ref="B90:B93"/>
    <mergeCell ref="B95:B96"/>
    <mergeCell ref="C8:C13"/>
    <mergeCell ref="C97:C99"/>
    <mergeCell ref="B2:M3"/>
    <mergeCell ref="B39:B49"/>
    <mergeCell ref="B50:B61"/>
    <mergeCell ref="B62:B63"/>
    <mergeCell ref="B64:B67"/>
    <mergeCell ref="B35:B38"/>
  </mergeCells>
  <conditionalFormatting sqref="M257:M349">
    <cfRule type="cellIs" dxfId="3676" priority="97" operator="lessThan">
      <formula>0.8</formula>
    </cfRule>
  </conditionalFormatting>
  <conditionalFormatting sqref="M257:M349">
    <cfRule type="cellIs" dxfId="3675" priority="82" operator="greaterThan">
      <formula>1.2</formula>
    </cfRule>
  </conditionalFormatting>
  <conditionalFormatting sqref="G1:G5 J1:J5 M1:M5 M170:M1048576 J170:J1048576 G170:G1048576">
    <cfRule type="cellIs" dxfId="3674" priority="81" operator="lessThan">
      <formula>0.8</formula>
    </cfRule>
  </conditionalFormatting>
  <conditionalFormatting sqref="M1:M5 J1:J5 G1:G5 G170:G1048576 J170:J1048576 M170:M1048576">
    <cfRule type="cellIs" dxfId="3673" priority="26" operator="greaterThan">
      <formula>1.2</formula>
    </cfRule>
    <cfRule type="cellIs" dxfId="3672" priority="98" operator="greaterThan">
      <formula>1.2</formula>
    </cfRule>
  </conditionalFormatting>
  <conditionalFormatting sqref="Y8:Y88 AC8:AC88 AG8:AG88 AK8:AK88">
    <cfRule type="cellIs" dxfId="3671" priority="27" operator="greaterThan">
      <formula>1.2</formula>
    </cfRule>
    <cfRule type="cellIs" dxfId="3670" priority="28" operator="lessThan">
      <formula>0.8</formula>
    </cfRule>
  </conditionalFormatting>
  <conditionalFormatting sqref="G1:G5 J1:J5 M1:M5 P1:P5 P100:P1048576 M100:M1048576 J100:J1048576 G100:G1048576">
    <cfRule type="cellIs" dxfId="3669" priority="24" operator="greaterThan">
      <formula>1.2</formula>
    </cfRule>
    <cfRule type="cellIs" dxfId="3668" priority="25" operator="lessThan">
      <formula>0.8</formula>
    </cfRule>
  </conditionalFormatting>
  <conditionalFormatting pivot="1" sqref="P8:P99">
    <cfRule type="cellIs" dxfId="3667" priority="12" operator="greaterThan">
      <formula>1.2</formula>
    </cfRule>
  </conditionalFormatting>
  <conditionalFormatting pivot="1" sqref="P8:P99">
    <cfRule type="cellIs" dxfId="3666" priority="11" operator="lessThan">
      <formula>0.8</formula>
    </cfRule>
  </conditionalFormatting>
  <conditionalFormatting pivot="1" sqref="M8:M99">
    <cfRule type="cellIs" dxfId="3665" priority="10" operator="greaterThan">
      <formula>1.2</formula>
    </cfRule>
  </conditionalFormatting>
  <conditionalFormatting pivot="1" sqref="M8:M99">
    <cfRule type="cellIs" dxfId="3664" priority="9" operator="lessThan">
      <formula>0.8</formula>
    </cfRule>
  </conditionalFormatting>
  <conditionalFormatting pivot="1" sqref="J8:J99">
    <cfRule type="cellIs" dxfId="3663" priority="8" operator="greaterThan">
      <formula>1.2</formula>
    </cfRule>
  </conditionalFormatting>
  <conditionalFormatting pivot="1" sqref="J8:J99">
    <cfRule type="cellIs" dxfId="3662" priority="7" operator="lessThan">
      <formula>0.8</formula>
    </cfRule>
  </conditionalFormatting>
  <conditionalFormatting pivot="1" sqref="G8:G99">
    <cfRule type="cellIs" dxfId="3661" priority="2" operator="greaterThan">
      <formula>1.2</formula>
    </cfRule>
  </conditionalFormatting>
  <conditionalFormatting pivot="1" sqref="G8:G99">
    <cfRule type="cellIs" dxfId="3660" priority="1" operator="lessThan">
      <formula>0.8</formula>
    </cfRule>
  </conditionalFormatting>
  <pageMargins left="0.70866141732283472" right="0.70866141732283472" top="0.74803149606299213" bottom="0.74803149606299213" header="0.31496062992125984" footer="0.31496062992125984"/>
  <pageSetup scale="51" fitToHeight="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5" name="Button 1">
              <controlPr defaultSize="0" print="0" autoFill="0" autoPict="0" macro="[0]!EstructuraMedianaMenu">
                <anchor moveWithCells="1" sizeWithCells="1">
                  <from>
                    <xdr:col>13</xdr:col>
                    <xdr:colOff>693420</xdr:colOff>
                    <xdr:row>1</xdr:row>
                    <xdr:rowOff>83820</xdr:rowOff>
                  </from>
                  <to>
                    <xdr:col>16</xdr:col>
                    <xdr:colOff>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05B4F-B1D7-41C7-A186-DC299DA805B8}">
  <sheetPr codeName="Hoja27"/>
  <dimension ref="A1:W85"/>
  <sheetViews>
    <sheetView showGridLines="0" topLeftCell="A1048576" zoomScale="80" zoomScaleNormal="80" workbookViewId="0">
      <selection sqref="A1:XFD1048576"/>
    </sheetView>
  </sheetViews>
  <sheetFormatPr baseColWidth="10" defaultColWidth="0" defaultRowHeight="14.4" zeroHeight="1"/>
  <cols>
    <col min="1" max="1" width="11.44140625" style="1" customWidth="1"/>
    <col min="2" max="2" width="51.6640625" bestFit="1" customWidth="1"/>
    <col min="3" max="3" width="15.88671875" bestFit="1" customWidth="1"/>
    <col min="4" max="4" width="1.44140625" customWidth="1"/>
    <col min="5" max="6" width="15.88671875" bestFit="1" customWidth="1"/>
    <col min="7" max="8" width="11.44140625" customWidth="1"/>
    <col min="9" max="9" width="1.44140625" style="431" customWidth="1"/>
    <col min="10" max="12" width="13.6640625" customWidth="1"/>
    <col min="13" max="13" width="1.44140625" customWidth="1"/>
    <col min="14" max="16" width="13.6640625" customWidth="1"/>
    <col min="17" max="17" width="1.44140625" customWidth="1"/>
    <col min="18" max="20" width="13.6640625" customWidth="1"/>
    <col min="21" max="21" width="11.44140625" customWidth="1"/>
    <col min="22" max="23" width="0" hidden="1" customWidth="1"/>
    <col min="24" max="16384" width="11.44140625" hidden="1"/>
  </cols>
  <sheetData>
    <row r="1" spans="1:23" ht="36" hidden="1" customHeight="1">
      <c r="I1"/>
      <c r="J1" s="551" t="s">
        <v>357</v>
      </c>
      <c r="K1" s="552"/>
      <c r="L1" s="552"/>
      <c r="M1" s="1"/>
      <c r="N1" s="553" t="s">
        <v>358</v>
      </c>
      <c r="O1" s="554"/>
      <c r="P1" s="554"/>
      <c r="Q1" s="1"/>
      <c r="R1" s="555" t="s">
        <v>359</v>
      </c>
      <c r="S1" s="556"/>
      <c r="T1" s="556"/>
    </row>
    <row r="2" spans="1:23" hidden="1">
      <c r="I2"/>
    </row>
    <row r="3" spans="1:23" s="431" customFormat="1" ht="45.75" hidden="1" customHeight="1">
      <c r="A3" s="435" t="s">
        <v>257</v>
      </c>
      <c r="B3" s="435" t="s">
        <v>258</v>
      </c>
      <c r="C3" s="435" t="s">
        <v>259</v>
      </c>
      <c r="D3"/>
      <c r="E3" s="435" t="s">
        <v>263</v>
      </c>
      <c r="F3" s="435" t="s">
        <v>266</v>
      </c>
      <c r="G3" s="435" t="s">
        <v>269</v>
      </c>
      <c r="H3" s="435" t="s">
        <v>271</v>
      </c>
      <c r="J3" s="437" t="s">
        <v>264</v>
      </c>
      <c r="K3" s="437" t="s">
        <v>267</v>
      </c>
      <c r="L3" s="437" t="s">
        <v>270</v>
      </c>
      <c r="M3"/>
      <c r="N3" s="436" t="s">
        <v>264</v>
      </c>
      <c r="O3" s="436" t="s">
        <v>267</v>
      </c>
      <c r="P3" s="436" t="s">
        <v>270</v>
      </c>
      <c r="Q3"/>
      <c r="R3" s="438" t="s">
        <v>264</v>
      </c>
      <c r="S3" s="438" t="s">
        <v>267</v>
      </c>
      <c r="T3" s="438" t="s">
        <v>270</v>
      </c>
      <c r="V3" s="434" t="s">
        <v>265</v>
      </c>
      <c r="W3" s="434" t="s">
        <v>268</v>
      </c>
    </row>
    <row r="4" spans="1:23" hidden="1">
      <c r="A4" s="441">
        <v>20</v>
      </c>
      <c r="B4" s="442" t="s">
        <v>272</v>
      </c>
      <c r="C4" s="442" t="s">
        <v>273</v>
      </c>
      <c r="E4" s="439">
        <v>28154183.090000004</v>
      </c>
      <c r="F4" s="439">
        <v>56003145.582820006</v>
      </c>
      <c r="G4" s="439">
        <v>56003145.582820006</v>
      </c>
      <c r="H4" s="440">
        <v>1.0369416675829508</v>
      </c>
      <c r="J4" s="439">
        <v>50299000</v>
      </c>
      <c r="K4" s="439">
        <v>52516000</v>
      </c>
      <c r="L4" s="439">
        <v>54008000</v>
      </c>
      <c r="N4" s="439">
        <v>50366998</v>
      </c>
      <c r="O4" s="439">
        <v>50366998</v>
      </c>
      <c r="P4" s="439">
        <v>50852000</v>
      </c>
      <c r="R4" s="439">
        <v>51166000</v>
      </c>
      <c r="S4" s="439">
        <v>54598000</v>
      </c>
      <c r="T4" s="439">
        <v>61286000</v>
      </c>
      <c r="V4" s="433">
        <v>0.55973643790134997</v>
      </c>
      <c r="W4" s="433">
        <v>1.0664015839519385</v>
      </c>
    </row>
    <row r="5" spans="1:23" hidden="1">
      <c r="A5" s="443">
        <v>18</v>
      </c>
      <c r="B5" s="444" t="s">
        <v>274</v>
      </c>
      <c r="C5" s="444" t="s">
        <v>273</v>
      </c>
      <c r="E5" s="445">
        <v>25412333</v>
      </c>
      <c r="F5" s="445">
        <v>31834025</v>
      </c>
      <c r="G5" s="445">
        <v>32484025</v>
      </c>
      <c r="H5" s="446">
        <v>0.9222652035659531</v>
      </c>
      <c r="J5" s="445">
        <v>33030000</v>
      </c>
      <c r="K5" s="445">
        <v>34339000</v>
      </c>
      <c r="L5" s="445">
        <v>35222000</v>
      </c>
      <c r="N5" s="445">
        <v>35882998</v>
      </c>
      <c r="O5" s="445">
        <v>35882998</v>
      </c>
      <c r="P5" s="445">
        <v>36368000</v>
      </c>
      <c r="R5" s="445">
        <v>34854000</v>
      </c>
      <c r="S5" s="445">
        <v>37068000</v>
      </c>
      <c r="T5" s="445">
        <v>41383000</v>
      </c>
      <c r="V5" s="433">
        <v>0.76937126854374815</v>
      </c>
      <c r="W5" s="433">
        <v>0.92705160313346346</v>
      </c>
    </row>
    <row r="6" spans="1:23" hidden="1">
      <c r="A6" s="443">
        <v>18</v>
      </c>
      <c r="B6" s="444" t="s">
        <v>275</v>
      </c>
      <c r="C6" s="444" t="s">
        <v>273</v>
      </c>
      <c r="E6" s="445">
        <v>20579917</v>
      </c>
      <c r="F6" s="445">
        <v>30950076</v>
      </c>
      <c r="G6" s="445">
        <v>31500076</v>
      </c>
      <c r="H6" s="446">
        <v>0.89432956674805519</v>
      </c>
      <c r="J6" s="445">
        <v>33030000</v>
      </c>
      <c r="K6" s="445">
        <v>34339000</v>
      </c>
      <c r="L6" s="445">
        <v>35222000</v>
      </c>
      <c r="N6" s="445">
        <v>35882998</v>
      </c>
      <c r="O6" s="445">
        <v>35882998</v>
      </c>
      <c r="P6" s="445">
        <v>36368000</v>
      </c>
      <c r="R6" s="445">
        <v>34854000</v>
      </c>
      <c r="S6" s="445">
        <v>37068000</v>
      </c>
      <c r="T6" s="445">
        <v>41383000</v>
      </c>
      <c r="V6" s="433">
        <v>0.62306742355434452</v>
      </c>
      <c r="W6" s="433">
        <v>0.90130976440781618</v>
      </c>
    </row>
    <row r="7" spans="1:23" hidden="1">
      <c r="A7" s="441">
        <v>16</v>
      </c>
      <c r="B7" s="442" t="s">
        <v>276</v>
      </c>
      <c r="C7" s="442" t="s">
        <v>277</v>
      </c>
      <c r="E7" s="439">
        <v>16233339.320000002</v>
      </c>
      <c r="F7" s="439">
        <v>16233339.320000002</v>
      </c>
      <c r="G7" s="439">
        <v>16233339.320000002</v>
      </c>
      <c r="H7" s="440">
        <v>0.77242764179672641</v>
      </c>
      <c r="J7" s="439">
        <v>19971000</v>
      </c>
      <c r="K7" s="439">
        <v>20594000</v>
      </c>
      <c r="L7" s="439">
        <v>21016000</v>
      </c>
      <c r="N7" s="439">
        <v>24956908.079999998</v>
      </c>
      <c r="O7" s="439">
        <v>24956908.079999998</v>
      </c>
      <c r="P7" s="439">
        <v>25416000</v>
      </c>
      <c r="R7" s="439">
        <v>22520000</v>
      </c>
      <c r="S7" s="439">
        <v>23812000</v>
      </c>
      <c r="T7" s="439">
        <v>26333000</v>
      </c>
      <c r="V7" s="433">
        <v>0.81284559210855756</v>
      </c>
      <c r="W7" s="433">
        <v>0.78825576964164334</v>
      </c>
    </row>
    <row r="8" spans="1:23" hidden="1">
      <c r="A8" s="443">
        <v>15</v>
      </c>
      <c r="B8" s="444" t="s">
        <v>278</v>
      </c>
      <c r="C8" s="444" t="s">
        <v>277</v>
      </c>
      <c r="E8" s="445">
        <v>13526998.32</v>
      </c>
      <c r="F8" s="445">
        <v>13526998.32</v>
      </c>
      <c r="G8" s="445">
        <v>13526998.32</v>
      </c>
      <c r="H8" s="446">
        <v>0.88556453813420621</v>
      </c>
      <c r="J8" s="445">
        <v>14694000</v>
      </c>
      <c r="K8" s="445">
        <v>15040000</v>
      </c>
      <c r="L8" s="445">
        <v>15275000</v>
      </c>
      <c r="N8" s="445">
        <v>20504998</v>
      </c>
      <c r="O8" s="445">
        <v>20504998</v>
      </c>
      <c r="P8" s="445">
        <v>20990000</v>
      </c>
      <c r="R8" s="445">
        <v>17536000</v>
      </c>
      <c r="S8" s="445">
        <v>18455000</v>
      </c>
      <c r="T8" s="445">
        <v>20251000</v>
      </c>
      <c r="V8" s="433">
        <v>0.9205797141690486</v>
      </c>
      <c r="W8" s="433">
        <v>0.89940148404255316</v>
      </c>
    </row>
    <row r="9" spans="1:23" hidden="1">
      <c r="A9" s="443">
        <v>15</v>
      </c>
      <c r="B9" s="444" t="s">
        <v>279</v>
      </c>
      <c r="C9" s="444" t="s">
        <v>277</v>
      </c>
      <c r="E9" s="445">
        <v>10253502.380000001</v>
      </c>
      <c r="F9" s="445">
        <v>10253502.380000001</v>
      </c>
      <c r="G9" s="445">
        <v>10253502.380000001</v>
      </c>
      <c r="H9" s="446">
        <v>0.67126038494271689</v>
      </c>
      <c r="J9" s="445">
        <v>14694000</v>
      </c>
      <c r="K9" s="445">
        <v>15040000</v>
      </c>
      <c r="L9" s="445">
        <v>15275000</v>
      </c>
      <c r="N9" s="445">
        <v>20504998</v>
      </c>
      <c r="O9" s="445">
        <v>20504998</v>
      </c>
      <c r="P9" s="445">
        <v>20990000</v>
      </c>
      <c r="R9" s="445">
        <v>17536000</v>
      </c>
      <c r="S9" s="445">
        <v>18455000</v>
      </c>
      <c r="T9" s="445">
        <v>20251000</v>
      </c>
      <c r="V9" s="433">
        <v>0.69780198584456243</v>
      </c>
      <c r="W9" s="433">
        <v>0.68174882845744689</v>
      </c>
    </row>
    <row r="10" spans="1:23" hidden="1">
      <c r="A10" s="443">
        <v>15</v>
      </c>
      <c r="B10" s="444" t="s">
        <v>280</v>
      </c>
      <c r="C10" s="444" t="s">
        <v>273</v>
      </c>
      <c r="E10" s="445">
        <v>9295693</v>
      </c>
      <c r="F10" s="445">
        <v>9295693</v>
      </c>
      <c r="G10" s="445">
        <v>9295693</v>
      </c>
      <c r="H10" s="446">
        <v>0.60855600654664488</v>
      </c>
      <c r="J10" s="445">
        <v>14694000</v>
      </c>
      <c r="K10" s="445">
        <v>15040000</v>
      </c>
      <c r="L10" s="445">
        <v>15275000</v>
      </c>
      <c r="N10" s="445">
        <v>20504998</v>
      </c>
      <c r="O10" s="445">
        <v>20504998</v>
      </c>
      <c r="P10" s="445">
        <v>20990000</v>
      </c>
      <c r="R10" s="445">
        <v>17536000</v>
      </c>
      <c r="S10" s="445">
        <v>18455000</v>
      </c>
      <c r="T10" s="445">
        <v>20251000</v>
      </c>
      <c r="V10" s="433">
        <v>0.63261827956989247</v>
      </c>
      <c r="W10" s="433">
        <v>0.61806469414893617</v>
      </c>
    </row>
    <row r="11" spans="1:23" hidden="1">
      <c r="A11" s="443">
        <v>15</v>
      </c>
      <c r="B11" s="444" t="s">
        <v>281</v>
      </c>
      <c r="C11" s="444" t="s">
        <v>273</v>
      </c>
      <c r="E11" s="445">
        <v>13526998.32</v>
      </c>
      <c r="F11" s="445">
        <v>13526998.32</v>
      </c>
      <c r="G11" s="445">
        <v>13526998.32</v>
      </c>
      <c r="H11" s="446">
        <v>0.88556453813420621</v>
      </c>
      <c r="J11" s="445">
        <v>14694000</v>
      </c>
      <c r="K11" s="445">
        <v>15040000</v>
      </c>
      <c r="L11" s="445">
        <v>15275000</v>
      </c>
      <c r="N11" s="445">
        <v>20504998</v>
      </c>
      <c r="O11" s="445">
        <v>20504998</v>
      </c>
      <c r="P11" s="445">
        <v>20990000</v>
      </c>
      <c r="R11" s="445">
        <v>17536000</v>
      </c>
      <c r="S11" s="445">
        <v>18455000</v>
      </c>
      <c r="T11" s="445">
        <v>20251000</v>
      </c>
      <c r="V11" s="433">
        <v>0.9205797141690486</v>
      </c>
      <c r="W11" s="433">
        <v>0.89940148404255316</v>
      </c>
    </row>
    <row r="12" spans="1:23" hidden="1">
      <c r="A12" s="443">
        <v>15</v>
      </c>
      <c r="B12" s="444" t="s">
        <v>282</v>
      </c>
      <c r="C12" s="444" t="s">
        <v>277</v>
      </c>
      <c r="E12" s="445">
        <v>6304597.8600000003</v>
      </c>
      <c r="F12" s="445">
        <v>9363939.8600000013</v>
      </c>
      <c r="G12" s="445">
        <v>9363939.8600000013</v>
      </c>
      <c r="H12" s="446">
        <v>0.61302388608837977</v>
      </c>
      <c r="J12" s="445">
        <v>14694000</v>
      </c>
      <c r="K12" s="445">
        <v>15040000</v>
      </c>
      <c r="L12" s="445">
        <v>15275000</v>
      </c>
      <c r="N12" s="445">
        <v>20504998</v>
      </c>
      <c r="O12" s="445">
        <v>20504998</v>
      </c>
      <c r="P12" s="445">
        <v>20990000</v>
      </c>
      <c r="R12" s="445">
        <v>17536000</v>
      </c>
      <c r="S12" s="445">
        <v>18455000</v>
      </c>
      <c r="T12" s="445">
        <v>20251000</v>
      </c>
      <c r="V12" s="433">
        <v>0.42905933442221317</v>
      </c>
      <c r="W12" s="433">
        <v>0.62260238430851067</v>
      </c>
    </row>
    <row r="13" spans="1:23" hidden="1">
      <c r="A13" s="443">
        <v>15</v>
      </c>
      <c r="B13" s="444" t="s">
        <v>283</v>
      </c>
      <c r="C13" s="444" t="s">
        <v>273</v>
      </c>
      <c r="E13" s="445">
        <v>11766700.000000002</v>
      </c>
      <c r="F13" s="445">
        <v>11766700.000000002</v>
      </c>
      <c r="G13" s="445">
        <v>11766700.000000002</v>
      </c>
      <c r="H13" s="446">
        <v>0.77032405891980371</v>
      </c>
      <c r="J13" s="445">
        <v>14694000</v>
      </c>
      <c r="K13" s="445">
        <v>15040000</v>
      </c>
      <c r="L13" s="445">
        <v>15275000</v>
      </c>
      <c r="N13" s="445">
        <v>20504998</v>
      </c>
      <c r="O13" s="445">
        <v>20504998</v>
      </c>
      <c r="P13" s="445">
        <v>20990000</v>
      </c>
      <c r="R13" s="445">
        <v>17536000</v>
      </c>
      <c r="S13" s="445">
        <v>18455000</v>
      </c>
      <c r="T13" s="445">
        <v>20251000</v>
      </c>
      <c r="V13" s="433">
        <v>0.80078263236695257</v>
      </c>
      <c r="W13" s="433">
        <v>0.78236037234042566</v>
      </c>
    </row>
    <row r="14" spans="1:23" hidden="1">
      <c r="A14" s="443">
        <v>15</v>
      </c>
      <c r="B14" s="444" t="s">
        <v>284</v>
      </c>
      <c r="C14" s="444" t="s">
        <v>277</v>
      </c>
      <c r="E14" s="445">
        <v>6315187.8900000006</v>
      </c>
      <c r="F14" s="445">
        <v>10292332.490000002</v>
      </c>
      <c r="G14" s="445">
        <v>10292332.490000002</v>
      </c>
      <c r="H14" s="446">
        <v>0.67380245433715236</v>
      </c>
      <c r="J14" s="445">
        <v>14694000</v>
      </c>
      <c r="K14" s="445">
        <v>15040000</v>
      </c>
      <c r="L14" s="445">
        <v>15275000</v>
      </c>
      <c r="N14" s="445">
        <v>20504998</v>
      </c>
      <c r="O14" s="445">
        <v>20504998</v>
      </c>
      <c r="P14" s="445">
        <v>20990000</v>
      </c>
      <c r="R14" s="445">
        <v>17536000</v>
      </c>
      <c r="S14" s="445">
        <v>18455000</v>
      </c>
      <c r="T14" s="445">
        <v>20251000</v>
      </c>
      <c r="V14" s="433">
        <v>0.42978003879134347</v>
      </c>
      <c r="W14" s="433">
        <v>0.68433061768617032</v>
      </c>
    </row>
    <row r="15" spans="1:23" hidden="1">
      <c r="A15" s="441">
        <v>14</v>
      </c>
      <c r="B15" s="442" t="s">
        <v>285</v>
      </c>
      <c r="C15" s="442" t="s">
        <v>277</v>
      </c>
      <c r="E15" s="439">
        <v>9295693</v>
      </c>
      <c r="F15" s="439">
        <v>9295693</v>
      </c>
      <c r="G15" s="439">
        <v>9295693</v>
      </c>
      <c r="H15" s="440">
        <v>0.79301254052209524</v>
      </c>
      <c r="J15" s="439">
        <v>11364000</v>
      </c>
      <c r="K15" s="439">
        <v>11566000</v>
      </c>
      <c r="L15" s="439">
        <v>11722000</v>
      </c>
      <c r="N15" s="439">
        <v>16689654.668879999</v>
      </c>
      <c r="O15" s="439">
        <v>16689654.668879999</v>
      </c>
      <c r="P15" s="439">
        <v>17146000</v>
      </c>
      <c r="R15" s="439">
        <v>13206000</v>
      </c>
      <c r="S15" s="439">
        <v>13802000</v>
      </c>
      <c r="T15" s="439">
        <v>14969000</v>
      </c>
      <c r="V15" s="433">
        <v>0.81799480816613868</v>
      </c>
      <c r="W15" s="433">
        <v>0.80370854227909394</v>
      </c>
    </row>
    <row r="16" spans="1:23" hidden="1">
      <c r="A16" s="441">
        <v>14</v>
      </c>
      <c r="B16" s="442" t="s">
        <v>286</v>
      </c>
      <c r="C16" s="442" t="s">
        <v>277</v>
      </c>
      <c r="E16" s="439">
        <v>9295693</v>
      </c>
      <c r="F16" s="439">
        <v>9295693</v>
      </c>
      <c r="G16" s="439">
        <v>9295693</v>
      </c>
      <c r="H16" s="440">
        <v>0.79301254052209524</v>
      </c>
      <c r="J16" s="439">
        <v>11364000</v>
      </c>
      <c r="K16" s="439">
        <v>11566000</v>
      </c>
      <c r="L16" s="439">
        <v>11722000</v>
      </c>
      <c r="N16" s="439">
        <v>16689654.668879999</v>
      </c>
      <c r="O16" s="439">
        <v>16689654.668879999</v>
      </c>
      <c r="P16" s="439">
        <v>17146000</v>
      </c>
      <c r="R16" s="439">
        <v>13206000</v>
      </c>
      <c r="S16" s="439">
        <v>13802000</v>
      </c>
      <c r="T16" s="439">
        <v>14969000</v>
      </c>
      <c r="V16" s="433">
        <v>0.81799480816613868</v>
      </c>
      <c r="W16" s="433">
        <v>0.80370854227909394</v>
      </c>
    </row>
    <row r="17" spans="1:23" hidden="1">
      <c r="A17" s="441">
        <v>14</v>
      </c>
      <c r="B17" s="442" t="s">
        <v>287</v>
      </c>
      <c r="C17" s="442" t="s">
        <v>273</v>
      </c>
      <c r="E17" s="439">
        <v>9295693</v>
      </c>
      <c r="F17" s="439">
        <v>9295693</v>
      </c>
      <c r="G17" s="439">
        <v>9295693</v>
      </c>
      <c r="H17" s="440">
        <v>0.79301254052209524</v>
      </c>
      <c r="J17" s="439">
        <v>11364000</v>
      </c>
      <c r="K17" s="439">
        <v>11566000</v>
      </c>
      <c r="L17" s="439">
        <v>11722000</v>
      </c>
      <c r="N17" s="439">
        <v>16689654.668879999</v>
      </c>
      <c r="O17" s="439">
        <v>16689654.668879999</v>
      </c>
      <c r="P17" s="439">
        <v>17146000</v>
      </c>
      <c r="R17" s="439">
        <v>13206000</v>
      </c>
      <c r="S17" s="439">
        <v>13802000</v>
      </c>
      <c r="T17" s="439">
        <v>14969000</v>
      </c>
      <c r="V17" s="433">
        <v>0.81799480816613868</v>
      </c>
      <c r="W17" s="433">
        <v>0.80370854227909394</v>
      </c>
    </row>
    <row r="18" spans="1:23" hidden="1">
      <c r="A18" s="441">
        <v>14</v>
      </c>
      <c r="B18" s="442" t="s">
        <v>288</v>
      </c>
      <c r="C18" s="442" t="s">
        <v>277</v>
      </c>
      <c r="E18" s="439">
        <v>9295693</v>
      </c>
      <c r="F18" s="439">
        <v>9295693</v>
      </c>
      <c r="G18" s="439">
        <v>9295693</v>
      </c>
      <c r="H18" s="440">
        <v>0.79301254052209524</v>
      </c>
      <c r="J18" s="439">
        <v>11364000</v>
      </c>
      <c r="K18" s="439">
        <v>11566000</v>
      </c>
      <c r="L18" s="439">
        <v>11722000</v>
      </c>
      <c r="N18" s="439">
        <v>16689654.668879999</v>
      </c>
      <c r="O18" s="439">
        <v>16689654.668879999</v>
      </c>
      <c r="P18" s="439">
        <v>17146000</v>
      </c>
      <c r="R18" s="439">
        <v>13206000</v>
      </c>
      <c r="S18" s="439">
        <v>13802000</v>
      </c>
      <c r="T18" s="439">
        <v>14969000</v>
      </c>
      <c r="V18" s="433">
        <v>0.81799480816613868</v>
      </c>
      <c r="W18" s="433">
        <v>0.80370854227909394</v>
      </c>
    </row>
    <row r="19" spans="1:23" hidden="1">
      <c r="A19" s="441">
        <v>14</v>
      </c>
      <c r="B19" s="442" t="s">
        <v>289</v>
      </c>
      <c r="C19" s="442" t="s">
        <v>290</v>
      </c>
      <c r="E19" s="439">
        <v>12175004.49</v>
      </c>
      <c r="F19" s="439">
        <v>12175004.49</v>
      </c>
      <c r="G19" s="439">
        <v>12175004.49</v>
      </c>
      <c r="H19" s="440">
        <v>1.0386456654154581</v>
      </c>
      <c r="J19" s="439">
        <v>11364000</v>
      </c>
      <c r="K19" s="439">
        <v>11566000</v>
      </c>
      <c r="L19" s="439">
        <v>11722000</v>
      </c>
      <c r="N19" s="439">
        <v>16689654.668879999</v>
      </c>
      <c r="O19" s="439">
        <v>16689654.668879999</v>
      </c>
      <c r="P19" s="439">
        <v>17146000</v>
      </c>
      <c r="R19" s="439">
        <v>13206000</v>
      </c>
      <c r="S19" s="439">
        <v>13802000</v>
      </c>
      <c r="T19" s="439">
        <v>14969000</v>
      </c>
      <c r="V19" s="433">
        <v>1.0713661114044351</v>
      </c>
      <c r="W19" s="433">
        <v>1.0526547198685803</v>
      </c>
    </row>
    <row r="20" spans="1:23" hidden="1">
      <c r="A20" s="441">
        <v>14</v>
      </c>
      <c r="B20" s="442" t="s">
        <v>291</v>
      </c>
      <c r="C20" s="442" t="s">
        <v>277</v>
      </c>
      <c r="E20" s="439">
        <v>6023373.7300000004</v>
      </c>
      <c r="F20" s="439">
        <v>6023373.7300000004</v>
      </c>
      <c r="G20" s="439">
        <v>6023373.7300000004</v>
      </c>
      <c r="H20" s="440">
        <v>0.51385204999146905</v>
      </c>
      <c r="J20" s="439">
        <v>11364000</v>
      </c>
      <c r="K20" s="439">
        <v>11566000</v>
      </c>
      <c r="L20" s="439">
        <v>11722000</v>
      </c>
      <c r="N20" s="439">
        <v>16689654.668879999</v>
      </c>
      <c r="O20" s="439">
        <v>16689654.668879999</v>
      </c>
      <c r="P20" s="439">
        <v>17146000</v>
      </c>
      <c r="R20" s="439">
        <v>13206000</v>
      </c>
      <c r="S20" s="439">
        <v>13802000</v>
      </c>
      <c r="T20" s="439">
        <v>14969000</v>
      </c>
      <c r="V20" s="433">
        <v>0.53003992696233726</v>
      </c>
      <c r="W20" s="433">
        <v>0.52078278834514957</v>
      </c>
    </row>
    <row r="21" spans="1:23" hidden="1">
      <c r="A21" s="441">
        <v>14</v>
      </c>
      <c r="B21" s="442" t="s">
        <v>292</v>
      </c>
      <c r="C21" s="442" t="s">
        <v>290</v>
      </c>
      <c r="E21" s="439">
        <v>11477239.180000002</v>
      </c>
      <c r="F21" s="439">
        <v>11477239.180000002</v>
      </c>
      <c r="G21" s="439">
        <v>11477239.180000002</v>
      </c>
      <c r="H21" s="440">
        <v>0.97911953420917941</v>
      </c>
      <c r="J21" s="439">
        <v>11364000</v>
      </c>
      <c r="K21" s="439">
        <v>11566000</v>
      </c>
      <c r="L21" s="439">
        <v>11722000</v>
      </c>
      <c r="N21" s="439">
        <v>16689654.668879999</v>
      </c>
      <c r="O21" s="439">
        <v>16689654.668879999</v>
      </c>
      <c r="P21" s="439">
        <v>17146000</v>
      </c>
      <c r="R21" s="439">
        <v>13206000</v>
      </c>
      <c r="S21" s="439">
        <v>13802000</v>
      </c>
      <c r="T21" s="439">
        <v>14969000</v>
      </c>
      <c r="V21" s="433">
        <v>1.0099647289686731</v>
      </c>
      <c r="W21" s="433">
        <v>0.99232571156839022</v>
      </c>
    </row>
    <row r="22" spans="1:23" hidden="1">
      <c r="A22" s="441">
        <v>14</v>
      </c>
      <c r="B22" s="442" t="s">
        <v>293</v>
      </c>
      <c r="C22" s="442" t="s">
        <v>273</v>
      </c>
      <c r="E22" s="439">
        <v>9295693</v>
      </c>
      <c r="F22" s="439">
        <v>9295693</v>
      </c>
      <c r="G22" s="439">
        <v>9295693</v>
      </c>
      <c r="H22" s="440">
        <v>0.79301254052209524</v>
      </c>
      <c r="J22" s="439">
        <v>11364000</v>
      </c>
      <c r="K22" s="439">
        <v>11566000</v>
      </c>
      <c r="L22" s="439">
        <v>11722000</v>
      </c>
      <c r="N22" s="439">
        <v>16689654.668879999</v>
      </c>
      <c r="O22" s="439">
        <v>16689654.668879999</v>
      </c>
      <c r="P22" s="439">
        <v>17146000</v>
      </c>
      <c r="R22" s="439">
        <v>13206000</v>
      </c>
      <c r="S22" s="439">
        <v>13802000</v>
      </c>
      <c r="T22" s="439">
        <v>14969000</v>
      </c>
      <c r="V22" s="433">
        <v>0.81799480816613868</v>
      </c>
      <c r="W22" s="433">
        <v>0.80370854227909394</v>
      </c>
    </row>
    <row r="23" spans="1:23" hidden="1">
      <c r="A23" s="443">
        <v>13</v>
      </c>
      <c r="B23" s="444" t="s">
        <v>294</v>
      </c>
      <c r="C23" s="444" t="s">
        <v>295</v>
      </c>
      <c r="E23" s="445">
        <v>6808212.620000001</v>
      </c>
      <c r="F23" s="445">
        <v>6808212.620000001</v>
      </c>
      <c r="G23" s="445">
        <v>6808212.620000001</v>
      </c>
      <c r="H23" s="446">
        <v>0.68548254329440206</v>
      </c>
      <c r="J23" s="445">
        <v>9605000</v>
      </c>
      <c r="K23" s="445">
        <v>9769000</v>
      </c>
      <c r="L23" s="445">
        <v>9932000</v>
      </c>
      <c r="N23" s="445">
        <v>13335682.475</v>
      </c>
      <c r="O23" s="445">
        <v>13335682.475</v>
      </c>
      <c r="P23" s="445">
        <v>13793000</v>
      </c>
      <c r="R23" s="445">
        <v>9430000</v>
      </c>
      <c r="S23" s="445">
        <v>9744000</v>
      </c>
      <c r="T23" s="445">
        <v>10361000</v>
      </c>
      <c r="V23" s="433">
        <v>0.70881963768870393</v>
      </c>
      <c r="W23" s="433">
        <v>0.69692011669567011</v>
      </c>
    </row>
    <row r="24" spans="1:23" hidden="1">
      <c r="A24" s="443">
        <v>13</v>
      </c>
      <c r="B24" s="444" t="s">
        <v>296</v>
      </c>
      <c r="C24" s="444" t="s">
        <v>295</v>
      </c>
      <c r="E24" s="445">
        <v>6023373.7300000004</v>
      </c>
      <c r="F24" s="445">
        <v>6023373.7300000004</v>
      </c>
      <c r="G24" s="445">
        <v>6023373.7300000004</v>
      </c>
      <c r="H24" s="446">
        <v>0.60646130990737013</v>
      </c>
      <c r="J24" s="445">
        <v>9605000</v>
      </c>
      <c r="K24" s="445">
        <v>9769000</v>
      </c>
      <c r="L24" s="445">
        <v>9932000</v>
      </c>
      <c r="N24" s="445">
        <v>13335682.475</v>
      </c>
      <c r="O24" s="445">
        <v>13335682.475</v>
      </c>
      <c r="P24" s="445">
        <v>13793000</v>
      </c>
      <c r="R24" s="445">
        <v>9430000</v>
      </c>
      <c r="S24" s="445">
        <v>9744000</v>
      </c>
      <c r="T24" s="445">
        <v>10361000</v>
      </c>
      <c r="V24" s="433">
        <v>0.62710814471629361</v>
      </c>
      <c r="W24" s="433">
        <v>0.6165803797727506</v>
      </c>
    </row>
    <row r="25" spans="1:23" hidden="1">
      <c r="A25" s="443">
        <v>13</v>
      </c>
      <c r="B25" s="444" t="s">
        <v>297</v>
      </c>
      <c r="C25" s="444" t="s">
        <v>277</v>
      </c>
      <c r="E25" s="445">
        <v>7441261.080000001</v>
      </c>
      <c r="F25" s="445">
        <v>7441261.080000001</v>
      </c>
      <c r="G25" s="445">
        <v>7441261.080000001</v>
      </c>
      <c r="H25" s="446">
        <v>0.74922080950463155</v>
      </c>
      <c r="J25" s="445">
        <v>9605000</v>
      </c>
      <c r="K25" s="445">
        <v>9769000</v>
      </c>
      <c r="L25" s="445">
        <v>9932000</v>
      </c>
      <c r="N25" s="445">
        <v>13335682.475</v>
      </c>
      <c r="O25" s="445">
        <v>13335682.475</v>
      </c>
      <c r="P25" s="445">
        <v>13793000</v>
      </c>
      <c r="R25" s="445">
        <v>9430000</v>
      </c>
      <c r="S25" s="445">
        <v>9744000</v>
      </c>
      <c r="T25" s="445">
        <v>10361000</v>
      </c>
      <c r="V25" s="433">
        <v>0.77472785840707981</v>
      </c>
      <c r="W25" s="433">
        <v>0.76172188350905934</v>
      </c>
    </row>
    <row r="26" spans="1:23" hidden="1">
      <c r="A26" s="443">
        <v>13</v>
      </c>
      <c r="B26" s="444" t="s">
        <v>298</v>
      </c>
      <c r="C26" s="444" t="s">
        <v>273</v>
      </c>
      <c r="E26" s="445">
        <v>9295693</v>
      </c>
      <c r="F26" s="445">
        <v>9295693</v>
      </c>
      <c r="G26" s="445">
        <v>9295693</v>
      </c>
      <c r="H26" s="446">
        <v>0.93593364881192109</v>
      </c>
      <c r="J26" s="445">
        <v>9605000</v>
      </c>
      <c r="K26" s="445">
        <v>9769000</v>
      </c>
      <c r="L26" s="445">
        <v>9932000</v>
      </c>
      <c r="N26" s="445">
        <v>13335682.475</v>
      </c>
      <c r="O26" s="445">
        <v>13335682.475</v>
      </c>
      <c r="P26" s="445">
        <v>13793000</v>
      </c>
      <c r="R26" s="445">
        <v>9430000</v>
      </c>
      <c r="S26" s="445">
        <v>9744000</v>
      </c>
      <c r="T26" s="445">
        <v>10361000</v>
      </c>
      <c r="V26" s="433">
        <v>0.96779729307652262</v>
      </c>
      <c r="W26" s="433">
        <v>0.95155010748285396</v>
      </c>
    </row>
    <row r="27" spans="1:23" hidden="1">
      <c r="A27" s="441">
        <v>12</v>
      </c>
      <c r="B27" s="442" t="s">
        <v>299</v>
      </c>
      <c r="C27" s="442" t="s">
        <v>295</v>
      </c>
      <c r="E27" s="439">
        <v>5818633.1500000004</v>
      </c>
      <c r="F27" s="439">
        <v>5818633.1500000004</v>
      </c>
      <c r="G27" s="439">
        <v>5818633.1500000004</v>
      </c>
      <c r="H27" s="440">
        <v>0.69625860356587299</v>
      </c>
      <c r="J27" s="439">
        <v>8058000</v>
      </c>
      <c r="K27" s="439">
        <v>8188000</v>
      </c>
      <c r="L27" s="439">
        <v>8357000</v>
      </c>
      <c r="N27" s="439">
        <v>10405303.765958151</v>
      </c>
      <c r="O27" s="439">
        <v>10405303.765958151</v>
      </c>
      <c r="P27" s="439">
        <v>10843000</v>
      </c>
      <c r="R27" s="439">
        <v>7464000</v>
      </c>
      <c r="S27" s="439">
        <v>7790000</v>
      </c>
      <c r="T27" s="439">
        <v>8299000</v>
      </c>
      <c r="V27" s="433">
        <v>0.72209396252171765</v>
      </c>
      <c r="W27" s="433">
        <v>0.71062935393258431</v>
      </c>
    </row>
    <row r="28" spans="1:23" hidden="1">
      <c r="A28" s="441">
        <v>12</v>
      </c>
      <c r="B28" s="442" t="s">
        <v>300</v>
      </c>
      <c r="C28" s="442" t="s">
        <v>273</v>
      </c>
      <c r="E28" s="439">
        <v>4745510.1100000003</v>
      </c>
      <c r="F28" s="439">
        <v>4745510.1100000003</v>
      </c>
      <c r="G28" s="439">
        <v>4745510.1100000003</v>
      </c>
      <c r="H28" s="440">
        <v>0.56784852339356229</v>
      </c>
      <c r="J28" s="439">
        <v>8058000</v>
      </c>
      <c r="K28" s="439">
        <v>8188000</v>
      </c>
      <c r="L28" s="439">
        <v>8357000</v>
      </c>
      <c r="N28" s="439">
        <v>10405303.765958151</v>
      </c>
      <c r="O28" s="439">
        <v>10405303.765958151</v>
      </c>
      <c r="P28" s="439">
        <v>10843000</v>
      </c>
      <c r="R28" s="439">
        <v>7464000</v>
      </c>
      <c r="S28" s="439">
        <v>7790000</v>
      </c>
      <c r="T28" s="439">
        <v>8299000</v>
      </c>
      <c r="V28" s="433">
        <v>0.58891910027302063</v>
      </c>
      <c r="W28" s="433">
        <v>0.57956889472398643</v>
      </c>
    </row>
    <row r="29" spans="1:23" hidden="1">
      <c r="A29" s="441">
        <v>12</v>
      </c>
      <c r="B29" s="442" t="s">
        <v>301</v>
      </c>
      <c r="C29" s="442" t="s">
        <v>277</v>
      </c>
      <c r="E29" s="439">
        <v>4471346</v>
      </c>
      <c r="F29" s="439">
        <v>7883689</v>
      </c>
      <c r="G29" s="439">
        <v>7883689</v>
      </c>
      <c r="H29" s="440">
        <v>0.94336352758166808</v>
      </c>
      <c r="J29" s="439">
        <v>8058000</v>
      </c>
      <c r="K29" s="439">
        <v>8188000</v>
      </c>
      <c r="L29" s="439">
        <v>8357000</v>
      </c>
      <c r="N29" s="439">
        <v>10405303.765958151</v>
      </c>
      <c r="O29" s="439">
        <v>10405303.765958151</v>
      </c>
      <c r="P29" s="439">
        <v>10843000</v>
      </c>
      <c r="R29" s="439">
        <v>7464000</v>
      </c>
      <c r="S29" s="439">
        <v>7790000</v>
      </c>
      <c r="T29" s="439">
        <v>8299000</v>
      </c>
      <c r="V29" s="433">
        <v>0.55489525936957063</v>
      </c>
      <c r="W29" s="433">
        <v>0.96283451392281383</v>
      </c>
    </row>
    <row r="30" spans="1:23" hidden="1">
      <c r="A30" s="441">
        <v>12</v>
      </c>
      <c r="B30" s="442" t="s">
        <v>302</v>
      </c>
      <c r="C30" s="442" t="s">
        <v>290</v>
      </c>
      <c r="E30" s="439">
        <v>5570355.7800000003</v>
      </c>
      <c r="F30" s="439">
        <v>5570355.7800000003</v>
      </c>
      <c r="G30" s="439">
        <v>5570355.7800000003</v>
      </c>
      <c r="H30" s="440">
        <v>0.6665496924733757</v>
      </c>
      <c r="J30" s="439">
        <v>8058000</v>
      </c>
      <c r="K30" s="439">
        <v>8188000</v>
      </c>
      <c r="L30" s="439">
        <v>8357000</v>
      </c>
      <c r="N30" s="439">
        <v>10405303.765958151</v>
      </c>
      <c r="O30" s="439">
        <v>10405303.765958151</v>
      </c>
      <c r="P30" s="439">
        <v>10843000</v>
      </c>
      <c r="R30" s="439">
        <v>7464000</v>
      </c>
      <c r="S30" s="439">
        <v>7790000</v>
      </c>
      <c r="T30" s="439">
        <v>8299000</v>
      </c>
      <c r="V30" s="433">
        <v>0.6912826731198809</v>
      </c>
      <c r="W30" s="433">
        <v>0.68030725207620912</v>
      </c>
    </row>
    <row r="31" spans="1:23" hidden="1">
      <c r="A31" s="441">
        <v>12</v>
      </c>
      <c r="B31" s="442" t="s">
        <v>303</v>
      </c>
      <c r="C31" s="442" t="s">
        <v>290</v>
      </c>
      <c r="E31" s="439">
        <v>11251318.540000001</v>
      </c>
      <c r="F31" s="439">
        <v>11251318.540000001</v>
      </c>
      <c r="G31" s="439">
        <v>11251318.540000001</v>
      </c>
      <c r="H31" s="440">
        <v>1.3463346344381957</v>
      </c>
      <c r="J31" s="439">
        <v>8058000</v>
      </c>
      <c r="K31" s="439">
        <v>8188000</v>
      </c>
      <c r="L31" s="439">
        <v>8357000</v>
      </c>
      <c r="N31" s="439">
        <v>10405303.765958151</v>
      </c>
      <c r="O31" s="439">
        <v>10405303.765958151</v>
      </c>
      <c r="P31" s="439">
        <v>10843000</v>
      </c>
      <c r="R31" s="439">
        <v>7464000</v>
      </c>
      <c r="S31" s="439">
        <v>7790000</v>
      </c>
      <c r="T31" s="439">
        <v>8299000</v>
      </c>
      <c r="V31" s="433">
        <v>1.396291702655746</v>
      </c>
      <c r="W31" s="433">
        <v>1.3741229286761114</v>
      </c>
    </row>
    <row r="32" spans="1:23" hidden="1">
      <c r="A32" s="441">
        <v>12</v>
      </c>
      <c r="B32" s="442" t="s">
        <v>304</v>
      </c>
      <c r="C32" s="442" t="s">
        <v>290</v>
      </c>
      <c r="E32" s="439">
        <v>5424448.7000000002</v>
      </c>
      <c r="F32" s="439">
        <v>5424448.7000000002</v>
      </c>
      <c r="G32" s="439">
        <v>5424448.7000000002</v>
      </c>
      <c r="H32" s="440">
        <v>0.64909042718678955</v>
      </c>
      <c r="J32" s="439">
        <v>8058000</v>
      </c>
      <c r="K32" s="439">
        <v>8188000</v>
      </c>
      <c r="L32" s="439">
        <v>8357000</v>
      </c>
      <c r="N32" s="439">
        <v>10405303.765958151</v>
      </c>
      <c r="O32" s="439">
        <v>10405303.765958151</v>
      </c>
      <c r="P32" s="439">
        <v>10843000</v>
      </c>
      <c r="R32" s="439">
        <v>7464000</v>
      </c>
      <c r="S32" s="439">
        <v>7790000</v>
      </c>
      <c r="T32" s="439">
        <v>8299000</v>
      </c>
      <c r="V32" s="433">
        <v>0.67317556465624229</v>
      </c>
      <c r="W32" s="433">
        <v>0.66248762823644358</v>
      </c>
    </row>
    <row r="33" spans="1:23" hidden="1">
      <c r="A33" s="441">
        <v>12</v>
      </c>
      <c r="B33" s="442" t="s">
        <v>305</v>
      </c>
      <c r="C33" s="442" t="s">
        <v>273</v>
      </c>
      <c r="E33" s="439">
        <v>4745510.1100000003</v>
      </c>
      <c r="F33" s="439">
        <v>4745510.1100000003</v>
      </c>
      <c r="G33" s="439">
        <v>4745510.1100000003</v>
      </c>
      <c r="H33" s="440">
        <v>0.56784852339356229</v>
      </c>
      <c r="J33" s="439">
        <v>8058000</v>
      </c>
      <c r="K33" s="439">
        <v>8188000</v>
      </c>
      <c r="L33" s="439">
        <v>8357000</v>
      </c>
      <c r="N33" s="439">
        <v>10405303.765958151</v>
      </c>
      <c r="O33" s="439">
        <v>10405303.765958151</v>
      </c>
      <c r="P33" s="439">
        <v>10843000</v>
      </c>
      <c r="R33" s="439">
        <v>7464000</v>
      </c>
      <c r="S33" s="439">
        <v>7790000</v>
      </c>
      <c r="T33" s="439">
        <v>8299000</v>
      </c>
      <c r="V33" s="433">
        <v>0.58891910027302063</v>
      </c>
      <c r="W33" s="433">
        <v>0.57956889472398632</v>
      </c>
    </row>
    <row r="34" spans="1:23" hidden="1">
      <c r="A34" s="441">
        <v>12</v>
      </c>
      <c r="B34" s="442" t="s">
        <v>306</v>
      </c>
      <c r="C34" s="442" t="s">
        <v>295</v>
      </c>
      <c r="E34" s="439">
        <v>6023373.7300000004</v>
      </c>
      <c r="F34" s="439">
        <v>6023373.7300000004</v>
      </c>
      <c r="G34" s="439">
        <v>6023373.7300000004</v>
      </c>
      <c r="H34" s="440">
        <v>0.7207578951776954</v>
      </c>
      <c r="J34" s="439">
        <v>8058000</v>
      </c>
      <c r="K34" s="439">
        <v>8188000</v>
      </c>
      <c r="L34" s="439">
        <v>8357000</v>
      </c>
      <c r="N34" s="439">
        <v>10405303.765958151</v>
      </c>
      <c r="O34" s="439">
        <v>10405303.765958151</v>
      </c>
      <c r="P34" s="439">
        <v>10843000</v>
      </c>
      <c r="R34" s="439">
        <v>7464000</v>
      </c>
      <c r="S34" s="439">
        <v>7790000</v>
      </c>
      <c r="T34" s="439">
        <v>8299000</v>
      </c>
      <c r="V34" s="433">
        <v>0.7475023243981137</v>
      </c>
      <c r="W34" s="433">
        <v>0.7356343099658037</v>
      </c>
    </row>
    <row r="35" spans="1:23" hidden="1">
      <c r="A35" s="441">
        <v>12</v>
      </c>
      <c r="B35" s="442" t="s">
        <v>307</v>
      </c>
      <c r="C35" s="442" t="s">
        <v>273</v>
      </c>
      <c r="E35" s="439">
        <v>6189284.2000000002</v>
      </c>
      <c r="F35" s="439">
        <v>10307629.200000001</v>
      </c>
      <c r="G35" s="439">
        <v>10307629.200000001</v>
      </c>
      <c r="H35" s="440">
        <v>1.2334126121814049</v>
      </c>
      <c r="J35" s="439">
        <v>8058000</v>
      </c>
      <c r="K35" s="439">
        <v>8188000</v>
      </c>
      <c r="L35" s="439">
        <v>8357000</v>
      </c>
      <c r="N35" s="439">
        <v>10405303.765958151</v>
      </c>
      <c r="O35" s="439">
        <v>10405303.765958151</v>
      </c>
      <c r="P35" s="439">
        <v>10843000</v>
      </c>
      <c r="R35" s="439">
        <v>7464000</v>
      </c>
      <c r="S35" s="439">
        <v>7790000</v>
      </c>
      <c r="T35" s="439">
        <v>8299000</v>
      </c>
      <c r="V35" s="433">
        <v>0.76809185902208987</v>
      </c>
      <c r="W35" s="433">
        <v>1.258870200293112</v>
      </c>
    </row>
    <row r="36" spans="1:23" hidden="1">
      <c r="A36" s="441">
        <v>12</v>
      </c>
      <c r="B36" s="442" t="s">
        <v>308</v>
      </c>
      <c r="C36" s="442" t="s">
        <v>273</v>
      </c>
      <c r="E36" s="439">
        <v>6354018.0000000009</v>
      </c>
      <c r="F36" s="439">
        <v>6354018.0000000009</v>
      </c>
      <c r="G36" s="439">
        <v>6354018.0000000009</v>
      </c>
      <c r="H36" s="440">
        <v>0.76032284312552367</v>
      </c>
      <c r="J36" s="439">
        <v>8058000</v>
      </c>
      <c r="K36" s="439">
        <v>8188000</v>
      </c>
      <c r="L36" s="439">
        <v>8357000</v>
      </c>
      <c r="N36" s="439">
        <v>10405303.765958151</v>
      </c>
      <c r="O36" s="439">
        <v>10405303.765958151</v>
      </c>
      <c r="P36" s="439">
        <v>10843000</v>
      </c>
      <c r="R36" s="439">
        <v>7464000</v>
      </c>
      <c r="S36" s="439">
        <v>7790000</v>
      </c>
      <c r="T36" s="439">
        <v>8299000</v>
      </c>
      <c r="V36" s="433">
        <v>0.78853536857781104</v>
      </c>
      <c r="W36" s="433">
        <v>0.77601587689301432</v>
      </c>
    </row>
    <row r="37" spans="1:23" hidden="1">
      <c r="A37" s="441">
        <v>12</v>
      </c>
      <c r="B37" s="442" t="s">
        <v>309</v>
      </c>
      <c r="C37" s="442" t="s">
        <v>290</v>
      </c>
      <c r="E37" s="439">
        <v>5656252.6900000004</v>
      </c>
      <c r="F37" s="439">
        <v>5656252.6900000004</v>
      </c>
      <c r="G37" s="439">
        <v>5656252.6900000004</v>
      </c>
      <c r="H37" s="440">
        <v>0.67682813090822069</v>
      </c>
      <c r="J37" s="439">
        <v>8058000</v>
      </c>
      <c r="K37" s="439">
        <v>8188000</v>
      </c>
      <c r="L37" s="439">
        <v>8357000</v>
      </c>
      <c r="N37" s="439">
        <v>10405303.765958151</v>
      </c>
      <c r="O37" s="439">
        <v>10405303.765958151</v>
      </c>
      <c r="P37" s="439">
        <v>10843000</v>
      </c>
      <c r="R37" s="439">
        <v>7464000</v>
      </c>
      <c r="S37" s="439">
        <v>7790000</v>
      </c>
      <c r="T37" s="439">
        <v>8299000</v>
      </c>
      <c r="V37" s="433">
        <v>0.70194250310250683</v>
      </c>
      <c r="W37" s="433">
        <v>0.69079783707865172</v>
      </c>
    </row>
    <row r="38" spans="1:23" hidden="1">
      <c r="A38" s="443">
        <v>11</v>
      </c>
      <c r="B38" s="444" t="s">
        <v>310</v>
      </c>
      <c r="C38" s="444" t="s">
        <v>295</v>
      </c>
      <c r="E38" s="445">
        <v>6561111.9200000009</v>
      </c>
      <c r="F38" s="445">
        <v>6561111.9200000009</v>
      </c>
      <c r="G38" s="445">
        <v>6561111.9200000009</v>
      </c>
      <c r="H38" s="446">
        <v>0.93770357581820796</v>
      </c>
      <c r="J38" s="445">
        <v>6722000</v>
      </c>
      <c r="K38" s="445">
        <v>6822000</v>
      </c>
      <c r="L38" s="445">
        <v>6997000</v>
      </c>
      <c r="N38" s="445">
        <v>7808232.4385500001</v>
      </c>
      <c r="O38" s="445">
        <v>7808232.4385500001</v>
      </c>
      <c r="P38" s="445">
        <v>8294000</v>
      </c>
      <c r="R38" s="445">
        <v>6205000</v>
      </c>
      <c r="S38" s="445">
        <v>6626000</v>
      </c>
      <c r="T38" s="445">
        <v>7162000</v>
      </c>
      <c r="V38" s="433">
        <v>0.97606544480809299</v>
      </c>
      <c r="W38" s="433">
        <v>0.9617578305482265</v>
      </c>
    </row>
    <row r="39" spans="1:23" hidden="1">
      <c r="A39" s="443">
        <v>11</v>
      </c>
      <c r="B39" s="444" t="s">
        <v>311</v>
      </c>
      <c r="C39" s="444" t="s">
        <v>295</v>
      </c>
      <c r="E39" s="445">
        <v>4745510.1100000003</v>
      </c>
      <c r="F39" s="445">
        <v>4745510.1100000003</v>
      </c>
      <c r="G39" s="445">
        <v>4745510.1100000003</v>
      </c>
      <c r="H39" s="446">
        <v>0.67822068172073735</v>
      </c>
      <c r="J39" s="445">
        <v>6722000</v>
      </c>
      <c r="K39" s="445">
        <v>6822000</v>
      </c>
      <c r="L39" s="445">
        <v>6997000</v>
      </c>
      <c r="N39" s="445">
        <v>7808232.4385500001</v>
      </c>
      <c r="O39" s="445">
        <v>7808232.4385500001</v>
      </c>
      <c r="P39" s="445">
        <v>8294000</v>
      </c>
      <c r="R39" s="445">
        <v>6205000</v>
      </c>
      <c r="S39" s="445">
        <v>6626000</v>
      </c>
      <c r="T39" s="445">
        <v>7162000</v>
      </c>
      <c r="V39" s="433">
        <v>0.70596699047902411</v>
      </c>
      <c r="W39" s="433">
        <v>0.69561860304895917</v>
      </c>
    </row>
    <row r="40" spans="1:23" hidden="1">
      <c r="A40" s="443">
        <v>11</v>
      </c>
      <c r="B40" s="444" t="s">
        <v>312</v>
      </c>
      <c r="C40" s="444" t="s">
        <v>290</v>
      </c>
      <c r="E40" s="445">
        <v>3218192.45</v>
      </c>
      <c r="F40" s="445">
        <v>3218192.45</v>
      </c>
      <c r="G40" s="445">
        <v>3218192.45</v>
      </c>
      <c r="H40" s="446">
        <v>0.45993889524081755</v>
      </c>
      <c r="J40" s="445">
        <v>6722000</v>
      </c>
      <c r="K40" s="445">
        <v>6822000</v>
      </c>
      <c r="L40" s="445">
        <v>6997000</v>
      </c>
      <c r="N40" s="445">
        <v>7808232.4385500001</v>
      </c>
      <c r="O40" s="445">
        <v>7808232.4385500001</v>
      </c>
      <c r="P40" s="445">
        <v>8294000</v>
      </c>
      <c r="R40" s="445">
        <v>6205000</v>
      </c>
      <c r="S40" s="445">
        <v>6626000</v>
      </c>
      <c r="T40" s="445">
        <v>7162000</v>
      </c>
      <c r="V40" s="433">
        <v>0.47875519934543292</v>
      </c>
      <c r="W40" s="433">
        <v>0.47173738639695106</v>
      </c>
    </row>
    <row r="41" spans="1:23" hidden="1">
      <c r="A41" s="443">
        <v>11</v>
      </c>
      <c r="B41" s="444" t="s">
        <v>313</v>
      </c>
      <c r="C41" s="444" t="s">
        <v>295</v>
      </c>
      <c r="E41" s="445">
        <v>4236012</v>
      </c>
      <c r="F41" s="445">
        <v>4236012</v>
      </c>
      <c r="G41" s="445">
        <v>4236012</v>
      </c>
      <c r="H41" s="446">
        <v>0.60540403029869949</v>
      </c>
      <c r="J41" s="445">
        <v>6722000</v>
      </c>
      <c r="K41" s="445">
        <v>6822000</v>
      </c>
      <c r="L41" s="445">
        <v>6997000</v>
      </c>
      <c r="N41" s="445">
        <v>7808232.4385500001</v>
      </c>
      <c r="O41" s="445">
        <v>7808232.4385500001</v>
      </c>
      <c r="P41" s="445">
        <v>8294000</v>
      </c>
      <c r="R41" s="445">
        <v>6205000</v>
      </c>
      <c r="S41" s="445">
        <v>6626000</v>
      </c>
      <c r="T41" s="445">
        <v>7162000</v>
      </c>
      <c r="V41" s="433">
        <v>0.63017137756620056</v>
      </c>
      <c r="W41" s="433">
        <v>0.62093403693931404</v>
      </c>
    </row>
    <row r="42" spans="1:23" hidden="1">
      <c r="A42" s="443">
        <v>11</v>
      </c>
      <c r="B42" s="444" t="s">
        <v>314</v>
      </c>
      <c r="C42" s="444" t="s">
        <v>295</v>
      </c>
      <c r="E42" s="445">
        <v>5072624.37</v>
      </c>
      <c r="F42" s="445">
        <v>5072624.37</v>
      </c>
      <c r="G42" s="445">
        <v>5072624.37</v>
      </c>
      <c r="H42" s="446">
        <v>0.72497132628269256</v>
      </c>
      <c r="J42" s="445">
        <v>6722000</v>
      </c>
      <c r="K42" s="445">
        <v>6822000</v>
      </c>
      <c r="L42" s="445">
        <v>6997000</v>
      </c>
      <c r="N42" s="445">
        <v>7808232.4385500001</v>
      </c>
      <c r="O42" s="445">
        <v>7808232.4385500001</v>
      </c>
      <c r="P42" s="445">
        <v>8294000</v>
      </c>
      <c r="R42" s="445">
        <v>6205000</v>
      </c>
      <c r="S42" s="445">
        <v>6626000</v>
      </c>
      <c r="T42" s="445">
        <v>7162000</v>
      </c>
      <c r="V42" s="433">
        <v>0.7546302246355252</v>
      </c>
      <c r="W42" s="433">
        <v>0.74356850923482853</v>
      </c>
    </row>
    <row r="43" spans="1:23" hidden="1">
      <c r="A43" s="443">
        <v>11</v>
      </c>
      <c r="B43" s="444" t="s">
        <v>315</v>
      </c>
      <c r="C43" s="444" t="s">
        <v>290</v>
      </c>
      <c r="E43" s="445">
        <v>7441261.080000001</v>
      </c>
      <c r="F43" s="445">
        <v>7441261.080000001</v>
      </c>
      <c r="G43" s="445">
        <v>7441261.080000001</v>
      </c>
      <c r="H43" s="446">
        <v>1.0634930798913822</v>
      </c>
      <c r="J43" s="445">
        <v>6722000</v>
      </c>
      <c r="K43" s="445">
        <v>6822000</v>
      </c>
      <c r="L43" s="445">
        <v>6997000</v>
      </c>
      <c r="N43" s="445">
        <v>7808232.4385500001</v>
      </c>
      <c r="O43" s="445">
        <v>7808232.4385500001</v>
      </c>
      <c r="P43" s="445">
        <v>8294000</v>
      </c>
      <c r="R43" s="445">
        <v>6205000</v>
      </c>
      <c r="S43" s="445">
        <v>6626000</v>
      </c>
      <c r="T43" s="445">
        <v>7162000</v>
      </c>
      <c r="V43" s="433">
        <v>1.1070010532579591</v>
      </c>
      <c r="W43" s="433">
        <v>1.0907741248900618</v>
      </c>
    </row>
    <row r="44" spans="1:23" hidden="1">
      <c r="A44" s="443">
        <v>11</v>
      </c>
      <c r="B44" s="444" t="s">
        <v>316</v>
      </c>
      <c r="C44" s="444" t="s">
        <v>295</v>
      </c>
      <c r="E44" s="445">
        <v>5424448.7000000002</v>
      </c>
      <c r="F44" s="445">
        <v>5424448.7000000002</v>
      </c>
      <c r="G44" s="445">
        <v>5424448.7000000002</v>
      </c>
      <c r="H44" s="446">
        <v>0.77525349435472346</v>
      </c>
      <c r="J44" s="445">
        <v>6722000</v>
      </c>
      <c r="K44" s="445">
        <v>6822000</v>
      </c>
      <c r="L44" s="445">
        <v>6997000</v>
      </c>
      <c r="N44" s="445">
        <v>7808232.4385500001</v>
      </c>
      <c r="O44" s="445">
        <v>7808232.4385500001</v>
      </c>
      <c r="P44" s="445">
        <v>8294000</v>
      </c>
      <c r="R44" s="445">
        <v>6205000</v>
      </c>
      <c r="S44" s="445">
        <v>6626000</v>
      </c>
      <c r="T44" s="445">
        <v>7162000</v>
      </c>
      <c r="V44" s="433">
        <v>0.80696945849449575</v>
      </c>
      <c r="W44" s="433">
        <v>0.79514053063617707</v>
      </c>
    </row>
    <row r="45" spans="1:23" hidden="1">
      <c r="A45" s="443">
        <v>11</v>
      </c>
      <c r="B45" s="444" t="s">
        <v>317</v>
      </c>
      <c r="C45" s="444" t="s">
        <v>273</v>
      </c>
      <c r="E45" s="445">
        <v>4745510.1100000003</v>
      </c>
      <c r="F45" s="445">
        <v>4745510.1100000003</v>
      </c>
      <c r="G45" s="445">
        <v>4745510.1100000003</v>
      </c>
      <c r="H45" s="446">
        <v>0.67822068172073746</v>
      </c>
      <c r="J45" s="445">
        <v>6722000</v>
      </c>
      <c r="K45" s="445">
        <v>6822000</v>
      </c>
      <c r="L45" s="445">
        <v>6997000</v>
      </c>
      <c r="N45" s="445">
        <v>7808232.4385500001</v>
      </c>
      <c r="O45" s="445">
        <v>7808232.4385500001</v>
      </c>
      <c r="P45" s="445">
        <v>8294000</v>
      </c>
      <c r="R45" s="445">
        <v>6205000</v>
      </c>
      <c r="S45" s="445">
        <v>6626000</v>
      </c>
      <c r="T45" s="445">
        <v>7162000</v>
      </c>
      <c r="V45" s="433">
        <v>0.70596699047902411</v>
      </c>
      <c r="W45" s="433">
        <v>0.69561860304895928</v>
      </c>
    </row>
    <row r="46" spans="1:23" hidden="1">
      <c r="A46" s="443">
        <v>11</v>
      </c>
      <c r="B46" s="444" t="s">
        <v>318</v>
      </c>
      <c r="C46" s="444" t="s">
        <v>273</v>
      </c>
      <c r="E46" s="445">
        <v>9295693</v>
      </c>
      <c r="F46" s="445">
        <v>9295693</v>
      </c>
      <c r="G46" s="445">
        <v>9295693</v>
      </c>
      <c r="H46" s="446">
        <v>1.3285255109332572</v>
      </c>
      <c r="J46" s="445">
        <v>6722000</v>
      </c>
      <c r="K46" s="445">
        <v>6822000</v>
      </c>
      <c r="L46" s="445">
        <v>6997000</v>
      </c>
      <c r="N46" s="445">
        <v>7808232.4385500001</v>
      </c>
      <c r="O46" s="445">
        <v>7808232.4385500001</v>
      </c>
      <c r="P46" s="445">
        <v>8294000</v>
      </c>
      <c r="R46" s="445">
        <v>6205000</v>
      </c>
      <c r="S46" s="445">
        <v>6626000</v>
      </c>
      <c r="T46" s="445">
        <v>7162000</v>
      </c>
      <c r="V46" s="433">
        <v>1.3828760785480512</v>
      </c>
      <c r="W46" s="433">
        <v>1.3626052477279391</v>
      </c>
    </row>
    <row r="47" spans="1:23" hidden="1">
      <c r="A47" s="443">
        <v>11</v>
      </c>
      <c r="B47" s="444" t="s">
        <v>319</v>
      </c>
      <c r="C47" s="444" t="s">
        <v>295</v>
      </c>
      <c r="E47" s="445">
        <v>5356201.8400000008</v>
      </c>
      <c r="F47" s="445">
        <v>5356201.8400000008</v>
      </c>
      <c r="G47" s="445">
        <v>5356201.8400000008</v>
      </c>
      <c r="H47" s="446">
        <v>0.76549976275546672</v>
      </c>
      <c r="J47" s="445">
        <v>6722000</v>
      </c>
      <c r="K47" s="445">
        <v>6822000</v>
      </c>
      <c r="L47" s="445">
        <v>6997000</v>
      </c>
      <c r="N47" s="445">
        <v>7808232.4385500001</v>
      </c>
      <c r="O47" s="445">
        <v>7808232.4385500001</v>
      </c>
      <c r="P47" s="445">
        <v>8294000</v>
      </c>
      <c r="R47" s="445">
        <v>6205000</v>
      </c>
      <c r="S47" s="445">
        <v>6626000</v>
      </c>
      <c r="T47" s="445">
        <v>7162000</v>
      </c>
      <c r="V47" s="433">
        <v>0.79681669741148475</v>
      </c>
      <c r="W47" s="433">
        <v>0.78513659337437713</v>
      </c>
    </row>
    <row r="48" spans="1:23" hidden="1">
      <c r="A48" s="443">
        <v>11</v>
      </c>
      <c r="B48" s="444" t="s">
        <v>320</v>
      </c>
      <c r="C48" s="444" t="s">
        <v>290</v>
      </c>
      <c r="E48" s="445">
        <v>4457225.96</v>
      </c>
      <c r="F48" s="445">
        <v>4457225.96</v>
      </c>
      <c r="G48" s="445">
        <v>4457225.96</v>
      </c>
      <c r="H48" s="446">
        <v>0.6370195741031871</v>
      </c>
      <c r="J48" s="445">
        <v>6722000</v>
      </c>
      <c r="K48" s="445">
        <v>6822000</v>
      </c>
      <c r="L48" s="445">
        <v>6997000</v>
      </c>
      <c r="N48" s="445">
        <v>7808232.4385500001</v>
      </c>
      <c r="O48" s="445">
        <v>7808232.4385500001</v>
      </c>
      <c r="P48" s="445">
        <v>8294000</v>
      </c>
      <c r="R48" s="445">
        <v>6205000</v>
      </c>
      <c r="S48" s="445">
        <v>6626000</v>
      </c>
      <c r="T48" s="445">
        <v>7162000</v>
      </c>
      <c r="V48" s="433">
        <v>0.6630803272835466</v>
      </c>
      <c r="W48" s="433">
        <v>0.6533605922017004</v>
      </c>
    </row>
    <row r="49" spans="1:23" hidden="1">
      <c r="A49" s="443">
        <v>11</v>
      </c>
      <c r="B49" s="444" t="s">
        <v>321</v>
      </c>
      <c r="C49" s="444" t="s">
        <v>290</v>
      </c>
      <c r="E49" s="445">
        <v>6471685.0000000009</v>
      </c>
      <c r="F49" s="445">
        <v>6471685.0000000009</v>
      </c>
      <c r="G49" s="445">
        <v>6471685.0000000009</v>
      </c>
      <c r="H49" s="446">
        <v>0.92492282406745763</v>
      </c>
      <c r="J49" s="445">
        <v>6722000</v>
      </c>
      <c r="K49" s="445">
        <v>6822000</v>
      </c>
      <c r="L49" s="445">
        <v>6997000</v>
      </c>
      <c r="N49" s="445">
        <v>7808232.4385500001</v>
      </c>
      <c r="O49" s="445">
        <v>7808232.4385500001</v>
      </c>
      <c r="P49" s="445">
        <v>8294000</v>
      </c>
      <c r="R49" s="445">
        <v>6205000</v>
      </c>
      <c r="S49" s="445">
        <v>6626000</v>
      </c>
      <c r="T49" s="445">
        <v>7162000</v>
      </c>
      <c r="V49" s="433">
        <v>0.96276182683725098</v>
      </c>
      <c r="W49" s="433">
        <v>0.94864922310172983</v>
      </c>
    </row>
    <row r="50" spans="1:23" hidden="1">
      <c r="A50" s="441">
        <v>10</v>
      </c>
      <c r="B50" s="442" t="s">
        <v>322</v>
      </c>
      <c r="C50" s="442" t="s">
        <v>277</v>
      </c>
      <c r="E50" s="439">
        <v>4457225.96</v>
      </c>
      <c r="F50" s="439">
        <v>4457225.96</v>
      </c>
      <c r="G50" s="439">
        <v>4457225.96</v>
      </c>
      <c r="H50" s="440">
        <v>0.76479512010981465</v>
      </c>
      <c r="J50" s="439">
        <v>5573000</v>
      </c>
      <c r="K50" s="439">
        <v>5648000</v>
      </c>
      <c r="L50" s="439">
        <v>5828000</v>
      </c>
      <c r="N50" s="439">
        <v>5420695.3860750003</v>
      </c>
      <c r="O50" s="439">
        <v>5420695.3860750003</v>
      </c>
      <c r="P50" s="439">
        <v>6104000</v>
      </c>
      <c r="R50" s="439">
        <v>5123000</v>
      </c>
      <c r="S50" s="439">
        <v>5625000</v>
      </c>
      <c r="T50" s="439">
        <v>6185000</v>
      </c>
      <c r="V50" s="433">
        <v>0.79978933429032839</v>
      </c>
      <c r="W50" s="433">
        <v>0.789168902266289</v>
      </c>
    </row>
    <row r="51" spans="1:23" hidden="1">
      <c r="A51" s="441">
        <v>10</v>
      </c>
      <c r="B51" s="442" t="s">
        <v>323</v>
      </c>
      <c r="C51" s="442" t="s">
        <v>295</v>
      </c>
      <c r="E51" s="439">
        <v>3177009.0000000005</v>
      </c>
      <c r="F51" s="439">
        <v>4353679</v>
      </c>
      <c r="G51" s="439">
        <v>4353679</v>
      </c>
      <c r="H51" s="440">
        <v>0.74702796842827723</v>
      </c>
      <c r="J51" s="439">
        <v>5573000</v>
      </c>
      <c r="K51" s="439">
        <v>5648000</v>
      </c>
      <c r="L51" s="439">
        <v>5828000</v>
      </c>
      <c r="N51" s="439">
        <v>5420695.3860750003</v>
      </c>
      <c r="O51" s="439">
        <v>5420695.3860750003</v>
      </c>
      <c r="P51" s="439">
        <v>6104000</v>
      </c>
      <c r="R51" s="439">
        <v>5123000</v>
      </c>
      <c r="S51" s="439">
        <v>5625000</v>
      </c>
      <c r="T51" s="439">
        <v>6185000</v>
      </c>
      <c r="V51" s="433">
        <v>0.57007159519110007</v>
      </c>
      <c r="W51" s="433">
        <v>0.77083551699716713</v>
      </c>
    </row>
    <row r="52" spans="1:23" hidden="1">
      <c r="A52" s="443">
        <v>9</v>
      </c>
      <c r="B52" s="444" t="s">
        <v>324</v>
      </c>
      <c r="C52" s="444" t="s">
        <v>290</v>
      </c>
      <c r="E52" s="445">
        <v>2828714.68</v>
      </c>
      <c r="F52" s="445">
        <v>2828714.68</v>
      </c>
      <c r="G52" s="445">
        <v>2828714.68</v>
      </c>
      <c r="H52" s="446">
        <v>0.58907011245314456</v>
      </c>
      <c r="J52" s="445">
        <v>4565000</v>
      </c>
      <c r="K52" s="445">
        <v>4618000</v>
      </c>
      <c r="L52" s="445">
        <v>4802000</v>
      </c>
      <c r="N52" s="445">
        <v>4406045.7912353333</v>
      </c>
      <c r="O52" s="445">
        <v>4406045.7912353333</v>
      </c>
      <c r="P52" s="445">
        <v>4897000</v>
      </c>
      <c r="R52" s="445">
        <v>4173000</v>
      </c>
      <c r="S52" s="445">
        <v>4747000</v>
      </c>
      <c r="T52" s="445">
        <v>5328000</v>
      </c>
      <c r="V52" s="433">
        <v>0.61965272289156625</v>
      </c>
      <c r="W52" s="433">
        <v>0.61254107405803382</v>
      </c>
    </row>
    <row r="53" spans="1:23" hidden="1">
      <c r="A53" s="443">
        <v>9</v>
      </c>
      <c r="B53" s="444" t="s">
        <v>325</v>
      </c>
      <c r="C53" s="444" t="s">
        <v>290</v>
      </c>
      <c r="E53" s="445">
        <v>6763499.1600000001</v>
      </c>
      <c r="F53" s="445">
        <v>6763499.1600000001</v>
      </c>
      <c r="G53" s="445">
        <v>6763499.1600000001</v>
      </c>
      <c r="H53" s="446">
        <v>1.4084754602249063</v>
      </c>
      <c r="J53" s="445">
        <v>4565000</v>
      </c>
      <c r="K53" s="445">
        <v>4618000</v>
      </c>
      <c r="L53" s="445">
        <v>4802000</v>
      </c>
      <c r="N53" s="445">
        <v>4406045.7912353333</v>
      </c>
      <c r="O53" s="445">
        <v>4406045.7912353333</v>
      </c>
      <c r="P53" s="445">
        <v>4897000</v>
      </c>
      <c r="R53" s="445">
        <v>4173000</v>
      </c>
      <c r="S53" s="445">
        <v>4747000</v>
      </c>
      <c r="T53" s="445">
        <v>5328000</v>
      </c>
      <c r="V53" s="433">
        <v>1.4815989397590361</v>
      </c>
      <c r="W53" s="433">
        <v>1.4645948809008229</v>
      </c>
    </row>
    <row r="54" spans="1:23" hidden="1">
      <c r="A54" s="443">
        <v>9</v>
      </c>
      <c r="B54" s="444" t="s">
        <v>326</v>
      </c>
      <c r="C54" s="444" t="s">
        <v>273</v>
      </c>
      <c r="E54" s="445">
        <v>4471346</v>
      </c>
      <c r="F54" s="445">
        <v>4471346</v>
      </c>
      <c r="G54" s="445">
        <v>4471346</v>
      </c>
      <c r="H54" s="446">
        <v>0.93114244064972929</v>
      </c>
      <c r="J54" s="445">
        <v>4565000</v>
      </c>
      <c r="K54" s="445">
        <v>4618000</v>
      </c>
      <c r="L54" s="445">
        <v>4802000</v>
      </c>
      <c r="N54" s="445">
        <v>4406045.7912353333</v>
      </c>
      <c r="O54" s="445">
        <v>4406045.7912353333</v>
      </c>
      <c r="P54" s="445">
        <v>4897000</v>
      </c>
      <c r="R54" s="445">
        <v>4173000</v>
      </c>
      <c r="S54" s="445">
        <v>4747000</v>
      </c>
      <c r="T54" s="445">
        <v>5328000</v>
      </c>
      <c r="V54" s="433">
        <v>0.97948433734939755</v>
      </c>
      <c r="W54" s="433">
        <v>0.96824296232135121</v>
      </c>
    </row>
    <row r="55" spans="1:23" hidden="1">
      <c r="A55" s="443">
        <v>9</v>
      </c>
      <c r="B55" s="444" t="s">
        <v>327</v>
      </c>
      <c r="C55" s="444" t="s">
        <v>290</v>
      </c>
      <c r="E55" s="445">
        <v>2828714.68</v>
      </c>
      <c r="F55" s="445">
        <v>2828714.68</v>
      </c>
      <c r="G55" s="445">
        <v>2828714.68</v>
      </c>
      <c r="H55" s="446">
        <v>0.58907011245314456</v>
      </c>
      <c r="J55" s="445">
        <v>4565000</v>
      </c>
      <c r="K55" s="445">
        <v>4618000</v>
      </c>
      <c r="L55" s="445">
        <v>4802000</v>
      </c>
      <c r="N55" s="445">
        <v>4406045.7912353333</v>
      </c>
      <c r="O55" s="445">
        <v>4406045.7912353333</v>
      </c>
      <c r="P55" s="445">
        <v>4897000</v>
      </c>
      <c r="R55" s="445">
        <v>4173000</v>
      </c>
      <c r="S55" s="445">
        <v>4747000</v>
      </c>
      <c r="T55" s="445">
        <v>5328000</v>
      </c>
      <c r="V55" s="433">
        <v>0.61965272289156625</v>
      </c>
      <c r="W55" s="433">
        <v>0.61254107405803382</v>
      </c>
    </row>
    <row r="56" spans="1:23" hidden="1">
      <c r="A56" s="441">
        <v>8</v>
      </c>
      <c r="B56" s="442" t="s">
        <v>328</v>
      </c>
      <c r="C56" s="442" t="s">
        <v>290</v>
      </c>
      <c r="E56" s="439">
        <v>2828714.68</v>
      </c>
      <c r="F56" s="439">
        <v>2828714.68</v>
      </c>
      <c r="G56" s="439">
        <v>2828714.68</v>
      </c>
      <c r="H56" s="440">
        <v>0.72624253658536586</v>
      </c>
      <c r="J56" s="439">
        <v>3674000</v>
      </c>
      <c r="K56" s="439">
        <v>3708000</v>
      </c>
      <c r="L56" s="439">
        <v>3895000</v>
      </c>
      <c r="N56" s="439">
        <v>3490103.8437479166</v>
      </c>
      <c r="O56" s="439">
        <v>3490103.8437479166</v>
      </c>
      <c r="P56" s="439">
        <v>4168000</v>
      </c>
      <c r="R56" s="439">
        <v>3637000</v>
      </c>
      <c r="S56" s="439">
        <v>4130000</v>
      </c>
      <c r="T56" s="439">
        <v>4647000</v>
      </c>
      <c r="V56" s="433">
        <v>0.76992778443113774</v>
      </c>
      <c r="W56" s="433">
        <v>0.76286803667745418</v>
      </c>
    </row>
    <row r="57" spans="1:23" hidden="1">
      <c r="A57" s="441">
        <v>8</v>
      </c>
      <c r="B57" s="442" t="s">
        <v>329</v>
      </c>
      <c r="C57" s="442" t="s">
        <v>290</v>
      </c>
      <c r="E57" s="439">
        <v>2941675.0000000005</v>
      </c>
      <c r="F57" s="439">
        <v>2941675.0000000005</v>
      </c>
      <c r="G57" s="439">
        <v>2941675.0000000005</v>
      </c>
      <c r="H57" s="440">
        <v>0.75524390243902451</v>
      </c>
      <c r="J57" s="439">
        <v>3674000</v>
      </c>
      <c r="K57" s="439">
        <v>3708000</v>
      </c>
      <c r="L57" s="439">
        <v>3895000</v>
      </c>
      <c r="N57" s="439">
        <v>3490103.8437479166</v>
      </c>
      <c r="O57" s="439">
        <v>3490103.8437479166</v>
      </c>
      <c r="P57" s="439">
        <v>4168000</v>
      </c>
      <c r="R57" s="439">
        <v>3637000</v>
      </c>
      <c r="S57" s="439">
        <v>4130000</v>
      </c>
      <c r="T57" s="439">
        <v>4647000</v>
      </c>
      <c r="V57" s="433">
        <v>0.80067365269461088</v>
      </c>
      <c r="W57" s="433">
        <v>0.79333198489751899</v>
      </c>
    </row>
    <row r="58" spans="1:23" hidden="1">
      <c r="A58" s="441">
        <v>8</v>
      </c>
      <c r="B58" s="442" t="s">
        <v>330</v>
      </c>
      <c r="C58" s="442" t="s">
        <v>290</v>
      </c>
      <c r="E58" s="439">
        <v>2828714.68</v>
      </c>
      <c r="F58" s="439">
        <v>2828714.68</v>
      </c>
      <c r="G58" s="439">
        <v>2828714.68</v>
      </c>
      <c r="H58" s="440">
        <v>0.72624253658536586</v>
      </c>
      <c r="J58" s="439">
        <v>3674000</v>
      </c>
      <c r="K58" s="439">
        <v>3708000</v>
      </c>
      <c r="L58" s="439">
        <v>3895000</v>
      </c>
      <c r="N58" s="439">
        <v>3490103.8437479166</v>
      </c>
      <c r="O58" s="439">
        <v>3490103.8437479166</v>
      </c>
      <c r="P58" s="439">
        <v>4168000</v>
      </c>
      <c r="R58" s="439">
        <v>3637000</v>
      </c>
      <c r="S58" s="439">
        <v>4130000</v>
      </c>
      <c r="T58" s="439">
        <v>4647000</v>
      </c>
      <c r="V58" s="433">
        <v>0.76992778443113774</v>
      </c>
      <c r="W58" s="433">
        <v>0.76286803667745418</v>
      </c>
    </row>
    <row r="59" spans="1:23" hidden="1">
      <c r="A59" s="441">
        <v>8</v>
      </c>
      <c r="B59" s="442" t="s">
        <v>331</v>
      </c>
      <c r="C59" s="442" t="s">
        <v>295</v>
      </c>
      <c r="E59" s="439">
        <v>3765344.0000000005</v>
      </c>
      <c r="F59" s="439">
        <v>3765344.0000000005</v>
      </c>
      <c r="G59" s="439">
        <v>3765344.0000000005</v>
      </c>
      <c r="H59" s="440">
        <v>0.9667121951219515</v>
      </c>
      <c r="J59" s="439">
        <v>3674000</v>
      </c>
      <c r="K59" s="439">
        <v>3708000</v>
      </c>
      <c r="L59" s="439">
        <v>3895000</v>
      </c>
      <c r="N59" s="439">
        <v>3490103.8437479166</v>
      </c>
      <c r="O59" s="439">
        <v>3490103.8437479166</v>
      </c>
      <c r="P59" s="439">
        <v>4168000</v>
      </c>
      <c r="R59" s="439">
        <v>3637000</v>
      </c>
      <c r="S59" s="439">
        <v>4130000</v>
      </c>
      <c r="T59" s="439">
        <v>4647000</v>
      </c>
      <c r="V59" s="433">
        <v>1.0248622754491021</v>
      </c>
      <c r="W59" s="433">
        <v>1.0154649406688243</v>
      </c>
    </row>
    <row r="60" spans="1:23" hidden="1">
      <c r="A60" s="441">
        <v>8</v>
      </c>
      <c r="B60" s="442" t="s">
        <v>332</v>
      </c>
      <c r="C60" s="442" t="s">
        <v>290</v>
      </c>
      <c r="E60" s="439">
        <v>2828714.68</v>
      </c>
      <c r="F60" s="439">
        <v>2828714.68</v>
      </c>
      <c r="G60" s="439">
        <v>2828714.68</v>
      </c>
      <c r="H60" s="440">
        <v>0.72624253658536586</v>
      </c>
      <c r="J60" s="439">
        <v>3674000</v>
      </c>
      <c r="K60" s="439">
        <v>3708000</v>
      </c>
      <c r="L60" s="439">
        <v>3895000</v>
      </c>
      <c r="N60" s="439">
        <v>3490103.8437479166</v>
      </c>
      <c r="O60" s="439">
        <v>3490103.8437479166</v>
      </c>
      <c r="P60" s="439">
        <v>4168000</v>
      </c>
      <c r="R60" s="439">
        <v>3637000</v>
      </c>
      <c r="S60" s="439">
        <v>4130000</v>
      </c>
      <c r="T60" s="439">
        <v>4647000</v>
      </c>
      <c r="V60" s="433">
        <v>0.76992778443113774</v>
      </c>
      <c r="W60" s="433">
        <v>0.76286803667745418</v>
      </c>
    </row>
    <row r="61" spans="1:23" hidden="1">
      <c r="A61" s="441">
        <v>8</v>
      </c>
      <c r="B61" s="442" t="s">
        <v>333</v>
      </c>
      <c r="C61" s="442" t="s">
        <v>290</v>
      </c>
      <c r="E61" s="439">
        <v>3061695.3400000003</v>
      </c>
      <c r="F61" s="439">
        <v>3061695.3400000003</v>
      </c>
      <c r="G61" s="439">
        <v>3061695.3400000003</v>
      </c>
      <c r="H61" s="440">
        <v>0.78605785365853664</v>
      </c>
      <c r="J61" s="439">
        <v>3674000</v>
      </c>
      <c r="K61" s="439">
        <v>3708000</v>
      </c>
      <c r="L61" s="439">
        <v>3895000</v>
      </c>
      <c r="N61" s="439">
        <v>3490103.8437479166</v>
      </c>
      <c r="O61" s="439">
        <v>3490103.8437479166</v>
      </c>
      <c r="P61" s="439">
        <v>4168000</v>
      </c>
      <c r="R61" s="439">
        <v>3637000</v>
      </c>
      <c r="S61" s="439">
        <v>4130000</v>
      </c>
      <c r="T61" s="439">
        <v>4647000</v>
      </c>
      <c r="V61" s="433">
        <v>0.83334113772455098</v>
      </c>
      <c r="W61" s="433">
        <v>0.82569992988133778</v>
      </c>
    </row>
    <row r="62" spans="1:23" hidden="1">
      <c r="A62" s="441">
        <v>8</v>
      </c>
      <c r="B62" s="442" t="s">
        <v>334</v>
      </c>
      <c r="C62" s="442" t="s">
        <v>290</v>
      </c>
      <c r="E62" s="439">
        <v>2828714.68</v>
      </c>
      <c r="F62" s="439">
        <v>2828714.68</v>
      </c>
      <c r="G62" s="439">
        <v>2828714.68</v>
      </c>
      <c r="H62" s="440">
        <v>0.72624253658536586</v>
      </c>
      <c r="J62" s="439">
        <v>3674000</v>
      </c>
      <c r="K62" s="439">
        <v>3708000</v>
      </c>
      <c r="L62" s="439">
        <v>3895000</v>
      </c>
      <c r="N62" s="439">
        <v>3490103.8437479166</v>
      </c>
      <c r="O62" s="439">
        <v>3490103.8437479166</v>
      </c>
      <c r="P62" s="439">
        <v>4168000</v>
      </c>
      <c r="R62" s="439">
        <v>3637000</v>
      </c>
      <c r="S62" s="439">
        <v>4130000</v>
      </c>
      <c r="T62" s="439">
        <v>4647000</v>
      </c>
      <c r="V62" s="433">
        <v>0.76992778443113774</v>
      </c>
      <c r="W62" s="433">
        <v>0.76286803667745418</v>
      </c>
    </row>
    <row r="63" spans="1:23" hidden="1">
      <c r="A63" s="441">
        <v>8</v>
      </c>
      <c r="B63" s="442" t="s">
        <v>335</v>
      </c>
      <c r="C63" s="442" t="s">
        <v>290</v>
      </c>
      <c r="E63" s="439">
        <v>2828714.68</v>
      </c>
      <c r="F63" s="439">
        <v>2828714.68</v>
      </c>
      <c r="G63" s="439">
        <v>2828714.68</v>
      </c>
      <c r="H63" s="440">
        <v>0.72624253658536586</v>
      </c>
      <c r="J63" s="439">
        <v>3674000</v>
      </c>
      <c r="K63" s="439">
        <v>3708000</v>
      </c>
      <c r="L63" s="439">
        <v>3895000</v>
      </c>
      <c r="N63" s="439">
        <v>3490103.8437479166</v>
      </c>
      <c r="O63" s="439">
        <v>3490103.8437479166</v>
      </c>
      <c r="P63" s="439">
        <v>4168000</v>
      </c>
      <c r="R63" s="439">
        <v>3637000</v>
      </c>
      <c r="S63" s="439">
        <v>4130000</v>
      </c>
      <c r="T63" s="439">
        <v>4647000</v>
      </c>
      <c r="V63" s="433">
        <v>0.76992778443113774</v>
      </c>
      <c r="W63" s="433">
        <v>0.76286803667745418</v>
      </c>
    </row>
    <row r="64" spans="1:23" hidden="1">
      <c r="A64" s="443">
        <v>7</v>
      </c>
      <c r="B64" s="444" t="s">
        <v>336</v>
      </c>
      <c r="C64" s="444" t="s">
        <v>290</v>
      </c>
      <c r="E64" s="445">
        <v>2828714.68</v>
      </c>
      <c r="F64" s="445">
        <v>2828714.68</v>
      </c>
      <c r="G64" s="445">
        <v>2828714.68</v>
      </c>
      <c r="H64" s="446">
        <v>0.85822654126213593</v>
      </c>
      <c r="J64" s="445">
        <v>3092000</v>
      </c>
      <c r="K64" s="445">
        <v>3121000</v>
      </c>
      <c r="L64" s="445">
        <v>3296000</v>
      </c>
      <c r="N64" s="445">
        <v>2871345.15</v>
      </c>
      <c r="O64" s="445">
        <v>2871345.15</v>
      </c>
      <c r="P64" s="445">
        <v>3555000</v>
      </c>
      <c r="R64" s="445">
        <v>3224000</v>
      </c>
      <c r="S64" s="445">
        <v>3630000</v>
      </c>
      <c r="T64" s="445">
        <v>4085000</v>
      </c>
      <c r="V64" s="433">
        <v>0.91484950840879697</v>
      </c>
      <c r="W64" s="433">
        <v>0.90634882409484141</v>
      </c>
    </row>
    <row r="65" spans="1:23" hidden="1">
      <c r="A65" s="443">
        <v>7</v>
      </c>
      <c r="B65" s="444" t="s">
        <v>337</v>
      </c>
      <c r="C65" s="444" t="s">
        <v>295</v>
      </c>
      <c r="E65" s="445">
        <v>3353509.5000000005</v>
      </c>
      <c r="F65" s="445">
        <v>3353509.5000000005</v>
      </c>
      <c r="G65" s="445">
        <v>3353509.5000000005</v>
      </c>
      <c r="H65" s="446">
        <v>1.0174482706310679</v>
      </c>
      <c r="J65" s="445">
        <v>3092000</v>
      </c>
      <c r="K65" s="445">
        <v>3121000</v>
      </c>
      <c r="L65" s="445">
        <v>3296000</v>
      </c>
      <c r="N65" s="445">
        <v>2871345.15</v>
      </c>
      <c r="O65" s="445">
        <v>2871345.15</v>
      </c>
      <c r="P65" s="445">
        <v>3555000</v>
      </c>
      <c r="R65" s="445">
        <v>3224000</v>
      </c>
      <c r="S65" s="445">
        <v>3630000</v>
      </c>
      <c r="T65" s="445">
        <v>4085000</v>
      </c>
      <c r="V65" s="433">
        <v>1.084576164294955</v>
      </c>
      <c r="W65" s="433">
        <v>1.0744983979493752</v>
      </c>
    </row>
    <row r="66" spans="1:23" hidden="1">
      <c r="A66" s="443">
        <v>7</v>
      </c>
      <c r="B66" s="444" t="s">
        <v>338</v>
      </c>
      <c r="C66" s="444" t="s">
        <v>290</v>
      </c>
      <c r="E66" s="445">
        <v>2828714.68</v>
      </c>
      <c r="F66" s="445">
        <v>2828714.68</v>
      </c>
      <c r="G66" s="445">
        <v>2828714.68</v>
      </c>
      <c r="H66" s="446">
        <v>0.85822654126213593</v>
      </c>
      <c r="J66" s="445">
        <v>3092000</v>
      </c>
      <c r="K66" s="445">
        <v>3121000</v>
      </c>
      <c r="L66" s="445">
        <v>3296000</v>
      </c>
      <c r="N66" s="445">
        <v>2871345.15</v>
      </c>
      <c r="O66" s="445">
        <v>2871345.15</v>
      </c>
      <c r="P66" s="445">
        <v>3555000</v>
      </c>
      <c r="R66" s="445">
        <v>3224000</v>
      </c>
      <c r="S66" s="445">
        <v>3630000</v>
      </c>
      <c r="T66" s="445">
        <v>4085000</v>
      </c>
      <c r="V66" s="433">
        <v>0.91484950840879697</v>
      </c>
      <c r="W66" s="433">
        <v>0.90634882409484141</v>
      </c>
    </row>
    <row r="67" spans="1:23" hidden="1">
      <c r="A67" s="443">
        <v>7</v>
      </c>
      <c r="B67" s="444" t="s">
        <v>339</v>
      </c>
      <c r="C67" s="444" t="s">
        <v>290</v>
      </c>
      <c r="E67" s="445">
        <v>3218192.45</v>
      </c>
      <c r="F67" s="445">
        <v>3218192.45</v>
      </c>
      <c r="G67" s="445">
        <v>3218192.45</v>
      </c>
      <c r="H67" s="446">
        <v>0.97639334041262138</v>
      </c>
      <c r="J67" s="445">
        <v>3092000</v>
      </c>
      <c r="K67" s="445">
        <v>3121000</v>
      </c>
      <c r="L67" s="445">
        <v>3296000</v>
      </c>
      <c r="N67" s="445">
        <v>2871345.15</v>
      </c>
      <c r="O67" s="445">
        <v>2871345.15</v>
      </c>
      <c r="P67" s="445">
        <v>3555000</v>
      </c>
      <c r="R67" s="445">
        <v>3224000</v>
      </c>
      <c r="S67" s="445">
        <v>3630000</v>
      </c>
      <c r="T67" s="445">
        <v>4085000</v>
      </c>
      <c r="V67" s="433">
        <v>1.0408125646830531</v>
      </c>
      <c r="W67" s="433">
        <v>1.0311414450496637</v>
      </c>
    </row>
    <row r="68" spans="1:23" hidden="1">
      <c r="A68" s="443">
        <v>7</v>
      </c>
      <c r="B68" s="444" t="s">
        <v>340</v>
      </c>
      <c r="C68" s="444" t="s">
        <v>290</v>
      </c>
      <c r="E68" s="445">
        <v>2828714.68</v>
      </c>
      <c r="F68" s="445">
        <v>2828714.68</v>
      </c>
      <c r="G68" s="445">
        <v>2828714.68</v>
      </c>
      <c r="H68" s="446">
        <v>0.85822654126213604</v>
      </c>
      <c r="J68" s="445">
        <v>3092000</v>
      </c>
      <c r="K68" s="445">
        <v>3121000</v>
      </c>
      <c r="L68" s="445">
        <v>3296000</v>
      </c>
      <c r="N68" s="445">
        <v>2871345.15</v>
      </c>
      <c r="O68" s="445">
        <v>2871345.15</v>
      </c>
      <c r="P68" s="445">
        <v>3555000</v>
      </c>
      <c r="R68" s="445">
        <v>3224000</v>
      </c>
      <c r="S68" s="445">
        <v>3630000</v>
      </c>
      <c r="T68" s="445">
        <v>4085000</v>
      </c>
      <c r="V68" s="433">
        <v>0.91484950840879697</v>
      </c>
      <c r="W68" s="433">
        <v>0.9063488240948413</v>
      </c>
    </row>
    <row r="69" spans="1:23" hidden="1">
      <c r="A69" s="443">
        <v>7</v>
      </c>
      <c r="B69" s="444" t="s">
        <v>341</v>
      </c>
      <c r="C69" s="444" t="s">
        <v>290</v>
      </c>
      <c r="E69" s="445">
        <v>2295683.1700000004</v>
      </c>
      <c r="F69" s="445">
        <v>2295683.1700000004</v>
      </c>
      <c r="G69" s="445">
        <v>2295683.1700000004</v>
      </c>
      <c r="H69" s="446">
        <v>0.69650581614077678</v>
      </c>
      <c r="J69" s="445">
        <v>3092000</v>
      </c>
      <c r="K69" s="445">
        <v>3121000</v>
      </c>
      <c r="L69" s="445">
        <v>3296000</v>
      </c>
      <c r="N69" s="445">
        <v>2871345.15</v>
      </c>
      <c r="O69" s="445">
        <v>2871345.15</v>
      </c>
      <c r="P69" s="445">
        <v>3555000</v>
      </c>
      <c r="R69" s="445">
        <v>3224000</v>
      </c>
      <c r="S69" s="445">
        <v>3630000</v>
      </c>
      <c r="T69" s="445">
        <v>4085000</v>
      </c>
      <c r="V69" s="433">
        <v>0.74245898124191478</v>
      </c>
      <c r="W69" s="433">
        <v>0.73556013136815135</v>
      </c>
    </row>
    <row r="70" spans="1:23" hidden="1">
      <c r="A70" s="443">
        <v>7</v>
      </c>
      <c r="B70" s="444" t="s">
        <v>342</v>
      </c>
      <c r="C70" s="444" t="s">
        <v>290</v>
      </c>
      <c r="E70" s="445">
        <v>2536900.52</v>
      </c>
      <c r="F70" s="445">
        <v>2536900.52</v>
      </c>
      <c r="G70" s="445">
        <v>2536900.52</v>
      </c>
      <c r="H70" s="446">
        <v>0.76969069174757287</v>
      </c>
      <c r="J70" s="445">
        <v>3092000</v>
      </c>
      <c r="K70" s="445">
        <v>3121000</v>
      </c>
      <c r="L70" s="445">
        <v>3296000</v>
      </c>
      <c r="N70" s="445">
        <v>2871345.15</v>
      </c>
      <c r="O70" s="445">
        <v>2871345.15</v>
      </c>
      <c r="P70" s="445">
        <v>3555000</v>
      </c>
      <c r="R70" s="445">
        <v>3224000</v>
      </c>
      <c r="S70" s="445">
        <v>3630000</v>
      </c>
      <c r="T70" s="445">
        <v>4085000</v>
      </c>
      <c r="V70" s="433">
        <v>0.82047235446313072</v>
      </c>
      <c r="W70" s="433">
        <v>0.81284861262415897</v>
      </c>
    </row>
    <row r="71" spans="1:23" hidden="1">
      <c r="A71" s="443">
        <v>7</v>
      </c>
      <c r="B71" s="444" t="s">
        <v>343</v>
      </c>
      <c r="C71" s="444" t="s">
        <v>290</v>
      </c>
      <c r="E71" s="445">
        <v>2828714.68</v>
      </c>
      <c r="F71" s="445">
        <v>2828714.68</v>
      </c>
      <c r="G71" s="445">
        <v>2828714.68</v>
      </c>
      <c r="H71" s="446">
        <v>0.85822654126213593</v>
      </c>
      <c r="J71" s="445">
        <v>3092000</v>
      </c>
      <c r="K71" s="445">
        <v>3121000</v>
      </c>
      <c r="L71" s="445">
        <v>3296000</v>
      </c>
      <c r="N71" s="445">
        <v>2871345.15</v>
      </c>
      <c r="O71" s="445">
        <v>2871345.15</v>
      </c>
      <c r="P71" s="445">
        <v>3555000</v>
      </c>
      <c r="R71" s="445">
        <v>3224000</v>
      </c>
      <c r="S71" s="445">
        <v>3630000</v>
      </c>
      <c r="T71" s="445">
        <v>4085000</v>
      </c>
      <c r="V71" s="433">
        <v>0.91484950840879697</v>
      </c>
      <c r="W71" s="433">
        <v>0.90634882409484141</v>
      </c>
    </row>
    <row r="72" spans="1:23" hidden="1">
      <c r="A72" s="443">
        <v>7</v>
      </c>
      <c r="B72" s="444" t="s">
        <v>344</v>
      </c>
      <c r="C72" s="444" t="s">
        <v>290</v>
      </c>
      <c r="E72" s="445">
        <v>3112292.1500000004</v>
      </c>
      <c r="F72" s="445">
        <v>3112292.1500000004</v>
      </c>
      <c r="G72" s="445">
        <v>3112292.1500000004</v>
      </c>
      <c r="H72" s="446">
        <v>0.94426339502427192</v>
      </c>
      <c r="J72" s="445">
        <v>3092000</v>
      </c>
      <c r="K72" s="445">
        <v>3121000</v>
      </c>
      <c r="L72" s="445">
        <v>3296000</v>
      </c>
      <c r="N72" s="445">
        <v>2871345.15</v>
      </c>
      <c r="O72" s="445">
        <v>2871345.15</v>
      </c>
      <c r="P72" s="445">
        <v>3555000</v>
      </c>
      <c r="R72" s="445">
        <v>3224000</v>
      </c>
      <c r="S72" s="445">
        <v>3630000</v>
      </c>
      <c r="T72" s="445">
        <v>4085000</v>
      </c>
      <c r="V72" s="433">
        <v>1.0065627910737387</v>
      </c>
      <c r="W72" s="433">
        <v>0.99720991669336767</v>
      </c>
    </row>
    <row r="73" spans="1:23" hidden="1">
      <c r="A73" s="443">
        <v>7</v>
      </c>
      <c r="B73" s="444" t="s">
        <v>345</v>
      </c>
      <c r="C73" s="444" t="s">
        <v>290</v>
      </c>
      <c r="E73" s="445">
        <v>2828714.68</v>
      </c>
      <c r="F73" s="445">
        <v>2828714.68</v>
      </c>
      <c r="G73" s="445">
        <v>2828714.68</v>
      </c>
      <c r="H73" s="446">
        <v>0.85822654126213593</v>
      </c>
      <c r="J73" s="445">
        <v>3092000</v>
      </c>
      <c r="K73" s="445">
        <v>3121000</v>
      </c>
      <c r="L73" s="445">
        <v>3296000</v>
      </c>
      <c r="N73" s="445">
        <v>2871345.15</v>
      </c>
      <c r="O73" s="445">
        <v>2871345.15</v>
      </c>
      <c r="P73" s="445">
        <v>3555000</v>
      </c>
      <c r="R73" s="445">
        <v>3224000</v>
      </c>
      <c r="S73" s="445">
        <v>3630000</v>
      </c>
      <c r="T73" s="445">
        <v>4085000</v>
      </c>
      <c r="V73" s="433">
        <v>0.91484950840879697</v>
      </c>
      <c r="W73" s="433">
        <v>0.90634882409484141</v>
      </c>
    </row>
    <row r="74" spans="1:23" hidden="1">
      <c r="A74" s="443">
        <v>7</v>
      </c>
      <c r="B74" s="444" t="s">
        <v>346</v>
      </c>
      <c r="C74" s="444" t="s">
        <v>290</v>
      </c>
      <c r="E74" s="445">
        <v>2828714.68</v>
      </c>
      <c r="F74" s="445">
        <v>2828714.68</v>
      </c>
      <c r="G74" s="445">
        <v>2828714.68</v>
      </c>
      <c r="H74" s="446">
        <v>0.85822654126213593</v>
      </c>
      <c r="J74" s="445">
        <v>3092000</v>
      </c>
      <c r="K74" s="445">
        <v>3121000</v>
      </c>
      <c r="L74" s="445">
        <v>3296000</v>
      </c>
      <c r="N74" s="445">
        <v>2871345.15</v>
      </c>
      <c r="O74" s="445">
        <v>2871345.15</v>
      </c>
      <c r="P74" s="445">
        <v>3555000</v>
      </c>
      <c r="R74" s="445">
        <v>3224000</v>
      </c>
      <c r="S74" s="445">
        <v>3630000</v>
      </c>
      <c r="T74" s="445">
        <v>4085000</v>
      </c>
      <c r="V74" s="433">
        <v>0.91484950840879697</v>
      </c>
      <c r="W74" s="433">
        <v>0.90634882409484141</v>
      </c>
    </row>
    <row r="75" spans="1:23" hidden="1">
      <c r="A75" s="443">
        <v>7</v>
      </c>
      <c r="B75" s="444" t="s">
        <v>347</v>
      </c>
      <c r="C75" s="444" t="s">
        <v>290</v>
      </c>
      <c r="E75" s="445">
        <v>2536900.52</v>
      </c>
      <c r="F75" s="445">
        <v>2536900.52</v>
      </c>
      <c r="G75" s="445">
        <v>2536900.52</v>
      </c>
      <c r="H75" s="446">
        <v>0.76969069174757287</v>
      </c>
      <c r="J75" s="445">
        <v>3092000</v>
      </c>
      <c r="K75" s="445">
        <v>3121000</v>
      </c>
      <c r="L75" s="445">
        <v>3296000</v>
      </c>
      <c r="N75" s="445">
        <v>2871345.15</v>
      </c>
      <c r="O75" s="445">
        <v>2871345.15</v>
      </c>
      <c r="P75" s="445">
        <v>3555000</v>
      </c>
      <c r="R75" s="445">
        <v>3224000</v>
      </c>
      <c r="S75" s="445">
        <v>3630000</v>
      </c>
      <c r="T75" s="445">
        <v>4085000</v>
      </c>
      <c r="V75" s="433">
        <v>0.82047235446313083</v>
      </c>
      <c r="W75" s="433">
        <v>0.81284861262415886</v>
      </c>
    </row>
    <row r="76" spans="1:23" hidden="1">
      <c r="A76" s="443">
        <v>7</v>
      </c>
      <c r="B76" s="444" t="s">
        <v>348</v>
      </c>
      <c r="C76" s="444" t="s">
        <v>290</v>
      </c>
      <c r="E76" s="445">
        <v>2828714.68</v>
      </c>
      <c r="F76" s="445">
        <v>2828714.68</v>
      </c>
      <c r="G76" s="445">
        <v>2828714.68</v>
      </c>
      <c r="H76" s="446">
        <v>0.85822654126213593</v>
      </c>
      <c r="J76" s="445">
        <v>3092000</v>
      </c>
      <c r="K76" s="445">
        <v>3121000</v>
      </c>
      <c r="L76" s="445">
        <v>3296000</v>
      </c>
      <c r="N76" s="445">
        <v>2871345.15</v>
      </c>
      <c r="O76" s="445">
        <v>2871345.15</v>
      </c>
      <c r="P76" s="445">
        <v>3555000</v>
      </c>
      <c r="R76" s="445">
        <v>3224000</v>
      </c>
      <c r="S76" s="445">
        <v>3630000</v>
      </c>
      <c r="T76" s="445">
        <v>4085000</v>
      </c>
      <c r="V76" s="433">
        <v>0.91484950840879697</v>
      </c>
      <c r="W76" s="433">
        <v>0.90634882409484141</v>
      </c>
    </row>
    <row r="77" spans="1:23" hidden="1">
      <c r="A77" s="443">
        <v>7</v>
      </c>
      <c r="B77" s="444" t="s">
        <v>349</v>
      </c>
      <c r="C77" s="444" t="s">
        <v>290</v>
      </c>
      <c r="E77" s="445">
        <v>2828714.68</v>
      </c>
      <c r="F77" s="445">
        <v>2828714.68</v>
      </c>
      <c r="G77" s="445">
        <v>2828714.68</v>
      </c>
      <c r="H77" s="446">
        <v>0.85822654126213593</v>
      </c>
      <c r="J77" s="445">
        <v>3092000</v>
      </c>
      <c r="K77" s="445">
        <v>3121000</v>
      </c>
      <c r="L77" s="445">
        <v>3296000</v>
      </c>
      <c r="N77" s="445">
        <v>2871345.15</v>
      </c>
      <c r="O77" s="445">
        <v>2871345.15</v>
      </c>
      <c r="P77" s="445">
        <v>3555000</v>
      </c>
      <c r="R77" s="445">
        <v>3224000</v>
      </c>
      <c r="S77" s="445">
        <v>3630000</v>
      </c>
      <c r="T77" s="445">
        <v>4085000</v>
      </c>
      <c r="V77" s="433">
        <v>0.91484950840879697</v>
      </c>
      <c r="W77" s="433">
        <v>0.90634882409484141</v>
      </c>
    </row>
    <row r="78" spans="1:23" hidden="1">
      <c r="A78" s="441">
        <v>6</v>
      </c>
      <c r="B78" s="442" t="s">
        <v>350</v>
      </c>
      <c r="C78" s="442" t="s">
        <v>295</v>
      </c>
      <c r="E78" s="439">
        <v>2706341.0000000005</v>
      </c>
      <c r="F78" s="439">
        <v>2706341.0000000005</v>
      </c>
      <c r="G78" s="439">
        <v>2706341.0000000005</v>
      </c>
      <c r="H78" s="440">
        <v>0.91523199188366589</v>
      </c>
      <c r="J78" s="439">
        <v>2771000</v>
      </c>
      <c r="K78" s="439">
        <v>2811000</v>
      </c>
      <c r="L78" s="439">
        <v>2957000</v>
      </c>
      <c r="N78" s="439">
        <v>2408332.3693166669</v>
      </c>
      <c r="O78" s="439">
        <v>2408332.3693166669</v>
      </c>
      <c r="P78" s="439">
        <v>3089000</v>
      </c>
      <c r="R78" s="439">
        <v>2863000</v>
      </c>
      <c r="S78" s="439">
        <v>3193000</v>
      </c>
      <c r="T78" s="439">
        <v>3592000</v>
      </c>
      <c r="V78" s="433">
        <v>0.97666582461205353</v>
      </c>
      <c r="W78" s="433">
        <v>0.9627680540732837</v>
      </c>
    </row>
    <row r="79" spans="1:23" hidden="1">
      <c r="A79" s="441">
        <v>6</v>
      </c>
      <c r="B79" s="442" t="s">
        <v>351</v>
      </c>
      <c r="C79" s="442" t="s">
        <v>290</v>
      </c>
      <c r="E79" s="439">
        <v>2295683.1700000004</v>
      </c>
      <c r="F79" s="439">
        <v>2295683.1700000004</v>
      </c>
      <c r="G79" s="439">
        <v>2295683.1700000004</v>
      </c>
      <c r="H79" s="440">
        <v>0.77635548528914455</v>
      </c>
      <c r="J79" s="439">
        <v>2771000</v>
      </c>
      <c r="K79" s="439">
        <v>2811000</v>
      </c>
      <c r="L79" s="439">
        <v>2957000</v>
      </c>
      <c r="N79" s="439">
        <v>2408332.3693166669</v>
      </c>
      <c r="O79" s="439">
        <v>2408332.3693166669</v>
      </c>
      <c r="P79" s="439">
        <v>3089000</v>
      </c>
      <c r="R79" s="439">
        <v>2863000</v>
      </c>
      <c r="S79" s="439">
        <v>3193000</v>
      </c>
      <c r="T79" s="439">
        <v>3592000</v>
      </c>
      <c r="V79" s="433">
        <v>0.82846740166005062</v>
      </c>
      <c r="W79" s="433">
        <v>0.81667846673781586</v>
      </c>
    </row>
    <row r="80" spans="1:23" hidden="1">
      <c r="A80" s="441">
        <v>6</v>
      </c>
      <c r="B80" s="442" t="s">
        <v>352</v>
      </c>
      <c r="C80" s="442" t="s">
        <v>295</v>
      </c>
      <c r="E80" s="439">
        <v>3177009.0000000005</v>
      </c>
      <c r="F80" s="439">
        <v>3177009.0000000005</v>
      </c>
      <c r="G80" s="439">
        <v>3177009.0000000005</v>
      </c>
      <c r="H80" s="440">
        <v>1.0744027730808252</v>
      </c>
      <c r="J80" s="439">
        <v>2771000</v>
      </c>
      <c r="K80" s="439">
        <v>2811000</v>
      </c>
      <c r="L80" s="439">
        <v>2957000</v>
      </c>
      <c r="N80" s="439">
        <v>2408332.3693166669</v>
      </c>
      <c r="O80" s="439">
        <v>2408332.3693166669</v>
      </c>
      <c r="P80" s="439">
        <v>3089000</v>
      </c>
      <c r="R80" s="439">
        <v>2863000</v>
      </c>
      <c r="S80" s="439">
        <v>3193000</v>
      </c>
      <c r="T80" s="439">
        <v>3592000</v>
      </c>
      <c r="V80" s="433">
        <v>1.1465207506315414</v>
      </c>
      <c r="W80" s="433">
        <v>1.1302059765208112</v>
      </c>
    </row>
    <row r="81" spans="1:23" hidden="1">
      <c r="A81" s="441">
        <v>6</v>
      </c>
      <c r="B81" s="442" t="s">
        <v>353</v>
      </c>
      <c r="C81" s="442" t="s">
        <v>290</v>
      </c>
      <c r="E81" s="439">
        <v>2828714.68</v>
      </c>
      <c r="F81" s="439">
        <v>2828714.68</v>
      </c>
      <c r="G81" s="439">
        <v>2828714.68</v>
      </c>
      <c r="H81" s="440">
        <v>0.95661639499492734</v>
      </c>
      <c r="J81" s="439">
        <v>2771000</v>
      </c>
      <c r="K81" s="439">
        <v>2811000</v>
      </c>
      <c r="L81" s="439">
        <v>2957000</v>
      </c>
      <c r="N81" s="439">
        <v>2408332.3693166669</v>
      </c>
      <c r="O81" s="439">
        <v>2408332.3693166669</v>
      </c>
      <c r="P81" s="439">
        <v>3089000</v>
      </c>
      <c r="R81" s="439">
        <v>2863000</v>
      </c>
      <c r="S81" s="439">
        <v>3193000</v>
      </c>
      <c r="T81" s="439">
        <v>3592000</v>
      </c>
      <c r="V81" s="433">
        <v>1.0208281053771202</v>
      </c>
      <c r="W81" s="433">
        <v>1.0063019139096407</v>
      </c>
    </row>
    <row r="82" spans="1:23" hidden="1">
      <c r="A82" s="443">
        <v>5</v>
      </c>
      <c r="B82" s="444" t="s">
        <v>354</v>
      </c>
      <c r="C82" s="444" t="s">
        <v>290</v>
      </c>
      <c r="E82" s="445">
        <v>2412173.5</v>
      </c>
      <c r="F82" s="445">
        <v>2412173.5</v>
      </c>
      <c r="G82" s="445">
        <v>2412173.5</v>
      </c>
      <c r="H82" s="446">
        <v>0.90888225320271299</v>
      </c>
      <c r="J82" s="445">
        <v>2485000</v>
      </c>
      <c r="K82" s="445">
        <v>2533000</v>
      </c>
      <c r="L82" s="445">
        <v>2654000</v>
      </c>
      <c r="N82" s="445">
        <v>2021773.4489750001</v>
      </c>
      <c r="O82" s="445">
        <v>2021773.4489750001</v>
      </c>
      <c r="P82" s="445">
        <v>2699000</v>
      </c>
      <c r="R82" s="445">
        <v>2541000</v>
      </c>
      <c r="S82" s="445">
        <v>2803000</v>
      </c>
      <c r="T82" s="445">
        <v>3152000</v>
      </c>
      <c r="V82" s="433">
        <v>0.97069356136820939</v>
      </c>
      <c r="W82" s="433">
        <v>0.95229905250690894</v>
      </c>
    </row>
    <row r="83" spans="1:23" hidden="1">
      <c r="A83" s="441">
        <v>4</v>
      </c>
      <c r="B83" s="442" t="s">
        <v>355</v>
      </c>
      <c r="C83" s="442" t="s">
        <v>290</v>
      </c>
      <c r="E83" s="439">
        <v>2295683.1700000004</v>
      </c>
      <c r="F83" s="439">
        <v>2295683.1700000004</v>
      </c>
      <c r="G83" s="439">
        <v>2295683.1700000004</v>
      </c>
      <c r="H83" s="440">
        <v>0.95653465416666683</v>
      </c>
      <c r="J83" s="439">
        <v>2244000</v>
      </c>
      <c r="K83" s="439">
        <v>2300000</v>
      </c>
      <c r="L83" s="439">
        <v>2400000</v>
      </c>
      <c r="N83" s="439">
        <v>1694920.5045500002</v>
      </c>
      <c r="O83" s="439">
        <v>1694920.5045500002</v>
      </c>
      <c r="P83" s="439">
        <v>2370000</v>
      </c>
      <c r="R83" s="439">
        <v>2270000</v>
      </c>
      <c r="S83" s="439">
        <v>2475000</v>
      </c>
      <c r="T83" s="439">
        <v>2783000</v>
      </c>
      <c r="V83" s="433">
        <v>1.0230317156862747</v>
      </c>
      <c r="W83" s="433">
        <v>0.99812311739130455</v>
      </c>
    </row>
    <row r="84" spans="1:23" hidden="1">
      <c r="A84" s="441">
        <v>4</v>
      </c>
      <c r="B84" s="442" t="s">
        <v>356</v>
      </c>
      <c r="C84" s="442" t="s">
        <v>290</v>
      </c>
      <c r="E84" s="439">
        <v>2295683.1700000004</v>
      </c>
      <c r="F84" s="439">
        <v>2295683.1700000004</v>
      </c>
      <c r="G84" s="439">
        <v>2295683.1700000004</v>
      </c>
      <c r="H84" s="440">
        <v>0.95653465416666683</v>
      </c>
      <c r="J84" s="439">
        <v>2244000</v>
      </c>
      <c r="K84" s="439">
        <v>2300000</v>
      </c>
      <c r="L84" s="439">
        <v>2400000</v>
      </c>
      <c r="N84" s="439">
        <v>1694920.5045500002</v>
      </c>
      <c r="O84" s="439">
        <v>1694920.5045500002</v>
      </c>
      <c r="P84" s="439">
        <v>2370000</v>
      </c>
      <c r="R84" s="439">
        <v>2270000</v>
      </c>
      <c r="S84" s="439">
        <v>2475000</v>
      </c>
      <c r="T84" s="439">
        <v>2783000</v>
      </c>
      <c r="V84" s="433">
        <v>1.0230317156862747</v>
      </c>
      <c r="W84" s="433">
        <v>0.99812311739130455</v>
      </c>
    </row>
    <row r="85" spans="1:23" hidden="1">
      <c r="N85" s="432"/>
    </row>
  </sheetData>
  <sheetProtection algorithmName="SHA-512" hashValue="E2ex8QOMIG9UwWUkitGbMYaWyZzlFa2pQie3tY6r4gvbxvZxaFJ6BmqDbSuznuK1LnMbB0hqxSZaeed1BLANmQ==" saltValue="48ZQHJ1y/XXMvYOegSyD7g==" spinCount="100000" sheet="1" objects="1" scenarios="1"/>
  <mergeCells count="3">
    <mergeCell ref="J1:L1"/>
    <mergeCell ref="N1:P1"/>
    <mergeCell ref="R1:T1"/>
  </mergeCells>
  <conditionalFormatting sqref="V4:V84">
    <cfRule type="cellIs" dxfId="2183" priority="5" operator="lessThan">
      <formula>0.8</formula>
    </cfRule>
    <cfRule type="cellIs" dxfId="2182" priority="6" operator="greaterThan">
      <formula>1.2</formula>
    </cfRule>
  </conditionalFormatting>
  <conditionalFormatting sqref="W4:W84">
    <cfRule type="cellIs" dxfId="2181" priority="3" operator="lessThan">
      <formula>0.8</formula>
    </cfRule>
    <cfRule type="cellIs" dxfId="2180" priority="4" operator="greaterThan">
      <formula>1.2</formula>
    </cfRule>
  </conditionalFormatting>
  <conditionalFormatting sqref="H4:H84">
    <cfRule type="cellIs" dxfId="2179" priority="1" operator="lessThan">
      <formula>0.8</formula>
    </cfRule>
    <cfRule type="cellIs" dxfId="2178" priority="2" operator="greaterThan">
      <formula>1.2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9E7F8-22E4-4123-90CA-C55EDA77767F}">
  <sheetPr codeName="Hoja30"/>
  <dimension ref="A1:J82"/>
  <sheetViews>
    <sheetView zoomScale="115" zoomScaleNormal="115" workbookViewId="0">
      <selection activeCell="C3" sqref="C3"/>
    </sheetView>
  </sheetViews>
  <sheetFormatPr baseColWidth="10" defaultColWidth="11.44140625" defaultRowHeight="15"/>
  <cols>
    <col min="2" max="2" width="2" customWidth="1"/>
    <col min="3" max="3" width="53.88671875" customWidth="1"/>
    <col min="4" max="4" width="2" customWidth="1"/>
    <col min="5" max="5" width="53.88671875" customWidth="1"/>
    <col min="6" max="6" width="2" style="421" customWidth="1"/>
    <col min="7" max="7" width="53.88671875" customWidth="1"/>
    <col min="8" max="8" width="3" customWidth="1"/>
    <col min="11" max="11" width="4.88671875" customWidth="1"/>
  </cols>
  <sheetData>
    <row r="1" spans="1:10" ht="15.6" thickBot="1"/>
    <row r="2" spans="1:10" ht="15.6" thickBot="1">
      <c r="A2" s="384">
        <v>20</v>
      </c>
      <c r="B2" s="420"/>
      <c r="C2" s="384" t="s">
        <v>360</v>
      </c>
      <c r="D2" s="389"/>
      <c r="E2" s="387" t="s">
        <v>361</v>
      </c>
      <c r="G2" s="387" t="s">
        <v>361</v>
      </c>
      <c r="I2" t="e">
        <v>#N/A</v>
      </c>
      <c r="J2" t="e">
        <v>#N/A</v>
      </c>
    </row>
    <row r="3" spans="1:10" ht="15.6" thickBot="1">
      <c r="A3" s="384">
        <v>18</v>
      </c>
      <c r="B3" s="420"/>
      <c r="C3" s="384" t="s">
        <v>362</v>
      </c>
      <c r="D3" s="389"/>
      <c r="E3" s="425" t="s">
        <v>274</v>
      </c>
      <c r="G3" s="425" t="s">
        <v>274</v>
      </c>
      <c r="I3" t="s">
        <v>157</v>
      </c>
      <c r="J3">
        <v>4</v>
      </c>
    </row>
    <row r="4" spans="1:10" ht="15.6" thickBot="1">
      <c r="A4" s="384">
        <v>18</v>
      </c>
      <c r="B4" s="420"/>
      <c r="C4" s="384" t="s">
        <v>362</v>
      </c>
      <c r="D4" s="389"/>
      <c r="E4" s="425" t="s">
        <v>363</v>
      </c>
      <c r="G4" s="425" t="s">
        <v>363</v>
      </c>
      <c r="I4" t="e">
        <v>#N/A</v>
      </c>
      <c r="J4" t="e">
        <v>#N/A</v>
      </c>
    </row>
    <row r="5" spans="1:10" ht="15.6" thickBot="1">
      <c r="A5" s="384">
        <v>16</v>
      </c>
      <c r="B5" s="420"/>
      <c r="C5" s="384" t="s">
        <v>362</v>
      </c>
      <c r="D5" s="389"/>
      <c r="E5" s="387" t="s">
        <v>276</v>
      </c>
      <c r="G5" s="387" t="s">
        <v>276</v>
      </c>
      <c r="I5" t="s">
        <v>157</v>
      </c>
      <c r="J5">
        <v>4</v>
      </c>
    </row>
    <row r="6" spans="1:10" ht="15.6" thickBot="1">
      <c r="A6" s="384">
        <v>15</v>
      </c>
      <c r="B6" s="420"/>
      <c r="C6" s="384" t="s">
        <v>364</v>
      </c>
      <c r="D6" s="389"/>
      <c r="E6" s="425" t="s">
        <v>284</v>
      </c>
      <c r="G6" s="425" t="s">
        <v>284</v>
      </c>
      <c r="I6" t="s">
        <v>139</v>
      </c>
      <c r="J6">
        <v>3</v>
      </c>
    </row>
    <row r="7" spans="1:10" ht="15.6" thickBot="1">
      <c r="A7" s="384">
        <v>15</v>
      </c>
      <c r="B7" s="420"/>
      <c r="C7" s="384" t="s">
        <v>364</v>
      </c>
      <c r="D7" s="389"/>
      <c r="E7" s="426" t="s">
        <v>283</v>
      </c>
      <c r="G7" s="426" t="s">
        <v>283</v>
      </c>
      <c r="I7" t="s">
        <v>139</v>
      </c>
      <c r="J7">
        <v>3</v>
      </c>
    </row>
    <row r="8" spans="1:10" ht="15.6" thickBot="1">
      <c r="A8" s="384">
        <v>15</v>
      </c>
      <c r="B8" s="420"/>
      <c r="C8" s="384" t="s">
        <v>364</v>
      </c>
      <c r="D8" s="389"/>
      <c r="E8" s="426" t="s">
        <v>282</v>
      </c>
      <c r="G8" s="426" t="s">
        <v>282</v>
      </c>
      <c r="I8" t="s">
        <v>139</v>
      </c>
      <c r="J8">
        <v>3</v>
      </c>
    </row>
    <row r="9" spans="1:10" ht="15.6" thickBot="1">
      <c r="A9" s="384">
        <v>15</v>
      </c>
      <c r="B9" s="420"/>
      <c r="C9" s="384" t="s">
        <v>364</v>
      </c>
      <c r="D9" s="389"/>
      <c r="E9" s="426" t="s">
        <v>278</v>
      </c>
      <c r="G9" s="426" t="s">
        <v>278</v>
      </c>
      <c r="I9" t="s">
        <v>139</v>
      </c>
      <c r="J9">
        <v>4</v>
      </c>
    </row>
    <row r="10" spans="1:10" ht="15.6" thickBot="1">
      <c r="A10" s="384">
        <v>15</v>
      </c>
      <c r="B10" s="420"/>
      <c r="C10" s="384" t="s">
        <v>364</v>
      </c>
      <c r="D10" s="389"/>
      <c r="E10" s="426" t="s">
        <v>279</v>
      </c>
      <c r="G10" s="426" t="s">
        <v>279</v>
      </c>
      <c r="I10" t="s">
        <v>157</v>
      </c>
      <c r="J10">
        <v>3</v>
      </c>
    </row>
    <row r="11" spans="1:10" ht="15.6" thickBot="1">
      <c r="A11" s="384">
        <v>15</v>
      </c>
      <c r="B11" s="420"/>
      <c r="C11" s="384" t="s">
        <v>364</v>
      </c>
      <c r="D11" s="389"/>
      <c r="E11" s="426" t="s">
        <v>281</v>
      </c>
      <c r="G11" s="426" t="s">
        <v>281</v>
      </c>
      <c r="I11" t="s">
        <v>157</v>
      </c>
      <c r="J11">
        <v>1</v>
      </c>
    </row>
    <row r="12" spans="1:10" ht="15.6" thickBot="1">
      <c r="A12" s="384">
        <v>15</v>
      </c>
      <c r="B12" s="420"/>
      <c r="C12" s="384" t="s">
        <v>364</v>
      </c>
      <c r="D12" s="389"/>
      <c r="E12" s="426" t="s">
        <v>280</v>
      </c>
      <c r="G12" s="426" t="s">
        <v>280</v>
      </c>
      <c r="I12" t="s">
        <v>139</v>
      </c>
      <c r="J12">
        <v>4</v>
      </c>
    </row>
    <row r="13" spans="1:10" ht="15.6" thickBot="1">
      <c r="A13" s="384">
        <v>14</v>
      </c>
      <c r="B13" s="420"/>
      <c r="C13" s="384" t="s">
        <v>364</v>
      </c>
      <c r="D13" s="389"/>
      <c r="E13" s="422" t="s">
        <v>293</v>
      </c>
      <c r="G13" s="422" t="s">
        <v>293</v>
      </c>
      <c r="I13" t="s">
        <v>139</v>
      </c>
      <c r="J13">
        <v>3</v>
      </c>
    </row>
    <row r="14" spans="1:10" ht="15.6" thickBot="1">
      <c r="A14" s="384">
        <v>14</v>
      </c>
      <c r="B14" s="420"/>
      <c r="C14" s="384" t="s">
        <v>364</v>
      </c>
      <c r="D14" s="389"/>
      <c r="E14" s="422" t="s">
        <v>292</v>
      </c>
      <c r="G14" s="422" t="s">
        <v>292</v>
      </c>
      <c r="I14" t="s">
        <v>139</v>
      </c>
      <c r="J14">
        <v>4</v>
      </c>
    </row>
    <row r="15" spans="1:10" ht="15.6" thickBot="1">
      <c r="A15" s="384">
        <v>14</v>
      </c>
      <c r="B15" s="420"/>
      <c r="C15" s="384" t="s">
        <v>364</v>
      </c>
      <c r="D15" s="389"/>
      <c r="E15" s="422" t="s">
        <v>288</v>
      </c>
      <c r="G15" s="422" t="s">
        <v>288</v>
      </c>
      <c r="I15" t="s">
        <v>139</v>
      </c>
      <c r="J15">
        <v>4</v>
      </c>
    </row>
    <row r="16" spans="1:10" ht="15.6" thickBot="1">
      <c r="A16" s="384">
        <v>14</v>
      </c>
      <c r="B16" s="420"/>
      <c r="C16" s="384" t="s">
        <v>364</v>
      </c>
      <c r="D16" s="389"/>
      <c r="E16" s="422" t="s">
        <v>291</v>
      </c>
      <c r="G16" s="423" t="s">
        <v>365</v>
      </c>
      <c r="I16" t="s">
        <v>139</v>
      </c>
      <c r="J16">
        <v>4</v>
      </c>
    </row>
    <row r="17" spans="1:10" ht="15.6" thickBot="1">
      <c r="A17" s="384">
        <v>14</v>
      </c>
      <c r="B17" s="420"/>
      <c r="C17" s="384" t="s">
        <v>364</v>
      </c>
      <c r="D17" s="389"/>
      <c r="E17" s="387" t="s">
        <v>289</v>
      </c>
      <c r="G17" s="387" t="s">
        <v>289</v>
      </c>
      <c r="I17" t="s">
        <v>139</v>
      </c>
      <c r="J17">
        <v>4</v>
      </c>
    </row>
    <row r="18" spans="1:10" ht="15.6" thickBot="1">
      <c r="A18" s="384">
        <v>14</v>
      </c>
      <c r="B18" s="420"/>
      <c r="C18" s="384" t="s">
        <v>364</v>
      </c>
      <c r="D18" s="389"/>
      <c r="E18" s="387" t="s">
        <v>287</v>
      </c>
      <c r="G18" s="387" t="s">
        <v>287</v>
      </c>
      <c r="I18" t="s">
        <v>120</v>
      </c>
      <c r="J18">
        <v>3</v>
      </c>
    </row>
    <row r="19" spans="1:10" ht="15.6" thickBot="1">
      <c r="A19" s="384">
        <v>14</v>
      </c>
      <c r="B19" s="420"/>
      <c r="C19" s="384" t="s">
        <v>364</v>
      </c>
      <c r="D19" s="389"/>
      <c r="E19" s="387" t="s">
        <v>286</v>
      </c>
      <c r="G19" s="387" t="s">
        <v>286</v>
      </c>
      <c r="I19" t="s">
        <v>139</v>
      </c>
      <c r="J19">
        <v>4</v>
      </c>
    </row>
    <row r="20" spans="1:10" ht="15.6" thickBot="1">
      <c r="A20" s="384">
        <v>14</v>
      </c>
      <c r="B20" s="420"/>
      <c r="C20" s="384" t="s">
        <v>364</v>
      </c>
      <c r="D20" s="389"/>
      <c r="E20" s="387" t="s">
        <v>285</v>
      </c>
      <c r="G20" s="387" t="s">
        <v>285</v>
      </c>
      <c r="I20" t="s">
        <v>139</v>
      </c>
      <c r="J20">
        <v>3</v>
      </c>
    </row>
    <row r="21" spans="1:10" ht="15.6" thickBot="1">
      <c r="A21" s="384">
        <v>13</v>
      </c>
      <c r="B21" s="420"/>
      <c r="C21" s="384" t="s">
        <v>364</v>
      </c>
      <c r="D21" s="389"/>
      <c r="E21" s="425" t="s">
        <v>298</v>
      </c>
      <c r="G21" s="425" t="s">
        <v>298</v>
      </c>
      <c r="I21" t="s">
        <v>120</v>
      </c>
      <c r="J21">
        <v>3</v>
      </c>
    </row>
    <row r="22" spans="1:10" ht="15.6" thickBot="1">
      <c r="A22" s="384">
        <v>13</v>
      </c>
      <c r="B22" s="420"/>
      <c r="C22" s="384" t="s">
        <v>364</v>
      </c>
      <c r="D22" s="389"/>
      <c r="E22" s="426" t="s">
        <v>297</v>
      </c>
      <c r="G22" s="427" t="s">
        <v>366</v>
      </c>
      <c r="I22" t="s">
        <v>139</v>
      </c>
      <c r="J22">
        <v>3</v>
      </c>
    </row>
    <row r="23" spans="1:10" ht="15.6" thickBot="1">
      <c r="A23" s="384">
        <v>13</v>
      </c>
      <c r="B23" s="420"/>
      <c r="C23" s="384" t="s">
        <v>364</v>
      </c>
      <c r="D23" s="389"/>
      <c r="E23" s="426" t="s">
        <v>296</v>
      </c>
      <c r="G23" s="427" t="s">
        <v>367</v>
      </c>
      <c r="I23" t="s">
        <v>139</v>
      </c>
      <c r="J23">
        <v>3</v>
      </c>
    </row>
    <row r="24" spans="1:10" ht="15.6" thickBot="1">
      <c r="A24" s="384">
        <v>13</v>
      </c>
      <c r="B24" s="420"/>
      <c r="C24" s="384" t="s">
        <v>364</v>
      </c>
      <c r="D24" s="389"/>
      <c r="E24" s="426" t="s">
        <v>294</v>
      </c>
      <c r="G24" s="427" t="s">
        <v>368</v>
      </c>
      <c r="I24" t="s">
        <v>139</v>
      </c>
      <c r="J24">
        <v>3</v>
      </c>
    </row>
    <row r="25" spans="1:10" ht="15.6" thickBot="1">
      <c r="A25" s="384">
        <v>12</v>
      </c>
      <c r="B25" s="420"/>
      <c r="C25" s="384" t="s">
        <v>369</v>
      </c>
      <c r="D25" s="389"/>
      <c r="E25" s="422" t="s">
        <v>309</v>
      </c>
      <c r="G25" s="424" t="s">
        <v>370</v>
      </c>
      <c r="I25" t="s">
        <v>120</v>
      </c>
      <c r="J25">
        <v>3</v>
      </c>
    </row>
    <row r="26" spans="1:10" ht="15.6" thickBot="1">
      <c r="A26" s="384">
        <v>12</v>
      </c>
      <c r="B26" s="420"/>
      <c r="C26" s="384" t="s">
        <v>369</v>
      </c>
      <c r="D26" s="389"/>
      <c r="E26" s="422" t="s">
        <v>306</v>
      </c>
      <c r="G26" s="424" t="s">
        <v>371</v>
      </c>
      <c r="I26" t="s">
        <v>120</v>
      </c>
      <c r="J26">
        <v>3</v>
      </c>
    </row>
    <row r="27" spans="1:10" ht="15.6" thickBot="1">
      <c r="A27" s="384">
        <v>12</v>
      </c>
      <c r="B27" s="420"/>
      <c r="C27" s="384" t="s">
        <v>369</v>
      </c>
      <c r="D27" s="389"/>
      <c r="E27" s="422" t="s">
        <v>308</v>
      </c>
      <c r="G27" s="424" t="s">
        <v>372</v>
      </c>
      <c r="I27" t="s">
        <v>120</v>
      </c>
      <c r="J27">
        <v>3</v>
      </c>
    </row>
    <row r="28" spans="1:10" ht="15.6" thickBot="1">
      <c r="A28" s="384">
        <v>12</v>
      </c>
      <c r="B28" s="420"/>
      <c r="C28" s="384" t="s">
        <v>369</v>
      </c>
      <c r="D28" s="389"/>
      <c r="E28" s="422" t="s">
        <v>307</v>
      </c>
      <c r="G28" s="424" t="s">
        <v>373</v>
      </c>
      <c r="I28" t="s">
        <v>120</v>
      </c>
      <c r="J28">
        <v>1</v>
      </c>
    </row>
    <row r="29" spans="1:10" ht="15.6" thickBot="1">
      <c r="A29" s="384">
        <v>12</v>
      </c>
      <c r="B29" s="420"/>
      <c r="C29" s="384" t="s">
        <v>369</v>
      </c>
      <c r="D29" s="389"/>
      <c r="E29" s="422" t="s">
        <v>305</v>
      </c>
      <c r="G29" s="424" t="s">
        <v>374</v>
      </c>
      <c r="I29" t="s">
        <v>120</v>
      </c>
      <c r="J29">
        <v>1</v>
      </c>
    </row>
    <row r="30" spans="1:10" ht="15.6" thickBot="1">
      <c r="A30" s="384">
        <v>12</v>
      </c>
      <c r="B30" s="420"/>
      <c r="C30" s="384" t="s">
        <v>369</v>
      </c>
      <c r="D30" s="389"/>
      <c r="E30" s="422" t="s">
        <v>303</v>
      </c>
      <c r="G30" s="428" t="s">
        <v>375</v>
      </c>
      <c r="I30" t="s">
        <v>120</v>
      </c>
      <c r="J30">
        <v>3</v>
      </c>
    </row>
    <row r="31" spans="1:10" ht="15.6" thickBot="1">
      <c r="A31" s="384">
        <v>12</v>
      </c>
      <c r="B31" s="420"/>
      <c r="C31" s="384" t="s">
        <v>369</v>
      </c>
      <c r="D31" s="389"/>
      <c r="E31" s="422" t="s">
        <v>304</v>
      </c>
      <c r="G31" s="424" t="s">
        <v>376</v>
      </c>
      <c r="I31" t="s">
        <v>120</v>
      </c>
      <c r="J31">
        <v>3</v>
      </c>
    </row>
    <row r="32" spans="1:10" ht="15.6" thickBot="1">
      <c r="A32" s="384">
        <v>12</v>
      </c>
      <c r="B32" s="420"/>
      <c r="C32" s="384" t="s">
        <v>369</v>
      </c>
      <c r="D32" s="389"/>
      <c r="E32" s="387" t="s">
        <v>299</v>
      </c>
      <c r="G32" s="424" t="s">
        <v>377</v>
      </c>
      <c r="I32" t="s">
        <v>120</v>
      </c>
      <c r="J32">
        <v>3</v>
      </c>
    </row>
    <row r="33" spans="1:10" ht="15.6" thickBot="1">
      <c r="A33" s="384">
        <v>12</v>
      </c>
      <c r="B33" s="420"/>
      <c r="C33" s="384" t="s">
        <v>369</v>
      </c>
      <c r="D33" s="389"/>
      <c r="E33" s="387" t="s">
        <v>302</v>
      </c>
      <c r="G33" s="428" t="s">
        <v>378</v>
      </c>
      <c r="I33" t="s">
        <v>120</v>
      </c>
      <c r="J33">
        <v>3</v>
      </c>
    </row>
    <row r="34" spans="1:10" ht="15.6" thickBot="1">
      <c r="A34" s="384">
        <v>12</v>
      </c>
      <c r="B34" s="420"/>
      <c r="C34" s="384" t="s">
        <v>369</v>
      </c>
      <c r="D34" s="389"/>
      <c r="E34" s="387" t="s">
        <v>301</v>
      </c>
      <c r="G34" s="429" t="s">
        <v>301</v>
      </c>
      <c r="I34" t="s">
        <v>120</v>
      </c>
      <c r="J34">
        <v>1</v>
      </c>
    </row>
    <row r="35" spans="1:10" ht="15.6" thickBot="1">
      <c r="A35" s="384">
        <v>12</v>
      </c>
      <c r="B35" s="420"/>
      <c r="C35" s="384" t="s">
        <v>369</v>
      </c>
      <c r="D35" s="389"/>
      <c r="E35" s="387" t="s">
        <v>300</v>
      </c>
      <c r="G35" s="424" t="s">
        <v>379</v>
      </c>
      <c r="I35" t="s">
        <v>120</v>
      </c>
      <c r="J35">
        <v>1</v>
      </c>
    </row>
    <row r="36" spans="1:10" ht="15.6" thickBot="1">
      <c r="A36" s="384">
        <v>11</v>
      </c>
      <c r="B36" s="420"/>
      <c r="C36" s="384" t="s">
        <v>380</v>
      </c>
      <c r="D36" s="389"/>
      <c r="E36" s="425" t="s">
        <v>321</v>
      </c>
      <c r="G36" s="425" t="s">
        <v>321</v>
      </c>
      <c r="I36" t="s">
        <v>120</v>
      </c>
      <c r="J36">
        <v>3</v>
      </c>
    </row>
    <row r="37" spans="1:10" ht="15.6" thickBot="1">
      <c r="A37" s="384">
        <v>11</v>
      </c>
      <c r="B37" s="420"/>
      <c r="C37" s="384" t="s">
        <v>380</v>
      </c>
      <c r="D37" s="389"/>
      <c r="E37" s="426" t="s">
        <v>310</v>
      </c>
      <c r="G37" s="426" t="s">
        <v>310</v>
      </c>
      <c r="I37" t="s">
        <v>120</v>
      </c>
      <c r="J37">
        <v>3</v>
      </c>
    </row>
    <row r="38" spans="1:10" ht="15.6" thickBot="1">
      <c r="A38" s="384">
        <v>11</v>
      </c>
      <c r="B38" s="420"/>
      <c r="C38" s="384" t="s">
        <v>380</v>
      </c>
      <c r="D38" s="389"/>
      <c r="E38" s="426" t="s">
        <v>311</v>
      </c>
      <c r="G38" s="426" t="s">
        <v>311</v>
      </c>
      <c r="I38" t="s">
        <v>120</v>
      </c>
      <c r="J38">
        <v>3</v>
      </c>
    </row>
    <row r="39" spans="1:10" ht="15.6" thickBot="1">
      <c r="A39" s="384">
        <v>11</v>
      </c>
      <c r="B39" s="420"/>
      <c r="C39" s="384" t="s">
        <v>380</v>
      </c>
      <c r="D39" s="389"/>
      <c r="E39" s="426" t="s">
        <v>319</v>
      </c>
      <c r="G39" s="426" t="s">
        <v>381</v>
      </c>
      <c r="I39" t="s">
        <v>120</v>
      </c>
      <c r="J39">
        <v>1</v>
      </c>
    </row>
    <row r="40" spans="1:10" ht="30.6" thickBot="1">
      <c r="A40" s="384">
        <v>11</v>
      </c>
      <c r="B40" s="420"/>
      <c r="C40" s="384" t="s">
        <v>380</v>
      </c>
      <c r="D40" s="389"/>
      <c r="E40" s="426" t="s">
        <v>320</v>
      </c>
      <c r="G40" s="426" t="s">
        <v>382</v>
      </c>
      <c r="I40" t="s">
        <v>120</v>
      </c>
      <c r="J40">
        <v>1</v>
      </c>
    </row>
    <row r="41" spans="1:10" ht="15.6" thickBot="1">
      <c r="A41" s="384">
        <v>11</v>
      </c>
      <c r="B41" s="420"/>
      <c r="C41" s="384" t="s">
        <v>380</v>
      </c>
      <c r="D41" s="389"/>
      <c r="E41" s="426" t="s">
        <v>318</v>
      </c>
      <c r="G41" s="426" t="s">
        <v>383</v>
      </c>
      <c r="I41" t="s">
        <v>120</v>
      </c>
      <c r="J41">
        <v>1</v>
      </c>
    </row>
    <row r="42" spans="1:10" ht="15.6" thickBot="1">
      <c r="A42" s="384">
        <v>11</v>
      </c>
      <c r="B42" s="420"/>
      <c r="C42" s="384" t="s">
        <v>380</v>
      </c>
      <c r="D42" s="389"/>
      <c r="E42" s="426" t="s">
        <v>316</v>
      </c>
      <c r="G42" s="426" t="s">
        <v>316</v>
      </c>
      <c r="I42" t="s">
        <v>120</v>
      </c>
      <c r="J42">
        <v>3</v>
      </c>
    </row>
    <row r="43" spans="1:10" ht="15.6" thickBot="1">
      <c r="A43" s="384">
        <v>11</v>
      </c>
      <c r="B43" s="420"/>
      <c r="C43" s="384" t="s">
        <v>380</v>
      </c>
      <c r="D43" s="389"/>
      <c r="E43" s="426" t="s">
        <v>317</v>
      </c>
      <c r="G43" s="426" t="s">
        <v>317</v>
      </c>
      <c r="I43" t="s">
        <v>120</v>
      </c>
      <c r="J43">
        <v>3</v>
      </c>
    </row>
    <row r="44" spans="1:10" ht="15.6" thickBot="1">
      <c r="A44" s="384">
        <v>11</v>
      </c>
      <c r="B44" s="420"/>
      <c r="C44" s="384" t="s">
        <v>380</v>
      </c>
      <c r="D44" s="389"/>
      <c r="E44" s="426" t="s">
        <v>314</v>
      </c>
      <c r="G44" s="426" t="s">
        <v>311</v>
      </c>
      <c r="I44" t="s">
        <v>120</v>
      </c>
      <c r="J44">
        <v>1</v>
      </c>
    </row>
    <row r="45" spans="1:10" ht="15.6" thickBot="1">
      <c r="A45" s="384">
        <v>11</v>
      </c>
      <c r="B45" s="420"/>
      <c r="C45" s="384" t="s">
        <v>380</v>
      </c>
      <c r="D45" s="389"/>
      <c r="E45" s="426" t="s">
        <v>315</v>
      </c>
      <c r="G45" s="426" t="s">
        <v>384</v>
      </c>
      <c r="I45" t="s">
        <v>120</v>
      </c>
      <c r="J45">
        <v>1</v>
      </c>
    </row>
    <row r="46" spans="1:10" ht="15.6" thickBot="1">
      <c r="A46" s="384">
        <v>11</v>
      </c>
      <c r="B46" s="420"/>
      <c r="C46" s="384" t="s">
        <v>380</v>
      </c>
      <c r="D46" s="389"/>
      <c r="E46" s="426" t="s">
        <v>313</v>
      </c>
      <c r="G46" s="426" t="s">
        <v>313</v>
      </c>
      <c r="I46" t="s">
        <v>120</v>
      </c>
      <c r="J46">
        <v>1</v>
      </c>
    </row>
    <row r="47" spans="1:10" ht="15.6" thickBot="1">
      <c r="A47" s="384">
        <v>11</v>
      </c>
      <c r="B47" s="420"/>
      <c r="C47" s="384" t="s">
        <v>380</v>
      </c>
      <c r="D47" s="389"/>
      <c r="E47" s="426" t="s">
        <v>312</v>
      </c>
      <c r="G47" s="426" t="s">
        <v>385</v>
      </c>
      <c r="I47" t="s">
        <v>120</v>
      </c>
      <c r="J47">
        <v>1</v>
      </c>
    </row>
    <row r="48" spans="1:10" ht="15.6" thickBot="1">
      <c r="A48" s="384">
        <v>10</v>
      </c>
      <c r="B48" s="420"/>
      <c r="C48" s="384" t="s">
        <v>386</v>
      </c>
      <c r="D48" s="389"/>
      <c r="E48" s="422" t="s">
        <v>323</v>
      </c>
      <c r="G48" s="422" t="s">
        <v>387</v>
      </c>
      <c r="I48" t="s">
        <v>120</v>
      </c>
      <c r="J48">
        <v>1</v>
      </c>
    </row>
    <row r="49" spans="1:10" ht="30.6" thickBot="1">
      <c r="A49" s="384">
        <v>10</v>
      </c>
      <c r="B49" s="420"/>
      <c r="C49" s="384" t="s">
        <v>386</v>
      </c>
      <c r="D49" s="389"/>
      <c r="E49" s="422" t="s">
        <v>322</v>
      </c>
      <c r="G49" s="422" t="s">
        <v>388</v>
      </c>
      <c r="I49" t="s">
        <v>120</v>
      </c>
      <c r="J49">
        <v>1</v>
      </c>
    </row>
    <row r="50" spans="1:10" ht="15.6" thickBot="1">
      <c r="A50" s="384">
        <v>9</v>
      </c>
      <c r="B50" s="420"/>
      <c r="C50" s="384" t="s">
        <v>389</v>
      </c>
      <c r="D50" s="389"/>
      <c r="E50" s="426" t="s">
        <v>327</v>
      </c>
      <c r="G50" s="430" t="s">
        <v>390</v>
      </c>
      <c r="I50" t="s">
        <v>81</v>
      </c>
      <c r="J50">
        <v>1</v>
      </c>
    </row>
    <row r="51" spans="1:10" ht="15.6" thickBot="1">
      <c r="A51" s="384">
        <v>9</v>
      </c>
      <c r="B51" s="420"/>
      <c r="C51" s="384" t="s">
        <v>389</v>
      </c>
      <c r="D51" s="389"/>
      <c r="E51" s="426" t="s">
        <v>326</v>
      </c>
      <c r="G51" s="430" t="s">
        <v>391</v>
      </c>
      <c r="I51" t="s">
        <v>120</v>
      </c>
      <c r="J51">
        <v>1</v>
      </c>
    </row>
    <row r="52" spans="1:10" ht="15.6" thickBot="1">
      <c r="A52" s="384">
        <v>9</v>
      </c>
      <c r="B52" s="420"/>
      <c r="C52" s="384" t="s">
        <v>389</v>
      </c>
      <c r="D52" s="389"/>
      <c r="E52" s="426" t="s">
        <v>325</v>
      </c>
      <c r="G52" s="426" t="s">
        <v>392</v>
      </c>
      <c r="I52" t="s">
        <v>81</v>
      </c>
      <c r="J52">
        <v>1</v>
      </c>
    </row>
    <row r="53" spans="1:10" ht="15.6" thickBot="1">
      <c r="A53" s="384">
        <v>9</v>
      </c>
      <c r="B53" s="420"/>
      <c r="C53" s="384" t="s">
        <v>389</v>
      </c>
      <c r="D53" s="389"/>
      <c r="E53" s="426" t="s">
        <v>324</v>
      </c>
      <c r="G53" s="426" t="s">
        <v>324</v>
      </c>
      <c r="I53" t="s">
        <v>100</v>
      </c>
      <c r="J53">
        <v>1</v>
      </c>
    </row>
    <row r="54" spans="1:10" ht="15.6" thickBot="1">
      <c r="A54" s="384">
        <v>8</v>
      </c>
      <c r="B54" s="420"/>
      <c r="C54" s="384" t="s">
        <v>393</v>
      </c>
      <c r="D54" s="389"/>
      <c r="E54" s="422" t="s">
        <v>335</v>
      </c>
      <c r="G54" s="422" t="s">
        <v>335</v>
      </c>
      <c r="I54" t="s">
        <v>100</v>
      </c>
      <c r="J54">
        <v>1</v>
      </c>
    </row>
    <row r="55" spans="1:10" ht="15.6" thickBot="1">
      <c r="A55" s="384">
        <v>8</v>
      </c>
      <c r="B55" s="420"/>
      <c r="C55" s="384" t="s">
        <v>393</v>
      </c>
      <c r="D55" s="389"/>
      <c r="E55" s="422" t="s">
        <v>334</v>
      </c>
      <c r="G55" s="422" t="s">
        <v>334</v>
      </c>
      <c r="I55" t="s">
        <v>81</v>
      </c>
      <c r="J55">
        <v>1</v>
      </c>
    </row>
    <row r="56" spans="1:10" ht="15.6" thickBot="1">
      <c r="A56" s="384">
        <v>8</v>
      </c>
      <c r="B56" s="420"/>
      <c r="C56" s="384" t="s">
        <v>393</v>
      </c>
      <c r="D56" s="389"/>
      <c r="E56" s="422" t="s">
        <v>329</v>
      </c>
      <c r="G56" s="422" t="s">
        <v>329</v>
      </c>
      <c r="I56" t="s">
        <v>81</v>
      </c>
      <c r="J56">
        <v>1</v>
      </c>
    </row>
    <row r="57" spans="1:10" ht="15.6" thickBot="1">
      <c r="A57" s="384">
        <v>8</v>
      </c>
      <c r="B57" s="420"/>
      <c r="C57" s="384" t="s">
        <v>393</v>
      </c>
      <c r="D57" s="389"/>
      <c r="E57" s="422" t="s">
        <v>330</v>
      </c>
      <c r="G57" s="422" t="s">
        <v>330</v>
      </c>
      <c r="I57" t="s">
        <v>81</v>
      </c>
      <c r="J57">
        <v>1</v>
      </c>
    </row>
    <row r="58" spans="1:10" ht="15.6" thickBot="1">
      <c r="A58" s="384">
        <v>8</v>
      </c>
      <c r="B58" s="420"/>
      <c r="C58" s="384" t="s">
        <v>393</v>
      </c>
      <c r="D58" s="389"/>
      <c r="E58" s="422" t="s">
        <v>333</v>
      </c>
      <c r="G58" s="422" t="s">
        <v>333</v>
      </c>
      <c r="I58" t="s">
        <v>81</v>
      </c>
      <c r="J58">
        <v>1</v>
      </c>
    </row>
    <row r="59" spans="1:10" ht="15.6" thickBot="1">
      <c r="A59" s="384">
        <v>8</v>
      </c>
      <c r="B59" s="420"/>
      <c r="C59" s="384" t="s">
        <v>393</v>
      </c>
      <c r="D59" s="389"/>
      <c r="E59" s="422" t="s">
        <v>394</v>
      </c>
      <c r="G59" s="422" t="s">
        <v>394</v>
      </c>
      <c r="I59" t="s">
        <v>81</v>
      </c>
      <c r="J59">
        <v>1</v>
      </c>
    </row>
    <row r="60" spans="1:10" ht="15.6" thickBot="1">
      <c r="A60" s="384">
        <v>8</v>
      </c>
      <c r="B60" s="420"/>
      <c r="C60" s="384" t="s">
        <v>393</v>
      </c>
      <c r="D60" s="389"/>
      <c r="E60" s="422" t="s">
        <v>328</v>
      </c>
      <c r="G60" s="422" t="s">
        <v>328</v>
      </c>
      <c r="I60" t="s">
        <v>81</v>
      </c>
      <c r="J60">
        <v>1</v>
      </c>
    </row>
    <row r="61" spans="1:10" ht="15.6" thickBot="1">
      <c r="A61" s="384">
        <v>8</v>
      </c>
      <c r="B61" s="420"/>
      <c r="C61" s="384" t="s">
        <v>393</v>
      </c>
      <c r="D61" s="389"/>
      <c r="E61" s="422" t="s">
        <v>331</v>
      </c>
      <c r="G61" s="422" t="s">
        <v>331</v>
      </c>
      <c r="I61" t="s">
        <v>81</v>
      </c>
      <c r="J61">
        <v>1</v>
      </c>
    </row>
    <row r="62" spans="1:10" ht="15.6" thickBot="1">
      <c r="A62" s="384">
        <v>7</v>
      </c>
      <c r="B62" s="420"/>
      <c r="C62" s="384" t="s">
        <v>395</v>
      </c>
      <c r="D62" s="389"/>
      <c r="E62" s="426" t="s">
        <v>349</v>
      </c>
      <c r="G62" s="426" t="s">
        <v>349</v>
      </c>
      <c r="I62" t="s">
        <v>81</v>
      </c>
      <c r="J62">
        <v>1</v>
      </c>
    </row>
    <row r="63" spans="1:10" ht="15.6" thickBot="1">
      <c r="A63" s="384">
        <v>7</v>
      </c>
      <c r="B63" s="420"/>
      <c r="C63" s="384" t="s">
        <v>395</v>
      </c>
      <c r="D63" s="389"/>
      <c r="E63" s="426" t="s">
        <v>347</v>
      </c>
      <c r="G63" s="426" t="s">
        <v>347</v>
      </c>
      <c r="I63" t="s">
        <v>81</v>
      </c>
      <c r="J63">
        <v>1</v>
      </c>
    </row>
    <row r="64" spans="1:10" ht="15.6" thickBot="1">
      <c r="A64" s="384">
        <v>7</v>
      </c>
      <c r="B64" s="420"/>
      <c r="C64" s="384" t="s">
        <v>395</v>
      </c>
      <c r="D64" s="389"/>
      <c r="E64" s="426" t="s">
        <v>348</v>
      </c>
      <c r="G64" s="426" t="s">
        <v>348</v>
      </c>
      <c r="I64" t="s">
        <v>81</v>
      </c>
      <c r="J64">
        <v>1</v>
      </c>
    </row>
    <row r="65" spans="1:10" ht="15.6" thickBot="1">
      <c r="A65" s="384">
        <v>7</v>
      </c>
      <c r="B65" s="420"/>
      <c r="C65" s="384" t="s">
        <v>395</v>
      </c>
      <c r="D65" s="389"/>
      <c r="E65" s="426" t="s">
        <v>339</v>
      </c>
      <c r="G65" s="426" t="s">
        <v>339</v>
      </c>
      <c r="I65" t="s">
        <v>81</v>
      </c>
      <c r="J65">
        <v>1</v>
      </c>
    </row>
    <row r="66" spans="1:10" ht="15.6" thickBot="1">
      <c r="A66" s="384">
        <v>7</v>
      </c>
      <c r="B66" s="420"/>
      <c r="C66" s="384" t="s">
        <v>395</v>
      </c>
      <c r="D66" s="389"/>
      <c r="E66" s="426" t="s">
        <v>338</v>
      </c>
      <c r="G66" s="426" t="s">
        <v>338</v>
      </c>
      <c r="I66" t="s">
        <v>81</v>
      </c>
      <c r="J66">
        <v>1</v>
      </c>
    </row>
    <row r="67" spans="1:10" ht="15.6" thickBot="1">
      <c r="A67" s="384">
        <v>7</v>
      </c>
      <c r="B67" s="420"/>
      <c r="C67" s="384" t="s">
        <v>395</v>
      </c>
      <c r="D67" s="389"/>
      <c r="E67" s="426" t="s">
        <v>346</v>
      </c>
      <c r="G67" s="426" t="s">
        <v>346</v>
      </c>
      <c r="I67" t="s">
        <v>81</v>
      </c>
      <c r="J67">
        <v>1</v>
      </c>
    </row>
    <row r="68" spans="1:10" ht="15.6" thickBot="1">
      <c r="A68" s="384">
        <v>7</v>
      </c>
      <c r="B68" s="420"/>
      <c r="C68" s="384" t="s">
        <v>395</v>
      </c>
      <c r="D68" s="389"/>
      <c r="E68" s="426" t="s">
        <v>345</v>
      </c>
      <c r="G68" s="426" t="s">
        <v>345</v>
      </c>
      <c r="I68" t="s">
        <v>81</v>
      </c>
      <c r="J68">
        <v>1</v>
      </c>
    </row>
    <row r="69" spans="1:10" ht="15.6" thickBot="1">
      <c r="A69" s="384">
        <v>7</v>
      </c>
      <c r="B69" s="420"/>
      <c r="C69" s="384" t="s">
        <v>395</v>
      </c>
      <c r="D69" s="389"/>
      <c r="E69" s="426" t="s">
        <v>336</v>
      </c>
      <c r="G69" s="426" t="s">
        <v>336</v>
      </c>
      <c r="I69" t="s">
        <v>81</v>
      </c>
      <c r="J69">
        <v>1</v>
      </c>
    </row>
    <row r="70" spans="1:10" ht="15.6" thickBot="1">
      <c r="A70" s="384">
        <v>7</v>
      </c>
      <c r="B70" s="420"/>
      <c r="C70" s="384" t="s">
        <v>395</v>
      </c>
      <c r="D70" s="389"/>
      <c r="E70" s="426" t="s">
        <v>344</v>
      </c>
      <c r="G70" s="427" t="s">
        <v>396</v>
      </c>
      <c r="I70" t="s">
        <v>81</v>
      </c>
      <c r="J70">
        <v>1</v>
      </c>
    </row>
    <row r="71" spans="1:10" ht="15.6" thickBot="1">
      <c r="A71" s="384">
        <v>7</v>
      </c>
      <c r="B71" s="420"/>
      <c r="C71" s="384" t="s">
        <v>395</v>
      </c>
      <c r="D71" s="389"/>
      <c r="E71" s="426" t="s">
        <v>343</v>
      </c>
      <c r="G71" s="426" t="s">
        <v>343</v>
      </c>
      <c r="I71" t="s">
        <v>81</v>
      </c>
      <c r="J71">
        <v>1</v>
      </c>
    </row>
    <row r="72" spans="1:10" ht="15.6" thickBot="1">
      <c r="A72" s="384">
        <v>7</v>
      </c>
      <c r="B72" s="420"/>
      <c r="C72" s="384" t="s">
        <v>395</v>
      </c>
      <c r="D72" s="389"/>
      <c r="E72" s="426" t="s">
        <v>342</v>
      </c>
      <c r="G72" s="427" t="s">
        <v>397</v>
      </c>
      <c r="I72" t="s">
        <v>81</v>
      </c>
      <c r="J72">
        <v>1</v>
      </c>
    </row>
    <row r="73" spans="1:10" ht="15.6" thickBot="1">
      <c r="A73" s="384">
        <v>7</v>
      </c>
      <c r="B73" s="420"/>
      <c r="C73" s="384" t="s">
        <v>395</v>
      </c>
      <c r="D73" s="389"/>
      <c r="E73" s="426" t="s">
        <v>340</v>
      </c>
      <c r="G73" s="426" t="s">
        <v>340</v>
      </c>
      <c r="I73" t="s">
        <v>81</v>
      </c>
      <c r="J73">
        <v>1</v>
      </c>
    </row>
    <row r="74" spans="1:10" ht="15.6" thickBot="1">
      <c r="A74" s="384">
        <v>7</v>
      </c>
      <c r="B74" s="420"/>
      <c r="C74" s="384" t="s">
        <v>395</v>
      </c>
      <c r="D74" s="389"/>
      <c r="E74" s="426" t="s">
        <v>341</v>
      </c>
      <c r="G74" s="426" t="s">
        <v>341</v>
      </c>
      <c r="I74" t="s">
        <v>81</v>
      </c>
      <c r="J74">
        <v>1</v>
      </c>
    </row>
    <row r="75" spans="1:10" ht="15.6" thickBot="1">
      <c r="A75" s="384">
        <v>7</v>
      </c>
      <c r="B75" s="420"/>
      <c r="C75" s="384" t="s">
        <v>395</v>
      </c>
      <c r="D75" s="389"/>
      <c r="E75" s="426" t="s">
        <v>337</v>
      </c>
      <c r="G75" s="426" t="s">
        <v>337</v>
      </c>
      <c r="I75" t="s">
        <v>81</v>
      </c>
      <c r="J75">
        <v>1</v>
      </c>
    </row>
    <row r="76" spans="1:10" ht="15.6" thickBot="1">
      <c r="A76" s="384">
        <v>6</v>
      </c>
      <c r="B76" s="420"/>
      <c r="C76" s="384" t="s">
        <v>395</v>
      </c>
      <c r="D76" s="389"/>
      <c r="E76" s="422" t="s">
        <v>353</v>
      </c>
      <c r="G76" s="422" t="s">
        <v>353</v>
      </c>
      <c r="I76" t="s">
        <v>81</v>
      </c>
      <c r="J76">
        <v>1</v>
      </c>
    </row>
    <row r="77" spans="1:10" ht="15.6" thickBot="1">
      <c r="A77" s="384">
        <v>6</v>
      </c>
      <c r="B77" s="420"/>
      <c r="C77" s="384" t="s">
        <v>395</v>
      </c>
      <c r="D77" s="389"/>
      <c r="E77" s="422" t="s">
        <v>352</v>
      </c>
      <c r="G77" s="423" t="s">
        <v>398</v>
      </c>
      <c r="I77" t="s">
        <v>81</v>
      </c>
      <c r="J77">
        <v>1</v>
      </c>
    </row>
    <row r="78" spans="1:10" ht="30.6" thickBot="1">
      <c r="A78" s="384">
        <v>6</v>
      </c>
      <c r="B78" s="420"/>
      <c r="C78" s="384" t="s">
        <v>395</v>
      </c>
      <c r="D78" s="389"/>
      <c r="E78" s="422" t="s">
        <v>351</v>
      </c>
      <c r="G78" s="423" t="s">
        <v>399</v>
      </c>
      <c r="I78" t="s">
        <v>81</v>
      </c>
      <c r="J78">
        <v>1</v>
      </c>
    </row>
    <row r="79" spans="1:10" ht="15.6" thickBot="1">
      <c r="A79" s="384">
        <v>6</v>
      </c>
      <c r="B79" s="420"/>
      <c r="C79" s="384" t="s">
        <v>395</v>
      </c>
      <c r="D79" s="389"/>
      <c r="E79" s="422" t="s">
        <v>350</v>
      </c>
      <c r="G79" s="423" t="s">
        <v>400</v>
      </c>
      <c r="I79" t="s">
        <v>81</v>
      </c>
      <c r="J79">
        <v>1</v>
      </c>
    </row>
    <row r="80" spans="1:10" ht="15.6" thickBot="1">
      <c r="A80" s="384">
        <v>5</v>
      </c>
      <c r="B80" s="420"/>
      <c r="C80" s="384" t="s">
        <v>401</v>
      </c>
      <c r="D80" s="389"/>
      <c r="E80" s="426" t="s">
        <v>354</v>
      </c>
      <c r="G80" s="426" t="s">
        <v>354</v>
      </c>
      <c r="I80" t="s">
        <v>81</v>
      </c>
      <c r="J80">
        <v>1</v>
      </c>
    </row>
    <row r="81" spans="1:10" ht="15.6" thickBot="1">
      <c r="A81" s="384">
        <v>4</v>
      </c>
      <c r="B81" s="420"/>
      <c r="C81" s="384" t="s">
        <v>402</v>
      </c>
      <c r="D81" s="389"/>
      <c r="E81" s="422" t="s">
        <v>356</v>
      </c>
      <c r="G81" s="422" t="s">
        <v>356</v>
      </c>
      <c r="I81" t="s">
        <v>81</v>
      </c>
      <c r="J81">
        <v>1</v>
      </c>
    </row>
    <row r="82" spans="1:10" ht="15.6" thickBot="1">
      <c r="A82" s="384">
        <v>4</v>
      </c>
      <c r="B82" s="420"/>
      <c r="C82" s="384" t="s">
        <v>402</v>
      </c>
      <c r="D82" s="389"/>
      <c r="E82" s="422" t="s">
        <v>355</v>
      </c>
      <c r="G82" s="422" t="s">
        <v>355</v>
      </c>
      <c r="I82" t="s">
        <v>81</v>
      </c>
      <c r="J82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76BED-7BEF-4DF7-A12C-F89B455BCE49}">
  <sheetPr codeName="Hoja5"/>
  <dimension ref="A3:B34"/>
  <sheetViews>
    <sheetView workbookViewId="0"/>
  </sheetViews>
  <sheetFormatPr baseColWidth="10" defaultColWidth="11.44140625" defaultRowHeight="14.4"/>
  <cols>
    <col min="1" max="1" width="11.5546875" bestFit="1" customWidth="1"/>
    <col min="2" max="2" width="14.88671875" bestFit="1" customWidth="1"/>
    <col min="3" max="3" width="18.44140625" customWidth="1"/>
  </cols>
  <sheetData>
    <row r="3" spans="1:2">
      <c r="A3" s="364" t="s">
        <v>12</v>
      </c>
      <c r="B3" s="364" t="s">
        <v>259</v>
      </c>
    </row>
    <row r="4" spans="1:2">
      <c r="A4">
        <v>20</v>
      </c>
      <c r="B4" t="s">
        <v>273</v>
      </c>
    </row>
    <row r="5" spans="1:2">
      <c r="A5">
        <v>18</v>
      </c>
      <c r="B5" t="s">
        <v>273</v>
      </c>
    </row>
    <row r="6" spans="1:2">
      <c r="A6">
        <v>16</v>
      </c>
      <c r="B6" t="s">
        <v>277</v>
      </c>
    </row>
    <row r="7" spans="1:2">
      <c r="A7">
        <v>15</v>
      </c>
      <c r="B7" t="s">
        <v>277</v>
      </c>
    </row>
    <row r="8" spans="1:2">
      <c r="B8" t="s">
        <v>273</v>
      </c>
    </row>
    <row r="9" spans="1:2">
      <c r="A9">
        <v>14</v>
      </c>
      <c r="B9" t="s">
        <v>277</v>
      </c>
    </row>
    <row r="10" spans="1:2">
      <c r="B10" t="s">
        <v>290</v>
      </c>
    </row>
    <row r="11" spans="1:2">
      <c r="B11" t="s">
        <v>273</v>
      </c>
    </row>
    <row r="12" spans="1:2">
      <c r="A12">
        <v>13</v>
      </c>
      <c r="B12" t="s">
        <v>277</v>
      </c>
    </row>
    <row r="13" spans="1:2">
      <c r="B13" t="s">
        <v>273</v>
      </c>
    </row>
    <row r="14" spans="1:2">
      <c r="B14" t="s">
        <v>295</v>
      </c>
    </row>
    <row r="15" spans="1:2">
      <c r="A15">
        <v>12</v>
      </c>
      <c r="B15" t="s">
        <v>277</v>
      </c>
    </row>
    <row r="16" spans="1:2">
      <c r="B16" t="s">
        <v>290</v>
      </c>
    </row>
    <row r="17" spans="1:2">
      <c r="B17" t="s">
        <v>273</v>
      </c>
    </row>
    <row r="18" spans="1:2">
      <c r="B18" t="s">
        <v>295</v>
      </c>
    </row>
    <row r="19" spans="1:2">
      <c r="A19">
        <v>11</v>
      </c>
      <c r="B19" t="s">
        <v>290</v>
      </c>
    </row>
    <row r="20" spans="1:2">
      <c r="B20" t="s">
        <v>273</v>
      </c>
    </row>
    <row r="21" spans="1:2">
      <c r="B21" t="s">
        <v>295</v>
      </c>
    </row>
    <row r="22" spans="1:2">
      <c r="A22">
        <v>10</v>
      </c>
      <c r="B22" t="s">
        <v>277</v>
      </c>
    </row>
    <row r="23" spans="1:2">
      <c r="B23" t="s">
        <v>295</v>
      </c>
    </row>
    <row r="24" spans="1:2">
      <c r="A24">
        <v>9</v>
      </c>
      <c r="B24" t="s">
        <v>290</v>
      </c>
    </row>
    <row r="25" spans="1:2">
      <c r="B25" t="s">
        <v>273</v>
      </c>
    </row>
    <row r="26" spans="1:2">
      <c r="A26">
        <v>8</v>
      </c>
      <c r="B26" t="s">
        <v>290</v>
      </c>
    </row>
    <row r="27" spans="1:2">
      <c r="B27" t="s">
        <v>295</v>
      </c>
    </row>
    <row r="28" spans="1:2">
      <c r="A28">
        <v>7</v>
      </c>
      <c r="B28" t="s">
        <v>290</v>
      </c>
    </row>
    <row r="29" spans="1:2">
      <c r="B29" t="s">
        <v>295</v>
      </c>
    </row>
    <row r="30" spans="1:2">
      <c r="A30">
        <v>6</v>
      </c>
      <c r="B30" t="s">
        <v>290</v>
      </c>
    </row>
    <row r="31" spans="1:2">
      <c r="B31" t="s">
        <v>295</v>
      </c>
    </row>
    <row r="32" spans="1:2">
      <c r="A32">
        <v>5</v>
      </c>
      <c r="B32" t="s">
        <v>290</v>
      </c>
    </row>
    <row r="33" spans="1:2">
      <c r="A33">
        <v>4</v>
      </c>
      <c r="B33" t="s">
        <v>290</v>
      </c>
    </row>
    <row r="34" spans="1:2">
      <c r="A34" t="s">
        <v>403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">
    <outlinePr summaryRight="0"/>
  </sheetPr>
  <dimension ref="A1:EX160"/>
  <sheetViews>
    <sheetView showGridLines="0" topLeftCell="I1" zoomScale="85" zoomScaleNormal="85" workbookViewId="0">
      <selection activeCell="R156" sqref="R156"/>
    </sheetView>
  </sheetViews>
  <sheetFormatPr baseColWidth="10" defaultColWidth="0" defaultRowHeight="13.2" outlineLevelCol="2"/>
  <cols>
    <col min="1" max="1" width="1.5546875" style="22" customWidth="1"/>
    <col min="2" max="2" width="9.5546875" style="21" customWidth="1"/>
    <col min="3" max="3" width="15.5546875" style="21" customWidth="1"/>
    <col min="4" max="4" width="37.5546875" style="22" customWidth="1"/>
    <col min="5" max="6" width="13.5546875" style="22" customWidth="1"/>
    <col min="7" max="7" width="37.5546875" style="22" customWidth="1"/>
    <col min="8" max="8" width="15.44140625" style="22" customWidth="1"/>
    <col min="9" max="9" width="37.5546875" style="22" customWidth="1"/>
    <col min="10" max="12" width="27.5546875" style="22" customWidth="1"/>
    <col min="13" max="14" width="18.44140625" style="22" customWidth="1"/>
    <col min="15" max="16" width="18.44140625" style="23" customWidth="1" outlineLevel="1"/>
    <col min="17" max="18" width="9.5546875" style="23" customWidth="1" outlineLevel="1"/>
    <col min="19" max="20" width="16" style="23" customWidth="1" outlineLevel="1"/>
    <col min="21" max="21" width="9.5546875" style="23" customWidth="1" outlineLevel="1"/>
    <col min="22" max="28" width="13" style="23" customWidth="1" outlineLevel="1"/>
    <col min="29" max="29" width="13" style="23" customWidth="1"/>
    <col min="30" max="32" width="9.5546875" style="23" customWidth="1"/>
    <col min="33" max="35" width="13" style="23" customWidth="1"/>
    <col min="36" max="45" width="13" style="22" customWidth="1"/>
    <col min="46" max="47" width="15.44140625" style="22" customWidth="1"/>
    <col min="48" max="48" width="14.6640625" style="22" bestFit="1" customWidth="1"/>
    <col min="49" max="62" width="13" style="22" customWidth="1"/>
    <col min="63" max="64" width="9.5546875" style="22" customWidth="1"/>
    <col min="65" max="65" width="13" style="23" customWidth="1"/>
    <col min="66" max="66" width="9.5546875" style="23" customWidth="1"/>
    <col min="67" max="67" width="13" style="22" customWidth="1"/>
    <col min="68" max="68" width="9.5546875" style="23" customWidth="1"/>
    <col min="69" max="69" width="13" style="23" customWidth="1"/>
    <col min="70" max="70" width="9.5546875" style="23" customWidth="1"/>
    <col min="71" max="71" width="13" style="23" customWidth="1"/>
    <col min="72" max="72" width="9.5546875" style="23" customWidth="1"/>
    <col min="73" max="73" width="13" style="23" customWidth="1"/>
    <col min="74" max="74" width="9.5546875" style="23" customWidth="1"/>
    <col min="75" max="75" width="13" style="23" customWidth="1" outlineLevel="2"/>
    <col min="76" max="76" width="9.5546875" style="23" customWidth="1" outlineLevel="2"/>
    <col min="77" max="77" width="13" style="23" customWidth="1" outlineLevel="2"/>
    <col min="78" max="78" width="9.5546875" style="23" customWidth="1" outlineLevel="2"/>
    <col min="79" max="79" width="13" style="23" customWidth="1" outlineLevel="2"/>
    <col min="80" max="80" width="9.5546875" style="23" customWidth="1" outlineLevel="2"/>
    <col min="81" max="81" width="13" style="23" customWidth="1" outlineLevel="1"/>
    <col min="82" max="82" width="9.5546875" style="23" customWidth="1" outlineLevel="1"/>
    <col min="83" max="83" width="15.33203125" style="23" bestFit="1" customWidth="1" outlineLevel="1"/>
    <col min="84" max="84" width="9.5546875" style="23" customWidth="1" outlineLevel="1"/>
    <col min="85" max="85" width="13" style="23" customWidth="1" outlineLevel="1"/>
    <col min="86" max="86" width="9.5546875" style="23" customWidth="1" outlineLevel="1"/>
    <col min="87" max="87" width="13" style="23" customWidth="1" outlineLevel="1"/>
    <col min="88" max="88" width="9.5546875" style="23" customWidth="1" outlineLevel="1"/>
    <col min="89" max="89" width="13" style="23" customWidth="1" outlineLevel="1"/>
    <col min="90" max="90" width="9.5546875" style="23" customWidth="1" outlineLevel="1"/>
    <col min="91" max="92" width="13" style="23" customWidth="1" outlineLevel="1"/>
    <col min="93" max="93" width="9.5546875" style="23" customWidth="1" outlineLevel="1"/>
    <col min="94" max="95" width="13" style="23" customWidth="1" outlineLevel="1"/>
    <col min="96" max="99" width="13" style="23" customWidth="1"/>
    <col min="100" max="100" width="9.5546875" style="23" customWidth="1"/>
    <col min="101" max="101" width="13" style="23" customWidth="1"/>
    <col min="102" max="102" width="9.5546875" style="23" customWidth="1"/>
    <col min="103" max="103" width="13" style="23" customWidth="1"/>
    <col min="104" max="104" width="9.5546875" style="23" customWidth="1"/>
    <col min="105" max="105" width="13" style="23" customWidth="1"/>
    <col min="106" max="106" width="15.44140625" style="23" customWidth="1"/>
    <col min="107" max="108" width="13" style="23" customWidth="1"/>
    <col min="109" max="122" width="13" style="23" customWidth="1" outlineLevel="1"/>
    <col min="123" max="125" width="13" style="23" customWidth="1"/>
    <col min="126" max="126" width="13" style="22" customWidth="1"/>
    <col min="127" max="134" width="13" style="23" customWidth="1"/>
    <col min="135" max="135" width="13.5546875" style="22" customWidth="1"/>
    <col min="136" max="136" width="2.5546875" style="22" customWidth="1"/>
    <col min="137" max="154" width="0" style="22" hidden="1" customWidth="1"/>
    <col min="155" max="16384" width="18.44140625" style="22" hidden="1"/>
  </cols>
  <sheetData>
    <row r="1" spans="2:135" ht="15" customHeight="1"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O1" s="23"/>
      <c r="DS1" s="22"/>
      <c r="DT1" s="22"/>
      <c r="DV1" s="23"/>
    </row>
    <row r="2" spans="2:135">
      <c r="AJ2" s="23"/>
      <c r="AK2" s="23"/>
      <c r="AL2" s="23"/>
      <c r="AM2" s="23"/>
      <c r="AN2" s="23"/>
      <c r="AO2" s="23"/>
      <c r="AP2" s="23"/>
      <c r="AQ2" s="23"/>
      <c r="BK2" s="23"/>
      <c r="BL2" s="23"/>
      <c r="BO2" s="23"/>
      <c r="DS2" s="22"/>
      <c r="DT2" s="22"/>
      <c r="DV2" s="23"/>
    </row>
    <row r="3" spans="2:135">
      <c r="AJ3" s="23"/>
      <c r="AK3" s="23"/>
      <c r="AL3" s="23"/>
      <c r="AM3" s="23"/>
      <c r="AN3" s="23"/>
      <c r="AO3" s="23"/>
      <c r="AP3" s="23"/>
      <c r="AQ3" s="23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3"/>
      <c r="BL3" s="23"/>
      <c r="BO3" s="23"/>
      <c r="CU3" s="25"/>
      <c r="CV3" s="25"/>
      <c r="CW3" s="25"/>
      <c r="CX3" s="25"/>
      <c r="DR3" s="22"/>
      <c r="DS3" s="22"/>
      <c r="DV3" s="23"/>
    </row>
    <row r="4" spans="2:135">
      <c r="AJ4" s="23"/>
      <c r="AK4" s="23"/>
      <c r="AL4" s="23"/>
      <c r="AM4" s="23"/>
      <c r="AN4" s="23"/>
      <c r="AO4" s="23"/>
      <c r="AP4" s="23"/>
      <c r="AQ4" s="23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3"/>
      <c r="BL4" s="23"/>
      <c r="BO4" s="23"/>
      <c r="CU4" s="25"/>
      <c r="CV4" s="25"/>
      <c r="CW4" s="25"/>
      <c r="CX4" s="26"/>
      <c r="DR4" s="22"/>
      <c r="DS4" s="22"/>
      <c r="DV4" s="23"/>
    </row>
    <row r="5" spans="2:135" s="28" customFormat="1" ht="48">
      <c r="B5" s="27"/>
      <c r="C5" s="27"/>
      <c r="O5" s="557" t="s">
        <v>404</v>
      </c>
      <c r="P5" s="558"/>
      <c r="Q5" s="558"/>
      <c r="R5" s="558"/>
      <c r="S5" s="558"/>
      <c r="T5" s="558"/>
      <c r="U5" s="558"/>
      <c r="V5" s="558"/>
      <c r="W5" s="558"/>
      <c r="X5" s="558"/>
      <c r="Y5" s="558"/>
      <c r="Z5" s="558"/>
      <c r="AA5" s="558"/>
      <c r="AB5" s="558"/>
      <c r="AC5" s="558"/>
      <c r="AD5" s="569" t="s">
        <v>405</v>
      </c>
      <c r="AE5" s="570"/>
      <c r="AF5" s="570"/>
      <c r="AG5" s="570"/>
      <c r="AH5" s="570"/>
      <c r="AI5" s="571" t="s">
        <v>406</v>
      </c>
      <c r="AJ5" s="572"/>
      <c r="AK5" s="572"/>
      <c r="AL5" s="572"/>
      <c r="AM5" s="572"/>
      <c r="AN5" s="572"/>
      <c r="AO5" s="572"/>
      <c r="AP5" s="573"/>
      <c r="AQ5" s="342" t="s">
        <v>407</v>
      </c>
      <c r="AR5" s="344" t="s">
        <v>408</v>
      </c>
      <c r="AS5" s="574" t="s">
        <v>409</v>
      </c>
      <c r="AT5" s="575"/>
      <c r="AU5" s="341" t="s">
        <v>410</v>
      </c>
      <c r="AV5" s="344" t="s">
        <v>408</v>
      </c>
      <c r="AW5" s="341" t="s">
        <v>410</v>
      </c>
      <c r="AX5" s="344" t="s">
        <v>411</v>
      </c>
      <c r="AY5" s="341" t="s">
        <v>410</v>
      </c>
      <c r="AZ5" s="344" t="s">
        <v>411</v>
      </c>
      <c r="BA5" s="344" t="s">
        <v>411</v>
      </c>
      <c r="BB5" s="344" t="s">
        <v>411</v>
      </c>
      <c r="BC5" s="344" t="s">
        <v>411</v>
      </c>
      <c r="BD5" s="344" t="s">
        <v>411</v>
      </c>
      <c r="BE5" s="344" t="s">
        <v>411</v>
      </c>
      <c r="BF5" s="344" t="s">
        <v>411</v>
      </c>
      <c r="BG5" s="344" t="s">
        <v>411</v>
      </c>
      <c r="BH5" s="344" t="s">
        <v>411</v>
      </c>
      <c r="BI5" s="344" t="s">
        <v>411</v>
      </c>
      <c r="BJ5" s="344" t="s">
        <v>411</v>
      </c>
      <c r="BK5" s="579" t="s">
        <v>412</v>
      </c>
      <c r="BL5" s="580"/>
      <c r="BM5" s="563" t="s">
        <v>413</v>
      </c>
      <c r="BN5" s="564"/>
      <c r="BO5" s="564"/>
      <c r="BP5" s="564"/>
      <c r="BQ5" s="564"/>
      <c r="BR5" s="564"/>
      <c r="BS5" s="565" t="s">
        <v>414</v>
      </c>
      <c r="BT5" s="566"/>
      <c r="BU5" s="566"/>
      <c r="BV5" s="566"/>
      <c r="BW5" s="566"/>
      <c r="BX5" s="566"/>
      <c r="BY5" s="567" t="s">
        <v>415</v>
      </c>
      <c r="BZ5" s="567"/>
      <c r="CA5" s="567"/>
      <c r="CB5" s="567"/>
      <c r="CC5" s="567"/>
      <c r="CD5" s="567"/>
      <c r="CE5" s="483"/>
      <c r="CF5" s="483"/>
      <c r="CG5" s="568" t="s">
        <v>416</v>
      </c>
      <c r="CH5" s="568"/>
      <c r="CI5" s="568"/>
      <c r="CJ5" s="568"/>
      <c r="CK5" s="568"/>
      <c r="CL5" s="568"/>
      <c r="CM5" s="560" t="s">
        <v>417</v>
      </c>
      <c r="CN5" s="560"/>
      <c r="CO5" s="559"/>
      <c r="CP5" s="560"/>
      <c r="CQ5" s="559"/>
      <c r="CR5" s="559"/>
      <c r="CS5" s="559"/>
      <c r="CT5" s="559"/>
      <c r="CU5" s="559"/>
      <c r="CV5" s="559"/>
      <c r="CW5" s="559"/>
      <c r="CX5" s="559"/>
      <c r="CY5" s="559"/>
      <c r="CZ5" s="559"/>
      <c r="DA5" s="561" t="s">
        <v>418</v>
      </c>
      <c r="DB5" s="561"/>
      <c r="DC5" s="561"/>
      <c r="DD5" s="561"/>
      <c r="DE5" s="561"/>
      <c r="DF5" s="561"/>
      <c r="DG5" s="561"/>
      <c r="DH5" s="562" t="s">
        <v>419</v>
      </c>
      <c r="DI5" s="562"/>
      <c r="DJ5" s="562"/>
      <c r="DK5" s="562"/>
      <c r="DL5" s="562"/>
      <c r="DM5" s="562"/>
      <c r="DN5" s="562"/>
      <c r="DO5" s="109" t="s">
        <v>420</v>
      </c>
      <c r="DP5" s="576" t="s">
        <v>421</v>
      </c>
      <c r="DQ5" s="577"/>
      <c r="DR5" s="577"/>
      <c r="DS5" s="577"/>
      <c r="DT5" s="578"/>
      <c r="DU5" s="559" t="s">
        <v>422</v>
      </c>
      <c r="DV5" s="559"/>
      <c r="DW5" s="559"/>
      <c r="DX5" s="559"/>
      <c r="DY5" s="559"/>
      <c r="DZ5" s="559" t="s">
        <v>423</v>
      </c>
      <c r="EA5" s="559"/>
      <c r="EB5" s="559"/>
      <c r="EC5" s="559"/>
      <c r="ED5" s="559"/>
    </row>
    <row r="6" spans="2:135">
      <c r="AJ6" s="343">
        <v>0</v>
      </c>
      <c r="AK6" s="343"/>
      <c r="AL6" s="343">
        <v>0</v>
      </c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O6" s="23"/>
      <c r="CM6" s="168">
        <v>0.8</v>
      </c>
      <c r="CN6" s="168">
        <v>1</v>
      </c>
      <c r="CP6" s="168">
        <v>1.2</v>
      </c>
      <c r="CQ6" s="31">
        <v>0.8</v>
      </c>
      <c r="CR6" s="31">
        <v>1</v>
      </c>
      <c r="CT6" s="31">
        <v>1.2</v>
      </c>
      <c r="DS6" s="22"/>
      <c r="DT6" s="22"/>
      <c r="DV6" s="23"/>
    </row>
    <row r="7" spans="2:135" ht="42.75" customHeight="1">
      <c r="B7" s="93" t="s">
        <v>424</v>
      </c>
      <c r="C7" s="93" t="s">
        <v>425</v>
      </c>
      <c r="D7" s="94" t="s">
        <v>426</v>
      </c>
      <c r="E7" s="94" t="s">
        <v>427</v>
      </c>
      <c r="F7" s="94" t="s">
        <v>428</v>
      </c>
      <c r="G7" s="94" t="s">
        <v>429</v>
      </c>
      <c r="H7" s="94" t="s">
        <v>430</v>
      </c>
      <c r="I7" s="94" t="s">
        <v>258</v>
      </c>
      <c r="J7" s="94" t="s">
        <v>431</v>
      </c>
      <c r="K7" s="94" t="s">
        <v>432</v>
      </c>
      <c r="L7" s="94" t="s">
        <v>433</v>
      </c>
      <c r="M7" s="94" t="s">
        <v>434</v>
      </c>
      <c r="N7" s="94" t="s">
        <v>435</v>
      </c>
      <c r="O7" s="95" t="s">
        <v>436</v>
      </c>
      <c r="P7" s="95" t="s">
        <v>437</v>
      </c>
      <c r="Q7" s="95" t="s">
        <v>438</v>
      </c>
      <c r="R7" s="95" t="s">
        <v>12</v>
      </c>
      <c r="S7" s="95" t="s">
        <v>439</v>
      </c>
      <c r="T7" s="95" t="s">
        <v>259</v>
      </c>
      <c r="U7" s="95" t="s">
        <v>13</v>
      </c>
      <c r="V7" s="95" t="s">
        <v>19</v>
      </c>
      <c r="W7" s="95" t="s">
        <v>440</v>
      </c>
      <c r="X7" s="95" t="s">
        <v>441</v>
      </c>
      <c r="Y7" s="95" t="s">
        <v>442</v>
      </c>
      <c r="Z7" s="95" t="s">
        <v>443</v>
      </c>
      <c r="AA7" s="95" t="s">
        <v>18</v>
      </c>
      <c r="AB7" s="95" t="s">
        <v>20</v>
      </c>
      <c r="AC7" s="95" t="s">
        <v>22</v>
      </c>
      <c r="AD7" s="96" t="s">
        <v>444</v>
      </c>
      <c r="AE7" s="96" t="s">
        <v>445</v>
      </c>
      <c r="AF7" s="96" t="s">
        <v>446</v>
      </c>
      <c r="AG7" s="96" t="s">
        <v>447</v>
      </c>
      <c r="AH7" s="96" t="s">
        <v>448</v>
      </c>
      <c r="AI7" s="131" t="s">
        <v>449</v>
      </c>
      <c r="AJ7" s="131" t="s">
        <v>450</v>
      </c>
      <c r="AK7" s="131" t="s">
        <v>451</v>
      </c>
      <c r="AL7" s="131" t="s">
        <v>452</v>
      </c>
      <c r="AM7" s="131" t="s">
        <v>453</v>
      </c>
      <c r="AN7" s="131" t="s">
        <v>454</v>
      </c>
      <c r="AO7" s="131" t="s">
        <v>455</v>
      </c>
      <c r="AP7" s="131" t="s">
        <v>456</v>
      </c>
      <c r="AQ7" s="131" t="s">
        <v>407</v>
      </c>
      <c r="AR7" s="97" t="s">
        <v>457</v>
      </c>
      <c r="AS7" s="98" t="s">
        <v>458</v>
      </c>
      <c r="AT7" s="98" t="s">
        <v>459</v>
      </c>
      <c r="AU7" s="98" t="s">
        <v>460</v>
      </c>
      <c r="AV7" s="97" t="s">
        <v>461</v>
      </c>
      <c r="AW7" s="98" t="s">
        <v>462</v>
      </c>
      <c r="AX7" s="97" t="s">
        <v>463</v>
      </c>
      <c r="AY7" s="98" t="s">
        <v>464</v>
      </c>
      <c r="AZ7" s="97" t="s">
        <v>465</v>
      </c>
      <c r="BA7" s="97" t="s">
        <v>466</v>
      </c>
      <c r="BB7" s="97" t="s">
        <v>467</v>
      </c>
      <c r="BC7" s="97" t="s">
        <v>468</v>
      </c>
      <c r="BD7" s="97" t="s">
        <v>469</v>
      </c>
      <c r="BE7" s="97" t="s">
        <v>470</v>
      </c>
      <c r="BF7" s="97" t="s">
        <v>471</v>
      </c>
      <c r="BG7" s="97" t="s">
        <v>472</v>
      </c>
      <c r="BH7" s="97" t="s">
        <v>473</v>
      </c>
      <c r="BI7" s="97" t="s">
        <v>474</v>
      </c>
      <c r="BJ7" s="97" t="s">
        <v>475</v>
      </c>
      <c r="BK7" s="99" t="s">
        <v>476</v>
      </c>
      <c r="BL7" s="99" t="s">
        <v>477</v>
      </c>
      <c r="BM7" s="100" t="s">
        <v>24</v>
      </c>
      <c r="BN7" s="100" t="s">
        <v>478</v>
      </c>
      <c r="BO7" s="100" t="s">
        <v>26</v>
      </c>
      <c r="BP7" s="100" t="s">
        <v>479</v>
      </c>
      <c r="BQ7" s="100" t="s">
        <v>28</v>
      </c>
      <c r="BR7" s="100" t="s">
        <v>480</v>
      </c>
      <c r="BS7" s="101" t="s">
        <v>44</v>
      </c>
      <c r="BT7" s="101" t="s">
        <v>481</v>
      </c>
      <c r="BU7" s="101" t="s">
        <v>50</v>
      </c>
      <c r="BV7" s="101" t="s">
        <v>482</v>
      </c>
      <c r="BW7" s="101" t="s">
        <v>56</v>
      </c>
      <c r="BX7" s="101" t="s">
        <v>483</v>
      </c>
      <c r="BY7" s="102" t="s">
        <v>46</v>
      </c>
      <c r="BZ7" s="102" t="s">
        <v>484</v>
      </c>
      <c r="CA7" s="102" t="s">
        <v>52</v>
      </c>
      <c r="CB7" s="102" t="s">
        <v>485</v>
      </c>
      <c r="CC7" s="102" t="s">
        <v>58</v>
      </c>
      <c r="CD7" s="102" t="s">
        <v>486</v>
      </c>
      <c r="CE7" s="102" t="s">
        <v>894</v>
      </c>
      <c r="CF7" s="102" t="s">
        <v>895</v>
      </c>
      <c r="CG7" s="103" t="s">
        <v>48</v>
      </c>
      <c r="CH7" s="103" t="s">
        <v>487</v>
      </c>
      <c r="CI7" s="103" t="s">
        <v>54</v>
      </c>
      <c r="CJ7" s="103" t="s">
        <v>488</v>
      </c>
      <c r="CK7" s="103" t="s">
        <v>60</v>
      </c>
      <c r="CL7" s="103" t="s">
        <v>489</v>
      </c>
      <c r="CM7" s="166" t="s">
        <v>490</v>
      </c>
      <c r="CN7" s="167" t="s">
        <v>491</v>
      </c>
      <c r="CO7" s="104" t="s">
        <v>492</v>
      </c>
      <c r="CP7" s="166" t="s">
        <v>493</v>
      </c>
      <c r="CQ7" s="105" t="s">
        <v>494</v>
      </c>
      <c r="CR7" s="105" t="s">
        <v>495</v>
      </c>
      <c r="CS7" s="105" t="s">
        <v>496</v>
      </c>
      <c r="CT7" s="105" t="s">
        <v>497</v>
      </c>
      <c r="CU7" s="106" t="s">
        <v>32</v>
      </c>
      <c r="CV7" s="106" t="s">
        <v>498</v>
      </c>
      <c r="CW7" s="106" t="s">
        <v>34</v>
      </c>
      <c r="CX7" s="106" t="s">
        <v>499</v>
      </c>
      <c r="CY7" s="106" t="s">
        <v>500</v>
      </c>
      <c r="CZ7" s="106" t="s">
        <v>501</v>
      </c>
      <c r="DA7" s="107" t="s">
        <v>502</v>
      </c>
      <c r="DB7" s="107" t="s">
        <v>503</v>
      </c>
      <c r="DC7" s="107" t="s">
        <v>504</v>
      </c>
      <c r="DD7" s="107" t="s">
        <v>505</v>
      </c>
      <c r="DE7" s="107" t="s">
        <v>506</v>
      </c>
      <c r="DF7" s="107" t="s">
        <v>418</v>
      </c>
      <c r="DG7" s="107" t="s">
        <v>507</v>
      </c>
      <c r="DH7" s="108" t="s">
        <v>508</v>
      </c>
      <c r="DI7" s="108" t="s">
        <v>509</v>
      </c>
      <c r="DJ7" s="108" t="s">
        <v>510</v>
      </c>
      <c r="DK7" s="108" t="s">
        <v>511</v>
      </c>
      <c r="DL7" s="108" t="s">
        <v>512</v>
      </c>
      <c r="DM7" s="108" t="s">
        <v>419</v>
      </c>
      <c r="DN7" s="108" t="s">
        <v>513</v>
      </c>
      <c r="DO7" s="107" t="s">
        <v>514</v>
      </c>
      <c r="DP7" s="107" t="s">
        <v>515</v>
      </c>
      <c r="DQ7" s="107" t="s">
        <v>516</v>
      </c>
      <c r="DR7" s="107" t="s">
        <v>517</v>
      </c>
      <c r="DS7" s="107" t="s">
        <v>518</v>
      </c>
      <c r="DT7" s="107" t="s">
        <v>519</v>
      </c>
      <c r="DU7" s="106" t="s">
        <v>520</v>
      </c>
      <c r="DV7" s="106" t="s">
        <v>521</v>
      </c>
      <c r="DW7" s="106" t="s">
        <v>522</v>
      </c>
      <c r="DX7" s="106" t="s">
        <v>523</v>
      </c>
      <c r="DY7" s="106" t="s">
        <v>524</v>
      </c>
      <c r="DZ7" s="106" t="s">
        <v>525</v>
      </c>
      <c r="EA7" s="106" t="s">
        <v>526</v>
      </c>
      <c r="EB7" s="106" t="s">
        <v>527</v>
      </c>
      <c r="EC7" s="106" t="s">
        <v>528</v>
      </c>
      <c r="ED7" s="106" t="s">
        <v>529</v>
      </c>
      <c r="EE7" s="94" t="s">
        <v>530</v>
      </c>
    </row>
    <row r="8" spans="2:135">
      <c r="B8" s="132"/>
      <c r="C8" s="133"/>
      <c r="D8" s="134"/>
      <c r="E8" s="135"/>
      <c r="F8" s="135"/>
      <c r="G8" s="134" t="s">
        <v>355</v>
      </c>
      <c r="H8" s="137"/>
      <c r="I8" s="136" t="s">
        <v>355</v>
      </c>
      <c r="J8" s="129" t="str">
        <f>IFERROR(VLOOKUP(Datos_Origen[[#This Row],[Cargo Tipo Valorado]],Cargos_Catalogo[[#All],[Cargo]:[Área]],2,0),"")</f>
        <v>Coordinador CEDI</v>
      </c>
      <c r="K8" s="137"/>
      <c r="L8" s="137"/>
      <c r="M8" s="137"/>
      <c r="N8" s="137"/>
      <c r="O8" s="138">
        <f>Datos_Origen[[#This Row],[Segmentación Individual]]</f>
        <v>0</v>
      </c>
      <c r="P8" s="137"/>
      <c r="Q8" s="138">
        <f>VLOOKUP(Datos_Origen[[#This Row],[Cargo Tipo Valorado]],Cargos_Catalogo[#Data],MATCH(Cargos_Catalogo[[#Headers],[Puntos]],Cargos_Catalogo[#Headers],0),FALSE)</f>
        <v>138</v>
      </c>
      <c r="R8" s="129">
        <f>VLOOKUP(Datos_Origen[[#This Row],[Puntos valoración]],Categorias_Registro[#Data],MATCH(Categorias_Registro[[#Headers],[Categoria]],Categorias_Registro[#Headers],0),FALSE)</f>
        <v>4</v>
      </c>
      <c r="S8" s="129" t="str">
        <f>VLOOKUP(Datos_Origen[[#This Row],[Cargo Tipo Valorado]],Cargos_Catalogo[#Data],MATCH(Cargos_Catalogo[[#Headers],[Nivel SHR]],Cargos_Catalogo[#Headers],0),FALSE)</f>
        <v>Operativo</v>
      </c>
      <c r="T8" s="129" t="str">
        <f>VLOOKUP(Datos_Origen[[#This Row],[Cargo Tipo Valorado]],Cargos_Catalogo[#Data],MATCH(Cargos_Catalogo[[#Headers],[Criticidad]],Cargos_Catalogo[#Headers],0),FALSE)</f>
        <v>Relevante</v>
      </c>
      <c r="U8" s="138">
        <f>VLOOKUP(Datos_Origen[[#This Row],[Puntos valoración]],Categorias_Registro[#Data],5,FALSE)</f>
        <v>143</v>
      </c>
      <c r="V8" s="138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2295683.1700000004</v>
      </c>
      <c r="W8" s="138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8" s="138">
        <f>SUMIF($BA$5:$BJ$5,"NCS",Datos_Origen[[#This Row],[auxilio Gasolina]:[Otro Beneficio10]])+(SUMIF($BA$5:$BJ$5,"CS",Datos_Origen[[#This Row],[auxilio Gasolina]:[Otro Beneficio10]])*1.17667)</f>
        <v>0</v>
      </c>
      <c r="Y8" s="139">
        <f>Datos_Origen[[#This Row],[Básico]]+Datos_Origen[[#This Row],[Promedio de Comisiones  ]]</f>
        <v>1951000</v>
      </c>
      <c r="Z8" s="139">
        <f>Datos_Origen[[#This Row],[Básico]]+Datos_Origen[[#This Row],[Promedio de Comisiones  ]]</f>
        <v>1951000</v>
      </c>
      <c r="AA8" s="139">
        <f>Datos_Origen[[#This Row],[Garantizado]]</f>
        <v>2295683.1700000004</v>
      </c>
      <c r="AB8" s="139">
        <f>Datos_Origen[[#This Row],[Variable]]+Datos_Origen[[#This Row],[Garantizado]]</f>
        <v>2295683.1700000004</v>
      </c>
      <c r="AC8" s="139">
        <f>Datos_Origen[[#This Row],[Beneficios]]+Datos_Origen[[#This Row],[Variable]]+Datos_Origen[[#This Row],[Garantizado]]</f>
        <v>2295683.1700000004</v>
      </c>
      <c r="AD8" s="140">
        <v>14.12</v>
      </c>
      <c r="AE8" s="141">
        <v>230</v>
      </c>
      <c r="AF8" s="345">
        <v>5.2199999999999998E-3</v>
      </c>
      <c r="AG8" s="139">
        <f>Datos_Origen[[#This Row],[Básico Actual]]*230/Datos_Origen[[#This Row],['# horas mes]]</f>
        <v>1951000</v>
      </c>
      <c r="AH8" s="142">
        <v>1951000</v>
      </c>
      <c r="AI8" s="143"/>
      <c r="AJ8" s="143">
        <f>(((Datos_Origen[[#This Row],[Básico]])/30)*$AJ$6)/12</f>
        <v>0</v>
      </c>
      <c r="AK8" s="143"/>
      <c r="AL8" s="143">
        <f>((Datos_Origen[[#This Row],[Básico]])/30)*$AL$6/12</f>
        <v>0</v>
      </c>
      <c r="AM8" s="143"/>
      <c r="AN8" s="143"/>
      <c r="AO8" s="143"/>
      <c r="AP8" s="143"/>
      <c r="AQ8" s="143"/>
      <c r="AR8" s="133">
        <v>0</v>
      </c>
      <c r="AS8" s="133"/>
      <c r="AT8" s="144" t="str">
        <f>IFERROR(Datos_Origen[[#This Row],[Comisiones Target]]/Datos_Origen[[#This Row],[Promedio de Comisiones  ]],"")</f>
        <v/>
      </c>
      <c r="AU8" s="145"/>
      <c r="AV8" s="143">
        <v>0</v>
      </c>
      <c r="AW8" s="145"/>
      <c r="AX8" s="143">
        <f>Datos_Origen[[#This Row],[N Salarios de la Bonificación2]]*Datos_Origen[[#This Row],[Básico]]/12</f>
        <v>0</v>
      </c>
      <c r="AY8" s="145"/>
      <c r="AZ8" s="143"/>
      <c r="BA8" s="133">
        <v>0</v>
      </c>
      <c r="BB8" s="133"/>
      <c r="BC8" s="133"/>
      <c r="BD8" s="133"/>
      <c r="BE8" s="133"/>
      <c r="BF8" s="133"/>
      <c r="BG8" s="133"/>
      <c r="BH8" s="133"/>
      <c r="BI8" s="133"/>
      <c r="BJ8" s="133"/>
      <c r="BK8" s="144">
        <f>IFERROR(Datos_Origen[[#This Row],[Variable]]/Datos_Origen[[#This Row],[CT]],"")</f>
        <v>0</v>
      </c>
      <c r="BL8" s="144">
        <f>IFERROR(Datos_Origen[[#This Row],[Beneficios]]/Datos_Origen[[#This Row],[CT]],"")</f>
        <v>0</v>
      </c>
      <c r="BM8" s="139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2156310.991119599</v>
      </c>
      <c r="BN8" s="146">
        <f>Datos_Origen[[#This Row],[G]]/Datos_Origen[[#This Row],[Geq]]</f>
        <v>1.0646345445783945</v>
      </c>
      <c r="BO8" s="139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2347844.1606855756</v>
      </c>
      <c r="BP8" s="146">
        <f>Datos_Origen[[#This Row],[G+V]]/Datos_Origen[[#This Row],[G+Veq]]</f>
        <v>0.97778345276956369</v>
      </c>
      <c r="BQ8" s="139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2351305.3471424235</v>
      </c>
      <c r="BR8" s="146">
        <f>Datos_Origen[[#This Row],[CT]]/Datos_Origen[[#This Row],[CTeq]]</f>
        <v>0.97634412850290941</v>
      </c>
      <c r="BS8" s="139">
        <f>ROUNDUP(VLOOKUP(Datos_Origen[[#This Row],[Categoria]],Competitividad_1[#All],2,0)*IndiceIncrementoC,-3)</f>
        <v>2127000</v>
      </c>
      <c r="BT8" s="146">
        <f>Datos_Origen[[#This Row],[G]]/Datos_Origen[[#This Row],[GQ1]]</f>
        <v>1.0793056746591445</v>
      </c>
      <c r="BU8" s="139">
        <f>ROUNDUP(VLOOKUP(Datos_Origen[[#This Row],[Categoria]],Competitividad_1[#All],3,0)*IndiceIncrementoC,-3)</f>
        <v>2222000</v>
      </c>
      <c r="BV8" s="146">
        <f>Datos_Origen[[#This Row],[G+V]]/Datos_Origen[[#This Row],[G+VQ1]]</f>
        <v>1.0331607425742575</v>
      </c>
      <c r="BW8" s="139">
        <f>ROUNDUP(VLOOKUP(Datos_Origen[[#This Row],[Categoria]],Competitividad_1[#All],4,0)*IndiceIncrementoC,-3)</f>
        <v>2307000</v>
      </c>
      <c r="BX8" s="146">
        <f>Datos_Origen[[#This Row],[CT]]/Datos_Origen[[#This Row],[CTQ1]]</f>
        <v>0.99509456870394464</v>
      </c>
      <c r="BY8" s="139">
        <f>ROUNDUP(VLOOKUP(Datos_Origen[[#This Row],[Categoria]],Competitividad_1[#All],5,0)*IndiceIncrementoC,-3)</f>
        <v>2593000</v>
      </c>
      <c r="BZ8" s="146">
        <f>Datos_Origen[[#This Row],[G]]/Datos_Origen[[#This Row],[GMd]]</f>
        <v>0.88533866949479378</v>
      </c>
      <c r="CA8" s="139">
        <f>ROUNDUP(VLOOKUP(Datos_Origen[[#This Row],[Categoria]],Competitividad_1[#All],6,0)*IndiceIncrementoC,-3)</f>
        <v>2656000</v>
      </c>
      <c r="CB8" s="146">
        <f>Datos_Origen[[#This Row],[G+V]]/Datos_Origen[[#This Row],[G+VMd]]</f>
        <v>0.86433854292168688</v>
      </c>
      <c r="CC8" s="139">
        <f>ROUNDUP(VLOOKUP(Datos_Origen[[#This Row],[Categoria]],Competitividad_1[#All],7,0)*IndiceIncrementoC,-3)</f>
        <v>2756000</v>
      </c>
      <c r="CD8" s="146">
        <f>Datos_Origen[[#This Row],[CT]]/Datos_Origen[[#This Row],[CTMd]]</f>
        <v>0.83297647677793918</v>
      </c>
      <c r="CE8" s="139">
        <f>+Datos_Origen[[#This Row],[GMd]]/1.17666666667</f>
        <v>2203682.7195404992</v>
      </c>
      <c r="CF8" s="146">
        <f>+Datos_Origen[[#This Row],[Básico Actual]]/Datos_Origen[[#This Row],[Salario Basico Md]]</f>
        <v>0.8853361614628501</v>
      </c>
      <c r="CG8" s="139">
        <f>ROUNDUP(VLOOKUP(Datos_Origen[[#This Row],[Categoria]],Competitividad_1[#All],8,0)*IndiceIncrementoC,-3)</f>
        <v>3275000</v>
      </c>
      <c r="CH8" s="146">
        <f>Datos_Origen[[#This Row],[G]]/Datos_Origen[[#This Row],[GQ3]]</f>
        <v>0.70097196030534359</v>
      </c>
      <c r="CI8" s="139">
        <f>ROUNDUP(VLOOKUP(Datos_Origen[[#This Row],[Categoria]],Competitividad_1[#All],9,0)*IndiceIncrementoC,-3)</f>
        <v>3376000</v>
      </c>
      <c r="CJ8" s="146">
        <f>Datos_Origen[[#This Row],[G+V]]/Datos_Origen[[#This Row],[G+VQ3]]</f>
        <v>0.68000093898104275</v>
      </c>
      <c r="CK8" s="139">
        <f>ROUNDUP(VLOOKUP(Datos_Origen[[#This Row],[Categoria]],Competitividad_1[#All],10,0)*IndiceIncrementoC,-3)</f>
        <v>3479000</v>
      </c>
      <c r="CL8" s="146">
        <f>Datos_Origen[[#This Row],[CT]]/Datos_Origen[[#This Row],[CTQ3]]</f>
        <v>0.65986868927852838</v>
      </c>
      <c r="CM8" s="147">
        <f>IF(ROUND(Datos_Origen[[#This Row],[Salario Ordinario Pol2]],-3)&lt;SMMLV,SMMLV,ROUND(Datos_Origen[[#This Row],[Salario Ordinario Pol2]],-3))</f>
        <v>1687000</v>
      </c>
      <c r="CN8" s="139">
        <f>IF(Datos_Origen[[#This Row],[Gpol]]/(1+FactorPrestacionalOrdinario)&lt;SMMLV,SMMLV,Datos_Origen[[#This Row],[Gpol]]/(1+FactorPrestacionalOrdinario))</f>
        <v>2108498.5835694051</v>
      </c>
      <c r="CO8" s="146">
        <f>IFERROR(IF(Datos_Origen[[#This Row],[Salarios Año]]=14.12,Datos_Origen[[#This Row],[Básico]]/Datos_Origen[[#This Row],[Salario Ordinario Pol]],""),"")</f>
        <v>0.92530296923283617</v>
      </c>
      <c r="CP8" s="139">
        <f>IF(ROUND(Datos_Origen[[#This Row],[Salario Ordinario Pol22]],-3)&lt;SMMLV,SMMLV,ROUND(Datos_Origen[[#This Row],[Salario Ordinario Pol22]],-3))</f>
        <v>2530000</v>
      </c>
      <c r="CQ8" s="139" t="str">
        <f>IFERROR(ROUND(Datos_Origen[[#This Row],[Salario Integral Pol4]],-3),"")</f>
        <v/>
      </c>
      <c r="CR8" s="139" t="str">
        <f>IF((Datos_Origen[[#This Row],[Gpol]]/(1+FactorPrestacionalIntegral))&lt;(13*SMMLV),"",(Datos_Origen[[#This Row],[Gpol]]/(1+FactorPrestacionalIntegral)))</f>
        <v/>
      </c>
      <c r="CS8" s="146" t="str">
        <f>IFERROR(IF(Datos_Origen[[#This Row],[Salarios Año]]=12,Datos_Origen[[#This Row],[Básico]]/Datos_Origen[[#This Row],[Salario Integral Pol]],""),"")</f>
        <v/>
      </c>
      <c r="CT8" s="139" t="str">
        <f>IFERROR(ROUND(Datos_Origen[[#This Row],[Salario Integral Pol44]],-3),"")</f>
        <v/>
      </c>
      <c r="CU8" s="139">
        <f>Datos_Origen[[#This Row],[G+Vpol]]-Datos_Origen[[#This Row],[Variable]]</f>
        <v>2481000</v>
      </c>
      <c r="CV8" s="146">
        <f>Datos_Origen[[#This Row],[G]]/Datos_Origen[[#This Row],[Gpol]]</f>
        <v>0.92530559048770677</v>
      </c>
      <c r="CW8" s="138">
        <f>Datos_Origen[[#This Row],[Ctpol]]-Datos_Origen[[#This Row],[Beneficios]]</f>
        <v>2481000</v>
      </c>
      <c r="CX8" s="146">
        <f>Datos_Origen[[#This Row],[G+V]]/Datos_Origen[[#This Row],[G+Vpol]]</f>
        <v>0.92530559048770677</v>
      </c>
      <c r="CY8" s="138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2481000</v>
      </c>
      <c r="CZ8" s="146">
        <f>Datos_Origen[[#This Row],[CT]]/Datos_Origen[[#This Row],[Ctpol]]</f>
        <v>0.92530559048770677</v>
      </c>
      <c r="DA8" s="143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1951000</v>
      </c>
      <c r="DB8" s="143">
        <f>IF(Datos_Origen[[#This Row],[Básico]]&lt;10*SMMLV,0,Datos_Origen[[#This Row],[Base Seguridad Social Actual]]*8.5%)</f>
        <v>0</v>
      </c>
      <c r="DC8" s="143">
        <f>Datos_Origen[[#This Row],[Base Seguridad Social Actual]]*12%</f>
        <v>234120</v>
      </c>
      <c r="DD8" s="143">
        <f>Datos_Origen[[#This Row],[Base Seguridad Social Actual]]*Datos_Origen[[#This Row],[%ARL]]</f>
        <v>10184.219999999999</v>
      </c>
      <c r="DE8" s="143">
        <f>IF(Datos_Origen[[#This Row],[Básico]]&lt;10*SMMLV,Datos_Origen[[#This Row],[Base Seguridad Social Actual]]*4%,Datos_Origen[[#This Row],[Base Seguridad Social Actual]]*9%)</f>
        <v>78040</v>
      </c>
      <c r="DF8" s="143">
        <f>Datos_Origen[[#This Row],[Salud]]+Datos_Origen[[#This Row],[Pensión]]+Datos_Origen[[#This Row],[ARL]]+Datos_Origen[[#This Row],[Parafiscales]]</f>
        <v>322344.21999999997</v>
      </c>
      <c r="DG8" s="143">
        <f>Datos_Origen[[#This Row],[Costo Laboral Actual]]+Datos_Origen[[#This Row],[CT]]</f>
        <v>2618027.3900000006</v>
      </c>
      <c r="DH8" s="143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2108498.5835694051</v>
      </c>
      <c r="DI8" s="143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8" s="143">
        <f>Datos_Origen[[#This Row],[Base Seguridad Social Nueva]]*12%</f>
        <v>253019.83002832861</v>
      </c>
      <c r="DK8" s="143">
        <f>Datos_Origen[[#This Row],[Base Seguridad Social Nueva]]*Datos_Origen[[#This Row],[%ARL]]</f>
        <v>11006.362606232295</v>
      </c>
      <c r="DL8" s="143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84339.943342776212</v>
      </c>
      <c r="DM8" s="143">
        <f>Datos_Origen[[#This Row],[Salud Nueva]]+Datos_Origen[[#This Row],[Pensión Nueva]]+Datos_Origen[[#This Row],[ARL nueva]]+Datos_Origen[[#This Row],[Parafiscales Nuevos]]</f>
        <v>348366.13597733714</v>
      </c>
      <c r="DN8" s="143">
        <f>Datos_Origen[[#This Row],[Costo Laboral Nuevo]]+Datos_Origen[[#This Row],[Ctpol]]</f>
        <v>2829366.1359773371</v>
      </c>
      <c r="DO8" s="143">
        <f>IF(Datos_Origen[[#This Row],[Ctpol]]-Datos_Origen[[#This Row],[CT]]&lt;=0,0,Datos_Origen[[#This Row],[Costo Total Nuevo]]-Datos_Origen[[#This Row],[Costo Total Actual]])</f>
        <v>211338.74597733654</v>
      </c>
      <c r="DP8" s="143">
        <f>IF(Datos_Origen[[#This Row],[Ctpol]]-Datos_Origen[[#This Row],[CT]]&lt;=0,0,Datos_Origen[[#This Row],[Ctpol]]-Datos_Origen[[#This Row],[CT]])</f>
        <v>185316.82999999961</v>
      </c>
      <c r="DQ8" s="143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26021.915977337165</v>
      </c>
      <c r="DR8" s="143">
        <f>ROUNDDOWN(VLOOKUP(Datos_Origen[[#This Row],[Categoria]],Competitividad_1[],7,0)*IndiceIncrementoC,-3)</f>
        <v>2755000</v>
      </c>
      <c r="DS8" s="143">
        <f>Datos_Origen[[#This Row],[CTeq]]*0.8</f>
        <v>1881044.2777139388</v>
      </c>
      <c r="DT8" s="143">
        <f>Datos_Origen[[#This Row],[CTeq]]*1.2</f>
        <v>2821566.4165709079</v>
      </c>
      <c r="DU8" s="139">
        <f>IF(Datos_Origen[[#This Row],[Gpol6]]/(1+FactorPrestacionalOrdinario)&lt;SMMLV,SMMLV,Datos_Origen[[#This Row],[Gpol6]]/(1+FactorPrestacionalOrdinario))</f>
        <v>1686798.866855524</v>
      </c>
      <c r="DV8" s="139" t="str">
        <f>IF((Datos_Origen[[#This Row],[Gpol6]]/(1+FactorPrestacionalIntegral))&lt;(13*SMMLV),"",(Datos_Origen[[#This Row],[Gpol6]]/(1+FactorPrestacionalIntegral)))</f>
        <v/>
      </c>
      <c r="DW8" s="138">
        <f>Datos_Origen[[#This Row],[G+Vpol8]]</f>
        <v>1984800</v>
      </c>
      <c r="DX8" s="138">
        <f>Datos_Origen[[#This Row],[Ctpol10]]-Datos_Origen[[#This Row],[Beneficios]]</f>
        <v>1984800</v>
      </c>
      <c r="DY8" s="138">
        <f>Datos_Origen[[#This Row],[Ctpol]]*$CM$6</f>
        <v>1984800</v>
      </c>
      <c r="DZ8" s="139">
        <f>IF(Datos_Origen[[#This Row],[Gpol66]]/(1+FactorPrestacionalOrdinario)&lt;SMMLV,SMMLV,Datos_Origen[[#This Row],[Gpol66]]/(1+FactorPrestacionalOrdinario))</f>
        <v>2530198.3002832858</v>
      </c>
      <c r="EA8" s="139" t="str">
        <f>IF((Datos_Origen[[#This Row],[Gpol66]]/(1+FactorPrestacionalIntegral))&lt;(13*SMMLV),"",(Datos_Origen[[#This Row],[Gpol66]]/(1+FactorPrestacionalIntegral)))</f>
        <v/>
      </c>
      <c r="EB8" s="138">
        <f>Datos_Origen[[#This Row],[G+Vpol88]]</f>
        <v>2977200</v>
      </c>
      <c r="EC8" s="138">
        <f>Datos_Origen[[#This Row],[Ctpol1010]]-Datos_Origen[[#This Row],[Beneficios]]</f>
        <v>2977200</v>
      </c>
      <c r="ED8" s="138">
        <f>Datos_Origen[[#This Row],[Ctpol]]*$CP$6</f>
        <v>2977200</v>
      </c>
      <c r="EE8" s="143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9" spans="2:135">
      <c r="B9" s="148"/>
      <c r="C9" s="149"/>
      <c r="D9" s="150"/>
      <c r="E9" s="151"/>
      <c r="F9" s="151"/>
      <c r="G9" s="150" t="s">
        <v>356</v>
      </c>
      <c r="H9" s="153"/>
      <c r="I9" s="152" t="s">
        <v>356</v>
      </c>
      <c r="J9" s="130" t="str">
        <f>IFERROR(VLOOKUP(Datos_Origen[[#This Row],[Cargo Tipo Valorado]],Cargos_Catalogo[[#All],[Cargo]:[Área]],2,0),"")</f>
        <v>Coordinador CEDI</v>
      </c>
      <c r="K9" s="153"/>
      <c r="L9" s="153"/>
      <c r="M9" s="153"/>
      <c r="N9" s="153"/>
      <c r="O9" s="154">
        <f>Datos_Origen[[#This Row],[Segmentación Individual]]</f>
        <v>0</v>
      </c>
      <c r="P9" s="153"/>
      <c r="Q9" s="154">
        <f>VLOOKUP(Datos_Origen[[#This Row],[Cargo Tipo Valorado]],Cargos_Catalogo[#Data],MATCH(Cargos_Catalogo[[#Headers],[Puntos]],Cargos_Catalogo[#Headers],0),FALSE)</f>
        <v>142</v>
      </c>
      <c r="R9" s="130">
        <f>VLOOKUP(Datos_Origen[[#This Row],[Puntos valoración]],Categorias_Registro[#Data],MATCH(Categorias_Registro[[#Headers],[Categoria]],Categorias_Registro[#Headers],0),FALSE)</f>
        <v>4</v>
      </c>
      <c r="S9" s="130" t="str">
        <f>VLOOKUP(Datos_Origen[[#This Row],[Cargo Tipo Valorado]],Cargos_Catalogo[#Data],MATCH(Cargos_Catalogo[[#Headers],[Nivel SHR]],Cargos_Catalogo[#Headers],0),FALSE)</f>
        <v>Operativo</v>
      </c>
      <c r="T9" s="130" t="str">
        <f>VLOOKUP(Datos_Origen[[#This Row],[Cargo Tipo Valorado]],Cargos_Catalogo[#Data],MATCH(Cargos_Catalogo[[#Headers],[Criticidad]],Cargos_Catalogo[#Headers],0),FALSE)</f>
        <v>Relevante</v>
      </c>
      <c r="U9" s="154">
        <f>VLOOKUP(Datos_Origen[[#This Row],[Puntos valoración]],Categorias_Registro[#Data],5,FALSE)</f>
        <v>143</v>
      </c>
      <c r="V9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2295683.1700000004</v>
      </c>
      <c r="W9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9" s="154">
        <f>SUMIF($BA$5:$BJ$5,"NCS",Datos_Origen[[#This Row],[auxilio Gasolina]:[Otro Beneficio10]])+(SUMIF($BA$5:$BJ$5,"CS",Datos_Origen[[#This Row],[auxilio Gasolina]:[Otro Beneficio10]])*1.17667)</f>
        <v>0</v>
      </c>
      <c r="Y9" s="155">
        <f>Datos_Origen[[#This Row],[Básico]]+Datos_Origen[[#This Row],[Promedio de Comisiones  ]]</f>
        <v>1951000</v>
      </c>
      <c r="Z9" s="155">
        <f>Datos_Origen[[#This Row],[Básico]]+Datos_Origen[[#This Row],[Promedio de Comisiones  ]]</f>
        <v>1951000</v>
      </c>
      <c r="AA9" s="155">
        <f>Datos_Origen[[#This Row],[Garantizado]]</f>
        <v>2295683.1700000004</v>
      </c>
      <c r="AB9" s="155">
        <f>Datos_Origen[[#This Row],[Variable]]+Datos_Origen[[#This Row],[Garantizado]]</f>
        <v>2295683.1700000004</v>
      </c>
      <c r="AC9" s="155">
        <f>Datos_Origen[[#This Row],[Beneficios]]+Datos_Origen[[#This Row],[Variable]]+Datos_Origen[[#This Row],[Garantizado]]</f>
        <v>2295683.1700000004</v>
      </c>
      <c r="AD9" s="156">
        <v>14.12</v>
      </c>
      <c r="AE9" s="141">
        <v>230</v>
      </c>
      <c r="AF9" s="346">
        <v>5.2199999999999998E-3</v>
      </c>
      <c r="AG9" s="155">
        <f>Datos_Origen[[#This Row],[Básico Actual]]*230/Datos_Origen[[#This Row],['# horas mes]]</f>
        <v>1951000</v>
      </c>
      <c r="AH9" s="157">
        <v>1951000</v>
      </c>
      <c r="AI9" s="158"/>
      <c r="AJ9" s="158">
        <f>(((Datos_Origen[[#This Row],[Básico]])/30)*$AJ$6)/12</f>
        <v>0</v>
      </c>
      <c r="AK9" s="158"/>
      <c r="AL9" s="143">
        <f>((Datos_Origen[[#This Row],[Básico]])/30)*$AL$6/12</f>
        <v>0</v>
      </c>
      <c r="AM9" s="158"/>
      <c r="AN9" s="158"/>
      <c r="AO9" s="158"/>
      <c r="AP9" s="158"/>
      <c r="AQ9" s="158"/>
      <c r="AR9" s="149">
        <v>0</v>
      </c>
      <c r="AS9" s="149"/>
      <c r="AT9" s="159" t="str">
        <f>IFERROR(Datos_Origen[[#This Row],[Comisiones Target]]/Datos_Origen[[#This Row],[Promedio de Comisiones  ]],"")</f>
        <v/>
      </c>
      <c r="AU9" s="160"/>
      <c r="AV9" s="158">
        <v>0</v>
      </c>
      <c r="AW9" s="160"/>
      <c r="AX9" s="143">
        <f>Datos_Origen[[#This Row],[N Salarios de la Bonificación2]]*Datos_Origen[[#This Row],[Básico]]/12</f>
        <v>0</v>
      </c>
      <c r="AY9" s="160"/>
      <c r="AZ9" s="158"/>
      <c r="BA9" s="149">
        <v>0</v>
      </c>
      <c r="BB9" s="149"/>
      <c r="BC9" s="149"/>
      <c r="BD9" s="149"/>
      <c r="BE9" s="149"/>
      <c r="BF9" s="149"/>
      <c r="BG9" s="149"/>
      <c r="BH9" s="149"/>
      <c r="BI9" s="149"/>
      <c r="BJ9" s="149"/>
      <c r="BK9" s="159">
        <f>IFERROR(Datos_Origen[[#This Row],[Variable]]/Datos_Origen[[#This Row],[CT]],"")</f>
        <v>0</v>
      </c>
      <c r="BL9" s="159">
        <f>IFERROR(Datos_Origen[[#This Row],[Beneficios]]/Datos_Origen[[#This Row],[CT]],"")</f>
        <v>0</v>
      </c>
      <c r="BM9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2156310.991119599</v>
      </c>
      <c r="BN9" s="161">
        <f>Datos_Origen[[#This Row],[G]]/Datos_Origen[[#This Row],[Geq]]</f>
        <v>1.0646345445783945</v>
      </c>
      <c r="BO9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2347844.1606855756</v>
      </c>
      <c r="BP9" s="161">
        <f>Datos_Origen[[#This Row],[G+V]]/Datos_Origen[[#This Row],[G+Veq]]</f>
        <v>0.97778345276956369</v>
      </c>
      <c r="BQ9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2351305.3471424235</v>
      </c>
      <c r="BR9" s="161">
        <f>Datos_Origen[[#This Row],[CT]]/Datos_Origen[[#This Row],[CTeq]]</f>
        <v>0.97634412850290941</v>
      </c>
      <c r="BS9" s="139">
        <f>ROUNDUP(VLOOKUP(Datos_Origen[[#This Row],[Categoria]],Competitividad_1[#All],2,0)*IndiceIncrementoC,-3)</f>
        <v>2127000</v>
      </c>
      <c r="BT9" s="161">
        <f>Datos_Origen[[#This Row],[G]]/Datos_Origen[[#This Row],[GQ1]]</f>
        <v>1.0793056746591445</v>
      </c>
      <c r="BU9" s="155">
        <f>ROUNDUP(VLOOKUP(Datos_Origen[[#This Row],[Categoria]],Competitividad_1[#All],3,0)*IndiceIncrementoC,-3)</f>
        <v>2222000</v>
      </c>
      <c r="BV9" s="161">
        <f>Datos_Origen[[#This Row],[G+V]]/Datos_Origen[[#This Row],[G+VQ1]]</f>
        <v>1.0331607425742575</v>
      </c>
      <c r="BW9" s="155">
        <f>ROUNDUP(VLOOKUP(Datos_Origen[[#This Row],[Categoria]],Competitividad_1[#All],4,0)*IndiceIncrementoC,-3)</f>
        <v>2307000</v>
      </c>
      <c r="BX9" s="161">
        <f>Datos_Origen[[#This Row],[CT]]/Datos_Origen[[#This Row],[CTQ1]]</f>
        <v>0.99509456870394464</v>
      </c>
      <c r="BY9" s="155">
        <f>ROUNDUP(VLOOKUP(Datos_Origen[[#This Row],[Categoria]],Competitividad_1[#All],5,0)*IndiceIncrementoC,-3)</f>
        <v>2593000</v>
      </c>
      <c r="BZ9" s="161">
        <f>Datos_Origen[[#This Row],[G]]/Datos_Origen[[#This Row],[GMd]]</f>
        <v>0.88533866949479378</v>
      </c>
      <c r="CA9" s="155">
        <f>ROUNDUP(VLOOKUP(Datos_Origen[[#This Row],[Categoria]],Competitividad_1[#All],6,0)*IndiceIncrementoC,-3)</f>
        <v>2656000</v>
      </c>
      <c r="CB9" s="161">
        <f>Datos_Origen[[#This Row],[G+V]]/Datos_Origen[[#This Row],[G+VMd]]</f>
        <v>0.86433854292168688</v>
      </c>
      <c r="CC9" s="155">
        <f>ROUNDUP(VLOOKUP(Datos_Origen[[#This Row],[Categoria]],Competitividad_1[#All],7,0)*IndiceIncrementoC,-3)</f>
        <v>2756000</v>
      </c>
      <c r="CD9" s="161">
        <f>Datos_Origen[[#This Row],[CT]]/Datos_Origen[[#This Row],[CTMd]]</f>
        <v>0.83297647677793918</v>
      </c>
      <c r="CE9" s="155">
        <f>+Datos_Origen[[#This Row],[GMd]]/1.17666666667</f>
        <v>2203682.7195404992</v>
      </c>
      <c r="CF9" s="161">
        <f>+Datos_Origen[[#This Row],[Básico Actual]]/Datos_Origen[[#This Row],[Salario Basico Md]]</f>
        <v>0.8853361614628501</v>
      </c>
      <c r="CG9" s="155">
        <f>ROUNDUP(VLOOKUP(Datos_Origen[[#This Row],[Categoria]],Competitividad_1[#All],8,0)*IndiceIncrementoC,-3)</f>
        <v>3275000</v>
      </c>
      <c r="CH9" s="161">
        <f>Datos_Origen[[#This Row],[G]]/Datos_Origen[[#This Row],[GQ3]]</f>
        <v>0.70097196030534359</v>
      </c>
      <c r="CI9" s="155">
        <f>ROUNDUP(VLOOKUP(Datos_Origen[[#This Row],[Categoria]],Competitividad_1[#All],9,0)*IndiceIncrementoC,-3)</f>
        <v>3376000</v>
      </c>
      <c r="CJ9" s="161">
        <f>Datos_Origen[[#This Row],[G+V]]/Datos_Origen[[#This Row],[G+VQ3]]</f>
        <v>0.68000093898104275</v>
      </c>
      <c r="CK9" s="155">
        <f>ROUNDUP(VLOOKUP(Datos_Origen[[#This Row],[Categoria]],Competitividad_1[#All],10,0)*IndiceIncrementoC,-3)</f>
        <v>3479000</v>
      </c>
      <c r="CL9" s="161">
        <f>Datos_Origen[[#This Row],[CT]]/Datos_Origen[[#This Row],[CTQ3]]</f>
        <v>0.65986868927852838</v>
      </c>
      <c r="CM9" s="162">
        <f>IF(ROUND(Datos_Origen[[#This Row],[Salario Ordinario Pol2]],-3)&lt;SMMLV,SMMLV,ROUND(Datos_Origen[[#This Row],[Salario Ordinario Pol2]],-3))</f>
        <v>1687000</v>
      </c>
      <c r="CN9" s="155">
        <f>IF(Datos_Origen[[#This Row],[Gpol]]/(1+FactorPrestacionalOrdinario)&lt;SMMLV,SMMLV,Datos_Origen[[#This Row],[Gpol]]/(1+FactorPrestacionalOrdinario))</f>
        <v>2108498.5835694051</v>
      </c>
      <c r="CO9" s="161">
        <f>IFERROR(IF(Datos_Origen[[#This Row],[Salarios Año]]=14.12,Datos_Origen[[#This Row],[Básico]]/Datos_Origen[[#This Row],[Salario Ordinario Pol]],""),"")</f>
        <v>0.92530296923283617</v>
      </c>
      <c r="CP9" s="155">
        <f>IF(ROUND(Datos_Origen[[#This Row],[Salario Ordinario Pol22]],-3)&lt;SMMLV,SMMLV,ROUND(Datos_Origen[[#This Row],[Salario Ordinario Pol22]],-3))</f>
        <v>2530000</v>
      </c>
      <c r="CQ9" s="155" t="str">
        <f>IFERROR(ROUND(Datos_Origen[[#This Row],[Salario Integral Pol4]],-3),"")</f>
        <v/>
      </c>
      <c r="CR9" s="139" t="str">
        <f>IF((Datos_Origen[[#This Row],[Gpol]]/(1+FactorPrestacionalIntegral))&lt;(13*SMMLV),"",(Datos_Origen[[#This Row],[Gpol]]/(1+FactorPrestacionalIntegral)))</f>
        <v/>
      </c>
      <c r="CS9" s="161" t="str">
        <f>IFERROR(IF(Datos_Origen[[#This Row],[Salarios Año]]=12,Datos_Origen[[#This Row],[Básico]]/Datos_Origen[[#This Row],[Salario Integral Pol]],""),"")</f>
        <v/>
      </c>
      <c r="CT9" s="155" t="str">
        <f>IFERROR(ROUND(Datos_Origen[[#This Row],[Salario Integral Pol44]],-3),"")</f>
        <v/>
      </c>
      <c r="CU9" s="155">
        <f>Datos_Origen[[#This Row],[G+Vpol]]-Datos_Origen[[#This Row],[Variable]]</f>
        <v>2481000</v>
      </c>
      <c r="CV9" s="161">
        <f>Datos_Origen[[#This Row],[G]]/Datos_Origen[[#This Row],[Gpol]]</f>
        <v>0.92530559048770677</v>
      </c>
      <c r="CW9" s="154">
        <f>Datos_Origen[[#This Row],[Ctpol]]-Datos_Origen[[#This Row],[Beneficios]]</f>
        <v>2481000</v>
      </c>
      <c r="CX9" s="161">
        <f>Datos_Origen[[#This Row],[G+V]]/Datos_Origen[[#This Row],[G+Vpol]]</f>
        <v>0.92530559048770677</v>
      </c>
      <c r="CY9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2481000</v>
      </c>
      <c r="CZ9" s="161">
        <f>Datos_Origen[[#This Row],[CT]]/Datos_Origen[[#This Row],[Ctpol]]</f>
        <v>0.92530559048770677</v>
      </c>
      <c r="DA9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1951000</v>
      </c>
      <c r="DB9" s="158">
        <f>IF(Datos_Origen[[#This Row],[Básico]]&lt;10*SMMLV,0,Datos_Origen[[#This Row],[Base Seguridad Social Actual]]*8.5%)</f>
        <v>0</v>
      </c>
      <c r="DC9" s="158">
        <f>Datos_Origen[[#This Row],[Base Seguridad Social Actual]]*12%</f>
        <v>234120</v>
      </c>
      <c r="DD9" s="158">
        <f>Datos_Origen[[#This Row],[Base Seguridad Social Actual]]*Datos_Origen[[#This Row],[%ARL]]</f>
        <v>10184.219999999999</v>
      </c>
      <c r="DE9" s="158">
        <f>IF(Datos_Origen[[#This Row],[Básico]]&lt;10*SMMLV,Datos_Origen[[#This Row],[Base Seguridad Social Actual]]*4%,Datos_Origen[[#This Row],[Base Seguridad Social Actual]]*9%)</f>
        <v>78040</v>
      </c>
      <c r="DF9" s="158">
        <f>Datos_Origen[[#This Row],[Salud]]+Datos_Origen[[#This Row],[Pensión]]+Datos_Origen[[#This Row],[ARL]]+Datos_Origen[[#This Row],[Parafiscales]]</f>
        <v>322344.21999999997</v>
      </c>
      <c r="DG9" s="158">
        <f>Datos_Origen[[#This Row],[Costo Laboral Actual]]+Datos_Origen[[#This Row],[CT]]</f>
        <v>2618027.3900000006</v>
      </c>
      <c r="DH9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2108498.5835694051</v>
      </c>
      <c r="DI9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9" s="158">
        <f>Datos_Origen[[#This Row],[Base Seguridad Social Nueva]]*12%</f>
        <v>253019.83002832861</v>
      </c>
      <c r="DK9" s="158">
        <f>Datos_Origen[[#This Row],[Base Seguridad Social Nueva]]*Datos_Origen[[#This Row],[%ARL]]</f>
        <v>11006.362606232295</v>
      </c>
      <c r="DL9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84339.943342776212</v>
      </c>
      <c r="DM9" s="158">
        <f>Datos_Origen[[#This Row],[Salud Nueva]]+Datos_Origen[[#This Row],[Pensión Nueva]]+Datos_Origen[[#This Row],[ARL nueva]]+Datos_Origen[[#This Row],[Parafiscales Nuevos]]</f>
        <v>348366.13597733714</v>
      </c>
      <c r="DN9" s="158">
        <f>Datos_Origen[[#This Row],[Costo Laboral Nuevo]]+Datos_Origen[[#This Row],[Ctpol]]</f>
        <v>2829366.1359773371</v>
      </c>
      <c r="DO9" s="158">
        <f>IF(Datos_Origen[[#This Row],[Ctpol]]-Datos_Origen[[#This Row],[CT]]&lt;=0,0,Datos_Origen[[#This Row],[Costo Total Nuevo]]-Datos_Origen[[#This Row],[Costo Total Actual]])</f>
        <v>211338.74597733654</v>
      </c>
      <c r="DP9" s="158">
        <f>IF(Datos_Origen[[#This Row],[Ctpol]]-Datos_Origen[[#This Row],[CT]]&lt;=0,0,Datos_Origen[[#This Row],[Ctpol]]-Datos_Origen[[#This Row],[CT]])</f>
        <v>185316.82999999961</v>
      </c>
      <c r="DQ9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26021.915977337165</v>
      </c>
      <c r="DR9" s="158">
        <f>ROUNDDOWN(VLOOKUP(Datos_Origen[[#This Row],[Categoria]],Competitividad_1[],7,0)*IndiceIncrementoC,-3)</f>
        <v>2755000</v>
      </c>
      <c r="DS9" s="158">
        <f>Datos_Origen[[#This Row],[CTeq]]*0.8</f>
        <v>1881044.2777139388</v>
      </c>
      <c r="DT9" s="158">
        <f>Datos_Origen[[#This Row],[CTeq]]*1.2</f>
        <v>2821566.4165709079</v>
      </c>
      <c r="DU9" s="155">
        <f>IF(Datos_Origen[[#This Row],[Gpol6]]/(1+FactorPrestacionalOrdinario)&lt;SMMLV,SMMLV,Datos_Origen[[#This Row],[Gpol6]]/(1+FactorPrestacionalOrdinario))</f>
        <v>1686798.866855524</v>
      </c>
      <c r="DV9" s="139" t="str">
        <f>IF((Datos_Origen[[#This Row],[Gpol6]]/(1+FactorPrestacionalIntegral))&lt;(13*SMMLV),"",(Datos_Origen[[#This Row],[Gpol6]]/(1+FactorPrestacionalIntegral)))</f>
        <v/>
      </c>
      <c r="DW9" s="154">
        <f>Datos_Origen[[#This Row],[G+Vpol8]]</f>
        <v>1984800</v>
      </c>
      <c r="DX9" s="154">
        <f>Datos_Origen[[#This Row],[Ctpol10]]-Datos_Origen[[#This Row],[Beneficios]]</f>
        <v>1984800</v>
      </c>
      <c r="DY9" s="154">
        <f>Datos_Origen[[#This Row],[Ctpol]]*$CM$6</f>
        <v>1984800</v>
      </c>
      <c r="DZ9" s="155">
        <f>IF(Datos_Origen[[#This Row],[Gpol66]]/(1+FactorPrestacionalOrdinario)&lt;SMMLV,SMMLV,Datos_Origen[[#This Row],[Gpol66]]/(1+FactorPrestacionalOrdinario))</f>
        <v>2530198.3002832858</v>
      </c>
      <c r="EA9" s="139" t="str">
        <f>IF((Datos_Origen[[#This Row],[Gpol66]]/(1+FactorPrestacionalIntegral))&lt;(13*SMMLV),"",(Datos_Origen[[#This Row],[Gpol66]]/(1+FactorPrestacionalIntegral)))</f>
        <v/>
      </c>
      <c r="EB9" s="154">
        <f>Datos_Origen[[#This Row],[G+Vpol88]]</f>
        <v>2977200</v>
      </c>
      <c r="EC9" s="154">
        <f>Datos_Origen[[#This Row],[Ctpol1010]]-Datos_Origen[[#This Row],[Beneficios]]</f>
        <v>2977200</v>
      </c>
      <c r="ED9" s="154">
        <f>Datos_Origen[[#This Row],[Ctpol]]*$CP$6</f>
        <v>2977200</v>
      </c>
      <c r="EE9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0" spans="2:135">
      <c r="B10" s="132"/>
      <c r="C10" s="149"/>
      <c r="D10" s="150"/>
      <c r="E10" s="151"/>
      <c r="F10" s="151"/>
      <c r="G10" s="150" t="s">
        <v>354</v>
      </c>
      <c r="H10" s="153"/>
      <c r="I10" s="152" t="s">
        <v>354</v>
      </c>
      <c r="J10" s="130" t="str">
        <f>IFERROR(VLOOKUP(Datos_Origen[[#This Row],[Cargo Tipo Valorado]],Cargos_Catalogo[[#All],[Cargo]:[Área]],2,0),"")</f>
        <v xml:space="preserve">Director logistico </v>
      </c>
      <c r="K10" s="153"/>
      <c r="L10" s="153"/>
      <c r="M10" s="153"/>
      <c r="N10" s="153"/>
      <c r="O10" s="154">
        <f>Datos_Origen[[#This Row],[Segmentación Individual]]</f>
        <v>0</v>
      </c>
      <c r="P10" s="153"/>
      <c r="Q10" s="154">
        <f>VLOOKUP(Datos_Origen[[#This Row],[Cargo Tipo Valorado]],Cargos_Catalogo[#Data],MATCH(Cargos_Catalogo[[#Headers],[Puntos]],Cargos_Catalogo[#Headers],0),FALSE)</f>
        <v>168</v>
      </c>
      <c r="R10" s="130">
        <f>VLOOKUP(Datos_Origen[[#This Row],[Puntos valoración]],Categorias_Registro[#Data],MATCH(Categorias_Registro[[#Headers],[Categoria]],Categorias_Registro[#Headers],0),FALSE)</f>
        <v>5</v>
      </c>
      <c r="S10" s="130" t="str">
        <f>VLOOKUP(Datos_Origen[[#This Row],[Cargo Tipo Valorado]],Cargos_Catalogo[#Data],MATCH(Cargos_Catalogo[[#Headers],[Nivel SHR]],Cargos_Catalogo[#Headers],0),FALSE)</f>
        <v>Operativo</v>
      </c>
      <c r="T10" s="130" t="str">
        <f>VLOOKUP(Datos_Origen[[#This Row],[Cargo Tipo Valorado]],Cargos_Catalogo[#Data],MATCH(Cargos_Catalogo[[#Headers],[Criticidad]],Cargos_Catalogo[#Headers],0),FALSE)</f>
        <v>Relevante</v>
      </c>
      <c r="U10" s="154">
        <f>VLOOKUP(Datos_Origen[[#This Row],[Puntos valoración]],Categorias_Registro[#Data],5,FALSE)</f>
        <v>164</v>
      </c>
      <c r="V10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2412173.5</v>
      </c>
      <c r="W10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0" s="154">
        <f>SUMIF($BA$5:$BJ$5,"NCS",Datos_Origen[[#This Row],[auxilio Gasolina]:[Otro Beneficio10]])+(SUMIF($BA$5:$BJ$5,"CS",Datos_Origen[[#This Row],[auxilio Gasolina]:[Otro Beneficio10]])*1.17667)</f>
        <v>0</v>
      </c>
      <c r="Y10" s="155">
        <f>Datos_Origen[[#This Row],[Básico]]+Datos_Origen[[#This Row],[Promedio de Comisiones  ]]</f>
        <v>2050000</v>
      </c>
      <c r="Z10" s="155">
        <f>Datos_Origen[[#This Row],[Básico]]+Datos_Origen[[#This Row],[Promedio de Comisiones  ]]</f>
        <v>2050000</v>
      </c>
      <c r="AA10" s="155">
        <f>Datos_Origen[[#This Row],[Garantizado]]</f>
        <v>2412173.5</v>
      </c>
      <c r="AB10" s="155">
        <f>Datos_Origen[[#This Row],[Variable]]+Datos_Origen[[#This Row],[Garantizado]]</f>
        <v>2412173.5</v>
      </c>
      <c r="AC10" s="155">
        <f>Datos_Origen[[#This Row],[Beneficios]]+Datos_Origen[[#This Row],[Variable]]+Datos_Origen[[#This Row],[Garantizado]]</f>
        <v>2412173.5</v>
      </c>
      <c r="AD10" s="156">
        <v>14.12</v>
      </c>
      <c r="AE10" s="141">
        <v>230</v>
      </c>
      <c r="AF10" s="345">
        <v>5.2199999999999998E-3</v>
      </c>
      <c r="AG10" s="155">
        <f>Datos_Origen[[#This Row],[Básico Actual]]*230/Datos_Origen[[#This Row],['# horas mes]]</f>
        <v>2050000</v>
      </c>
      <c r="AH10" s="157">
        <v>2050000</v>
      </c>
      <c r="AI10" s="158"/>
      <c r="AJ10" s="158">
        <f>(((Datos_Origen[[#This Row],[Básico]])/30)*$AJ$6)/12</f>
        <v>0</v>
      </c>
      <c r="AK10" s="158"/>
      <c r="AL10" s="143">
        <f>((Datos_Origen[[#This Row],[Básico]])/30)*$AL$6/12</f>
        <v>0</v>
      </c>
      <c r="AM10" s="158"/>
      <c r="AN10" s="158"/>
      <c r="AO10" s="158"/>
      <c r="AP10" s="158"/>
      <c r="AQ10" s="158"/>
      <c r="AR10" s="149">
        <v>0</v>
      </c>
      <c r="AS10" s="149"/>
      <c r="AT10" s="159" t="str">
        <f>IFERROR(Datos_Origen[[#This Row],[Comisiones Target]]/Datos_Origen[[#This Row],[Promedio de Comisiones  ]],"")</f>
        <v/>
      </c>
      <c r="AU10" s="160"/>
      <c r="AV10" s="158">
        <v>0</v>
      </c>
      <c r="AW10" s="160"/>
      <c r="AX10" s="143">
        <f>Datos_Origen[[#This Row],[N Salarios de la Bonificación2]]*Datos_Origen[[#This Row],[Básico]]/12</f>
        <v>0</v>
      </c>
      <c r="AY10" s="160"/>
      <c r="AZ10" s="158"/>
      <c r="BA10" s="149">
        <v>0</v>
      </c>
      <c r="BB10" s="149"/>
      <c r="BC10" s="149"/>
      <c r="BD10" s="149"/>
      <c r="BE10" s="149"/>
      <c r="BF10" s="149"/>
      <c r="BG10" s="149"/>
      <c r="BH10" s="149"/>
      <c r="BI10" s="149"/>
      <c r="BJ10" s="149"/>
      <c r="BK10" s="159">
        <f>IFERROR(Datos_Origen[[#This Row],[Variable]]/Datos_Origen[[#This Row],[CT]],"")</f>
        <v>0</v>
      </c>
      <c r="BL10" s="159">
        <f>IFERROR(Datos_Origen[[#This Row],[Beneficios]]/Datos_Origen[[#This Row],[CT]],"")</f>
        <v>0</v>
      </c>
      <c r="BM10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2380388.5736947823</v>
      </c>
      <c r="BN10" s="161">
        <f>Datos_Origen[[#This Row],[G]]/Datos_Origen[[#This Row],[Geq]]</f>
        <v>1.0133528309858595</v>
      </c>
      <c r="BO10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2581735.7909503947</v>
      </c>
      <c r="BP10" s="161">
        <f>Datos_Origen[[#This Row],[G+V]]/Datos_Origen[[#This Row],[G+Veq]]</f>
        <v>0.93432236887107067</v>
      </c>
      <c r="BQ10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2584918.4911405994</v>
      </c>
      <c r="BR10" s="161">
        <f>Datos_Origen[[#This Row],[CT]]/Datos_Origen[[#This Row],[CTeq]]</f>
        <v>0.93317197747911373</v>
      </c>
      <c r="BS10" s="139">
        <f>ROUNDUP(VLOOKUP(Datos_Origen[[#This Row],[Categoria]],Competitividad_1[#All],2,0)*IndiceIncrementoC,-3)</f>
        <v>2348000</v>
      </c>
      <c r="BT10" s="161">
        <f>Datos_Origen[[#This Row],[G]]/Datos_Origen[[#This Row],[GQ1]]</f>
        <v>1.027331132879046</v>
      </c>
      <c r="BU10" s="155">
        <f>ROUNDUP(VLOOKUP(Datos_Origen[[#This Row],[Categoria]],Competitividad_1[#All],3,0)*IndiceIncrementoC,-3)</f>
        <v>2445000</v>
      </c>
      <c r="BV10" s="161">
        <f>Datos_Origen[[#This Row],[G+V]]/Datos_Origen[[#This Row],[G+VQ1]]</f>
        <v>0.98657402862985688</v>
      </c>
      <c r="BW10" s="155">
        <f>ROUNDUP(VLOOKUP(Datos_Origen[[#This Row],[Categoria]],Competitividad_1[#All],4,0)*IndiceIncrementoC,-3)</f>
        <v>2540000</v>
      </c>
      <c r="BX10" s="161">
        <f>Datos_Origen[[#This Row],[CT]]/Datos_Origen[[#This Row],[CTQ1]]</f>
        <v>0.94967460629921263</v>
      </c>
      <c r="BY10" s="155">
        <f>ROUNDUP(VLOOKUP(Datos_Origen[[#This Row],[Categoria]],Competitividad_1[#All],5,0)*IndiceIncrementoC,-3)</f>
        <v>2838000</v>
      </c>
      <c r="BZ10" s="161">
        <f>Datos_Origen[[#This Row],[G]]/Datos_Origen[[#This Row],[GMd]]</f>
        <v>0.84995542635658916</v>
      </c>
      <c r="CA10" s="155">
        <f>ROUNDUP(VLOOKUP(Datos_Origen[[#This Row],[Categoria]],Competitividad_1[#All],6,0)*IndiceIncrementoC,-3)</f>
        <v>2891000</v>
      </c>
      <c r="CB10" s="161">
        <f>Datos_Origen[[#This Row],[G+V]]/Datos_Origen[[#This Row],[G+VMd]]</f>
        <v>0.83437340020754069</v>
      </c>
      <c r="CC10" s="155">
        <f>ROUNDUP(VLOOKUP(Datos_Origen[[#This Row],[Categoria]],Competitividad_1[#All],7,0)*IndiceIncrementoC,-3)</f>
        <v>3009000</v>
      </c>
      <c r="CD10" s="161">
        <f>Datos_Origen[[#This Row],[CT]]/Datos_Origen[[#This Row],[CTMd]]</f>
        <v>0.80165287470920576</v>
      </c>
      <c r="CE10" s="155">
        <f>+Datos_Origen[[#This Row],[GMd]]/1.17666666667</f>
        <v>2411898.0169903343</v>
      </c>
      <c r="CF10" s="161">
        <f>+Datos_Origen[[#This Row],[Básico Actual]]/Datos_Origen[[#This Row],[Salario Basico Md]]</f>
        <v>0.84995301856007766</v>
      </c>
      <c r="CG10" s="155">
        <f>ROUNDUP(VLOOKUP(Datos_Origen[[#This Row],[Categoria]],Competitividad_1[#All],8,0)*IndiceIncrementoC,-3)</f>
        <v>3683000</v>
      </c>
      <c r="CH10" s="161">
        <f>Datos_Origen[[#This Row],[G]]/Datos_Origen[[#This Row],[GQ3]]</f>
        <v>0.65494800434428457</v>
      </c>
      <c r="CI10" s="155">
        <f>ROUNDUP(VLOOKUP(Datos_Origen[[#This Row],[Categoria]],Competitividad_1[#All],9,0)*IndiceIncrementoC,-3)</f>
        <v>3794000</v>
      </c>
      <c r="CJ10" s="161">
        <f>Datos_Origen[[#This Row],[G+V]]/Datos_Origen[[#This Row],[G+VQ3]]</f>
        <v>0.63578637322087506</v>
      </c>
      <c r="CK10" s="155">
        <f>ROUNDUP(VLOOKUP(Datos_Origen[[#This Row],[Categoria]],Competitividad_1[#All],10,0)*IndiceIncrementoC,-3)</f>
        <v>3904000</v>
      </c>
      <c r="CL10" s="161">
        <f>Datos_Origen[[#This Row],[CT]]/Datos_Origen[[#This Row],[CTQ3]]</f>
        <v>0.6178723104508197</v>
      </c>
      <c r="CM10" s="162">
        <f>IF(ROUND(Datos_Origen[[#This Row],[Salario Ordinario Pol2]],-3)&lt;SMMLV,SMMLV,ROUND(Datos_Origen[[#This Row],[Salario Ordinario Pol2]],-3))</f>
        <v>1841000</v>
      </c>
      <c r="CN10" s="155">
        <f>IF(Datos_Origen[[#This Row],[Gpol]]/(1+FactorPrestacionalOrdinario)&lt;SMMLV,SMMLV,Datos_Origen[[#This Row],[Gpol]]/(1+FactorPrestacionalOrdinario))</f>
        <v>2301416.4305949006</v>
      </c>
      <c r="CO10" s="161">
        <f>IFERROR(IF(Datos_Origen[[#This Row],[Salarios Año]]=14.12,Datos_Origen[[#This Row],[Básico]]/Datos_Origen[[#This Row],[Salario Ordinario Pol]],""),"")</f>
        <v>0.89075578532742505</v>
      </c>
      <c r="CP10" s="155">
        <f>IF(ROUND(Datos_Origen[[#This Row],[Salario Ordinario Pol22]],-3)&lt;SMMLV,SMMLV,ROUND(Datos_Origen[[#This Row],[Salario Ordinario Pol22]],-3))</f>
        <v>2762000</v>
      </c>
      <c r="CQ10" s="155" t="str">
        <f>IFERROR(ROUND(Datos_Origen[[#This Row],[Salario Integral Pol4]],-3),"")</f>
        <v/>
      </c>
      <c r="CR10" s="139" t="str">
        <f>IF((Datos_Origen[[#This Row],[Gpol]]/(1+FactorPrestacionalIntegral))&lt;(13*SMMLV),"",(Datos_Origen[[#This Row],[Gpol]]/(1+FactorPrestacionalIntegral)))</f>
        <v/>
      </c>
      <c r="CS10" s="161" t="str">
        <f>IFERROR(IF(Datos_Origen[[#This Row],[Salarios Año]]=12,Datos_Origen[[#This Row],[Básico]]/Datos_Origen[[#This Row],[Salario Integral Pol]],""),"")</f>
        <v/>
      </c>
      <c r="CT10" s="155" t="str">
        <f>IFERROR(ROUND(Datos_Origen[[#This Row],[Salario Integral Pol44]],-3),"")</f>
        <v/>
      </c>
      <c r="CU10" s="155">
        <f>Datos_Origen[[#This Row],[G+Vpol]]-Datos_Origen[[#This Row],[Variable]]</f>
        <v>2708000</v>
      </c>
      <c r="CV10" s="161">
        <f>Datos_Origen[[#This Row],[G]]/Datos_Origen[[#This Row],[Gpol]]</f>
        <v>0.89075830871491879</v>
      </c>
      <c r="CW10" s="154">
        <f>Datos_Origen[[#This Row],[Ctpol]]-Datos_Origen[[#This Row],[Beneficios]]</f>
        <v>2708000</v>
      </c>
      <c r="CX10" s="161">
        <f>Datos_Origen[[#This Row],[G+V]]/Datos_Origen[[#This Row],[G+Vpol]]</f>
        <v>0.89075830871491879</v>
      </c>
      <c r="CY10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2708000</v>
      </c>
      <c r="CZ10" s="161">
        <f>Datos_Origen[[#This Row],[CT]]/Datos_Origen[[#This Row],[Ctpol]]</f>
        <v>0.89075830871491879</v>
      </c>
      <c r="DA10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2050000</v>
      </c>
      <c r="DB10" s="158">
        <f>IF(Datos_Origen[[#This Row],[Básico]]&lt;10*SMMLV,0,Datos_Origen[[#This Row],[Base Seguridad Social Actual]]*8.5%)</f>
        <v>0</v>
      </c>
      <c r="DC10" s="158">
        <f>Datos_Origen[[#This Row],[Base Seguridad Social Actual]]*12%</f>
        <v>246000</v>
      </c>
      <c r="DD10" s="158">
        <f>Datos_Origen[[#This Row],[Base Seguridad Social Actual]]*Datos_Origen[[#This Row],[%ARL]]</f>
        <v>10701</v>
      </c>
      <c r="DE10" s="158">
        <f>IF(Datos_Origen[[#This Row],[Básico]]&lt;10*SMMLV,Datos_Origen[[#This Row],[Base Seguridad Social Actual]]*4%,Datos_Origen[[#This Row],[Base Seguridad Social Actual]]*9%)</f>
        <v>82000</v>
      </c>
      <c r="DF10" s="158">
        <f>Datos_Origen[[#This Row],[Salud]]+Datos_Origen[[#This Row],[Pensión]]+Datos_Origen[[#This Row],[ARL]]+Datos_Origen[[#This Row],[Parafiscales]]</f>
        <v>338701</v>
      </c>
      <c r="DG10" s="163">
        <f>Datos_Origen[[#This Row],[Costo Laboral Actual]]+Datos_Origen[[#This Row],[CT]]</f>
        <v>2750874.5</v>
      </c>
      <c r="DH10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2301416.4305949006</v>
      </c>
      <c r="DI10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0" s="158">
        <f>Datos_Origen[[#This Row],[Base Seguridad Social Nueva]]*12%</f>
        <v>276169.97167138808</v>
      </c>
      <c r="DK10" s="158">
        <f>Datos_Origen[[#This Row],[Base Seguridad Social Nueva]]*Datos_Origen[[#This Row],[%ARL]]</f>
        <v>12013.39376770538</v>
      </c>
      <c r="DL10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92056.657223796021</v>
      </c>
      <c r="DM10" s="158">
        <f>Datos_Origen[[#This Row],[Salud Nueva]]+Datos_Origen[[#This Row],[Pensión Nueva]]+Datos_Origen[[#This Row],[ARL nueva]]+Datos_Origen[[#This Row],[Parafiscales Nuevos]]</f>
        <v>380240.02266288945</v>
      </c>
      <c r="DN10" s="158">
        <f>Datos_Origen[[#This Row],[Costo Laboral Nuevo]]+Datos_Origen[[#This Row],[Ctpol]]</f>
        <v>3088240.0226628892</v>
      </c>
      <c r="DO10" s="158">
        <f>IF(Datos_Origen[[#This Row],[Ctpol]]-Datos_Origen[[#This Row],[CT]]&lt;=0,0,Datos_Origen[[#This Row],[Costo Total Nuevo]]-Datos_Origen[[#This Row],[Costo Total Actual]])</f>
        <v>337365.52266288921</v>
      </c>
      <c r="DP10" s="158">
        <f>IF(Datos_Origen[[#This Row],[Ctpol]]-Datos_Origen[[#This Row],[CT]]&lt;=0,0,Datos_Origen[[#This Row],[Ctpol]]-Datos_Origen[[#This Row],[CT]])</f>
        <v>295826.5</v>
      </c>
      <c r="DQ10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41539.022662889445</v>
      </c>
      <c r="DR10" s="158">
        <f>ROUNDDOWN(VLOOKUP(Datos_Origen[[#This Row],[Categoria]],Competitividad_1[],7,0)*IndiceIncrementoC,-3)</f>
        <v>3008000</v>
      </c>
      <c r="DS10" s="158">
        <f>Datos_Origen[[#This Row],[CTeq]]*0.8</f>
        <v>2067934.7929124795</v>
      </c>
      <c r="DT10" s="158">
        <f>Datos_Origen[[#This Row],[CTeq]]*1.2</f>
        <v>3101902.1893687192</v>
      </c>
      <c r="DU10" s="155">
        <f>IF(Datos_Origen[[#This Row],[Gpol6]]/(1+FactorPrestacionalOrdinario)&lt;SMMLV,SMMLV,Datos_Origen[[#This Row],[Gpol6]]/(1+FactorPrestacionalOrdinario))</f>
        <v>1841133.1444759206</v>
      </c>
      <c r="DV10" s="139" t="str">
        <f>IF((Datos_Origen[[#This Row],[Gpol6]]/(1+FactorPrestacionalIntegral))&lt;(13*SMMLV),"",(Datos_Origen[[#This Row],[Gpol6]]/(1+FactorPrestacionalIntegral)))</f>
        <v/>
      </c>
      <c r="DW10" s="154">
        <f>Datos_Origen[[#This Row],[G+Vpol8]]</f>
        <v>2166400</v>
      </c>
      <c r="DX10" s="154">
        <f>Datos_Origen[[#This Row],[Ctpol10]]-Datos_Origen[[#This Row],[Beneficios]]</f>
        <v>2166400</v>
      </c>
      <c r="DY10" s="154">
        <f>Datos_Origen[[#This Row],[Ctpol]]*$CM$6</f>
        <v>2166400</v>
      </c>
      <c r="DZ10" s="155">
        <f>IF(Datos_Origen[[#This Row],[Gpol66]]/(1+FactorPrestacionalOrdinario)&lt;SMMLV,SMMLV,Datos_Origen[[#This Row],[Gpol66]]/(1+FactorPrestacionalOrdinario))</f>
        <v>2761699.7167138807</v>
      </c>
      <c r="EA10" s="139" t="str">
        <f>IF((Datos_Origen[[#This Row],[Gpol66]]/(1+FactorPrestacionalIntegral))&lt;(13*SMMLV),"",(Datos_Origen[[#This Row],[Gpol66]]/(1+FactorPrestacionalIntegral)))</f>
        <v/>
      </c>
      <c r="EB10" s="154">
        <f>Datos_Origen[[#This Row],[G+Vpol88]]</f>
        <v>3249600</v>
      </c>
      <c r="EC10" s="154">
        <f>Datos_Origen[[#This Row],[Ctpol1010]]-Datos_Origen[[#This Row],[Beneficios]]</f>
        <v>3249600</v>
      </c>
      <c r="ED10" s="154">
        <f>Datos_Origen[[#This Row],[Ctpol]]*$CP$6</f>
        <v>3249600</v>
      </c>
      <c r="EE10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1" spans="2:135">
      <c r="B11" s="148"/>
      <c r="C11" s="149"/>
      <c r="D11" s="150"/>
      <c r="E11" s="151"/>
      <c r="F11" s="151"/>
      <c r="G11" s="150" t="s">
        <v>354</v>
      </c>
      <c r="H11" s="153"/>
      <c r="I11" s="152" t="s">
        <v>354</v>
      </c>
      <c r="J11" s="130" t="str">
        <f>IFERROR(VLOOKUP(Datos_Origen[[#This Row],[Cargo Tipo Valorado]],Cargos_Catalogo[[#All],[Cargo]:[Área]],2,0),"")</f>
        <v xml:space="preserve">Director logistico </v>
      </c>
      <c r="K11" s="153"/>
      <c r="L11" s="153"/>
      <c r="M11" s="153"/>
      <c r="N11" s="153"/>
      <c r="O11" s="154">
        <f>Datos_Origen[[#This Row],[Segmentación Individual]]</f>
        <v>0</v>
      </c>
      <c r="P11" s="153"/>
      <c r="Q11" s="154">
        <f>VLOOKUP(Datos_Origen[[#This Row],[Cargo Tipo Valorado]],Cargos_Catalogo[#Data],MATCH(Cargos_Catalogo[[#Headers],[Puntos]],Cargos_Catalogo[#Headers],0),FALSE)</f>
        <v>168</v>
      </c>
      <c r="R11" s="130">
        <f>VLOOKUP(Datos_Origen[[#This Row],[Puntos valoración]],Categorias_Registro[#Data],MATCH(Categorias_Registro[[#Headers],[Categoria]],Categorias_Registro[#Headers],0),FALSE)</f>
        <v>5</v>
      </c>
      <c r="S11" s="130" t="str">
        <f>VLOOKUP(Datos_Origen[[#This Row],[Cargo Tipo Valorado]],Cargos_Catalogo[#Data],MATCH(Cargos_Catalogo[[#Headers],[Nivel SHR]],Cargos_Catalogo[#Headers],0),FALSE)</f>
        <v>Operativo</v>
      </c>
      <c r="T11" s="130" t="str">
        <f>VLOOKUP(Datos_Origen[[#This Row],[Cargo Tipo Valorado]],Cargos_Catalogo[#Data],MATCH(Cargos_Catalogo[[#Headers],[Criticidad]],Cargos_Catalogo[#Headers],0),FALSE)</f>
        <v>Relevante</v>
      </c>
      <c r="U11" s="154">
        <f>VLOOKUP(Datos_Origen[[#This Row],[Puntos valoración]],Categorias_Registro[#Data],5,FALSE)</f>
        <v>164</v>
      </c>
      <c r="V11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2412173.5</v>
      </c>
      <c r="W11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1" s="154">
        <f>SUMIF($BA$5:$BJ$5,"NCS",Datos_Origen[[#This Row],[auxilio Gasolina]:[Otro Beneficio10]])+(SUMIF($BA$5:$BJ$5,"CS",Datos_Origen[[#This Row],[auxilio Gasolina]:[Otro Beneficio10]])*1.17667)</f>
        <v>0</v>
      </c>
      <c r="Y11" s="155">
        <f>Datos_Origen[[#This Row],[Básico]]+Datos_Origen[[#This Row],[Promedio de Comisiones  ]]</f>
        <v>2050000</v>
      </c>
      <c r="Z11" s="155">
        <f>Datos_Origen[[#This Row],[Básico]]+Datos_Origen[[#This Row],[Promedio de Comisiones  ]]</f>
        <v>2050000</v>
      </c>
      <c r="AA11" s="155">
        <f>Datos_Origen[[#This Row],[Garantizado]]</f>
        <v>2412173.5</v>
      </c>
      <c r="AB11" s="155">
        <f>Datos_Origen[[#This Row],[Variable]]+Datos_Origen[[#This Row],[Garantizado]]</f>
        <v>2412173.5</v>
      </c>
      <c r="AC11" s="155">
        <f>Datos_Origen[[#This Row],[Beneficios]]+Datos_Origen[[#This Row],[Variable]]+Datos_Origen[[#This Row],[Garantizado]]</f>
        <v>2412173.5</v>
      </c>
      <c r="AD11" s="156">
        <v>14.12</v>
      </c>
      <c r="AE11" s="141">
        <v>230</v>
      </c>
      <c r="AF11" s="345">
        <v>5.2199999999999998E-3</v>
      </c>
      <c r="AG11" s="155">
        <f>Datos_Origen[[#This Row],[Básico Actual]]*230/Datos_Origen[[#This Row],['# horas mes]]</f>
        <v>2050000</v>
      </c>
      <c r="AH11" s="157">
        <v>2050000</v>
      </c>
      <c r="AI11" s="158"/>
      <c r="AJ11" s="158">
        <f>(((Datos_Origen[[#This Row],[Básico]])/30)*$AJ$6)/12</f>
        <v>0</v>
      </c>
      <c r="AK11" s="158"/>
      <c r="AL11" s="143">
        <f>((Datos_Origen[[#This Row],[Básico]])/30)*$AL$6/12</f>
        <v>0</v>
      </c>
      <c r="AM11" s="158"/>
      <c r="AN11" s="158"/>
      <c r="AO11" s="158"/>
      <c r="AP11" s="158"/>
      <c r="AQ11" s="158"/>
      <c r="AR11" s="149">
        <v>0</v>
      </c>
      <c r="AS11" s="149"/>
      <c r="AT11" s="159" t="str">
        <f>IFERROR(Datos_Origen[[#This Row],[Comisiones Target]]/Datos_Origen[[#This Row],[Promedio de Comisiones  ]],"")</f>
        <v/>
      </c>
      <c r="AU11" s="160"/>
      <c r="AV11" s="143">
        <v>0</v>
      </c>
      <c r="AW11" s="160"/>
      <c r="AX11" s="143">
        <f>Datos_Origen[[#This Row],[N Salarios de la Bonificación2]]*Datos_Origen[[#This Row],[Básico]]/12</f>
        <v>0</v>
      </c>
      <c r="AY11" s="160"/>
      <c r="AZ11" s="158"/>
      <c r="BA11" s="149">
        <v>0</v>
      </c>
      <c r="BB11" s="149"/>
      <c r="BC11" s="149"/>
      <c r="BD11" s="149"/>
      <c r="BE11" s="149"/>
      <c r="BF11" s="149"/>
      <c r="BG11" s="149"/>
      <c r="BH11" s="149"/>
      <c r="BI11" s="149"/>
      <c r="BJ11" s="149"/>
      <c r="BK11" s="159">
        <f>IFERROR(Datos_Origen[[#This Row],[Variable]]/Datos_Origen[[#This Row],[CT]],"")</f>
        <v>0</v>
      </c>
      <c r="BL11" s="159">
        <f>IFERROR(Datos_Origen[[#This Row],[Beneficios]]/Datos_Origen[[#This Row],[CT]],"")</f>
        <v>0</v>
      </c>
      <c r="BM11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2380388.5736947823</v>
      </c>
      <c r="BN11" s="161">
        <f>Datos_Origen[[#This Row],[G]]/Datos_Origen[[#This Row],[Geq]]</f>
        <v>1.0133528309858595</v>
      </c>
      <c r="BO11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2581735.7909503947</v>
      </c>
      <c r="BP11" s="161">
        <f>Datos_Origen[[#This Row],[G+V]]/Datos_Origen[[#This Row],[G+Veq]]</f>
        <v>0.93432236887107067</v>
      </c>
      <c r="BQ11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2584918.4911405994</v>
      </c>
      <c r="BR11" s="161">
        <f>Datos_Origen[[#This Row],[CT]]/Datos_Origen[[#This Row],[CTeq]]</f>
        <v>0.93317197747911373</v>
      </c>
      <c r="BS11" s="139">
        <f>ROUNDUP(VLOOKUP(Datos_Origen[[#This Row],[Categoria]],Competitividad_1[#All],2,0)*IndiceIncrementoC,-3)</f>
        <v>2348000</v>
      </c>
      <c r="BT11" s="161">
        <f>Datos_Origen[[#This Row],[G]]/Datos_Origen[[#This Row],[GQ1]]</f>
        <v>1.027331132879046</v>
      </c>
      <c r="BU11" s="155">
        <f>ROUNDUP(VLOOKUP(Datos_Origen[[#This Row],[Categoria]],Competitividad_1[#All],3,0)*IndiceIncrementoC,-3)</f>
        <v>2445000</v>
      </c>
      <c r="BV11" s="161">
        <f>Datos_Origen[[#This Row],[G+V]]/Datos_Origen[[#This Row],[G+VQ1]]</f>
        <v>0.98657402862985688</v>
      </c>
      <c r="BW11" s="155">
        <f>ROUNDUP(VLOOKUP(Datos_Origen[[#This Row],[Categoria]],Competitividad_1[#All],4,0)*IndiceIncrementoC,-3)</f>
        <v>2540000</v>
      </c>
      <c r="BX11" s="161">
        <f>Datos_Origen[[#This Row],[CT]]/Datos_Origen[[#This Row],[CTQ1]]</f>
        <v>0.94967460629921263</v>
      </c>
      <c r="BY11" s="155">
        <f>ROUNDUP(VLOOKUP(Datos_Origen[[#This Row],[Categoria]],Competitividad_1[#All],5,0)*IndiceIncrementoC,-3)</f>
        <v>2838000</v>
      </c>
      <c r="BZ11" s="161">
        <f>Datos_Origen[[#This Row],[G]]/Datos_Origen[[#This Row],[GMd]]</f>
        <v>0.84995542635658916</v>
      </c>
      <c r="CA11" s="155">
        <f>ROUNDUP(VLOOKUP(Datos_Origen[[#This Row],[Categoria]],Competitividad_1[#All],6,0)*IndiceIncrementoC,-3)</f>
        <v>2891000</v>
      </c>
      <c r="CB11" s="161">
        <f>Datos_Origen[[#This Row],[G+V]]/Datos_Origen[[#This Row],[G+VMd]]</f>
        <v>0.83437340020754069</v>
      </c>
      <c r="CC11" s="155">
        <f>ROUNDUP(VLOOKUP(Datos_Origen[[#This Row],[Categoria]],Competitividad_1[#All],7,0)*IndiceIncrementoC,-3)</f>
        <v>3009000</v>
      </c>
      <c r="CD11" s="161">
        <f>Datos_Origen[[#This Row],[CT]]/Datos_Origen[[#This Row],[CTMd]]</f>
        <v>0.80165287470920576</v>
      </c>
      <c r="CE11" s="155">
        <f>+Datos_Origen[[#This Row],[GMd]]/1.17666666667</f>
        <v>2411898.0169903343</v>
      </c>
      <c r="CF11" s="161">
        <f>+Datos_Origen[[#This Row],[Básico Actual]]/Datos_Origen[[#This Row],[Salario Basico Md]]</f>
        <v>0.84995301856007766</v>
      </c>
      <c r="CG11" s="155">
        <f>ROUNDUP(VLOOKUP(Datos_Origen[[#This Row],[Categoria]],Competitividad_1[#All],8,0)*IndiceIncrementoC,-3)</f>
        <v>3683000</v>
      </c>
      <c r="CH11" s="161">
        <f>Datos_Origen[[#This Row],[G]]/Datos_Origen[[#This Row],[GQ3]]</f>
        <v>0.65494800434428457</v>
      </c>
      <c r="CI11" s="155">
        <f>ROUNDUP(VLOOKUP(Datos_Origen[[#This Row],[Categoria]],Competitividad_1[#All],9,0)*IndiceIncrementoC,-3)</f>
        <v>3794000</v>
      </c>
      <c r="CJ11" s="161">
        <f>Datos_Origen[[#This Row],[G+V]]/Datos_Origen[[#This Row],[G+VQ3]]</f>
        <v>0.63578637322087506</v>
      </c>
      <c r="CK11" s="155">
        <f>ROUNDUP(VLOOKUP(Datos_Origen[[#This Row],[Categoria]],Competitividad_1[#All],10,0)*IndiceIncrementoC,-3)</f>
        <v>3904000</v>
      </c>
      <c r="CL11" s="161">
        <f>Datos_Origen[[#This Row],[CT]]/Datos_Origen[[#This Row],[CTQ3]]</f>
        <v>0.6178723104508197</v>
      </c>
      <c r="CM11" s="162">
        <f>IF(ROUND(Datos_Origen[[#This Row],[Salario Ordinario Pol2]],-3)&lt;SMMLV,SMMLV,ROUND(Datos_Origen[[#This Row],[Salario Ordinario Pol2]],-3))</f>
        <v>1841000</v>
      </c>
      <c r="CN11" s="155">
        <f>IF(Datos_Origen[[#This Row],[Gpol]]/(1+FactorPrestacionalOrdinario)&lt;SMMLV,SMMLV,Datos_Origen[[#This Row],[Gpol]]/(1+FactorPrestacionalOrdinario))</f>
        <v>2301416.4305949006</v>
      </c>
      <c r="CO11" s="161">
        <f>IFERROR(IF(Datos_Origen[[#This Row],[Salarios Año]]=14.12,Datos_Origen[[#This Row],[Básico]]/Datos_Origen[[#This Row],[Salario Ordinario Pol]],""),"")</f>
        <v>0.89075578532742505</v>
      </c>
      <c r="CP11" s="155">
        <f>IF(ROUND(Datos_Origen[[#This Row],[Salario Ordinario Pol22]],-3)&lt;SMMLV,SMMLV,ROUND(Datos_Origen[[#This Row],[Salario Ordinario Pol22]],-3))</f>
        <v>2762000</v>
      </c>
      <c r="CQ11" s="155" t="str">
        <f>IFERROR(ROUND(Datos_Origen[[#This Row],[Salario Integral Pol4]],-3),"")</f>
        <v/>
      </c>
      <c r="CR11" s="139" t="str">
        <f>IF((Datos_Origen[[#This Row],[Gpol]]/(1+FactorPrestacionalIntegral))&lt;(13*SMMLV),"",(Datos_Origen[[#This Row],[Gpol]]/(1+FactorPrestacionalIntegral)))</f>
        <v/>
      </c>
      <c r="CS11" s="161" t="str">
        <f>IFERROR(IF(Datos_Origen[[#This Row],[Salarios Año]]=12,Datos_Origen[[#This Row],[Básico]]/Datos_Origen[[#This Row],[Salario Integral Pol]],""),"")</f>
        <v/>
      </c>
      <c r="CT11" s="155" t="str">
        <f>IFERROR(ROUND(Datos_Origen[[#This Row],[Salario Integral Pol44]],-3),"")</f>
        <v/>
      </c>
      <c r="CU11" s="155">
        <f>Datos_Origen[[#This Row],[G+Vpol]]-Datos_Origen[[#This Row],[Variable]]</f>
        <v>2708000</v>
      </c>
      <c r="CV11" s="161">
        <f>Datos_Origen[[#This Row],[G]]/Datos_Origen[[#This Row],[Gpol]]</f>
        <v>0.89075830871491879</v>
      </c>
      <c r="CW11" s="154">
        <f>Datos_Origen[[#This Row],[Ctpol]]-Datos_Origen[[#This Row],[Beneficios]]</f>
        <v>2708000</v>
      </c>
      <c r="CX11" s="161">
        <f>Datos_Origen[[#This Row],[G+V]]/Datos_Origen[[#This Row],[G+Vpol]]</f>
        <v>0.89075830871491879</v>
      </c>
      <c r="CY11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2708000</v>
      </c>
      <c r="CZ11" s="161">
        <f>Datos_Origen[[#This Row],[CT]]/Datos_Origen[[#This Row],[Ctpol]]</f>
        <v>0.89075830871491879</v>
      </c>
      <c r="DA11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2050000</v>
      </c>
      <c r="DB11" s="158">
        <f>IF(Datos_Origen[[#This Row],[Básico]]&lt;10*SMMLV,0,Datos_Origen[[#This Row],[Base Seguridad Social Actual]]*8.5%)</f>
        <v>0</v>
      </c>
      <c r="DC11" s="158">
        <f>Datos_Origen[[#This Row],[Base Seguridad Social Actual]]*12%</f>
        <v>246000</v>
      </c>
      <c r="DD11" s="158">
        <f>Datos_Origen[[#This Row],[Base Seguridad Social Actual]]*Datos_Origen[[#This Row],[%ARL]]</f>
        <v>10701</v>
      </c>
      <c r="DE11" s="158">
        <f>IF(Datos_Origen[[#This Row],[Básico]]&lt;10*SMMLV,Datos_Origen[[#This Row],[Base Seguridad Social Actual]]*4%,Datos_Origen[[#This Row],[Base Seguridad Social Actual]]*9%)</f>
        <v>82000</v>
      </c>
      <c r="DF11" s="158">
        <f>Datos_Origen[[#This Row],[Salud]]+Datos_Origen[[#This Row],[Pensión]]+Datos_Origen[[#This Row],[ARL]]+Datos_Origen[[#This Row],[Parafiscales]]</f>
        <v>338701</v>
      </c>
      <c r="DG11" s="163">
        <f>Datos_Origen[[#This Row],[Costo Laboral Actual]]+Datos_Origen[[#This Row],[CT]]</f>
        <v>2750874.5</v>
      </c>
      <c r="DH11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2301416.4305949006</v>
      </c>
      <c r="DI11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1" s="158">
        <f>Datos_Origen[[#This Row],[Base Seguridad Social Nueva]]*12%</f>
        <v>276169.97167138808</v>
      </c>
      <c r="DK11" s="158">
        <f>Datos_Origen[[#This Row],[Base Seguridad Social Nueva]]*Datos_Origen[[#This Row],[%ARL]]</f>
        <v>12013.39376770538</v>
      </c>
      <c r="DL11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92056.657223796021</v>
      </c>
      <c r="DM11" s="158">
        <f>Datos_Origen[[#This Row],[Salud Nueva]]+Datos_Origen[[#This Row],[Pensión Nueva]]+Datos_Origen[[#This Row],[ARL nueva]]+Datos_Origen[[#This Row],[Parafiscales Nuevos]]</f>
        <v>380240.02266288945</v>
      </c>
      <c r="DN11" s="158">
        <f>Datos_Origen[[#This Row],[Costo Laboral Nuevo]]+Datos_Origen[[#This Row],[Ctpol]]</f>
        <v>3088240.0226628892</v>
      </c>
      <c r="DO11" s="158">
        <f>IF(Datos_Origen[[#This Row],[Ctpol]]-Datos_Origen[[#This Row],[CT]]&lt;=0,0,Datos_Origen[[#This Row],[Costo Total Nuevo]]-Datos_Origen[[#This Row],[Costo Total Actual]])</f>
        <v>337365.52266288921</v>
      </c>
      <c r="DP11" s="158">
        <f>IF(Datos_Origen[[#This Row],[Ctpol]]-Datos_Origen[[#This Row],[CT]]&lt;=0,0,Datos_Origen[[#This Row],[Ctpol]]-Datos_Origen[[#This Row],[CT]])</f>
        <v>295826.5</v>
      </c>
      <c r="DQ11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41539.022662889445</v>
      </c>
      <c r="DR11" s="158">
        <f>ROUNDDOWN(VLOOKUP(Datos_Origen[[#This Row],[Categoria]],Competitividad_1[],7,0)*IndiceIncrementoC,-3)</f>
        <v>3008000</v>
      </c>
      <c r="DS11" s="158">
        <f>Datos_Origen[[#This Row],[CTeq]]*0.8</f>
        <v>2067934.7929124795</v>
      </c>
      <c r="DT11" s="158">
        <f>Datos_Origen[[#This Row],[CTeq]]*1.2</f>
        <v>3101902.1893687192</v>
      </c>
      <c r="DU11" s="155">
        <f>IF(Datos_Origen[[#This Row],[Gpol6]]/(1+FactorPrestacionalOrdinario)&lt;SMMLV,SMMLV,Datos_Origen[[#This Row],[Gpol6]]/(1+FactorPrestacionalOrdinario))</f>
        <v>1841133.1444759206</v>
      </c>
      <c r="DV11" s="139" t="str">
        <f>IF((Datos_Origen[[#This Row],[Gpol6]]/(1+FactorPrestacionalIntegral))&lt;(13*SMMLV),"",(Datos_Origen[[#This Row],[Gpol6]]/(1+FactorPrestacionalIntegral)))</f>
        <v/>
      </c>
      <c r="DW11" s="154">
        <f>Datos_Origen[[#This Row],[G+Vpol8]]</f>
        <v>2166400</v>
      </c>
      <c r="DX11" s="154">
        <f>Datos_Origen[[#This Row],[Ctpol10]]-Datos_Origen[[#This Row],[Beneficios]]</f>
        <v>2166400</v>
      </c>
      <c r="DY11" s="154">
        <f>Datos_Origen[[#This Row],[Ctpol]]*$CM$6</f>
        <v>2166400</v>
      </c>
      <c r="DZ11" s="155">
        <f>IF(Datos_Origen[[#This Row],[Gpol66]]/(1+FactorPrestacionalOrdinario)&lt;SMMLV,SMMLV,Datos_Origen[[#This Row],[Gpol66]]/(1+FactorPrestacionalOrdinario))</f>
        <v>2761699.7167138807</v>
      </c>
      <c r="EA11" s="139" t="str">
        <f>IF((Datos_Origen[[#This Row],[Gpol66]]/(1+FactorPrestacionalIntegral))&lt;(13*SMMLV),"",(Datos_Origen[[#This Row],[Gpol66]]/(1+FactorPrestacionalIntegral)))</f>
        <v/>
      </c>
      <c r="EB11" s="154">
        <f>Datos_Origen[[#This Row],[G+Vpol88]]</f>
        <v>3249600</v>
      </c>
      <c r="EC11" s="154">
        <f>Datos_Origen[[#This Row],[Ctpol1010]]-Datos_Origen[[#This Row],[Beneficios]]</f>
        <v>3249600</v>
      </c>
      <c r="ED11" s="154">
        <f>Datos_Origen[[#This Row],[Ctpol]]*$CP$6</f>
        <v>3249600</v>
      </c>
      <c r="EE11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2" spans="2:135">
      <c r="B12" s="148"/>
      <c r="C12" s="149"/>
      <c r="D12" s="150"/>
      <c r="E12" s="151"/>
      <c r="F12" s="151"/>
      <c r="G12" s="150" t="s">
        <v>354</v>
      </c>
      <c r="H12" s="153"/>
      <c r="I12" s="152" t="s">
        <v>354</v>
      </c>
      <c r="J12" s="130" t="str">
        <f>IFERROR(VLOOKUP(Datos_Origen[[#This Row],[Cargo Tipo Valorado]],Cargos_Catalogo[[#All],[Cargo]:[Área]],2,0),"")</f>
        <v xml:space="preserve">Director logistico </v>
      </c>
      <c r="K12" s="153"/>
      <c r="L12" s="153"/>
      <c r="M12" s="153"/>
      <c r="N12" s="153"/>
      <c r="O12" s="154">
        <f>Datos_Origen[[#This Row],[Segmentación Individual]]</f>
        <v>0</v>
      </c>
      <c r="P12" s="153"/>
      <c r="Q12" s="154">
        <f>VLOOKUP(Datos_Origen[[#This Row],[Cargo Tipo Valorado]],Cargos_Catalogo[#Data],MATCH(Cargos_Catalogo[[#Headers],[Puntos]],Cargos_Catalogo[#Headers],0),FALSE)</f>
        <v>168</v>
      </c>
      <c r="R12" s="130">
        <f>VLOOKUP(Datos_Origen[[#This Row],[Puntos valoración]],Categorias_Registro[#Data],MATCH(Categorias_Registro[[#Headers],[Categoria]],Categorias_Registro[#Headers],0),FALSE)</f>
        <v>5</v>
      </c>
      <c r="S12" s="130" t="str">
        <f>VLOOKUP(Datos_Origen[[#This Row],[Cargo Tipo Valorado]],Cargos_Catalogo[#Data],MATCH(Cargos_Catalogo[[#Headers],[Nivel SHR]],Cargos_Catalogo[#Headers],0),FALSE)</f>
        <v>Operativo</v>
      </c>
      <c r="T12" s="130" t="str">
        <f>VLOOKUP(Datos_Origen[[#This Row],[Cargo Tipo Valorado]],Cargos_Catalogo[#Data],MATCH(Cargos_Catalogo[[#Headers],[Criticidad]],Cargos_Catalogo[#Headers],0),FALSE)</f>
        <v>Relevante</v>
      </c>
      <c r="U12" s="154">
        <f>VLOOKUP(Datos_Origen[[#This Row],[Puntos valoración]],Categorias_Registro[#Data],5,FALSE)</f>
        <v>164</v>
      </c>
      <c r="V12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2412173.5</v>
      </c>
      <c r="W12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2" s="154">
        <f>SUMIF($BA$5:$BJ$5,"NCS",Datos_Origen[[#This Row],[auxilio Gasolina]:[Otro Beneficio10]])+(SUMIF($BA$5:$BJ$5,"CS",Datos_Origen[[#This Row],[auxilio Gasolina]:[Otro Beneficio10]])*1.17667)</f>
        <v>0</v>
      </c>
      <c r="Y12" s="155">
        <f>Datos_Origen[[#This Row],[Básico]]+Datos_Origen[[#This Row],[Promedio de Comisiones  ]]</f>
        <v>2050000</v>
      </c>
      <c r="Z12" s="155">
        <f>Datos_Origen[[#This Row],[Básico]]+Datos_Origen[[#This Row],[Promedio de Comisiones  ]]</f>
        <v>2050000</v>
      </c>
      <c r="AA12" s="155">
        <f>Datos_Origen[[#This Row],[Garantizado]]</f>
        <v>2412173.5</v>
      </c>
      <c r="AB12" s="155">
        <f>Datos_Origen[[#This Row],[Variable]]+Datos_Origen[[#This Row],[Garantizado]]</f>
        <v>2412173.5</v>
      </c>
      <c r="AC12" s="155">
        <f>Datos_Origen[[#This Row],[Beneficios]]+Datos_Origen[[#This Row],[Variable]]+Datos_Origen[[#This Row],[Garantizado]]</f>
        <v>2412173.5</v>
      </c>
      <c r="AD12" s="156">
        <v>14.12</v>
      </c>
      <c r="AE12" s="141">
        <v>230</v>
      </c>
      <c r="AF12" s="345">
        <v>5.2199999999999998E-3</v>
      </c>
      <c r="AG12" s="155">
        <f>Datos_Origen[[#This Row],[Básico Actual]]*230/Datos_Origen[[#This Row],['# horas mes]]</f>
        <v>2050000</v>
      </c>
      <c r="AH12" s="157">
        <v>2050000</v>
      </c>
      <c r="AI12" s="158"/>
      <c r="AJ12" s="158">
        <f>(((Datos_Origen[[#This Row],[Básico]])/30)*$AJ$6)/12</f>
        <v>0</v>
      </c>
      <c r="AK12" s="158"/>
      <c r="AL12" s="143">
        <f>((Datos_Origen[[#This Row],[Básico]])/30)*$AL$6/12</f>
        <v>0</v>
      </c>
      <c r="AM12" s="158"/>
      <c r="AN12" s="158"/>
      <c r="AO12" s="158"/>
      <c r="AP12" s="158"/>
      <c r="AQ12" s="158"/>
      <c r="AR12" s="149">
        <v>0</v>
      </c>
      <c r="AS12" s="149"/>
      <c r="AT12" s="159" t="str">
        <f>IFERROR(Datos_Origen[[#This Row],[Comisiones Target]]/Datos_Origen[[#This Row],[Promedio de Comisiones  ]],"")</f>
        <v/>
      </c>
      <c r="AU12" s="160"/>
      <c r="AV12" s="143">
        <v>0</v>
      </c>
      <c r="AW12" s="160"/>
      <c r="AX12" s="143">
        <f>Datos_Origen[[#This Row],[N Salarios de la Bonificación2]]*Datos_Origen[[#This Row],[Básico]]/12</f>
        <v>0</v>
      </c>
      <c r="AY12" s="160"/>
      <c r="AZ12" s="158"/>
      <c r="BA12" s="149">
        <v>0</v>
      </c>
      <c r="BB12" s="149"/>
      <c r="BC12" s="149"/>
      <c r="BD12" s="149"/>
      <c r="BE12" s="149"/>
      <c r="BF12" s="149"/>
      <c r="BG12" s="149"/>
      <c r="BH12" s="149"/>
      <c r="BI12" s="149"/>
      <c r="BJ12" s="149"/>
      <c r="BK12" s="159">
        <f>IFERROR(Datos_Origen[[#This Row],[Variable]]/Datos_Origen[[#This Row],[CT]],"")</f>
        <v>0</v>
      </c>
      <c r="BL12" s="159">
        <f>IFERROR(Datos_Origen[[#This Row],[Beneficios]]/Datos_Origen[[#This Row],[CT]],"")</f>
        <v>0</v>
      </c>
      <c r="BM12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2380388.5736947823</v>
      </c>
      <c r="BN12" s="161">
        <f>Datos_Origen[[#This Row],[G]]/Datos_Origen[[#This Row],[Geq]]</f>
        <v>1.0133528309858595</v>
      </c>
      <c r="BO12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2581735.7909503947</v>
      </c>
      <c r="BP12" s="161">
        <f>Datos_Origen[[#This Row],[G+V]]/Datos_Origen[[#This Row],[G+Veq]]</f>
        <v>0.93432236887107067</v>
      </c>
      <c r="BQ12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2584918.4911405994</v>
      </c>
      <c r="BR12" s="161">
        <f>Datos_Origen[[#This Row],[CT]]/Datos_Origen[[#This Row],[CTeq]]</f>
        <v>0.93317197747911373</v>
      </c>
      <c r="BS12" s="139">
        <f>ROUNDUP(VLOOKUP(Datos_Origen[[#This Row],[Categoria]],Competitividad_1[#All],2,0)*IndiceIncrementoC,-3)</f>
        <v>2348000</v>
      </c>
      <c r="BT12" s="161">
        <f>Datos_Origen[[#This Row],[G]]/Datos_Origen[[#This Row],[GQ1]]</f>
        <v>1.027331132879046</v>
      </c>
      <c r="BU12" s="155">
        <f>ROUNDUP(VLOOKUP(Datos_Origen[[#This Row],[Categoria]],Competitividad_1[#All],3,0)*IndiceIncrementoC,-3)</f>
        <v>2445000</v>
      </c>
      <c r="BV12" s="161">
        <f>Datos_Origen[[#This Row],[G+V]]/Datos_Origen[[#This Row],[G+VQ1]]</f>
        <v>0.98657402862985688</v>
      </c>
      <c r="BW12" s="155">
        <f>ROUNDUP(VLOOKUP(Datos_Origen[[#This Row],[Categoria]],Competitividad_1[#All],4,0)*IndiceIncrementoC,-3)</f>
        <v>2540000</v>
      </c>
      <c r="BX12" s="161">
        <f>Datos_Origen[[#This Row],[CT]]/Datos_Origen[[#This Row],[CTQ1]]</f>
        <v>0.94967460629921263</v>
      </c>
      <c r="BY12" s="155">
        <f>ROUNDUP(VLOOKUP(Datos_Origen[[#This Row],[Categoria]],Competitividad_1[#All],5,0)*IndiceIncrementoC,-3)</f>
        <v>2838000</v>
      </c>
      <c r="BZ12" s="161">
        <f>Datos_Origen[[#This Row],[G]]/Datos_Origen[[#This Row],[GMd]]</f>
        <v>0.84995542635658916</v>
      </c>
      <c r="CA12" s="155">
        <f>ROUNDUP(VLOOKUP(Datos_Origen[[#This Row],[Categoria]],Competitividad_1[#All],6,0)*IndiceIncrementoC,-3)</f>
        <v>2891000</v>
      </c>
      <c r="CB12" s="161">
        <f>Datos_Origen[[#This Row],[G+V]]/Datos_Origen[[#This Row],[G+VMd]]</f>
        <v>0.83437340020754069</v>
      </c>
      <c r="CC12" s="155">
        <f>ROUNDUP(VLOOKUP(Datos_Origen[[#This Row],[Categoria]],Competitividad_1[#All],7,0)*IndiceIncrementoC,-3)</f>
        <v>3009000</v>
      </c>
      <c r="CD12" s="161">
        <f>Datos_Origen[[#This Row],[CT]]/Datos_Origen[[#This Row],[CTMd]]</f>
        <v>0.80165287470920576</v>
      </c>
      <c r="CE12" s="155">
        <f>+Datos_Origen[[#This Row],[GMd]]/1.17666666667</f>
        <v>2411898.0169903343</v>
      </c>
      <c r="CF12" s="161">
        <f>+Datos_Origen[[#This Row],[Básico Actual]]/Datos_Origen[[#This Row],[Salario Basico Md]]</f>
        <v>0.84995301856007766</v>
      </c>
      <c r="CG12" s="155">
        <f>ROUNDUP(VLOOKUP(Datos_Origen[[#This Row],[Categoria]],Competitividad_1[#All],8,0)*IndiceIncrementoC,-3)</f>
        <v>3683000</v>
      </c>
      <c r="CH12" s="161">
        <f>Datos_Origen[[#This Row],[G]]/Datos_Origen[[#This Row],[GQ3]]</f>
        <v>0.65494800434428457</v>
      </c>
      <c r="CI12" s="155">
        <f>ROUNDUP(VLOOKUP(Datos_Origen[[#This Row],[Categoria]],Competitividad_1[#All],9,0)*IndiceIncrementoC,-3)</f>
        <v>3794000</v>
      </c>
      <c r="CJ12" s="161">
        <f>Datos_Origen[[#This Row],[G+V]]/Datos_Origen[[#This Row],[G+VQ3]]</f>
        <v>0.63578637322087506</v>
      </c>
      <c r="CK12" s="155">
        <f>ROUNDUP(VLOOKUP(Datos_Origen[[#This Row],[Categoria]],Competitividad_1[#All],10,0)*IndiceIncrementoC,-3)</f>
        <v>3904000</v>
      </c>
      <c r="CL12" s="161">
        <f>Datos_Origen[[#This Row],[CT]]/Datos_Origen[[#This Row],[CTQ3]]</f>
        <v>0.6178723104508197</v>
      </c>
      <c r="CM12" s="162">
        <f>IF(ROUND(Datos_Origen[[#This Row],[Salario Ordinario Pol2]],-3)&lt;SMMLV,SMMLV,ROUND(Datos_Origen[[#This Row],[Salario Ordinario Pol2]],-3))</f>
        <v>1841000</v>
      </c>
      <c r="CN12" s="155">
        <f>IF(Datos_Origen[[#This Row],[Gpol]]/(1+FactorPrestacionalOrdinario)&lt;SMMLV,SMMLV,Datos_Origen[[#This Row],[Gpol]]/(1+FactorPrestacionalOrdinario))</f>
        <v>2301416.4305949006</v>
      </c>
      <c r="CO12" s="161">
        <f>IFERROR(IF(Datos_Origen[[#This Row],[Salarios Año]]=14.12,Datos_Origen[[#This Row],[Básico]]/Datos_Origen[[#This Row],[Salario Ordinario Pol]],""),"")</f>
        <v>0.89075578532742505</v>
      </c>
      <c r="CP12" s="155">
        <f>IF(ROUND(Datos_Origen[[#This Row],[Salario Ordinario Pol22]],-3)&lt;SMMLV,SMMLV,ROUND(Datos_Origen[[#This Row],[Salario Ordinario Pol22]],-3))</f>
        <v>2762000</v>
      </c>
      <c r="CQ12" s="155" t="str">
        <f>IFERROR(ROUND(Datos_Origen[[#This Row],[Salario Integral Pol4]],-3),"")</f>
        <v/>
      </c>
      <c r="CR12" s="139" t="str">
        <f>IF((Datos_Origen[[#This Row],[Gpol]]/(1+FactorPrestacionalIntegral))&lt;(13*SMMLV),"",(Datos_Origen[[#This Row],[Gpol]]/(1+FactorPrestacionalIntegral)))</f>
        <v/>
      </c>
      <c r="CS12" s="161" t="str">
        <f>IFERROR(IF(Datos_Origen[[#This Row],[Salarios Año]]=12,Datos_Origen[[#This Row],[Básico]]/Datos_Origen[[#This Row],[Salario Integral Pol]],""),"")</f>
        <v/>
      </c>
      <c r="CT12" s="155" t="str">
        <f>IFERROR(ROUND(Datos_Origen[[#This Row],[Salario Integral Pol44]],-3),"")</f>
        <v/>
      </c>
      <c r="CU12" s="155">
        <f>Datos_Origen[[#This Row],[G+Vpol]]-Datos_Origen[[#This Row],[Variable]]</f>
        <v>2708000</v>
      </c>
      <c r="CV12" s="161">
        <f>Datos_Origen[[#This Row],[G]]/Datos_Origen[[#This Row],[Gpol]]</f>
        <v>0.89075830871491879</v>
      </c>
      <c r="CW12" s="154">
        <f>Datos_Origen[[#This Row],[Ctpol]]-Datos_Origen[[#This Row],[Beneficios]]</f>
        <v>2708000</v>
      </c>
      <c r="CX12" s="161">
        <f>Datos_Origen[[#This Row],[G+V]]/Datos_Origen[[#This Row],[G+Vpol]]</f>
        <v>0.89075830871491879</v>
      </c>
      <c r="CY12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2708000</v>
      </c>
      <c r="CZ12" s="161">
        <f>Datos_Origen[[#This Row],[CT]]/Datos_Origen[[#This Row],[Ctpol]]</f>
        <v>0.89075830871491879</v>
      </c>
      <c r="DA12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2050000</v>
      </c>
      <c r="DB12" s="158">
        <f>IF(Datos_Origen[[#This Row],[Básico]]&lt;10*SMMLV,0,Datos_Origen[[#This Row],[Base Seguridad Social Actual]]*8.5%)</f>
        <v>0</v>
      </c>
      <c r="DC12" s="158">
        <f>Datos_Origen[[#This Row],[Base Seguridad Social Actual]]*12%</f>
        <v>246000</v>
      </c>
      <c r="DD12" s="158">
        <f>Datos_Origen[[#This Row],[Base Seguridad Social Actual]]*Datos_Origen[[#This Row],[%ARL]]</f>
        <v>10701</v>
      </c>
      <c r="DE12" s="158">
        <f>IF(Datos_Origen[[#This Row],[Básico]]&lt;10*SMMLV,Datos_Origen[[#This Row],[Base Seguridad Social Actual]]*4%,Datos_Origen[[#This Row],[Base Seguridad Social Actual]]*9%)</f>
        <v>82000</v>
      </c>
      <c r="DF12" s="158">
        <f>Datos_Origen[[#This Row],[Salud]]+Datos_Origen[[#This Row],[Pensión]]+Datos_Origen[[#This Row],[ARL]]+Datos_Origen[[#This Row],[Parafiscales]]</f>
        <v>338701</v>
      </c>
      <c r="DG12" s="163">
        <f>Datos_Origen[[#This Row],[Costo Laboral Actual]]+Datos_Origen[[#This Row],[CT]]</f>
        <v>2750874.5</v>
      </c>
      <c r="DH12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2301416.4305949006</v>
      </c>
      <c r="DI12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2" s="158">
        <f>Datos_Origen[[#This Row],[Base Seguridad Social Nueva]]*12%</f>
        <v>276169.97167138808</v>
      </c>
      <c r="DK12" s="158">
        <f>Datos_Origen[[#This Row],[Base Seguridad Social Nueva]]*Datos_Origen[[#This Row],[%ARL]]</f>
        <v>12013.39376770538</v>
      </c>
      <c r="DL12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92056.657223796021</v>
      </c>
      <c r="DM12" s="158">
        <f>Datos_Origen[[#This Row],[Salud Nueva]]+Datos_Origen[[#This Row],[Pensión Nueva]]+Datos_Origen[[#This Row],[ARL nueva]]+Datos_Origen[[#This Row],[Parafiscales Nuevos]]</f>
        <v>380240.02266288945</v>
      </c>
      <c r="DN12" s="158">
        <f>Datos_Origen[[#This Row],[Costo Laboral Nuevo]]+Datos_Origen[[#This Row],[Ctpol]]</f>
        <v>3088240.0226628892</v>
      </c>
      <c r="DO12" s="158">
        <f>IF(Datos_Origen[[#This Row],[Ctpol]]-Datos_Origen[[#This Row],[CT]]&lt;=0,0,Datos_Origen[[#This Row],[Costo Total Nuevo]]-Datos_Origen[[#This Row],[Costo Total Actual]])</f>
        <v>337365.52266288921</v>
      </c>
      <c r="DP12" s="158">
        <f>IF(Datos_Origen[[#This Row],[Ctpol]]-Datos_Origen[[#This Row],[CT]]&lt;=0,0,Datos_Origen[[#This Row],[Ctpol]]-Datos_Origen[[#This Row],[CT]])</f>
        <v>295826.5</v>
      </c>
      <c r="DQ12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41539.022662889445</v>
      </c>
      <c r="DR12" s="158">
        <f>ROUNDDOWN(VLOOKUP(Datos_Origen[[#This Row],[Categoria]],Competitividad_1[],7,0)*IndiceIncrementoC,-3)</f>
        <v>3008000</v>
      </c>
      <c r="DS12" s="158">
        <f>Datos_Origen[[#This Row],[CTeq]]*0.8</f>
        <v>2067934.7929124795</v>
      </c>
      <c r="DT12" s="158">
        <f>Datos_Origen[[#This Row],[CTeq]]*1.2</f>
        <v>3101902.1893687192</v>
      </c>
      <c r="DU12" s="155">
        <f>IF(Datos_Origen[[#This Row],[Gpol6]]/(1+FactorPrestacionalOrdinario)&lt;SMMLV,SMMLV,Datos_Origen[[#This Row],[Gpol6]]/(1+FactorPrestacionalOrdinario))</f>
        <v>1841133.1444759206</v>
      </c>
      <c r="DV12" s="139" t="str">
        <f>IF((Datos_Origen[[#This Row],[Gpol6]]/(1+FactorPrestacionalIntegral))&lt;(13*SMMLV),"",(Datos_Origen[[#This Row],[Gpol6]]/(1+FactorPrestacionalIntegral)))</f>
        <v/>
      </c>
      <c r="DW12" s="154">
        <f>Datos_Origen[[#This Row],[G+Vpol8]]</f>
        <v>2166400</v>
      </c>
      <c r="DX12" s="154">
        <f>Datos_Origen[[#This Row],[Ctpol10]]-Datos_Origen[[#This Row],[Beneficios]]</f>
        <v>2166400</v>
      </c>
      <c r="DY12" s="154">
        <f>Datos_Origen[[#This Row],[Ctpol]]*$CM$6</f>
        <v>2166400</v>
      </c>
      <c r="DZ12" s="155">
        <f>IF(Datos_Origen[[#This Row],[Gpol66]]/(1+FactorPrestacionalOrdinario)&lt;SMMLV,SMMLV,Datos_Origen[[#This Row],[Gpol66]]/(1+FactorPrestacionalOrdinario))</f>
        <v>2761699.7167138807</v>
      </c>
      <c r="EA12" s="139" t="str">
        <f>IF((Datos_Origen[[#This Row],[Gpol66]]/(1+FactorPrestacionalIntegral))&lt;(13*SMMLV),"",(Datos_Origen[[#This Row],[Gpol66]]/(1+FactorPrestacionalIntegral)))</f>
        <v/>
      </c>
      <c r="EB12" s="154">
        <f>Datos_Origen[[#This Row],[G+Vpol88]]</f>
        <v>3249600</v>
      </c>
      <c r="EC12" s="154">
        <f>Datos_Origen[[#This Row],[Ctpol1010]]-Datos_Origen[[#This Row],[Beneficios]]</f>
        <v>3249600</v>
      </c>
      <c r="ED12" s="154">
        <f>Datos_Origen[[#This Row],[Ctpol]]*$CP$6</f>
        <v>3249600</v>
      </c>
      <c r="EE12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3" spans="2:135">
      <c r="B13" s="148"/>
      <c r="C13" s="149"/>
      <c r="D13" s="150"/>
      <c r="E13" s="151"/>
      <c r="F13" s="151"/>
      <c r="G13" s="150" t="s">
        <v>354</v>
      </c>
      <c r="H13" s="153"/>
      <c r="I13" s="152" t="s">
        <v>354</v>
      </c>
      <c r="J13" s="130" t="str">
        <f>IFERROR(VLOOKUP(Datos_Origen[[#This Row],[Cargo Tipo Valorado]],Cargos_Catalogo[[#All],[Cargo]:[Área]],2,0),"")</f>
        <v xml:space="preserve">Director logistico </v>
      </c>
      <c r="K13" s="153"/>
      <c r="L13" s="153"/>
      <c r="M13" s="153"/>
      <c r="N13" s="153"/>
      <c r="O13" s="154">
        <f>Datos_Origen[[#This Row],[Segmentación Individual]]</f>
        <v>0</v>
      </c>
      <c r="P13" s="153"/>
      <c r="Q13" s="154">
        <f>VLOOKUP(Datos_Origen[[#This Row],[Cargo Tipo Valorado]],Cargos_Catalogo[#Data],MATCH(Cargos_Catalogo[[#Headers],[Puntos]],Cargos_Catalogo[#Headers],0),FALSE)</f>
        <v>168</v>
      </c>
      <c r="R13" s="130">
        <f>VLOOKUP(Datos_Origen[[#This Row],[Puntos valoración]],Categorias_Registro[#Data],MATCH(Categorias_Registro[[#Headers],[Categoria]],Categorias_Registro[#Headers],0),FALSE)</f>
        <v>5</v>
      </c>
      <c r="S13" s="130" t="str">
        <f>VLOOKUP(Datos_Origen[[#This Row],[Cargo Tipo Valorado]],Cargos_Catalogo[#Data],MATCH(Cargos_Catalogo[[#Headers],[Nivel SHR]],Cargos_Catalogo[#Headers],0),FALSE)</f>
        <v>Operativo</v>
      </c>
      <c r="T13" s="130" t="str">
        <f>VLOOKUP(Datos_Origen[[#This Row],[Cargo Tipo Valorado]],Cargos_Catalogo[#Data],MATCH(Cargos_Catalogo[[#Headers],[Criticidad]],Cargos_Catalogo[#Headers],0),FALSE)</f>
        <v>Relevante</v>
      </c>
      <c r="U13" s="154">
        <f>VLOOKUP(Datos_Origen[[#This Row],[Puntos valoración]],Categorias_Registro[#Data],5,FALSE)</f>
        <v>164</v>
      </c>
      <c r="V13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2412173.5</v>
      </c>
      <c r="W13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3" s="154">
        <f>SUMIF($BA$5:$BJ$5,"NCS",Datos_Origen[[#This Row],[auxilio Gasolina]:[Otro Beneficio10]])+(SUMIF($BA$5:$BJ$5,"CS",Datos_Origen[[#This Row],[auxilio Gasolina]:[Otro Beneficio10]])*1.17667)</f>
        <v>0</v>
      </c>
      <c r="Y13" s="155">
        <f>Datos_Origen[[#This Row],[Básico]]+Datos_Origen[[#This Row],[Promedio de Comisiones  ]]</f>
        <v>2050000</v>
      </c>
      <c r="Z13" s="155">
        <f>Datos_Origen[[#This Row],[Básico]]+Datos_Origen[[#This Row],[Promedio de Comisiones  ]]</f>
        <v>2050000</v>
      </c>
      <c r="AA13" s="155">
        <f>Datos_Origen[[#This Row],[Garantizado]]</f>
        <v>2412173.5</v>
      </c>
      <c r="AB13" s="155">
        <f>Datos_Origen[[#This Row],[Variable]]+Datos_Origen[[#This Row],[Garantizado]]</f>
        <v>2412173.5</v>
      </c>
      <c r="AC13" s="155">
        <f>Datos_Origen[[#This Row],[Beneficios]]+Datos_Origen[[#This Row],[Variable]]+Datos_Origen[[#This Row],[Garantizado]]</f>
        <v>2412173.5</v>
      </c>
      <c r="AD13" s="156">
        <v>14.12</v>
      </c>
      <c r="AE13" s="141">
        <v>230</v>
      </c>
      <c r="AF13" s="345">
        <v>5.2199999999999998E-3</v>
      </c>
      <c r="AG13" s="155">
        <f>Datos_Origen[[#This Row],[Básico Actual]]*230/Datos_Origen[[#This Row],['# horas mes]]</f>
        <v>2050000</v>
      </c>
      <c r="AH13" s="157">
        <v>2050000</v>
      </c>
      <c r="AI13" s="158"/>
      <c r="AJ13" s="158">
        <f>(((Datos_Origen[[#This Row],[Básico]])/30)*$AJ$6)/12</f>
        <v>0</v>
      </c>
      <c r="AK13" s="158"/>
      <c r="AL13" s="143">
        <f>((Datos_Origen[[#This Row],[Básico]])/30)*$AL$6/12</f>
        <v>0</v>
      </c>
      <c r="AM13" s="158"/>
      <c r="AN13" s="158"/>
      <c r="AO13" s="158"/>
      <c r="AP13" s="158"/>
      <c r="AQ13" s="158"/>
      <c r="AR13" s="149">
        <v>0</v>
      </c>
      <c r="AS13" s="149"/>
      <c r="AT13" s="159" t="str">
        <f>IFERROR(Datos_Origen[[#This Row],[Comisiones Target]]/Datos_Origen[[#This Row],[Promedio de Comisiones  ]],"")</f>
        <v/>
      </c>
      <c r="AU13" s="160"/>
      <c r="AV13" s="143">
        <v>0</v>
      </c>
      <c r="AW13" s="160"/>
      <c r="AX13" s="143">
        <f>Datos_Origen[[#This Row],[N Salarios de la Bonificación2]]*Datos_Origen[[#This Row],[Básico]]/12</f>
        <v>0</v>
      </c>
      <c r="AY13" s="160"/>
      <c r="AZ13" s="158"/>
      <c r="BA13" s="149">
        <v>0</v>
      </c>
      <c r="BB13" s="149"/>
      <c r="BC13" s="149"/>
      <c r="BD13" s="149"/>
      <c r="BE13" s="149"/>
      <c r="BF13" s="149"/>
      <c r="BG13" s="149"/>
      <c r="BH13" s="149"/>
      <c r="BI13" s="149"/>
      <c r="BJ13" s="149"/>
      <c r="BK13" s="159">
        <f>IFERROR(Datos_Origen[[#This Row],[Variable]]/Datos_Origen[[#This Row],[CT]],"")</f>
        <v>0</v>
      </c>
      <c r="BL13" s="159">
        <f>IFERROR(Datos_Origen[[#This Row],[Beneficios]]/Datos_Origen[[#This Row],[CT]],"")</f>
        <v>0</v>
      </c>
      <c r="BM13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2380388.5736947823</v>
      </c>
      <c r="BN13" s="161">
        <f>Datos_Origen[[#This Row],[G]]/Datos_Origen[[#This Row],[Geq]]</f>
        <v>1.0133528309858595</v>
      </c>
      <c r="BO13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2581735.7909503947</v>
      </c>
      <c r="BP13" s="161">
        <f>Datos_Origen[[#This Row],[G+V]]/Datos_Origen[[#This Row],[G+Veq]]</f>
        <v>0.93432236887107067</v>
      </c>
      <c r="BQ13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2584918.4911405994</v>
      </c>
      <c r="BR13" s="161">
        <f>Datos_Origen[[#This Row],[CT]]/Datos_Origen[[#This Row],[CTeq]]</f>
        <v>0.93317197747911373</v>
      </c>
      <c r="BS13" s="139">
        <f>ROUNDUP(VLOOKUP(Datos_Origen[[#This Row],[Categoria]],Competitividad_1[#All],2,0)*IndiceIncrementoC,-3)</f>
        <v>2348000</v>
      </c>
      <c r="BT13" s="161">
        <f>Datos_Origen[[#This Row],[G]]/Datos_Origen[[#This Row],[GQ1]]</f>
        <v>1.027331132879046</v>
      </c>
      <c r="BU13" s="155">
        <f>ROUNDUP(VLOOKUP(Datos_Origen[[#This Row],[Categoria]],Competitividad_1[#All],3,0)*IndiceIncrementoC,-3)</f>
        <v>2445000</v>
      </c>
      <c r="BV13" s="161">
        <f>Datos_Origen[[#This Row],[G+V]]/Datos_Origen[[#This Row],[G+VQ1]]</f>
        <v>0.98657402862985688</v>
      </c>
      <c r="BW13" s="155">
        <f>ROUNDUP(VLOOKUP(Datos_Origen[[#This Row],[Categoria]],Competitividad_1[#All],4,0)*IndiceIncrementoC,-3)</f>
        <v>2540000</v>
      </c>
      <c r="BX13" s="161">
        <f>Datos_Origen[[#This Row],[CT]]/Datos_Origen[[#This Row],[CTQ1]]</f>
        <v>0.94967460629921263</v>
      </c>
      <c r="BY13" s="155">
        <f>ROUNDUP(VLOOKUP(Datos_Origen[[#This Row],[Categoria]],Competitividad_1[#All],5,0)*IndiceIncrementoC,-3)</f>
        <v>2838000</v>
      </c>
      <c r="BZ13" s="161">
        <f>Datos_Origen[[#This Row],[G]]/Datos_Origen[[#This Row],[GMd]]</f>
        <v>0.84995542635658916</v>
      </c>
      <c r="CA13" s="155">
        <f>ROUNDUP(VLOOKUP(Datos_Origen[[#This Row],[Categoria]],Competitividad_1[#All],6,0)*IndiceIncrementoC,-3)</f>
        <v>2891000</v>
      </c>
      <c r="CB13" s="161">
        <f>Datos_Origen[[#This Row],[G+V]]/Datos_Origen[[#This Row],[G+VMd]]</f>
        <v>0.83437340020754069</v>
      </c>
      <c r="CC13" s="155">
        <f>ROUNDUP(VLOOKUP(Datos_Origen[[#This Row],[Categoria]],Competitividad_1[#All],7,0)*IndiceIncrementoC,-3)</f>
        <v>3009000</v>
      </c>
      <c r="CD13" s="161">
        <f>Datos_Origen[[#This Row],[CT]]/Datos_Origen[[#This Row],[CTMd]]</f>
        <v>0.80165287470920576</v>
      </c>
      <c r="CE13" s="155">
        <f>+Datos_Origen[[#This Row],[GMd]]/1.17666666667</f>
        <v>2411898.0169903343</v>
      </c>
      <c r="CF13" s="161">
        <f>+Datos_Origen[[#This Row],[Básico Actual]]/Datos_Origen[[#This Row],[Salario Basico Md]]</f>
        <v>0.84995301856007766</v>
      </c>
      <c r="CG13" s="155">
        <f>ROUNDUP(VLOOKUP(Datos_Origen[[#This Row],[Categoria]],Competitividad_1[#All],8,0)*IndiceIncrementoC,-3)</f>
        <v>3683000</v>
      </c>
      <c r="CH13" s="161">
        <f>Datos_Origen[[#This Row],[G]]/Datos_Origen[[#This Row],[GQ3]]</f>
        <v>0.65494800434428457</v>
      </c>
      <c r="CI13" s="155">
        <f>ROUNDUP(VLOOKUP(Datos_Origen[[#This Row],[Categoria]],Competitividad_1[#All],9,0)*IndiceIncrementoC,-3)</f>
        <v>3794000</v>
      </c>
      <c r="CJ13" s="161">
        <f>Datos_Origen[[#This Row],[G+V]]/Datos_Origen[[#This Row],[G+VQ3]]</f>
        <v>0.63578637322087506</v>
      </c>
      <c r="CK13" s="155">
        <f>ROUNDUP(VLOOKUP(Datos_Origen[[#This Row],[Categoria]],Competitividad_1[#All],10,0)*IndiceIncrementoC,-3)</f>
        <v>3904000</v>
      </c>
      <c r="CL13" s="161">
        <f>Datos_Origen[[#This Row],[CT]]/Datos_Origen[[#This Row],[CTQ3]]</f>
        <v>0.6178723104508197</v>
      </c>
      <c r="CM13" s="162">
        <f>IF(ROUND(Datos_Origen[[#This Row],[Salario Ordinario Pol2]],-3)&lt;SMMLV,SMMLV,ROUND(Datos_Origen[[#This Row],[Salario Ordinario Pol2]],-3))</f>
        <v>1841000</v>
      </c>
      <c r="CN13" s="155">
        <f>IF(Datos_Origen[[#This Row],[Gpol]]/(1+FactorPrestacionalOrdinario)&lt;SMMLV,SMMLV,Datos_Origen[[#This Row],[Gpol]]/(1+FactorPrestacionalOrdinario))</f>
        <v>2301416.4305949006</v>
      </c>
      <c r="CO13" s="161">
        <f>IFERROR(IF(Datos_Origen[[#This Row],[Salarios Año]]=14.12,Datos_Origen[[#This Row],[Básico]]/Datos_Origen[[#This Row],[Salario Ordinario Pol]],""),"")</f>
        <v>0.89075578532742505</v>
      </c>
      <c r="CP13" s="155">
        <f>IF(ROUND(Datos_Origen[[#This Row],[Salario Ordinario Pol22]],-3)&lt;SMMLV,SMMLV,ROUND(Datos_Origen[[#This Row],[Salario Ordinario Pol22]],-3))</f>
        <v>2762000</v>
      </c>
      <c r="CQ13" s="155" t="str">
        <f>IFERROR(ROUND(Datos_Origen[[#This Row],[Salario Integral Pol4]],-3),"")</f>
        <v/>
      </c>
      <c r="CR13" s="139" t="str">
        <f>IF((Datos_Origen[[#This Row],[Gpol]]/(1+FactorPrestacionalIntegral))&lt;(13*SMMLV),"",(Datos_Origen[[#This Row],[Gpol]]/(1+FactorPrestacionalIntegral)))</f>
        <v/>
      </c>
      <c r="CS13" s="161" t="str">
        <f>IFERROR(IF(Datos_Origen[[#This Row],[Salarios Año]]=12,Datos_Origen[[#This Row],[Básico]]/Datos_Origen[[#This Row],[Salario Integral Pol]],""),"")</f>
        <v/>
      </c>
      <c r="CT13" s="155" t="str">
        <f>IFERROR(ROUND(Datos_Origen[[#This Row],[Salario Integral Pol44]],-3),"")</f>
        <v/>
      </c>
      <c r="CU13" s="155">
        <f>Datos_Origen[[#This Row],[G+Vpol]]-Datos_Origen[[#This Row],[Variable]]</f>
        <v>2708000</v>
      </c>
      <c r="CV13" s="161">
        <f>Datos_Origen[[#This Row],[G]]/Datos_Origen[[#This Row],[Gpol]]</f>
        <v>0.89075830871491879</v>
      </c>
      <c r="CW13" s="154">
        <f>Datos_Origen[[#This Row],[Ctpol]]-Datos_Origen[[#This Row],[Beneficios]]</f>
        <v>2708000</v>
      </c>
      <c r="CX13" s="161">
        <f>Datos_Origen[[#This Row],[G+V]]/Datos_Origen[[#This Row],[G+Vpol]]</f>
        <v>0.89075830871491879</v>
      </c>
      <c r="CY13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2708000</v>
      </c>
      <c r="CZ13" s="161">
        <f>Datos_Origen[[#This Row],[CT]]/Datos_Origen[[#This Row],[Ctpol]]</f>
        <v>0.89075830871491879</v>
      </c>
      <c r="DA13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2050000</v>
      </c>
      <c r="DB13" s="158">
        <f>IF(Datos_Origen[[#This Row],[Básico]]&lt;10*SMMLV,0,Datos_Origen[[#This Row],[Base Seguridad Social Actual]]*8.5%)</f>
        <v>0</v>
      </c>
      <c r="DC13" s="158">
        <f>Datos_Origen[[#This Row],[Base Seguridad Social Actual]]*12%</f>
        <v>246000</v>
      </c>
      <c r="DD13" s="158">
        <f>Datos_Origen[[#This Row],[Base Seguridad Social Actual]]*Datos_Origen[[#This Row],[%ARL]]</f>
        <v>10701</v>
      </c>
      <c r="DE13" s="158">
        <f>IF(Datos_Origen[[#This Row],[Básico]]&lt;10*SMMLV,Datos_Origen[[#This Row],[Base Seguridad Social Actual]]*4%,Datos_Origen[[#This Row],[Base Seguridad Social Actual]]*9%)</f>
        <v>82000</v>
      </c>
      <c r="DF13" s="158">
        <f>Datos_Origen[[#This Row],[Salud]]+Datos_Origen[[#This Row],[Pensión]]+Datos_Origen[[#This Row],[ARL]]+Datos_Origen[[#This Row],[Parafiscales]]</f>
        <v>338701</v>
      </c>
      <c r="DG13" s="163">
        <f>Datos_Origen[[#This Row],[Costo Laboral Actual]]+Datos_Origen[[#This Row],[CT]]</f>
        <v>2750874.5</v>
      </c>
      <c r="DH13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2301416.4305949006</v>
      </c>
      <c r="DI13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3" s="158">
        <f>Datos_Origen[[#This Row],[Base Seguridad Social Nueva]]*12%</f>
        <v>276169.97167138808</v>
      </c>
      <c r="DK13" s="158">
        <f>Datos_Origen[[#This Row],[Base Seguridad Social Nueva]]*Datos_Origen[[#This Row],[%ARL]]</f>
        <v>12013.39376770538</v>
      </c>
      <c r="DL13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92056.657223796021</v>
      </c>
      <c r="DM13" s="158">
        <f>Datos_Origen[[#This Row],[Salud Nueva]]+Datos_Origen[[#This Row],[Pensión Nueva]]+Datos_Origen[[#This Row],[ARL nueva]]+Datos_Origen[[#This Row],[Parafiscales Nuevos]]</f>
        <v>380240.02266288945</v>
      </c>
      <c r="DN13" s="158">
        <f>Datos_Origen[[#This Row],[Costo Laboral Nuevo]]+Datos_Origen[[#This Row],[Ctpol]]</f>
        <v>3088240.0226628892</v>
      </c>
      <c r="DO13" s="158">
        <f>IF(Datos_Origen[[#This Row],[Ctpol]]-Datos_Origen[[#This Row],[CT]]&lt;=0,0,Datos_Origen[[#This Row],[Costo Total Nuevo]]-Datos_Origen[[#This Row],[Costo Total Actual]])</f>
        <v>337365.52266288921</v>
      </c>
      <c r="DP13" s="158">
        <f>IF(Datos_Origen[[#This Row],[Ctpol]]-Datos_Origen[[#This Row],[CT]]&lt;=0,0,Datos_Origen[[#This Row],[Ctpol]]-Datos_Origen[[#This Row],[CT]])</f>
        <v>295826.5</v>
      </c>
      <c r="DQ13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41539.022662889445</v>
      </c>
      <c r="DR13" s="158">
        <f>ROUNDDOWN(VLOOKUP(Datos_Origen[[#This Row],[Categoria]],Competitividad_1[],7,0)*IndiceIncrementoC,-3)</f>
        <v>3008000</v>
      </c>
      <c r="DS13" s="158">
        <f>Datos_Origen[[#This Row],[CTeq]]*0.8</f>
        <v>2067934.7929124795</v>
      </c>
      <c r="DT13" s="158">
        <f>Datos_Origen[[#This Row],[CTeq]]*1.2</f>
        <v>3101902.1893687192</v>
      </c>
      <c r="DU13" s="155">
        <f>IF(Datos_Origen[[#This Row],[Gpol6]]/(1+FactorPrestacionalOrdinario)&lt;SMMLV,SMMLV,Datos_Origen[[#This Row],[Gpol6]]/(1+FactorPrestacionalOrdinario))</f>
        <v>1841133.1444759206</v>
      </c>
      <c r="DV13" s="139" t="str">
        <f>IF((Datos_Origen[[#This Row],[Gpol6]]/(1+FactorPrestacionalIntegral))&lt;(13*SMMLV),"",(Datos_Origen[[#This Row],[Gpol6]]/(1+FactorPrestacionalIntegral)))</f>
        <v/>
      </c>
      <c r="DW13" s="154">
        <f>Datos_Origen[[#This Row],[G+Vpol8]]</f>
        <v>2166400</v>
      </c>
      <c r="DX13" s="154">
        <f>Datos_Origen[[#This Row],[Ctpol10]]-Datos_Origen[[#This Row],[Beneficios]]</f>
        <v>2166400</v>
      </c>
      <c r="DY13" s="154">
        <f>Datos_Origen[[#This Row],[Ctpol]]*$CM$6</f>
        <v>2166400</v>
      </c>
      <c r="DZ13" s="155">
        <f>IF(Datos_Origen[[#This Row],[Gpol66]]/(1+FactorPrestacionalOrdinario)&lt;SMMLV,SMMLV,Datos_Origen[[#This Row],[Gpol66]]/(1+FactorPrestacionalOrdinario))</f>
        <v>2761699.7167138807</v>
      </c>
      <c r="EA13" s="139" t="str">
        <f>IF((Datos_Origen[[#This Row],[Gpol66]]/(1+FactorPrestacionalIntegral))&lt;(13*SMMLV),"",(Datos_Origen[[#This Row],[Gpol66]]/(1+FactorPrestacionalIntegral)))</f>
        <v/>
      </c>
      <c r="EB13" s="154">
        <f>Datos_Origen[[#This Row],[G+Vpol88]]</f>
        <v>3249600</v>
      </c>
      <c r="EC13" s="154">
        <f>Datos_Origen[[#This Row],[Ctpol1010]]-Datos_Origen[[#This Row],[Beneficios]]</f>
        <v>3249600</v>
      </c>
      <c r="ED13" s="154">
        <f>Datos_Origen[[#This Row],[Ctpol]]*$CP$6</f>
        <v>3249600</v>
      </c>
      <c r="EE13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4" spans="2:135">
      <c r="B14" s="148"/>
      <c r="C14" s="149"/>
      <c r="D14" s="150"/>
      <c r="E14" s="151"/>
      <c r="F14" s="151"/>
      <c r="G14" s="150" t="s">
        <v>354</v>
      </c>
      <c r="H14" s="153"/>
      <c r="I14" s="152" t="s">
        <v>354</v>
      </c>
      <c r="J14" s="130" t="str">
        <f>IFERROR(VLOOKUP(Datos_Origen[[#This Row],[Cargo Tipo Valorado]],Cargos_Catalogo[[#All],[Cargo]:[Área]],2,0),"")</f>
        <v xml:space="preserve">Director logistico </v>
      </c>
      <c r="K14" s="153"/>
      <c r="L14" s="153"/>
      <c r="M14" s="153"/>
      <c r="N14" s="153"/>
      <c r="O14" s="154">
        <f>Datos_Origen[[#This Row],[Segmentación Individual]]</f>
        <v>0</v>
      </c>
      <c r="P14" s="153"/>
      <c r="Q14" s="154">
        <f>VLOOKUP(Datos_Origen[[#This Row],[Cargo Tipo Valorado]],Cargos_Catalogo[#Data],MATCH(Cargos_Catalogo[[#Headers],[Puntos]],Cargos_Catalogo[#Headers],0),FALSE)</f>
        <v>168</v>
      </c>
      <c r="R14" s="130">
        <f>VLOOKUP(Datos_Origen[[#This Row],[Puntos valoración]],Categorias_Registro[#Data],MATCH(Categorias_Registro[[#Headers],[Categoria]],Categorias_Registro[#Headers],0),FALSE)</f>
        <v>5</v>
      </c>
      <c r="S14" s="130" t="str">
        <f>VLOOKUP(Datos_Origen[[#This Row],[Cargo Tipo Valorado]],Cargos_Catalogo[#Data],MATCH(Cargos_Catalogo[[#Headers],[Nivel SHR]],Cargos_Catalogo[#Headers],0),FALSE)</f>
        <v>Operativo</v>
      </c>
      <c r="T14" s="130" t="str">
        <f>VLOOKUP(Datos_Origen[[#This Row],[Cargo Tipo Valorado]],Cargos_Catalogo[#Data],MATCH(Cargos_Catalogo[[#Headers],[Criticidad]],Cargos_Catalogo[#Headers],0),FALSE)</f>
        <v>Relevante</v>
      </c>
      <c r="U14" s="154">
        <f>VLOOKUP(Datos_Origen[[#This Row],[Puntos valoración]],Categorias_Registro[#Data],5,FALSE)</f>
        <v>164</v>
      </c>
      <c r="V14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2412173.5</v>
      </c>
      <c r="W14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4" s="154">
        <f>SUMIF($BA$5:$BJ$5,"NCS",Datos_Origen[[#This Row],[auxilio Gasolina]:[Otro Beneficio10]])+(SUMIF($BA$5:$BJ$5,"CS",Datos_Origen[[#This Row],[auxilio Gasolina]:[Otro Beneficio10]])*1.17667)</f>
        <v>0</v>
      </c>
      <c r="Y14" s="155">
        <f>Datos_Origen[[#This Row],[Básico]]+Datos_Origen[[#This Row],[Promedio de Comisiones  ]]</f>
        <v>2050000</v>
      </c>
      <c r="Z14" s="155">
        <f>Datos_Origen[[#This Row],[Básico]]+Datos_Origen[[#This Row],[Promedio de Comisiones  ]]</f>
        <v>2050000</v>
      </c>
      <c r="AA14" s="155">
        <f>Datos_Origen[[#This Row],[Garantizado]]</f>
        <v>2412173.5</v>
      </c>
      <c r="AB14" s="155">
        <f>Datos_Origen[[#This Row],[Variable]]+Datos_Origen[[#This Row],[Garantizado]]</f>
        <v>2412173.5</v>
      </c>
      <c r="AC14" s="155">
        <f>Datos_Origen[[#This Row],[Beneficios]]+Datos_Origen[[#This Row],[Variable]]+Datos_Origen[[#This Row],[Garantizado]]</f>
        <v>2412173.5</v>
      </c>
      <c r="AD14" s="156">
        <v>14.12</v>
      </c>
      <c r="AE14" s="141">
        <v>230</v>
      </c>
      <c r="AF14" s="345">
        <v>5.2199999999999998E-3</v>
      </c>
      <c r="AG14" s="155">
        <f>Datos_Origen[[#This Row],[Básico Actual]]*230/Datos_Origen[[#This Row],['# horas mes]]</f>
        <v>2050000</v>
      </c>
      <c r="AH14" s="157">
        <v>2050000</v>
      </c>
      <c r="AI14" s="158"/>
      <c r="AJ14" s="158">
        <f>(((Datos_Origen[[#This Row],[Básico]])/30)*$AJ$6)/12</f>
        <v>0</v>
      </c>
      <c r="AK14" s="158"/>
      <c r="AL14" s="143">
        <f>((Datos_Origen[[#This Row],[Básico]])/30)*$AL$6/12</f>
        <v>0</v>
      </c>
      <c r="AM14" s="158"/>
      <c r="AN14" s="158"/>
      <c r="AO14" s="158"/>
      <c r="AP14" s="158"/>
      <c r="AQ14" s="158"/>
      <c r="AR14" s="149">
        <v>0</v>
      </c>
      <c r="AS14" s="149"/>
      <c r="AT14" s="159" t="str">
        <f>IFERROR(Datos_Origen[[#This Row],[Comisiones Target]]/Datos_Origen[[#This Row],[Promedio de Comisiones  ]],"")</f>
        <v/>
      </c>
      <c r="AU14" s="160"/>
      <c r="AV14" s="143">
        <v>0</v>
      </c>
      <c r="AW14" s="160"/>
      <c r="AX14" s="143">
        <f>Datos_Origen[[#This Row],[N Salarios de la Bonificación2]]*Datos_Origen[[#This Row],[Básico]]/12</f>
        <v>0</v>
      </c>
      <c r="AY14" s="160"/>
      <c r="AZ14" s="158"/>
      <c r="BA14" s="149">
        <v>0</v>
      </c>
      <c r="BB14" s="149"/>
      <c r="BC14" s="149"/>
      <c r="BD14" s="149"/>
      <c r="BE14" s="149"/>
      <c r="BF14" s="149"/>
      <c r="BG14" s="149"/>
      <c r="BH14" s="149"/>
      <c r="BI14" s="149"/>
      <c r="BJ14" s="149"/>
      <c r="BK14" s="159">
        <f>IFERROR(Datos_Origen[[#This Row],[Variable]]/Datos_Origen[[#This Row],[CT]],"")</f>
        <v>0</v>
      </c>
      <c r="BL14" s="159">
        <f>IFERROR(Datos_Origen[[#This Row],[Beneficios]]/Datos_Origen[[#This Row],[CT]],"")</f>
        <v>0</v>
      </c>
      <c r="BM14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2380388.5736947823</v>
      </c>
      <c r="BN14" s="161">
        <f>Datos_Origen[[#This Row],[G]]/Datos_Origen[[#This Row],[Geq]]</f>
        <v>1.0133528309858595</v>
      </c>
      <c r="BO14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2581735.7909503947</v>
      </c>
      <c r="BP14" s="161">
        <f>Datos_Origen[[#This Row],[G+V]]/Datos_Origen[[#This Row],[G+Veq]]</f>
        <v>0.93432236887107067</v>
      </c>
      <c r="BQ14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2584918.4911405994</v>
      </c>
      <c r="BR14" s="161">
        <f>Datos_Origen[[#This Row],[CT]]/Datos_Origen[[#This Row],[CTeq]]</f>
        <v>0.93317197747911373</v>
      </c>
      <c r="BS14" s="139">
        <f>ROUNDUP(VLOOKUP(Datos_Origen[[#This Row],[Categoria]],Competitividad_1[#All],2,0)*IndiceIncrementoC,-3)</f>
        <v>2348000</v>
      </c>
      <c r="BT14" s="161">
        <f>Datos_Origen[[#This Row],[G]]/Datos_Origen[[#This Row],[GQ1]]</f>
        <v>1.027331132879046</v>
      </c>
      <c r="BU14" s="155">
        <f>ROUNDUP(VLOOKUP(Datos_Origen[[#This Row],[Categoria]],Competitividad_1[#All],3,0)*IndiceIncrementoC,-3)</f>
        <v>2445000</v>
      </c>
      <c r="BV14" s="161">
        <f>Datos_Origen[[#This Row],[G+V]]/Datos_Origen[[#This Row],[G+VQ1]]</f>
        <v>0.98657402862985688</v>
      </c>
      <c r="BW14" s="155">
        <f>ROUNDUP(VLOOKUP(Datos_Origen[[#This Row],[Categoria]],Competitividad_1[#All],4,0)*IndiceIncrementoC,-3)</f>
        <v>2540000</v>
      </c>
      <c r="BX14" s="161">
        <f>Datos_Origen[[#This Row],[CT]]/Datos_Origen[[#This Row],[CTQ1]]</f>
        <v>0.94967460629921263</v>
      </c>
      <c r="BY14" s="155">
        <f>ROUNDUP(VLOOKUP(Datos_Origen[[#This Row],[Categoria]],Competitividad_1[#All],5,0)*IndiceIncrementoC,-3)</f>
        <v>2838000</v>
      </c>
      <c r="BZ14" s="161">
        <f>Datos_Origen[[#This Row],[G]]/Datos_Origen[[#This Row],[GMd]]</f>
        <v>0.84995542635658916</v>
      </c>
      <c r="CA14" s="155">
        <f>ROUNDUP(VLOOKUP(Datos_Origen[[#This Row],[Categoria]],Competitividad_1[#All],6,0)*IndiceIncrementoC,-3)</f>
        <v>2891000</v>
      </c>
      <c r="CB14" s="161">
        <f>Datos_Origen[[#This Row],[G+V]]/Datos_Origen[[#This Row],[G+VMd]]</f>
        <v>0.83437340020754069</v>
      </c>
      <c r="CC14" s="155">
        <f>ROUNDUP(VLOOKUP(Datos_Origen[[#This Row],[Categoria]],Competitividad_1[#All],7,0)*IndiceIncrementoC,-3)</f>
        <v>3009000</v>
      </c>
      <c r="CD14" s="161">
        <f>Datos_Origen[[#This Row],[CT]]/Datos_Origen[[#This Row],[CTMd]]</f>
        <v>0.80165287470920576</v>
      </c>
      <c r="CE14" s="155">
        <f>+Datos_Origen[[#This Row],[GMd]]/1.17666666667</f>
        <v>2411898.0169903343</v>
      </c>
      <c r="CF14" s="161">
        <f>+Datos_Origen[[#This Row],[Básico Actual]]/Datos_Origen[[#This Row],[Salario Basico Md]]</f>
        <v>0.84995301856007766</v>
      </c>
      <c r="CG14" s="155">
        <f>ROUNDUP(VLOOKUP(Datos_Origen[[#This Row],[Categoria]],Competitividad_1[#All],8,0)*IndiceIncrementoC,-3)</f>
        <v>3683000</v>
      </c>
      <c r="CH14" s="161">
        <f>Datos_Origen[[#This Row],[G]]/Datos_Origen[[#This Row],[GQ3]]</f>
        <v>0.65494800434428457</v>
      </c>
      <c r="CI14" s="155">
        <f>ROUNDUP(VLOOKUP(Datos_Origen[[#This Row],[Categoria]],Competitividad_1[#All],9,0)*IndiceIncrementoC,-3)</f>
        <v>3794000</v>
      </c>
      <c r="CJ14" s="161">
        <f>Datos_Origen[[#This Row],[G+V]]/Datos_Origen[[#This Row],[G+VQ3]]</f>
        <v>0.63578637322087506</v>
      </c>
      <c r="CK14" s="155">
        <f>ROUNDUP(VLOOKUP(Datos_Origen[[#This Row],[Categoria]],Competitividad_1[#All],10,0)*IndiceIncrementoC,-3)</f>
        <v>3904000</v>
      </c>
      <c r="CL14" s="161">
        <f>Datos_Origen[[#This Row],[CT]]/Datos_Origen[[#This Row],[CTQ3]]</f>
        <v>0.6178723104508197</v>
      </c>
      <c r="CM14" s="162">
        <f>IF(ROUND(Datos_Origen[[#This Row],[Salario Ordinario Pol2]],-3)&lt;SMMLV,SMMLV,ROUND(Datos_Origen[[#This Row],[Salario Ordinario Pol2]],-3))</f>
        <v>1841000</v>
      </c>
      <c r="CN14" s="155">
        <f>IF(Datos_Origen[[#This Row],[Gpol]]/(1+FactorPrestacionalOrdinario)&lt;SMMLV,SMMLV,Datos_Origen[[#This Row],[Gpol]]/(1+FactorPrestacionalOrdinario))</f>
        <v>2301416.4305949006</v>
      </c>
      <c r="CO14" s="161">
        <f>IFERROR(IF(Datos_Origen[[#This Row],[Salarios Año]]=14.12,Datos_Origen[[#This Row],[Básico]]/Datos_Origen[[#This Row],[Salario Ordinario Pol]],""),"")</f>
        <v>0.89075578532742505</v>
      </c>
      <c r="CP14" s="155">
        <f>IF(ROUND(Datos_Origen[[#This Row],[Salario Ordinario Pol22]],-3)&lt;SMMLV,SMMLV,ROUND(Datos_Origen[[#This Row],[Salario Ordinario Pol22]],-3))</f>
        <v>2762000</v>
      </c>
      <c r="CQ14" s="155" t="str">
        <f>IFERROR(ROUND(Datos_Origen[[#This Row],[Salario Integral Pol4]],-3),"")</f>
        <v/>
      </c>
      <c r="CR14" s="139" t="str">
        <f>IF((Datos_Origen[[#This Row],[Gpol]]/(1+FactorPrestacionalIntegral))&lt;(13*SMMLV),"",(Datos_Origen[[#This Row],[Gpol]]/(1+FactorPrestacionalIntegral)))</f>
        <v/>
      </c>
      <c r="CS14" s="161" t="str">
        <f>IFERROR(IF(Datos_Origen[[#This Row],[Salarios Año]]=12,Datos_Origen[[#This Row],[Básico]]/Datos_Origen[[#This Row],[Salario Integral Pol]],""),"")</f>
        <v/>
      </c>
      <c r="CT14" s="155" t="str">
        <f>IFERROR(ROUND(Datos_Origen[[#This Row],[Salario Integral Pol44]],-3),"")</f>
        <v/>
      </c>
      <c r="CU14" s="155">
        <f>Datos_Origen[[#This Row],[G+Vpol]]-Datos_Origen[[#This Row],[Variable]]</f>
        <v>2708000</v>
      </c>
      <c r="CV14" s="161">
        <f>Datos_Origen[[#This Row],[G]]/Datos_Origen[[#This Row],[Gpol]]</f>
        <v>0.89075830871491879</v>
      </c>
      <c r="CW14" s="154">
        <f>Datos_Origen[[#This Row],[Ctpol]]-Datos_Origen[[#This Row],[Beneficios]]</f>
        <v>2708000</v>
      </c>
      <c r="CX14" s="161">
        <f>Datos_Origen[[#This Row],[G+V]]/Datos_Origen[[#This Row],[G+Vpol]]</f>
        <v>0.89075830871491879</v>
      </c>
      <c r="CY14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2708000</v>
      </c>
      <c r="CZ14" s="161">
        <f>Datos_Origen[[#This Row],[CT]]/Datos_Origen[[#This Row],[Ctpol]]</f>
        <v>0.89075830871491879</v>
      </c>
      <c r="DA14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2050000</v>
      </c>
      <c r="DB14" s="158">
        <f>IF(Datos_Origen[[#This Row],[Básico]]&lt;10*SMMLV,0,Datos_Origen[[#This Row],[Base Seguridad Social Actual]]*8.5%)</f>
        <v>0</v>
      </c>
      <c r="DC14" s="158">
        <f>Datos_Origen[[#This Row],[Base Seguridad Social Actual]]*12%</f>
        <v>246000</v>
      </c>
      <c r="DD14" s="158">
        <f>Datos_Origen[[#This Row],[Base Seguridad Social Actual]]*Datos_Origen[[#This Row],[%ARL]]</f>
        <v>10701</v>
      </c>
      <c r="DE14" s="158">
        <f>IF(Datos_Origen[[#This Row],[Básico]]&lt;10*SMMLV,Datos_Origen[[#This Row],[Base Seguridad Social Actual]]*4%,Datos_Origen[[#This Row],[Base Seguridad Social Actual]]*9%)</f>
        <v>82000</v>
      </c>
      <c r="DF14" s="158">
        <f>Datos_Origen[[#This Row],[Salud]]+Datos_Origen[[#This Row],[Pensión]]+Datos_Origen[[#This Row],[ARL]]+Datos_Origen[[#This Row],[Parafiscales]]</f>
        <v>338701</v>
      </c>
      <c r="DG14" s="163">
        <f>Datos_Origen[[#This Row],[Costo Laboral Actual]]+Datos_Origen[[#This Row],[CT]]</f>
        <v>2750874.5</v>
      </c>
      <c r="DH14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2301416.4305949006</v>
      </c>
      <c r="DI14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4" s="158">
        <f>Datos_Origen[[#This Row],[Base Seguridad Social Nueva]]*12%</f>
        <v>276169.97167138808</v>
      </c>
      <c r="DK14" s="158">
        <f>Datos_Origen[[#This Row],[Base Seguridad Social Nueva]]*Datos_Origen[[#This Row],[%ARL]]</f>
        <v>12013.39376770538</v>
      </c>
      <c r="DL14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92056.657223796021</v>
      </c>
      <c r="DM14" s="158">
        <f>Datos_Origen[[#This Row],[Salud Nueva]]+Datos_Origen[[#This Row],[Pensión Nueva]]+Datos_Origen[[#This Row],[ARL nueva]]+Datos_Origen[[#This Row],[Parafiscales Nuevos]]</f>
        <v>380240.02266288945</v>
      </c>
      <c r="DN14" s="158">
        <f>Datos_Origen[[#This Row],[Costo Laboral Nuevo]]+Datos_Origen[[#This Row],[Ctpol]]</f>
        <v>3088240.0226628892</v>
      </c>
      <c r="DO14" s="158">
        <f>IF(Datos_Origen[[#This Row],[Ctpol]]-Datos_Origen[[#This Row],[CT]]&lt;=0,0,Datos_Origen[[#This Row],[Costo Total Nuevo]]-Datos_Origen[[#This Row],[Costo Total Actual]])</f>
        <v>337365.52266288921</v>
      </c>
      <c r="DP14" s="158">
        <f>IF(Datos_Origen[[#This Row],[Ctpol]]-Datos_Origen[[#This Row],[CT]]&lt;=0,0,Datos_Origen[[#This Row],[Ctpol]]-Datos_Origen[[#This Row],[CT]])</f>
        <v>295826.5</v>
      </c>
      <c r="DQ14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41539.022662889445</v>
      </c>
      <c r="DR14" s="158">
        <f>ROUNDDOWN(VLOOKUP(Datos_Origen[[#This Row],[Categoria]],Competitividad_1[],7,0)*IndiceIncrementoC,-3)</f>
        <v>3008000</v>
      </c>
      <c r="DS14" s="158">
        <f>Datos_Origen[[#This Row],[CTeq]]*0.8</f>
        <v>2067934.7929124795</v>
      </c>
      <c r="DT14" s="158">
        <f>Datos_Origen[[#This Row],[CTeq]]*1.2</f>
        <v>3101902.1893687192</v>
      </c>
      <c r="DU14" s="155">
        <f>IF(Datos_Origen[[#This Row],[Gpol6]]/(1+FactorPrestacionalOrdinario)&lt;SMMLV,SMMLV,Datos_Origen[[#This Row],[Gpol6]]/(1+FactorPrestacionalOrdinario))</f>
        <v>1841133.1444759206</v>
      </c>
      <c r="DV14" s="139" t="str">
        <f>IF((Datos_Origen[[#This Row],[Gpol6]]/(1+FactorPrestacionalIntegral))&lt;(13*SMMLV),"",(Datos_Origen[[#This Row],[Gpol6]]/(1+FactorPrestacionalIntegral)))</f>
        <v/>
      </c>
      <c r="DW14" s="154">
        <f>Datos_Origen[[#This Row],[G+Vpol8]]</f>
        <v>2166400</v>
      </c>
      <c r="DX14" s="154">
        <f>Datos_Origen[[#This Row],[Ctpol10]]-Datos_Origen[[#This Row],[Beneficios]]</f>
        <v>2166400</v>
      </c>
      <c r="DY14" s="154">
        <f>Datos_Origen[[#This Row],[Ctpol]]*$CM$6</f>
        <v>2166400</v>
      </c>
      <c r="DZ14" s="155">
        <f>IF(Datos_Origen[[#This Row],[Gpol66]]/(1+FactorPrestacionalOrdinario)&lt;SMMLV,SMMLV,Datos_Origen[[#This Row],[Gpol66]]/(1+FactorPrestacionalOrdinario))</f>
        <v>2761699.7167138807</v>
      </c>
      <c r="EA14" s="139" t="str">
        <f>IF((Datos_Origen[[#This Row],[Gpol66]]/(1+FactorPrestacionalIntegral))&lt;(13*SMMLV),"",(Datos_Origen[[#This Row],[Gpol66]]/(1+FactorPrestacionalIntegral)))</f>
        <v/>
      </c>
      <c r="EB14" s="154">
        <f>Datos_Origen[[#This Row],[G+Vpol88]]</f>
        <v>3249600</v>
      </c>
      <c r="EC14" s="154">
        <f>Datos_Origen[[#This Row],[Ctpol1010]]-Datos_Origen[[#This Row],[Beneficios]]</f>
        <v>3249600</v>
      </c>
      <c r="ED14" s="154">
        <f>Datos_Origen[[#This Row],[Ctpol]]*$CP$6</f>
        <v>3249600</v>
      </c>
      <c r="EE14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5" spans="2:135">
      <c r="B15" s="148"/>
      <c r="C15" s="149"/>
      <c r="D15" s="150"/>
      <c r="E15" s="151"/>
      <c r="F15" s="151"/>
      <c r="G15" s="150" t="s">
        <v>354</v>
      </c>
      <c r="H15" s="153"/>
      <c r="I15" s="152" t="s">
        <v>354</v>
      </c>
      <c r="J15" s="130" t="str">
        <f>IFERROR(VLOOKUP(Datos_Origen[[#This Row],[Cargo Tipo Valorado]],Cargos_Catalogo[[#All],[Cargo]:[Área]],2,0),"")</f>
        <v xml:space="preserve">Director logistico </v>
      </c>
      <c r="K15" s="153"/>
      <c r="L15" s="153"/>
      <c r="M15" s="153"/>
      <c r="N15" s="153"/>
      <c r="O15" s="154">
        <f>Datos_Origen[[#This Row],[Segmentación Individual]]</f>
        <v>0</v>
      </c>
      <c r="P15" s="153"/>
      <c r="Q15" s="154">
        <f>VLOOKUP(Datos_Origen[[#This Row],[Cargo Tipo Valorado]],Cargos_Catalogo[#Data],MATCH(Cargos_Catalogo[[#Headers],[Puntos]],Cargos_Catalogo[#Headers],0),FALSE)</f>
        <v>168</v>
      </c>
      <c r="R15" s="130">
        <f>VLOOKUP(Datos_Origen[[#This Row],[Puntos valoración]],Categorias_Registro[#Data],MATCH(Categorias_Registro[[#Headers],[Categoria]],Categorias_Registro[#Headers],0),FALSE)</f>
        <v>5</v>
      </c>
      <c r="S15" s="130" t="str">
        <f>VLOOKUP(Datos_Origen[[#This Row],[Cargo Tipo Valorado]],Cargos_Catalogo[#Data],MATCH(Cargos_Catalogo[[#Headers],[Nivel SHR]],Cargos_Catalogo[#Headers],0),FALSE)</f>
        <v>Operativo</v>
      </c>
      <c r="T15" s="130" t="str">
        <f>VLOOKUP(Datos_Origen[[#This Row],[Cargo Tipo Valorado]],Cargos_Catalogo[#Data],MATCH(Cargos_Catalogo[[#Headers],[Criticidad]],Cargos_Catalogo[#Headers],0),FALSE)</f>
        <v>Relevante</v>
      </c>
      <c r="U15" s="154">
        <f>VLOOKUP(Datos_Origen[[#This Row],[Puntos valoración]],Categorias_Registro[#Data],5,FALSE)</f>
        <v>164</v>
      </c>
      <c r="V15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2412173.5</v>
      </c>
      <c r="W15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5" s="154">
        <f>SUMIF($BA$5:$BJ$5,"NCS",Datos_Origen[[#This Row],[auxilio Gasolina]:[Otro Beneficio10]])+(SUMIF($BA$5:$BJ$5,"CS",Datos_Origen[[#This Row],[auxilio Gasolina]:[Otro Beneficio10]])*1.17667)</f>
        <v>0</v>
      </c>
      <c r="Y15" s="155">
        <f>Datos_Origen[[#This Row],[Básico]]+Datos_Origen[[#This Row],[Promedio de Comisiones  ]]</f>
        <v>2050000</v>
      </c>
      <c r="Z15" s="155">
        <f>Datos_Origen[[#This Row],[Básico]]+Datos_Origen[[#This Row],[Promedio de Comisiones  ]]</f>
        <v>2050000</v>
      </c>
      <c r="AA15" s="155">
        <f>Datos_Origen[[#This Row],[Garantizado]]</f>
        <v>2412173.5</v>
      </c>
      <c r="AB15" s="155">
        <f>Datos_Origen[[#This Row],[Variable]]+Datos_Origen[[#This Row],[Garantizado]]</f>
        <v>2412173.5</v>
      </c>
      <c r="AC15" s="155">
        <f>Datos_Origen[[#This Row],[Beneficios]]+Datos_Origen[[#This Row],[Variable]]+Datos_Origen[[#This Row],[Garantizado]]</f>
        <v>2412173.5</v>
      </c>
      <c r="AD15" s="156">
        <v>14.12</v>
      </c>
      <c r="AE15" s="141">
        <v>230</v>
      </c>
      <c r="AF15" s="345">
        <v>5.2199999999999998E-3</v>
      </c>
      <c r="AG15" s="155">
        <f>Datos_Origen[[#This Row],[Básico Actual]]*230/Datos_Origen[[#This Row],['# horas mes]]</f>
        <v>2050000</v>
      </c>
      <c r="AH15" s="157">
        <v>2050000</v>
      </c>
      <c r="AI15" s="158"/>
      <c r="AJ15" s="158">
        <f>(((Datos_Origen[[#This Row],[Básico]])/30)*$AJ$6)/12</f>
        <v>0</v>
      </c>
      <c r="AK15" s="158"/>
      <c r="AL15" s="143">
        <f>((Datos_Origen[[#This Row],[Básico]])/30)*$AL$6/12</f>
        <v>0</v>
      </c>
      <c r="AM15" s="158"/>
      <c r="AN15" s="158"/>
      <c r="AO15" s="158"/>
      <c r="AP15" s="158"/>
      <c r="AQ15" s="158"/>
      <c r="AR15" s="149">
        <v>0</v>
      </c>
      <c r="AS15" s="149"/>
      <c r="AT15" s="159" t="str">
        <f>IFERROR(Datos_Origen[[#This Row],[Comisiones Target]]/Datos_Origen[[#This Row],[Promedio de Comisiones  ]],"")</f>
        <v/>
      </c>
      <c r="AU15" s="160"/>
      <c r="AV15" s="143">
        <v>0</v>
      </c>
      <c r="AW15" s="160"/>
      <c r="AX15" s="143">
        <f>Datos_Origen[[#This Row],[N Salarios de la Bonificación2]]*Datos_Origen[[#This Row],[Básico]]/12</f>
        <v>0</v>
      </c>
      <c r="AY15" s="160"/>
      <c r="AZ15" s="158"/>
      <c r="BA15" s="149">
        <v>0</v>
      </c>
      <c r="BB15" s="149"/>
      <c r="BC15" s="149"/>
      <c r="BD15" s="149"/>
      <c r="BE15" s="149"/>
      <c r="BF15" s="149"/>
      <c r="BG15" s="149"/>
      <c r="BH15" s="149"/>
      <c r="BI15" s="149"/>
      <c r="BJ15" s="149"/>
      <c r="BK15" s="159">
        <f>IFERROR(Datos_Origen[[#This Row],[Variable]]/Datos_Origen[[#This Row],[CT]],"")</f>
        <v>0</v>
      </c>
      <c r="BL15" s="159">
        <f>IFERROR(Datos_Origen[[#This Row],[Beneficios]]/Datos_Origen[[#This Row],[CT]],"")</f>
        <v>0</v>
      </c>
      <c r="BM15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2380388.5736947823</v>
      </c>
      <c r="BN15" s="161">
        <f>Datos_Origen[[#This Row],[G]]/Datos_Origen[[#This Row],[Geq]]</f>
        <v>1.0133528309858595</v>
      </c>
      <c r="BO15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2581735.7909503947</v>
      </c>
      <c r="BP15" s="161">
        <f>Datos_Origen[[#This Row],[G+V]]/Datos_Origen[[#This Row],[G+Veq]]</f>
        <v>0.93432236887107067</v>
      </c>
      <c r="BQ15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2584918.4911405994</v>
      </c>
      <c r="BR15" s="161">
        <f>Datos_Origen[[#This Row],[CT]]/Datos_Origen[[#This Row],[CTeq]]</f>
        <v>0.93317197747911373</v>
      </c>
      <c r="BS15" s="139">
        <f>ROUNDUP(VLOOKUP(Datos_Origen[[#This Row],[Categoria]],Competitividad_1[#All],2,0)*IndiceIncrementoC,-3)</f>
        <v>2348000</v>
      </c>
      <c r="BT15" s="161">
        <f>Datos_Origen[[#This Row],[G]]/Datos_Origen[[#This Row],[GQ1]]</f>
        <v>1.027331132879046</v>
      </c>
      <c r="BU15" s="155">
        <f>ROUNDUP(VLOOKUP(Datos_Origen[[#This Row],[Categoria]],Competitividad_1[#All],3,0)*IndiceIncrementoC,-3)</f>
        <v>2445000</v>
      </c>
      <c r="BV15" s="161">
        <f>Datos_Origen[[#This Row],[G+V]]/Datos_Origen[[#This Row],[G+VQ1]]</f>
        <v>0.98657402862985688</v>
      </c>
      <c r="BW15" s="155">
        <f>ROUNDUP(VLOOKUP(Datos_Origen[[#This Row],[Categoria]],Competitividad_1[#All],4,0)*IndiceIncrementoC,-3)</f>
        <v>2540000</v>
      </c>
      <c r="BX15" s="161">
        <f>Datos_Origen[[#This Row],[CT]]/Datos_Origen[[#This Row],[CTQ1]]</f>
        <v>0.94967460629921263</v>
      </c>
      <c r="BY15" s="155">
        <f>ROUNDUP(VLOOKUP(Datos_Origen[[#This Row],[Categoria]],Competitividad_1[#All],5,0)*IndiceIncrementoC,-3)</f>
        <v>2838000</v>
      </c>
      <c r="BZ15" s="161">
        <f>Datos_Origen[[#This Row],[G]]/Datos_Origen[[#This Row],[GMd]]</f>
        <v>0.84995542635658916</v>
      </c>
      <c r="CA15" s="155">
        <f>ROUNDUP(VLOOKUP(Datos_Origen[[#This Row],[Categoria]],Competitividad_1[#All],6,0)*IndiceIncrementoC,-3)</f>
        <v>2891000</v>
      </c>
      <c r="CB15" s="161">
        <f>Datos_Origen[[#This Row],[G+V]]/Datos_Origen[[#This Row],[G+VMd]]</f>
        <v>0.83437340020754069</v>
      </c>
      <c r="CC15" s="155">
        <f>ROUNDUP(VLOOKUP(Datos_Origen[[#This Row],[Categoria]],Competitividad_1[#All],7,0)*IndiceIncrementoC,-3)</f>
        <v>3009000</v>
      </c>
      <c r="CD15" s="161">
        <f>Datos_Origen[[#This Row],[CT]]/Datos_Origen[[#This Row],[CTMd]]</f>
        <v>0.80165287470920576</v>
      </c>
      <c r="CE15" s="155">
        <f>+Datos_Origen[[#This Row],[GMd]]/1.17666666667</f>
        <v>2411898.0169903343</v>
      </c>
      <c r="CF15" s="161">
        <f>+Datos_Origen[[#This Row],[Básico Actual]]/Datos_Origen[[#This Row],[Salario Basico Md]]</f>
        <v>0.84995301856007766</v>
      </c>
      <c r="CG15" s="155">
        <f>ROUNDUP(VLOOKUP(Datos_Origen[[#This Row],[Categoria]],Competitividad_1[#All],8,0)*IndiceIncrementoC,-3)</f>
        <v>3683000</v>
      </c>
      <c r="CH15" s="161">
        <f>Datos_Origen[[#This Row],[G]]/Datos_Origen[[#This Row],[GQ3]]</f>
        <v>0.65494800434428457</v>
      </c>
      <c r="CI15" s="155">
        <f>ROUNDUP(VLOOKUP(Datos_Origen[[#This Row],[Categoria]],Competitividad_1[#All],9,0)*IndiceIncrementoC,-3)</f>
        <v>3794000</v>
      </c>
      <c r="CJ15" s="161">
        <f>Datos_Origen[[#This Row],[G+V]]/Datos_Origen[[#This Row],[G+VQ3]]</f>
        <v>0.63578637322087506</v>
      </c>
      <c r="CK15" s="155">
        <f>ROUNDUP(VLOOKUP(Datos_Origen[[#This Row],[Categoria]],Competitividad_1[#All],10,0)*IndiceIncrementoC,-3)</f>
        <v>3904000</v>
      </c>
      <c r="CL15" s="161">
        <f>Datos_Origen[[#This Row],[CT]]/Datos_Origen[[#This Row],[CTQ3]]</f>
        <v>0.6178723104508197</v>
      </c>
      <c r="CM15" s="162">
        <f>IF(ROUND(Datos_Origen[[#This Row],[Salario Ordinario Pol2]],-3)&lt;SMMLV,SMMLV,ROUND(Datos_Origen[[#This Row],[Salario Ordinario Pol2]],-3))</f>
        <v>1841000</v>
      </c>
      <c r="CN15" s="155">
        <f>IF(Datos_Origen[[#This Row],[Gpol]]/(1+FactorPrestacionalOrdinario)&lt;SMMLV,SMMLV,Datos_Origen[[#This Row],[Gpol]]/(1+FactorPrestacionalOrdinario))</f>
        <v>2301416.4305949006</v>
      </c>
      <c r="CO15" s="161">
        <f>IFERROR(IF(Datos_Origen[[#This Row],[Salarios Año]]=14.12,Datos_Origen[[#This Row],[Básico]]/Datos_Origen[[#This Row],[Salario Ordinario Pol]],""),"")</f>
        <v>0.89075578532742505</v>
      </c>
      <c r="CP15" s="155">
        <f>IF(ROUND(Datos_Origen[[#This Row],[Salario Ordinario Pol22]],-3)&lt;SMMLV,SMMLV,ROUND(Datos_Origen[[#This Row],[Salario Ordinario Pol22]],-3))</f>
        <v>2762000</v>
      </c>
      <c r="CQ15" s="155" t="str">
        <f>IFERROR(ROUND(Datos_Origen[[#This Row],[Salario Integral Pol4]],-3),"")</f>
        <v/>
      </c>
      <c r="CR15" s="139" t="str">
        <f>IF((Datos_Origen[[#This Row],[Gpol]]/(1+FactorPrestacionalIntegral))&lt;(13*SMMLV),"",(Datos_Origen[[#This Row],[Gpol]]/(1+FactorPrestacionalIntegral)))</f>
        <v/>
      </c>
      <c r="CS15" s="161" t="str">
        <f>IFERROR(IF(Datos_Origen[[#This Row],[Salarios Año]]=12,Datos_Origen[[#This Row],[Básico]]/Datos_Origen[[#This Row],[Salario Integral Pol]],""),"")</f>
        <v/>
      </c>
      <c r="CT15" s="155" t="str">
        <f>IFERROR(ROUND(Datos_Origen[[#This Row],[Salario Integral Pol44]],-3),"")</f>
        <v/>
      </c>
      <c r="CU15" s="155">
        <f>Datos_Origen[[#This Row],[G+Vpol]]-Datos_Origen[[#This Row],[Variable]]</f>
        <v>2708000</v>
      </c>
      <c r="CV15" s="161">
        <f>Datos_Origen[[#This Row],[G]]/Datos_Origen[[#This Row],[Gpol]]</f>
        <v>0.89075830871491879</v>
      </c>
      <c r="CW15" s="154">
        <f>Datos_Origen[[#This Row],[Ctpol]]-Datos_Origen[[#This Row],[Beneficios]]</f>
        <v>2708000</v>
      </c>
      <c r="CX15" s="161">
        <f>Datos_Origen[[#This Row],[G+V]]/Datos_Origen[[#This Row],[G+Vpol]]</f>
        <v>0.89075830871491879</v>
      </c>
      <c r="CY15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2708000</v>
      </c>
      <c r="CZ15" s="161">
        <f>Datos_Origen[[#This Row],[CT]]/Datos_Origen[[#This Row],[Ctpol]]</f>
        <v>0.89075830871491879</v>
      </c>
      <c r="DA15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2050000</v>
      </c>
      <c r="DB15" s="158">
        <f>IF(Datos_Origen[[#This Row],[Básico]]&lt;10*SMMLV,0,Datos_Origen[[#This Row],[Base Seguridad Social Actual]]*8.5%)</f>
        <v>0</v>
      </c>
      <c r="DC15" s="158">
        <f>Datos_Origen[[#This Row],[Base Seguridad Social Actual]]*12%</f>
        <v>246000</v>
      </c>
      <c r="DD15" s="158">
        <f>Datos_Origen[[#This Row],[Base Seguridad Social Actual]]*Datos_Origen[[#This Row],[%ARL]]</f>
        <v>10701</v>
      </c>
      <c r="DE15" s="158">
        <f>IF(Datos_Origen[[#This Row],[Básico]]&lt;10*SMMLV,Datos_Origen[[#This Row],[Base Seguridad Social Actual]]*4%,Datos_Origen[[#This Row],[Base Seguridad Social Actual]]*9%)</f>
        <v>82000</v>
      </c>
      <c r="DF15" s="158">
        <f>Datos_Origen[[#This Row],[Salud]]+Datos_Origen[[#This Row],[Pensión]]+Datos_Origen[[#This Row],[ARL]]+Datos_Origen[[#This Row],[Parafiscales]]</f>
        <v>338701</v>
      </c>
      <c r="DG15" s="163">
        <f>Datos_Origen[[#This Row],[Costo Laboral Actual]]+Datos_Origen[[#This Row],[CT]]</f>
        <v>2750874.5</v>
      </c>
      <c r="DH15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2301416.4305949006</v>
      </c>
      <c r="DI15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5" s="158">
        <f>Datos_Origen[[#This Row],[Base Seguridad Social Nueva]]*12%</f>
        <v>276169.97167138808</v>
      </c>
      <c r="DK15" s="158">
        <f>Datos_Origen[[#This Row],[Base Seguridad Social Nueva]]*Datos_Origen[[#This Row],[%ARL]]</f>
        <v>12013.39376770538</v>
      </c>
      <c r="DL15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92056.657223796021</v>
      </c>
      <c r="DM15" s="158">
        <f>Datos_Origen[[#This Row],[Salud Nueva]]+Datos_Origen[[#This Row],[Pensión Nueva]]+Datos_Origen[[#This Row],[ARL nueva]]+Datos_Origen[[#This Row],[Parafiscales Nuevos]]</f>
        <v>380240.02266288945</v>
      </c>
      <c r="DN15" s="158">
        <f>Datos_Origen[[#This Row],[Costo Laboral Nuevo]]+Datos_Origen[[#This Row],[Ctpol]]</f>
        <v>3088240.0226628892</v>
      </c>
      <c r="DO15" s="158">
        <f>IF(Datos_Origen[[#This Row],[Ctpol]]-Datos_Origen[[#This Row],[CT]]&lt;=0,0,Datos_Origen[[#This Row],[Costo Total Nuevo]]-Datos_Origen[[#This Row],[Costo Total Actual]])</f>
        <v>337365.52266288921</v>
      </c>
      <c r="DP15" s="158">
        <f>IF(Datos_Origen[[#This Row],[Ctpol]]-Datos_Origen[[#This Row],[CT]]&lt;=0,0,Datos_Origen[[#This Row],[Ctpol]]-Datos_Origen[[#This Row],[CT]])</f>
        <v>295826.5</v>
      </c>
      <c r="DQ15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41539.022662889445</v>
      </c>
      <c r="DR15" s="158">
        <f>ROUNDDOWN(VLOOKUP(Datos_Origen[[#This Row],[Categoria]],Competitividad_1[],7,0)*IndiceIncrementoC,-3)</f>
        <v>3008000</v>
      </c>
      <c r="DS15" s="158">
        <f>Datos_Origen[[#This Row],[CTeq]]*0.8</f>
        <v>2067934.7929124795</v>
      </c>
      <c r="DT15" s="158">
        <f>Datos_Origen[[#This Row],[CTeq]]*1.2</f>
        <v>3101902.1893687192</v>
      </c>
      <c r="DU15" s="155">
        <f>IF(Datos_Origen[[#This Row],[Gpol6]]/(1+FactorPrestacionalOrdinario)&lt;SMMLV,SMMLV,Datos_Origen[[#This Row],[Gpol6]]/(1+FactorPrestacionalOrdinario))</f>
        <v>1841133.1444759206</v>
      </c>
      <c r="DV15" s="139" t="str">
        <f>IF((Datos_Origen[[#This Row],[Gpol6]]/(1+FactorPrestacionalIntegral))&lt;(13*SMMLV),"",(Datos_Origen[[#This Row],[Gpol6]]/(1+FactorPrestacionalIntegral)))</f>
        <v/>
      </c>
      <c r="DW15" s="154">
        <f>Datos_Origen[[#This Row],[G+Vpol8]]</f>
        <v>2166400</v>
      </c>
      <c r="DX15" s="154">
        <f>Datos_Origen[[#This Row],[Ctpol10]]-Datos_Origen[[#This Row],[Beneficios]]</f>
        <v>2166400</v>
      </c>
      <c r="DY15" s="154">
        <f>Datos_Origen[[#This Row],[Ctpol]]*$CM$6</f>
        <v>2166400</v>
      </c>
      <c r="DZ15" s="155">
        <f>IF(Datos_Origen[[#This Row],[Gpol66]]/(1+FactorPrestacionalOrdinario)&lt;SMMLV,SMMLV,Datos_Origen[[#This Row],[Gpol66]]/(1+FactorPrestacionalOrdinario))</f>
        <v>2761699.7167138807</v>
      </c>
      <c r="EA15" s="139" t="str">
        <f>IF((Datos_Origen[[#This Row],[Gpol66]]/(1+FactorPrestacionalIntegral))&lt;(13*SMMLV),"",(Datos_Origen[[#This Row],[Gpol66]]/(1+FactorPrestacionalIntegral)))</f>
        <v/>
      </c>
      <c r="EB15" s="154">
        <f>Datos_Origen[[#This Row],[G+Vpol88]]</f>
        <v>3249600</v>
      </c>
      <c r="EC15" s="154">
        <f>Datos_Origen[[#This Row],[Ctpol1010]]-Datos_Origen[[#This Row],[Beneficios]]</f>
        <v>3249600</v>
      </c>
      <c r="ED15" s="154">
        <f>Datos_Origen[[#This Row],[Ctpol]]*$CP$6</f>
        <v>3249600</v>
      </c>
      <c r="EE15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6" spans="2:135">
      <c r="B16" s="148"/>
      <c r="C16" s="149"/>
      <c r="D16" s="150"/>
      <c r="E16" s="151"/>
      <c r="F16" s="151"/>
      <c r="G16" s="150" t="s">
        <v>354</v>
      </c>
      <c r="H16" s="153"/>
      <c r="I16" s="152" t="s">
        <v>354</v>
      </c>
      <c r="J16" s="130" t="str">
        <f>IFERROR(VLOOKUP(Datos_Origen[[#This Row],[Cargo Tipo Valorado]],Cargos_Catalogo[[#All],[Cargo]:[Área]],2,0),"")</f>
        <v xml:space="preserve">Director logistico </v>
      </c>
      <c r="K16" s="153"/>
      <c r="L16" s="153"/>
      <c r="M16" s="153"/>
      <c r="N16" s="153"/>
      <c r="O16" s="154">
        <f>Datos_Origen[[#This Row],[Segmentación Individual]]</f>
        <v>0</v>
      </c>
      <c r="P16" s="153"/>
      <c r="Q16" s="154">
        <f>VLOOKUP(Datos_Origen[[#This Row],[Cargo Tipo Valorado]],Cargos_Catalogo[#Data],MATCH(Cargos_Catalogo[[#Headers],[Puntos]],Cargos_Catalogo[#Headers],0),FALSE)</f>
        <v>168</v>
      </c>
      <c r="R16" s="130">
        <f>VLOOKUP(Datos_Origen[[#This Row],[Puntos valoración]],Categorias_Registro[#Data],MATCH(Categorias_Registro[[#Headers],[Categoria]],Categorias_Registro[#Headers],0),FALSE)</f>
        <v>5</v>
      </c>
      <c r="S16" s="130" t="str">
        <f>VLOOKUP(Datos_Origen[[#This Row],[Cargo Tipo Valorado]],Cargos_Catalogo[#Data],MATCH(Cargos_Catalogo[[#Headers],[Nivel SHR]],Cargos_Catalogo[#Headers],0),FALSE)</f>
        <v>Operativo</v>
      </c>
      <c r="T16" s="130" t="str">
        <f>VLOOKUP(Datos_Origen[[#This Row],[Cargo Tipo Valorado]],Cargos_Catalogo[#Data],MATCH(Cargos_Catalogo[[#Headers],[Criticidad]],Cargos_Catalogo[#Headers],0),FALSE)</f>
        <v>Relevante</v>
      </c>
      <c r="U16" s="154">
        <f>VLOOKUP(Datos_Origen[[#This Row],[Puntos valoración]],Categorias_Registro[#Data],5,FALSE)</f>
        <v>164</v>
      </c>
      <c r="V16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2412173.5</v>
      </c>
      <c r="W16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6" s="154">
        <f>SUMIF($BA$5:$BJ$5,"NCS",Datos_Origen[[#This Row],[auxilio Gasolina]:[Otro Beneficio10]])+(SUMIF($BA$5:$BJ$5,"CS",Datos_Origen[[#This Row],[auxilio Gasolina]:[Otro Beneficio10]])*1.17667)</f>
        <v>0</v>
      </c>
      <c r="Y16" s="155">
        <f>Datos_Origen[[#This Row],[Básico]]+Datos_Origen[[#This Row],[Promedio de Comisiones  ]]</f>
        <v>2050000</v>
      </c>
      <c r="Z16" s="155">
        <f>Datos_Origen[[#This Row],[Básico]]+Datos_Origen[[#This Row],[Promedio de Comisiones  ]]</f>
        <v>2050000</v>
      </c>
      <c r="AA16" s="155">
        <f>Datos_Origen[[#This Row],[Garantizado]]</f>
        <v>2412173.5</v>
      </c>
      <c r="AB16" s="155">
        <f>Datos_Origen[[#This Row],[Variable]]+Datos_Origen[[#This Row],[Garantizado]]</f>
        <v>2412173.5</v>
      </c>
      <c r="AC16" s="155">
        <f>Datos_Origen[[#This Row],[Beneficios]]+Datos_Origen[[#This Row],[Variable]]+Datos_Origen[[#This Row],[Garantizado]]</f>
        <v>2412173.5</v>
      </c>
      <c r="AD16" s="156">
        <v>14.12</v>
      </c>
      <c r="AE16" s="141">
        <v>230</v>
      </c>
      <c r="AF16" s="345">
        <v>5.2199999999999998E-3</v>
      </c>
      <c r="AG16" s="155">
        <f>Datos_Origen[[#This Row],[Básico Actual]]*230/Datos_Origen[[#This Row],['# horas mes]]</f>
        <v>2050000</v>
      </c>
      <c r="AH16" s="157">
        <v>2050000</v>
      </c>
      <c r="AI16" s="158"/>
      <c r="AJ16" s="158">
        <f>(((Datos_Origen[[#This Row],[Básico]])/30)*$AJ$6)/12</f>
        <v>0</v>
      </c>
      <c r="AK16" s="158"/>
      <c r="AL16" s="143">
        <f>((Datos_Origen[[#This Row],[Básico]])/30)*$AL$6/12</f>
        <v>0</v>
      </c>
      <c r="AM16" s="158"/>
      <c r="AN16" s="158"/>
      <c r="AO16" s="158"/>
      <c r="AP16" s="158"/>
      <c r="AQ16" s="158"/>
      <c r="AR16" s="149">
        <v>0</v>
      </c>
      <c r="AS16" s="149"/>
      <c r="AT16" s="159" t="str">
        <f>IFERROR(Datos_Origen[[#This Row],[Comisiones Target]]/Datos_Origen[[#This Row],[Promedio de Comisiones  ]],"")</f>
        <v/>
      </c>
      <c r="AU16" s="160"/>
      <c r="AV16" s="143">
        <v>0</v>
      </c>
      <c r="AW16" s="160"/>
      <c r="AX16" s="143">
        <f>Datos_Origen[[#This Row],[N Salarios de la Bonificación2]]*Datos_Origen[[#This Row],[Básico]]/12</f>
        <v>0</v>
      </c>
      <c r="AY16" s="160"/>
      <c r="AZ16" s="158"/>
      <c r="BA16" s="149">
        <v>0</v>
      </c>
      <c r="BB16" s="149"/>
      <c r="BC16" s="149"/>
      <c r="BD16" s="149"/>
      <c r="BE16" s="149"/>
      <c r="BF16" s="149"/>
      <c r="BG16" s="149"/>
      <c r="BH16" s="149"/>
      <c r="BI16" s="149"/>
      <c r="BJ16" s="149"/>
      <c r="BK16" s="159">
        <f>IFERROR(Datos_Origen[[#This Row],[Variable]]/Datos_Origen[[#This Row],[CT]],"")</f>
        <v>0</v>
      </c>
      <c r="BL16" s="159">
        <f>IFERROR(Datos_Origen[[#This Row],[Beneficios]]/Datos_Origen[[#This Row],[CT]],"")</f>
        <v>0</v>
      </c>
      <c r="BM16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2380388.5736947823</v>
      </c>
      <c r="BN16" s="161">
        <f>Datos_Origen[[#This Row],[G]]/Datos_Origen[[#This Row],[Geq]]</f>
        <v>1.0133528309858595</v>
      </c>
      <c r="BO16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2581735.7909503947</v>
      </c>
      <c r="BP16" s="161">
        <f>Datos_Origen[[#This Row],[G+V]]/Datos_Origen[[#This Row],[G+Veq]]</f>
        <v>0.93432236887107067</v>
      </c>
      <c r="BQ16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2584918.4911405994</v>
      </c>
      <c r="BR16" s="161">
        <f>Datos_Origen[[#This Row],[CT]]/Datos_Origen[[#This Row],[CTeq]]</f>
        <v>0.93317197747911373</v>
      </c>
      <c r="BS16" s="139">
        <f>ROUNDUP(VLOOKUP(Datos_Origen[[#This Row],[Categoria]],Competitividad_1[#All],2,0)*IndiceIncrementoC,-3)</f>
        <v>2348000</v>
      </c>
      <c r="BT16" s="161">
        <f>Datos_Origen[[#This Row],[G]]/Datos_Origen[[#This Row],[GQ1]]</f>
        <v>1.027331132879046</v>
      </c>
      <c r="BU16" s="155">
        <f>ROUNDUP(VLOOKUP(Datos_Origen[[#This Row],[Categoria]],Competitividad_1[#All],3,0)*IndiceIncrementoC,-3)</f>
        <v>2445000</v>
      </c>
      <c r="BV16" s="161">
        <f>Datos_Origen[[#This Row],[G+V]]/Datos_Origen[[#This Row],[G+VQ1]]</f>
        <v>0.98657402862985688</v>
      </c>
      <c r="BW16" s="155">
        <f>ROUNDUP(VLOOKUP(Datos_Origen[[#This Row],[Categoria]],Competitividad_1[#All],4,0)*IndiceIncrementoC,-3)</f>
        <v>2540000</v>
      </c>
      <c r="BX16" s="161">
        <f>Datos_Origen[[#This Row],[CT]]/Datos_Origen[[#This Row],[CTQ1]]</f>
        <v>0.94967460629921263</v>
      </c>
      <c r="BY16" s="155">
        <f>ROUNDUP(VLOOKUP(Datos_Origen[[#This Row],[Categoria]],Competitividad_1[#All],5,0)*IndiceIncrementoC,-3)</f>
        <v>2838000</v>
      </c>
      <c r="BZ16" s="161">
        <f>Datos_Origen[[#This Row],[G]]/Datos_Origen[[#This Row],[GMd]]</f>
        <v>0.84995542635658916</v>
      </c>
      <c r="CA16" s="155">
        <f>ROUNDUP(VLOOKUP(Datos_Origen[[#This Row],[Categoria]],Competitividad_1[#All],6,0)*IndiceIncrementoC,-3)</f>
        <v>2891000</v>
      </c>
      <c r="CB16" s="161">
        <f>Datos_Origen[[#This Row],[G+V]]/Datos_Origen[[#This Row],[G+VMd]]</f>
        <v>0.83437340020754069</v>
      </c>
      <c r="CC16" s="155">
        <f>ROUNDUP(VLOOKUP(Datos_Origen[[#This Row],[Categoria]],Competitividad_1[#All],7,0)*IndiceIncrementoC,-3)</f>
        <v>3009000</v>
      </c>
      <c r="CD16" s="161">
        <f>Datos_Origen[[#This Row],[CT]]/Datos_Origen[[#This Row],[CTMd]]</f>
        <v>0.80165287470920576</v>
      </c>
      <c r="CE16" s="155">
        <f>+Datos_Origen[[#This Row],[GMd]]/1.17666666667</f>
        <v>2411898.0169903343</v>
      </c>
      <c r="CF16" s="161">
        <f>+Datos_Origen[[#This Row],[Básico Actual]]/Datos_Origen[[#This Row],[Salario Basico Md]]</f>
        <v>0.84995301856007766</v>
      </c>
      <c r="CG16" s="155">
        <f>ROUNDUP(VLOOKUP(Datos_Origen[[#This Row],[Categoria]],Competitividad_1[#All],8,0)*IndiceIncrementoC,-3)</f>
        <v>3683000</v>
      </c>
      <c r="CH16" s="161">
        <f>Datos_Origen[[#This Row],[G]]/Datos_Origen[[#This Row],[GQ3]]</f>
        <v>0.65494800434428457</v>
      </c>
      <c r="CI16" s="155">
        <f>ROUNDUP(VLOOKUP(Datos_Origen[[#This Row],[Categoria]],Competitividad_1[#All],9,0)*IndiceIncrementoC,-3)</f>
        <v>3794000</v>
      </c>
      <c r="CJ16" s="161">
        <f>Datos_Origen[[#This Row],[G+V]]/Datos_Origen[[#This Row],[G+VQ3]]</f>
        <v>0.63578637322087506</v>
      </c>
      <c r="CK16" s="155">
        <f>ROUNDUP(VLOOKUP(Datos_Origen[[#This Row],[Categoria]],Competitividad_1[#All],10,0)*IndiceIncrementoC,-3)</f>
        <v>3904000</v>
      </c>
      <c r="CL16" s="161">
        <f>Datos_Origen[[#This Row],[CT]]/Datos_Origen[[#This Row],[CTQ3]]</f>
        <v>0.6178723104508197</v>
      </c>
      <c r="CM16" s="162">
        <f>IF(ROUND(Datos_Origen[[#This Row],[Salario Ordinario Pol2]],-3)&lt;SMMLV,SMMLV,ROUND(Datos_Origen[[#This Row],[Salario Ordinario Pol2]],-3))</f>
        <v>1841000</v>
      </c>
      <c r="CN16" s="155">
        <f>IF(Datos_Origen[[#This Row],[Gpol]]/(1+FactorPrestacionalOrdinario)&lt;SMMLV,SMMLV,Datos_Origen[[#This Row],[Gpol]]/(1+FactorPrestacionalOrdinario))</f>
        <v>2301416.4305949006</v>
      </c>
      <c r="CO16" s="161">
        <f>IFERROR(IF(Datos_Origen[[#This Row],[Salarios Año]]=14.12,Datos_Origen[[#This Row],[Básico]]/Datos_Origen[[#This Row],[Salario Ordinario Pol]],""),"")</f>
        <v>0.89075578532742505</v>
      </c>
      <c r="CP16" s="155">
        <f>IF(ROUND(Datos_Origen[[#This Row],[Salario Ordinario Pol22]],-3)&lt;SMMLV,SMMLV,ROUND(Datos_Origen[[#This Row],[Salario Ordinario Pol22]],-3))</f>
        <v>2762000</v>
      </c>
      <c r="CQ16" s="155" t="str">
        <f>IFERROR(ROUND(Datos_Origen[[#This Row],[Salario Integral Pol4]],-3),"")</f>
        <v/>
      </c>
      <c r="CR16" s="139" t="str">
        <f>IF((Datos_Origen[[#This Row],[Gpol]]/(1+FactorPrestacionalIntegral))&lt;(13*SMMLV),"",(Datos_Origen[[#This Row],[Gpol]]/(1+FactorPrestacionalIntegral)))</f>
        <v/>
      </c>
      <c r="CS16" s="161" t="str">
        <f>IFERROR(IF(Datos_Origen[[#This Row],[Salarios Año]]=12,Datos_Origen[[#This Row],[Básico]]/Datos_Origen[[#This Row],[Salario Integral Pol]],""),"")</f>
        <v/>
      </c>
      <c r="CT16" s="155" t="str">
        <f>IFERROR(ROUND(Datos_Origen[[#This Row],[Salario Integral Pol44]],-3),"")</f>
        <v/>
      </c>
      <c r="CU16" s="155">
        <f>Datos_Origen[[#This Row],[G+Vpol]]-Datos_Origen[[#This Row],[Variable]]</f>
        <v>2708000</v>
      </c>
      <c r="CV16" s="161">
        <f>Datos_Origen[[#This Row],[G]]/Datos_Origen[[#This Row],[Gpol]]</f>
        <v>0.89075830871491879</v>
      </c>
      <c r="CW16" s="154">
        <f>Datos_Origen[[#This Row],[Ctpol]]-Datos_Origen[[#This Row],[Beneficios]]</f>
        <v>2708000</v>
      </c>
      <c r="CX16" s="161">
        <f>Datos_Origen[[#This Row],[G+V]]/Datos_Origen[[#This Row],[G+Vpol]]</f>
        <v>0.89075830871491879</v>
      </c>
      <c r="CY16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2708000</v>
      </c>
      <c r="CZ16" s="161">
        <f>Datos_Origen[[#This Row],[CT]]/Datos_Origen[[#This Row],[Ctpol]]</f>
        <v>0.89075830871491879</v>
      </c>
      <c r="DA16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2050000</v>
      </c>
      <c r="DB16" s="158">
        <f>IF(Datos_Origen[[#This Row],[Básico]]&lt;10*SMMLV,0,Datos_Origen[[#This Row],[Base Seguridad Social Actual]]*8.5%)</f>
        <v>0</v>
      </c>
      <c r="DC16" s="158">
        <f>Datos_Origen[[#This Row],[Base Seguridad Social Actual]]*12%</f>
        <v>246000</v>
      </c>
      <c r="DD16" s="158">
        <f>Datos_Origen[[#This Row],[Base Seguridad Social Actual]]*Datos_Origen[[#This Row],[%ARL]]</f>
        <v>10701</v>
      </c>
      <c r="DE16" s="158">
        <f>IF(Datos_Origen[[#This Row],[Básico]]&lt;10*SMMLV,Datos_Origen[[#This Row],[Base Seguridad Social Actual]]*4%,Datos_Origen[[#This Row],[Base Seguridad Social Actual]]*9%)</f>
        <v>82000</v>
      </c>
      <c r="DF16" s="158">
        <f>Datos_Origen[[#This Row],[Salud]]+Datos_Origen[[#This Row],[Pensión]]+Datos_Origen[[#This Row],[ARL]]+Datos_Origen[[#This Row],[Parafiscales]]</f>
        <v>338701</v>
      </c>
      <c r="DG16" s="163">
        <f>Datos_Origen[[#This Row],[Costo Laboral Actual]]+Datos_Origen[[#This Row],[CT]]</f>
        <v>2750874.5</v>
      </c>
      <c r="DH16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2301416.4305949006</v>
      </c>
      <c r="DI16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6" s="158">
        <f>Datos_Origen[[#This Row],[Base Seguridad Social Nueva]]*12%</f>
        <v>276169.97167138808</v>
      </c>
      <c r="DK16" s="158">
        <f>Datos_Origen[[#This Row],[Base Seguridad Social Nueva]]*Datos_Origen[[#This Row],[%ARL]]</f>
        <v>12013.39376770538</v>
      </c>
      <c r="DL16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92056.657223796021</v>
      </c>
      <c r="DM16" s="158">
        <f>Datos_Origen[[#This Row],[Salud Nueva]]+Datos_Origen[[#This Row],[Pensión Nueva]]+Datos_Origen[[#This Row],[ARL nueva]]+Datos_Origen[[#This Row],[Parafiscales Nuevos]]</f>
        <v>380240.02266288945</v>
      </c>
      <c r="DN16" s="158">
        <f>Datos_Origen[[#This Row],[Costo Laboral Nuevo]]+Datos_Origen[[#This Row],[Ctpol]]</f>
        <v>3088240.0226628892</v>
      </c>
      <c r="DO16" s="158">
        <f>IF(Datos_Origen[[#This Row],[Ctpol]]-Datos_Origen[[#This Row],[CT]]&lt;=0,0,Datos_Origen[[#This Row],[Costo Total Nuevo]]-Datos_Origen[[#This Row],[Costo Total Actual]])</f>
        <v>337365.52266288921</v>
      </c>
      <c r="DP16" s="158">
        <f>IF(Datos_Origen[[#This Row],[Ctpol]]-Datos_Origen[[#This Row],[CT]]&lt;=0,0,Datos_Origen[[#This Row],[Ctpol]]-Datos_Origen[[#This Row],[CT]])</f>
        <v>295826.5</v>
      </c>
      <c r="DQ16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41539.022662889445</v>
      </c>
      <c r="DR16" s="158">
        <f>ROUNDDOWN(VLOOKUP(Datos_Origen[[#This Row],[Categoria]],Competitividad_1[],7,0)*IndiceIncrementoC,-3)</f>
        <v>3008000</v>
      </c>
      <c r="DS16" s="158">
        <f>Datos_Origen[[#This Row],[CTeq]]*0.8</f>
        <v>2067934.7929124795</v>
      </c>
      <c r="DT16" s="158">
        <f>Datos_Origen[[#This Row],[CTeq]]*1.2</f>
        <v>3101902.1893687192</v>
      </c>
      <c r="DU16" s="155">
        <f>IF(Datos_Origen[[#This Row],[Gpol6]]/(1+FactorPrestacionalOrdinario)&lt;SMMLV,SMMLV,Datos_Origen[[#This Row],[Gpol6]]/(1+FactorPrestacionalOrdinario))</f>
        <v>1841133.1444759206</v>
      </c>
      <c r="DV16" s="139" t="str">
        <f>IF((Datos_Origen[[#This Row],[Gpol6]]/(1+FactorPrestacionalIntegral))&lt;(13*SMMLV),"",(Datos_Origen[[#This Row],[Gpol6]]/(1+FactorPrestacionalIntegral)))</f>
        <v/>
      </c>
      <c r="DW16" s="154">
        <f>Datos_Origen[[#This Row],[G+Vpol8]]</f>
        <v>2166400</v>
      </c>
      <c r="DX16" s="154">
        <f>Datos_Origen[[#This Row],[Ctpol10]]-Datos_Origen[[#This Row],[Beneficios]]</f>
        <v>2166400</v>
      </c>
      <c r="DY16" s="154">
        <f>Datos_Origen[[#This Row],[Ctpol]]*$CM$6</f>
        <v>2166400</v>
      </c>
      <c r="DZ16" s="155">
        <f>IF(Datos_Origen[[#This Row],[Gpol66]]/(1+FactorPrestacionalOrdinario)&lt;SMMLV,SMMLV,Datos_Origen[[#This Row],[Gpol66]]/(1+FactorPrestacionalOrdinario))</f>
        <v>2761699.7167138807</v>
      </c>
      <c r="EA16" s="139" t="str">
        <f>IF((Datos_Origen[[#This Row],[Gpol66]]/(1+FactorPrestacionalIntegral))&lt;(13*SMMLV),"",(Datos_Origen[[#This Row],[Gpol66]]/(1+FactorPrestacionalIntegral)))</f>
        <v/>
      </c>
      <c r="EB16" s="154">
        <f>Datos_Origen[[#This Row],[G+Vpol88]]</f>
        <v>3249600</v>
      </c>
      <c r="EC16" s="154">
        <f>Datos_Origen[[#This Row],[Ctpol1010]]-Datos_Origen[[#This Row],[Beneficios]]</f>
        <v>3249600</v>
      </c>
      <c r="ED16" s="154">
        <f>Datos_Origen[[#This Row],[Ctpol]]*$CP$6</f>
        <v>3249600</v>
      </c>
      <c r="EE16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7" spans="2:135">
      <c r="B17" s="148"/>
      <c r="C17" s="149"/>
      <c r="D17" s="150"/>
      <c r="E17" s="151"/>
      <c r="F17" s="151"/>
      <c r="G17" s="150" t="s">
        <v>350</v>
      </c>
      <c r="H17" s="153"/>
      <c r="I17" s="152" t="s">
        <v>350</v>
      </c>
      <c r="J17" s="130" t="str">
        <f>IFERROR(VLOOKUP(Datos_Origen[[#This Row],[Cargo Tipo Valorado]],Cargos_Catalogo[[#All],[Cargo]:[Área]],2,0),"")</f>
        <v xml:space="preserve">Director de producción </v>
      </c>
      <c r="K17" s="153"/>
      <c r="L17" s="153"/>
      <c r="M17" s="153"/>
      <c r="N17" s="153"/>
      <c r="O17" s="154">
        <f>Datos_Origen[[#This Row],[Segmentación Individual]]</f>
        <v>0</v>
      </c>
      <c r="P17" s="153"/>
      <c r="Q17" s="154">
        <f>VLOOKUP(Datos_Origen[[#This Row],[Cargo Tipo Valorado]],Cargos_Catalogo[#Data],MATCH(Cargos_Catalogo[[#Headers],[Puntos]],Cargos_Catalogo[#Headers],0),FALSE)</f>
        <v>192</v>
      </c>
      <c r="R17" s="130">
        <f>VLOOKUP(Datos_Origen[[#This Row],[Puntos valoración]],Categorias_Registro[#Data],MATCH(Categorias_Registro[[#Headers],[Categoria]],Categorias_Registro[#Headers],0),FALSE)</f>
        <v>6</v>
      </c>
      <c r="S17" s="130" t="str">
        <f>VLOOKUP(Datos_Origen[[#This Row],[Cargo Tipo Valorado]],Cargos_Catalogo[#Data],MATCH(Cargos_Catalogo[[#Headers],[Nivel SHR]],Cargos_Catalogo[#Headers],0),FALSE)</f>
        <v>Soporte</v>
      </c>
      <c r="T17" s="130" t="str">
        <f>VLOOKUP(Datos_Origen[[#This Row],[Cargo Tipo Valorado]],Cargos_Catalogo[#Data],MATCH(Cargos_Catalogo[[#Headers],[Criticidad]],Cargos_Catalogo[#Headers],0),FALSE)</f>
        <v>Importante</v>
      </c>
      <c r="U17" s="154">
        <f>VLOOKUP(Datos_Origen[[#This Row],[Puntos valoración]],Categorias_Registro[#Data],5,FALSE)</f>
        <v>189</v>
      </c>
      <c r="V17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2706341.0000000005</v>
      </c>
      <c r="W17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7" s="154">
        <f>SUMIF($BA$5:$BJ$5,"NCS",Datos_Origen[[#This Row],[auxilio Gasolina]:[Otro Beneficio10]])+(SUMIF($BA$5:$BJ$5,"CS",Datos_Origen[[#This Row],[auxilio Gasolina]:[Otro Beneficio10]])*1.17667)</f>
        <v>0</v>
      </c>
      <c r="Y17" s="155">
        <f>Datos_Origen[[#This Row],[Básico]]+Datos_Origen[[#This Row],[Promedio de Comisiones  ]]</f>
        <v>2300000</v>
      </c>
      <c r="Z17" s="155">
        <f>Datos_Origen[[#This Row],[Básico]]+Datos_Origen[[#This Row],[Promedio de Comisiones  ]]</f>
        <v>2300000</v>
      </c>
      <c r="AA17" s="155">
        <f>Datos_Origen[[#This Row],[Garantizado]]</f>
        <v>2706341.0000000005</v>
      </c>
      <c r="AB17" s="155">
        <f>Datos_Origen[[#This Row],[Variable]]+Datos_Origen[[#This Row],[Garantizado]]</f>
        <v>2706341.0000000005</v>
      </c>
      <c r="AC17" s="155">
        <f>Datos_Origen[[#This Row],[Beneficios]]+Datos_Origen[[#This Row],[Variable]]+Datos_Origen[[#This Row],[Garantizado]]</f>
        <v>2706341.0000000005</v>
      </c>
      <c r="AD17" s="156">
        <v>14.12</v>
      </c>
      <c r="AE17" s="141">
        <v>230</v>
      </c>
      <c r="AF17" s="345">
        <v>4.3499999999999997E-2</v>
      </c>
      <c r="AG17" s="155">
        <f>Datos_Origen[[#This Row],[Básico Actual]]*230/Datos_Origen[[#This Row],['# horas mes]]</f>
        <v>2300000</v>
      </c>
      <c r="AH17" s="157">
        <v>2300000</v>
      </c>
      <c r="AI17" s="158"/>
      <c r="AJ17" s="158">
        <f>(((Datos_Origen[[#This Row],[Básico]])/30)*$AJ$6)/12</f>
        <v>0</v>
      </c>
      <c r="AK17" s="158"/>
      <c r="AL17" s="143">
        <f>((Datos_Origen[[#This Row],[Básico]])/30)*$AL$6/12</f>
        <v>0</v>
      </c>
      <c r="AM17" s="158"/>
      <c r="AN17" s="158"/>
      <c r="AO17" s="158"/>
      <c r="AP17" s="158"/>
      <c r="AQ17" s="158"/>
      <c r="AR17" s="149">
        <v>0</v>
      </c>
      <c r="AS17" s="149"/>
      <c r="AT17" s="159" t="str">
        <f>IFERROR(Datos_Origen[[#This Row],[Comisiones Target]]/Datos_Origen[[#This Row],[Promedio de Comisiones  ]],"")</f>
        <v/>
      </c>
      <c r="AU17" s="160"/>
      <c r="AV17" s="143">
        <v>0</v>
      </c>
      <c r="AW17" s="160"/>
      <c r="AX17" s="143">
        <f>Datos_Origen[[#This Row],[N Salarios de la Bonificación2]]*Datos_Origen[[#This Row],[Básico]]/12</f>
        <v>0</v>
      </c>
      <c r="AY17" s="160"/>
      <c r="AZ17" s="158"/>
      <c r="BA17" s="149">
        <v>0</v>
      </c>
      <c r="BB17" s="149"/>
      <c r="BC17" s="149"/>
      <c r="BD17" s="149"/>
      <c r="BE17" s="149"/>
      <c r="BF17" s="149"/>
      <c r="BG17" s="149"/>
      <c r="BH17" s="149"/>
      <c r="BI17" s="149"/>
      <c r="BJ17" s="149"/>
      <c r="BK17" s="159">
        <f>IFERROR(Datos_Origen[[#This Row],[Variable]]/Datos_Origen[[#This Row],[CT]],"")</f>
        <v>0</v>
      </c>
      <c r="BL17" s="159">
        <f>IFERROR(Datos_Origen[[#This Row],[Beneficios]]/Datos_Origen[[#This Row],[CT]],"")</f>
        <v>0</v>
      </c>
      <c r="BM17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2647147.6005700002</v>
      </c>
      <c r="BN17" s="161">
        <f>Datos_Origen[[#This Row],[G]]/Datos_Origen[[#This Row],[Geq]]</f>
        <v>1.0223612009459746</v>
      </c>
      <c r="BO17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2860178.2079323218</v>
      </c>
      <c r="BP17" s="161">
        <f>Datos_Origen[[#This Row],[G+V]]/Datos_Origen[[#This Row],[G+Veq]]</f>
        <v>0.94621411788060117</v>
      </c>
      <c r="BQ17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2863029.376852714</v>
      </c>
      <c r="BR17" s="161">
        <f>Datos_Origen[[#This Row],[CT]]/Datos_Origen[[#This Row],[CTeq]]</f>
        <v>0.94527182357277839</v>
      </c>
      <c r="BS17" s="139">
        <f>ROUNDUP(VLOOKUP(Datos_Origen[[#This Row],[Categoria]],Competitividad_1[#All],2,0)*IndiceIncrementoC,-3)</f>
        <v>2611000</v>
      </c>
      <c r="BT17" s="161">
        <f>Datos_Origen[[#This Row],[G]]/Datos_Origen[[#This Row],[GQ1]]</f>
        <v>1.0365151283033323</v>
      </c>
      <c r="BU17" s="155">
        <f>ROUNDUP(VLOOKUP(Datos_Origen[[#This Row],[Categoria]],Competitividad_1[#All],3,0)*IndiceIncrementoC,-3)</f>
        <v>2711000</v>
      </c>
      <c r="BV17" s="161">
        <f>Datos_Origen[[#This Row],[G+V]]/Datos_Origen[[#This Row],[G+VQ1]]</f>
        <v>0.99828144596090018</v>
      </c>
      <c r="BW17" s="155">
        <f>ROUNDUP(VLOOKUP(Datos_Origen[[#This Row],[Categoria]],Competitividad_1[#All],4,0)*IndiceIncrementoC,-3)</f>
        <v>2818000</v>
      </c>
      <c r="BX17" s="161">
        <f>Datos_Origen[[#This Row],[CT]]/Datos_Origen[[#This Row],[CTQ1]]</f>
        <v>0.96037650816181708</v>
      </c>
      <c r="BY17" s="155">
        <f>ROUNDUP(VLOOKUP(Datos_Origen[[#This Row],[Categoria]],Competitividad_1[#All],5,0)*IndiceIncrementoC,-3)</f>
        <v>3129000</v>
      </c>
      <c r="BZ17" s="161">
        <f>Datos_Origen[[#This Row],[G]]/Datos_Origen[[#This Row],[GMd]]</f>
        <v>0.86492201981463745</v>
      </c>
      <c r="CA17" s="155">
        <f>ROUNDUP(VLOOKUP(Datos_Origen[[#This Row],[Categoria]],Competitividad_1[#All],6,0)*IndiceIncrementoC,-3)</f>
        <v>3170000</v>
      </c>
      <c r="CB17" s="161">
        <f>Datos_Origen[[#This Row],[G+V]]/Datos_Origen[[#This Row],[G+VMd]]</f>
        <v>0.85373533123028411</v>
      </c>
      <c r="CC17" s="155">
        <f>ROUNDUP(VLOOKUP(Datos_Origen[[#This Row],[Categoria]],Competitividad_1[#All],7,0)*IndiceIncrementoC,-3)</f>
        <v>3309000</v>
      </c>
      <c r="CD17" s="161">
        <f>Datos_Origen[[#This Row],[CT]]/Datos_Origen[[#This Row],[CTMd]]</f>
        <v>0.81787277122997903</v>
      </c>
      <c r="CE17" s="155">
        <f>+Datos_Origen[[#This Row],[GMd]]/1.17666666667</f>
        <v>2659206.798859322</v>
      </c>
      <c r="CF17" s="161">
        <f>+Datos_Origen[[#This Row],[Básico Actual]]/Datos_Origen[[#This Row],[Salario Basico Md]]</f>
        <v>0.86491956962000649</v>
      </c>
      <c r="CG17" s="155">
        <f>ROUNDUP(VLOOKUP(Datos_Origen[[#This Row],[Categoria]],Competitividad_1[#All],8,0)*IndiceIncrementoC,-3)</f>
        <v>4169000</v>
      </c>
      <c r="CH17" s="161">
        <f>Datos_Origen[[#This Row],[G]]/Datos_Origen[[#This Row],[GQ3]]</f>
        <v>0.6491583113456465</v>
      </c>
      <c r="CI17" s="155">
        <f>ROUNDUP(VLOOKUP(Datos_Origen[[#This Row],[Categoria]],Competitividad_1[#All],9,0)*IndiceIncrementoC,-3)</f>
        <v>4291000</v>
      </c>
      <c r="CJ17" s="161">
        <f>Datos_Origen[[#This Row],[G+V]]/Datos_Origen[[#This Row],[G+VQ3]]</f>
        <v>0.63070170123514346</v>
      </c>
      <c r="CK17" s="155">
        <f>ROUNDUP(VLOOKUP(Datos_Origen[[#This Row],[Categoria]],Competitividad_1[#All],10,0)*IndiceIncrementoC,-3)</f>
        <v>4410000</v>
      </c>
      <c r="CL17" s="161">
        <f>Datos_Origen[[#This Row],[CT]]/Datos_Origen[[#This Row],[CTQ3]]</f>
        <v>0.61368276643990938</v>
      </c>
      <c r="CM17" s="162">
        <f>IF(ROUND(Datos_Origen[[#This Row],[Salario Ordinario Pol2]],-3)&lt;SMMLV,SMMLV,ROUND(Datos_Origen[[#This Row],[Salario Ordinario Pol2]],-3))</f>
        <v>2250000</v>
      </c>
      <c r="CN17" s="155">
        <f>IF(Datos_Origen[[#This Row],[Gpol]]/(1+FactorPrestacionalOrdinario)&lt;SMMLV,SMMLV,Datos_Origen[[#This Row],[Gpol]]/(1+FactorPrestacionalOrdinario))</f>
        <v>2812181.3031161469</v>
      </c>
      <c r="CO17" s="161">
        <f>IFERROR(IF(Datos_Origen[[#This Row],[Salarios Año]]=14.12,Datos_Origen[[#This Row],[Básico]]/Datos_Origen[[#This Row],[Salario Ordinario Pol]],""),"")</f>
        <v>0.81787045431651062</v>
      </c>
      <c r="CP17" s="155">
        <f>IF(ROUND(Datos_Origen[[#This Row],[Salario Ordinario Pol22]],-3)&lt;SMMLV,SMMLV,ROUND(Datos_Origen[[#This Row],[Salario Ordinario Pol22]],-3))</f>
        <v>3375000</v>
      </c>
      <c r="CQ17" s="155" t="str">
        <f>IFERROR(ROUND(Datos_Origen[[#This Row],[Salario Integral Pol4]],-3),"")</f>
        <v/>
      </c>
      <c r="CR17" s="139" t="str">
        <f>IF((Datos_Origen[[#This Row],[Gpol]]/(1+FactorPrestacionalIntegral))&lt;(13*SMMLV),"",(Datos_Origen[[#This Row],[Gpol]]/(1+FactorPrestacionalIntegral)))</f>
        <v/>
      </c>
      <c r="CS17" s="161" t="str">
        <f>IFERROR(IF(Datos_Origen[[#This Row],[Salarios Año]]=12,Datos_Origen[[#This Row],[Básico]]/Datos_Origen[[#This Row],[Salario Integral Pol]],""),"")</f>
        <v/>
      </c>
      <c r="CT17" s="155" t="str">
        <f>IFERROR(ROUND(Datos_Origen[[#This Row],[Salario Integral Pol44]],-3),"")</f>
        <v/>
      </c>
      <c r="CU17" s="155">
        <f>Datos_Origen[[#This Row],[G+Vpol]]-Datos_Origen[[#This Row],[Variable]]</f>
        <v>3309000</v>
      </c>
      <c r="CV17" s="161">
        <f>Datos_Origen[[#This Row],[G]]/Datos_Origen[[#This Row],[Gpol]]</f>
        <v>0.81787277122997903</v>
      </c>
      <c r="CW17" s="154">
        <f>Datos_Origen[[#This Row],[Ctpol]]-Datos_Origen[[#This Row],[Beneficios]]</f>
        <v>3309000</v>
      </c>
      <c r="CX17" s="161">
        <f>Datos_Origen[[#This Row],[G+V]]/Datos_Origen[[#This Row],[G+Vpol]]</f>
        <v>0.81787277122997903</v>
      </c>
      <c r="CY17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3309000</v>
      </c>
      <c r="CZ17" s="161">
        <f>Datos_Origen[[#This Row],[CT]]/Datos_Origen[[#This Row],[Ctpol]]</f>
        <v>0.81787277122997903</v>
      </c>
      <c r="DA17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2300000</v>
      </c>
      <c r="DB17" s="158">
        <f>IF(Datos_Origen[[#This Row],[Básico]]&lt;10*SMMLV,0,Datos_Origen[[#This Row],[Base Seguridad Social Actual]]*8.5%)</f>
        <v>0</v>
      </c>
      <c r="DC17" s="158">
        <f>Datos_Origen[[#This Row],[Base Seguridad Social Actual]]*12%</f>
        <v>276000</v>
      </c>
      <c r="DD17" s="158">
        <f>Datos_Origen[[#This Row],[Base Seguridad Social Actual]]*Datos_Origen[[#This Row],[%ARL]]</f>
        <v>100050</v>
      </c>
      <c r="DE17" s="158">
        <f>IF(Datos_Origen[[#This Row],[Básico]]&lt;10*SMMLV,Datos_Origen[[#This Row],[Base Seguridad Social Actual]]*4%,Datos_Origen[[#This Row],[Base Seguridad Social Actual]]*9%)</f>
        <v>92000</v>
      </c>
      <c r="DF17" s="158">
        <f>Datos_Origen[[#This Row],[Salud]]+Datos_Origen[[#This Row],[Pensión]]+Datos_Origen[[#This Row],[ARL]]+Datos_Origen[[#This Row],[Parafiscales]]</f>
        <v>468050</v>
      </c>
      <c r="DG17" s="163">
        <f>Datos_Origen[[#This Row],[Costo Laboral Actual]]+Datos_Origen[[#This Row],[CT]]</f>
        <v>3174391.0000000005</v>
      </c>
      <c r="DH17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2812181.3031161469</v>
      </c>
      <c r="DI17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7" s="158">
        <f>Datos_Origen[[#This Row],[Base Seguridad Social Nueva]]*12%</f>
        <v>337461.75637393765</v>
      </c>
      <c r="DK17" s="158">
        <f>Datos_Origen[[#This Row],[Base Seguridad Social Nueva]]*Datos_Origen[[#This Row],[%ARL]]</f>
        <v>122329.88668555238</v>
      </c>
      <c r="DL17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112487.25212464588</v>
      </c>
      <c r="DM17" s="158">
        <f>Datos_Origen[[#This Row],[Salud Nueva]]+Datos_Origen[[#This Row],[Pensión Nueva]]+Datos_Origen[[#This Row],[ARL nueva]]+Datos_Origen[[#This Row],[Parafiscales Nuevos]]</f>
        <v>572278.89518413588</v>
      </c>
      <c r="DN17" s="158">
        <f>Datos_Origen[[#This Row],[Costo Laboral Nuevo]]+Datos_Origen[[#This Row],[Ctpol]]</f>
        <v>3881278.895184136</v>
      </c>
      <c r="DO17" s="158">
        <f>IF(Datos_Origen[[#This Row],[Ctpol]]-Datos_Origen[[#This Row],[CT]]&lt;=0,0,Datos_Origen[[#This Row],[Costo Total Nuevo]]-Datos_Origen[[#This Row],[Costo Total Actual]])</f>
        <v>706887.89518413553</v>
      </c>
      <c r="DP17" s="158">
        <f>IF(Datos_Origen[[#This Row],[Ctpol]]-Datos_Origen[[#This Row],[CT]]&lt;=0,0,Datos_Origen[[#This Row],[Ctpol]]-Datos_Origen[[#This Row],[CT]])</f>
        <v>602658.99999999953</v>
      </c>
      <c r="DQ17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104228.89518413588</v>
      </c>
      <c r="DR17" s="158">
        <f>ROUNDDOWN(VLOOKUP(Datos_Origen[[#This Row],[Categoria]],Competitividad_1[],7,0)*IndiceIncrementoC,-3)</f>
        <v>3308000</v>
      </c>
      <c r="DS17" s="158">
        <f>Datos_Origen[[#This Row],[CTeq]]*0.8</f>
        <v>2290423.5014821715</v>
      </c>
      <c r="DT17" s="158">
        <f>Datos_Origen[[#This Row],[CTeq]]*1.2</f>
        <v>3435635.2522232565</v>
      </c>
      <c r="DU17" s="155">
        <f>IF(Datos_Origen[[#This Row],[Gpol6]]/(1+FactorPrestacionalOrdinario)&lt;SMMLV,SMMLV,Datos_Origen[[#This Row],[Gpol6]]/(1+FactorPrestacionalOrdinario))</f>
        <v>2249745.0424929177</v>
      </c>
      <c r="DV17" s="139" t="str">
        <f>IF((Datos_Origen[[#This Row],[Gpol6]]/(1+FactorPrestacionalIntegral))&lt;(13*SMMLV),"",(Datos_Origen[[#This Row],[Gpol6]]/(1+FactorPrestacionalIntegral)))</f>
        <v/>
      </c>
      <c r="DW17" s="154">
        <f>Datos_Origen[[#This Row],[G+Vpol8]]</f>
        <v>2647200</v>
      </c>
      <c r="DX17" s="154">
        <f>Datos_Origen[[#This Row],[Ctpol10]]-Datos_Origen[[#This Row],[Beneficios]]</f>
        <v>2647200</v>
      </c>
      <c r="DY17" s="154">
        <f>Datos_Origen[[#This Row],[Ctpol]]*$CM$6</f>
        <v>2647200</v>
      </c>
      <c r="DZ17" s="155">
        <f>IF(Datos_Origen[[#This Row],[Gpol66]]/(1+FactorPrestacionalOrdinario)&lt;SMMLV,SMMLV,Datos_Origen[[#This Row],[Gpol66]]/(1+FactorPrestacionalOrdinario))</f>
        <v>3374617.5637393766</v>
      </c>
      <c r="EA17" s="139" t="str">
        <f>IF((Datos_Origen[[#This Row],[Gpol66]]/(1+FactorPrestacionalIntegral))&lt;(13*SMMLV),"",(Datos_Origen[[#This Row],[Gpol66]]/(1+FactorPrestacionalIntegral)))</f>
        <v/>
      </c>
      <c r="EB17" s="154">
        <f>Datos_Origen[[#This Row],[G+Vpol88]]</f>
        <v>3970800</v>
      </c>
      <c r="EC17" s="154">
        <f>Datos_Origen[[#This Row],[Ctpol1010]]-Datos_Origen[[#This Row],[Beneficios]]</f>
        <v>3970800</v>
      </c>
      <c r="ED17" s="154">
        <f>Datos_Origen[[#This Row],[Ctpol]]*$CP$6</f>
        <v>3970800</v>
      </c>
      <c r="EE17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8" spans="2:135">
      <c r="B18" s="132"/>
      <c r="C18" s="149"/>
      <c r="D18" s="150"/>
      <c r="E18" s="151"/>
      <c r="F18" s="151"/>
      <c r="G18" s="150" t="s">
        <v>350</v>
      </c>
      <c r="H18" s="153"/>
      <c r="I18" s="152" t="s">
        <v>350</v>
      </c>
      <c r="J18" s="130" t="str">
        <f>IFERROR(VLOOKUP(Datos_Origen[[#This Row],[Cargo Tipo Valorado]],Cargos_Catalogo[[#All],[Cargo]:[Área]],2,0),"")</f>
        <v xml:space="preserve">Director de producción </v>
      </c>
      <c r="K18" s="153"/>
      <c r="L18" s="153"/>
      <c r="M18" s="153"/>
      <c r="N18" s="153"/>
      <c r="O18" s="154">
        <f>Datos_Origen[[#This Row],[Segmentación Individual]]</f>
        <v>0</v>
      </c>
      <c r="P18" s="153"/>
      <c r="Q18" s="154">
        <f>VLOOKUP(Datos_Origen[[#This Row],[Cargo Tipo Valorado]],Cargos_Catalogo[#Data],MATCH(Cargos_Catalogo[[#Headers],[Puntos]],Cargos_Catalogo[#Headers],0),FALSE)</f>
        <v>192</v>
      </c>
      <c r="R18" s="130">
        <f>VLOOKUP(Datos_Origen[[#This Row],[Puntos valoración]],Categorias_Registro[#Data],MATCH(Categorias_Registro[[#Headers],[Categoria]],Categorias_Registro[#Headers],0),FALSE)</f>
        <v>6</v>
      </c>
      <c r="S18" s="130" t="str">
        <f>VLOOKUP(Datos_Origen[[#This Row],[Cargo Tipo Valorado]],Cargos_Catalogo[#Data],MATCH(Cargos_Catalogo[[#Headers],[Nivel SHR]],Cargos_Catalogo[#Headers],0),FALSE)</f>
        <v>Soporte</v>
      </c>
      <c r="T18" s="130" t="str">
        <f>VLOOKUP(Datos_Origen[[#This Row],[Cargo Tipo Valorado]],Cargos_Catalogo[#Data],MATCH(Cargos_Catalogo[[#Headers],[Criticidad]],Cargos_Catalogo[#Headers],0),FALSE)</f>
        <v>Importante</v>
      </c>
      <c r="U18" s="154">
        <f>VLOOKUP(Datos_Origen[[#This Row],[Puntos valoración]],Categorias_Registro[#Data],5,FALSE)</f>
        <v>189</v>
      </c>
      <c r="V18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2706341.0000000005</v>
      </c>
      <c r="W18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8" s="154">
        <f>SUMIF($BA$5:$BJ$5,"NCS",Datos_Origen[[#This Row],[auxilio Gasolina]:[Otro Beneficio10]])+(SUMIF($BA$5:$BJ$5,"CS",Datos_Origen[[#This Row],[auxilio Gasolina]:[Otro Beneficio10]])*1.17667)</f>
        <v>0</v>
      </c>
      <c r="Y18" s="155">
        <f>Datos_Origen[[#This Row],[Básico]]+Datos_Origen[[#This Row],[Promedio de Comisiones  ]]</f>
        <v>2300000</v>
      </c>
      <c r="Z18" s="155">
        <f>Datos_Origen[[#This Row],[Básico]]+Datos_Origen[[#This Row],[Promedio de Comisiones  ]]</f>
        <v>2300000</v>
      </c>
      <c r="AA18" s="155">
        <f>Datos_Origen[[#This Row],[Garantizado]]</f>
        <v>2706341.0000000005</v>
      </c>
      <c r="AB18" s="155">
        <f>Datos_Origen[[#This Row],[Variable]]+Datos_Origen[[#This Row],[Garantizado]]</f>
        <v>2706341.0000000005</v>
      </c>
      <c r="AC18" s="155">
        <f>Datos_Origen[[#This Row],[Beneficios]]+Datos_Origen[[#This Row],[Variable]]+Datos_Origen[[#This Row],[Garantizado]]</f>
        <v>2706341.0000000005</v>
      </c>
      <c r="AD18" s="156">
        <v>14.12</v>
      </c>
      <c r="AE18" s="141">
        <v>230</v>
      </c>
      <c r="AF18" s="345">
        <v>4.3499999999999997E-2</v>
      </c>
      <c r="AG18" s="155">
        <f>Datos_Origen[[#This Row],[Básico Actual]]*230/Datos_Origen[[#This Row],['# horas mes]]</f>
        <v>2300000</v>
      </c>
      <c r="AH18" s="157">
        <v>2300000</v>
      </c>
      <c r="AI18" s="158"/>
      <c r="AJ18" s="158">
        <f>(((Datos_Origen[[#This Row],[Básico]])/30)*$AJ$6)/12</f>
        <v>0</v>
      </c>
      <c r="AK18" s="158"/>
      <c r="AL18" s="143">
        <f>((Datos_Origen[[#This Row],[Básico]])/30)*$AL$6/12</f>
        <v>0</v>
      </c>
      <c r="AM18" s="158"/>
      <c r="AN18" s="158"/>
      <c r="AO18" s="158"/>
      <c r="AP18" s="158"/>
      <c r="AQ18" s="158"/>
      <c r="AR18" s="149">
        <v>0</v>
      </c>
      <c r="AS18" s="149"/>
      <c r="AT18" s="159" t="str">
        <f>IFERROR(Datos_Origen[[#This Row],[Comisiones Target]]/Datos_Origen[[#This Row],[Promedio de Comisiones  ]],"")</f>
        <v/>
      </c>
      <c r="AU18" s="160"/>
      <c r="AV18" s="143">
        <v>0</v>
      </c>
      <c r="AW18" s="160"/>
      <c r="AX18" s="143">
        <f>Datos_Origen[[#This Row],[N Salarios de la Bonificación2]]*Datos_Origen[[#This Row],[Básico]]/12</f>
        <v>0</v>
      </c>
      <c r="AY18" s="160"/>
      <c r="AZ18" s="158"/>
      <c r="BA18" s="149">
        <v>0</v>
      </c>
      <c r="BB18" s="149"/>
      <c r="BC18" s="149"/>
      <c r="BD18" s="149"/>
      <c r="BE18" s="149"/>
      <c r="BF18" s="149"/>
      <c r="BG18" s="149"/>
      <c r="BH18" s="149"/>
      <c r="BI18" s="149"/>
      <c r="BJ18" s="149"/>
      <c r="BK18" s="159">
        <f>IFERROR(Datos_Origen[[#This Row],[Variable]]/Datos_Origen[[#This Row],[CT]],"")</f>
        <v>0</v>
      </c>
      <c r="BL18" s="159">
        <f>IFERROR(Datos_Origen[[#This Row],[Beneficios]]/Datos_Origen[[#This Row],[CT]],"")</f>
        <v>0</v>
      </c>
      <c r="BM18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2647147.6005700002</v>
      </c>
      <c r="BN18" s="161">
        <f>Datos_Origen[[#This Row],[G]]/Datos_Origen[[#This Row],[Geq]]</f>
        <v>1.0223612009459746</v>
      </c>
      <c r="BO18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2860178.2079323218</v>
      </c>
      <c r="BP18" s="161">
        <f>Datos_Origen[[#This Row],[G+V]]/Datos_Origen[[#This Row],[G+Veq]]</f>
        <v>0.94621411788060117</v>
      </c>
      <c r="BQ18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2863029.376852714</v>
      </c>
      <c r="BR18" s="161">
        <f>Datos_Origen[[#This Row],[CT]]/Datos_Origen[[#This Row],[CTeq]]</f>
        <v>0.94527182357277839</v>
      </c>
      <c r="BS18" s="139">
        <f>ROUNDUP(VLOOKUP(Datos_Origen[[#This Row],[Categoria]],Competitividad_1[#All],2,0)*IndiceIncrementoC,-3)</f>
        <v>2611000</v>
      </c>
      <c r="BT18" s="161">
        <f>Datos_Origen[[#This Row],[G]]/Datos_Origen[[#This Row],[GQ1]]</f>
        <v>1.0365151283033323</v>
      </c>
      <c r="BU18" s="155">
        <f>ROUNDUP(VLOOKUP(Datos_Origen[[#This Row],[Categoria]],Competitividad_1[#All],3,0)*IndiceIncrementoC,-3)</f>
        <v>2711000</v>
      </c>
      <c r="BV18" s="161">
        <f>Datos_Origen[[#This Row],[G+V]]/Datos_Origen[[#This Row],[G+VQ1]]</f>
        <v>0.99828144596090018</v>
      </c>
      <c r="BW18" s="155">
        <f>ROUNDUP(VLOOKUP(Datos_Origen[[#This Row],[Categoria]],Competitividad_1[#All],4,0)*IndiceIncrementoC,-3)</f>
        <v>2818000</v>
      </c>
      <c r="BX18" s="161">
        <f>Datos_Origen[[#This Row],[CT]]/Datos_Origen[[#This Row],[CTQ1]]</f>
        <v>0.96037650816181708</v>
      </c>
      <c r="BY18" s="155">
        <f>ROUNDUP(VLOOKUP(Datos_Origen[[#This Row],[Categoria]],Competitividad_1[#All],5,0)*IndiceIncrementoC,-3)</f>
        <v>3129000</v>
      </c>
      <c r="BZ18" s="161">
        <f>Datos_Origen[[#This Row],[G]]/Datos_Origen[[#This Row],[GMd]]</f>
        <v>0.86492201981463745</v>
      </c>
      <c r="CA18" s="155">
        <f>ROUNDUP(VLOOKUP(Datos_Origen[[#This Row],[Categoria]],Competitividad_1[#All],6,0)*IndiceIncrementoC,-3)</f>
        <v>3170000</v>
      </c>
      <c r="CB18" s="161">
        <f>Datos_Origen[[#This Row],[G+V]]/Datos_Origen[[#This Row],[G+VMd]]</f>
        <v>0.85373533123028411</v>
      </c>
      <c r="CC18" s="155">
        <f>ROUNDUP(VLOOKUP(Datos_Origen[[#This Row],[Categoria]],Competitividad_1[#All],7,0)*IndiceIncrementoC,-3)</f>
        <v>3309000</v>
      </c>
      <c r="CD18" s="161">
        <f>Datos_Origen[[#This Row],[CT]]/Datos_Origen[[#This Row],[CTMd]]</f>
        <v>0.81787277122997903</v>
      </c>
      <c r="CE18" s="155">
        <f>+Datos_Origen[[#This Row],[GMd]]/1.17666666667</f>
        <v>2659206.798859322</v>
      </c>
      <c r="CF18" s="161">
        <f>+Datos_Origen[[#This Row],[Básico Actual]]/Datos_Origen[[#This Row],[Salario Basico Md]]</f>
        <v>0.86491956962000649</v>
      </c>
      <c r="CG18" s="155">
        <f>ROUNDUP(VLOOKUP(Datos_Origen[[#This Row],[Categoria]],Competitividad_1[#All],8,0)*IndiceIncrementoC,-3)</f>
        <v>4169000</v>
      </c>
      <c r="CH18" s="161">
        <f>Datos_Origen[[#This Row],[G]]/Datos_Origen[[#This Row],[GQ3]]</f>
        <v>0.6491583113456465</v>
      </c>
      <c r="CI18" s="155">
        <f>ROUNDUP(VLOOKUP(Datos_Origen[[#This Row],[Categoria]],Competitividad_1[#All],9,0)*IndiceIncrementoC,-3)</f>
        <v>4291000</v>
      </c>
      <c r="CJ18" s="161">
        <f>Datos_Origen[[#This Row],[G+V]]/Datos_Origen[[#This Row],[G+VQ3]]</f>
        <v>0.63070170123514346</v>
      </c>
      <c r="CK18" s="155">
        <f>ROUNDUP(VLOOKUP(Datos_Origen[[#This Row],[Categoria]],Competitividad_1[#All],10,0)*IndiceIncrementoC,-3)</f>
        <v>4410000</v>
      </c>
      <c r="CL18" s="161">
        <f>Datos_Origen[[#This Row],[CT]]/Datos_Origen[[#This Row],[CTQ3]]</f>
        <v>0.61368276643990938</v>
      </c>
      <c r="CM18" s="162">
        <f>IF(ROUND(Datos_Origen[[#This Row],[Salario Ordinario Pol2]],-3)&lt;SMMLV,SMMLV,ROUND(Datos_Origen[[#This Row],[Salario Ordinario Pol2]],-3))</f>
        <v>2250000</v>
      </c>
      <c r="CN18" s="155">
        <f>IF(Datos_Origen[[#This Row],[Gpol]]/(1+FactorPrestacionalOrdinario)&lt;SMMLV,SMMLV,Datos_Origen[[#This Row],[Gpol]]/(1+FactorPrestacionalOrdinario))</f>
        <v>2812181.3031161469</v>
      </c>
      <c r="CO18" s="161">
        <f>IFERROR(IF(Datos_Origen[[#This Row],[Salarios Año]]=14.12,Datos_Origen[[#This Row],[Básico]]/Datos_Origen[[#This Row],[Salario Ordinario Pol]],""),"")</f>
        <v>0.81787045431651062</v>
      </c>
      <c r="CP18" s="155">
        <f>IF(ROUND(Datos_Origen[[#This Row],[Salario Ordinario Pol22]],-3)&lt;SMMLV,SMMLV,ROUND(Datos_Origen[[#This Row],[Salario Ordinario Pol22]],-3))</f>
        <v>3375000</v>
      </c>
      <c r="CQ18" s="155" t="str">
        <f>IFERROR(ROUND(Datos_Origen[[#This Row],[Salario Integral Pol4]],-3),"")</f>
        <v/>
      </c>
      <c r="CR18" s="139" t="str">
        <f>IF((Datos_Origen[[#This Row],[Gpol]]/(1+FactorPrestacionalIntegral))&lt;(13*SMMLV),"",(Datos_Origen[[#This Row],[Gpol]]/(1+FactorPrestacionalIntegral)))</f>
        <v/>
      </c>
      <c r="CS18" s="161" t="str">
        <f>IFERROR(IF(Datos_Origen[[#This Row],[Salarios Año]]=12,Datos_Origen[[#This Row],[Básico]]/Datos_Origen[[#This Row],[Salario Integral Pol]],""),"")</f>
        <v/>
      </c>
      <c r="CT18" s="155" t="str">
        <f>IFERROR(ROUND(Datos_Origen[[#This Row],[Salario Integral Pol44]],-3),"")</f>
        <v/>
      </c>
      <c r="CU18" s="155">
        <f>Datos_Origen[[#This Row],[G+Vpol]]-Datos_Origen[[#This Row],[Variable]]</f>
        <v>3309000</v>
      </c>
      <c r="CV18" s="161">
        <f>Datos_Origen[[#This Row],[G]]/Datos_Origen[[#This Row],[Gpol]]</f>
        <v>0.81787277122997903</v>
      </c>
      <c r="CW18" s="154">
        <f>Datos_Origen[[#This Row],[Ctpol]]-Datos_Origen[[#This Row],[Beneficios]]</f>
        <v>3309000</v>
      </c>
      <c r="CX18" s="161">
        <f>Datos_Origen[[#This Row],[G+V]]/Datos_Origen[[#This Row],[G+Vpol]]</f>
        <v>0.81787277122997903</v>
      </c>
      <c r="CY18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3309000</v>
      </c>
      <c r="CZ18" s="161">
        <f>Datos_Origen[[#This Row],[CT]]/Datos_Origen[[#This Row],[Ctpol]]</f>
        <v>0.81787277122997903</v>
      </c>
      <c r="DA18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2300000</v>
      </c>
      <c r="DB18" s="158">
        <f>IF(Datos_Origen[[#This Row],[Básico]]&lt;10*SMMLV,0,Datos_Origen[[#This Row],[Base Seguridad Social Actual]]*8.5%)</f>
        <v>0</v>
      </c>
      <c r="DC18" s="158">
        <f>Datos_Origen[[#This Row],[Base Seguridad Social Actual]]*12%</f>
        <v>276000</v>
      </c>
      <c r="DD18" s="158">
        <f>Datos_Origen[[#This Row],[Base Seguridad Social Actual]]*Datos_Origen[[#This Row],[%ARL]]</f>
        <v>100050</v>
      </c>
      <c r="DE18" s="158">
        <f>IF(Datos_Origen[[#This Row],[Básico]]&lt;10*SMMLV,Datos_Origen[[#This Row],[Base Seguridad Social Actual]]*4%,Datos_Origen[[#This Row],[Base Seguridad Social Actual]]*9%)</f>
        <v>92000</v>
      </c>
      <c r="DF18" s="158">
        <f>Datos_Origen[[#This Row],[Salud]]+Datos_Origen[[#This Row],[Pensión]]+Datos_Origen[[#This Row],[ARL]]+Datos_Origen[[#This Row],[Parafiscales]]</f>
        <v>468050</v>
      </c>
      <c r="DG18" s="163">
        <f>Datos_Origen[[#This Row],[Costo Laboral Actual]]+Datos_Origen[[#This Row],[CT]]</f>
        <v>3174391.0000000005</v>
      </c>
      <c r="DH18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2812181.3031161469</v>
      </c>
      <c r="DI18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8" s="158">
        <f>Datos_Origen[[#This Row],[Base Seguridad Social Nueva]]*12%</f>
        <v>337461.75637393765</v>
      </c>
      <c r="DK18" s="158">
        <f>Datos_Origen[[#This Row],[Base Seguridad Social Nueva]]*Datos_Origen[[#This Row],[%ARL]]</f>
        <v>122329.88668555238</v>
      </c>
      <c r="DL18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112487.25212464588</v>
      </c>
      <c r="DM18" s="158">
        <f>Datos_Origen[[#This Row],[Salud Nueva]]+Datos_Origen[[#This Row],[Pensión Nueva]]+Datos_Origen[[#This Row],[ARL nueva]]+Datos_Origen[[#This Row],[Parafiscales Nuevos]]</f>
        <v>572278.89518413588</v>
      </c>
      <c r="DN18" s="158">
        <f>Datos_Origen[[#This Row],[Costo Laboral Nuevo]]+Datos_Origen[[#This Row],[Ctpol]]</f>
        <v>3881278.895184136</v>
      </c>
      <c r="DO18" s="158">
        <f>IF(Datos_Origen[[#This Row],[Ctpol]]-Datos_Origen[[#This Row],[CT]]&lt;=0,0,Datos_Origen[[#This Row],[Costo Total Nuevo]]-Datos_Origen[[#This Row],[Costo Total Actual]])</f>
        <v>706887.89518413553</v>
      </c>
      <c r="DP18" s="158">
        <f>IF(Datos_Origen[[#This Row],[Ctpol]]-Datos_Origen[[#This Row],[CT]]&lt;=0,0,Datos_Origen[[#This Row],[Ctpol]]-Datos_Origen[[#This Row],[CT]])</f>
        <v>602658.99999999953</v>
      </c>
      <c r="DQ18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104228.89518413588</v>
      </c>
      <c r="DR18" s="158">
        <f>ROUNDDOWN(VLOOKUP(Datos_Origen[[#This Row],[Categoria]],Competitividad_1[],7,0)*IndiceIncrementoC,-3)</f>
        <v>3308000</v>
      </c>
      <c r="DS18" s="158">
        <f>Datos_Origen[[#This Row],[CTeq]]*0.8</f>
        <v>2290423.5014821715</v>
      </c>
      <c r="DT18" s="158">
        <f>Datos_Origen[[#This Row],[CTeq]]*1.2</f>
        <v>3435635.2522232565</v>
      </c>
      <c r="DU18" s="155">
        <f>IF(Datos_Origen[[#This Row],[Gpol6]]/(1+FactorPrestacionalOrdinario)&lt;SMMLV,SMMLV,Datos_Origen[[#This Row],[Gpol6]]/(1+FactorPrestacionalOrdinario))</f>
        <v>2249745.0424929177</v>
      </c>
      <c r="DV18" s="139" t="str">
        <f>IF((Datos_Origen[[#This Row],[Gpol6]]/(1+FactorPrestacionalIntegral))&lt;(13*SMMLV),"",(Datos_Origen[[#This Row],[Gpol6]]/(1+FactorPrestacionalIntegral)))</f>
        <v/>
      </c>
      <c r="DW18" s="154">
        <f>Datos_Origen[[#This Row],[G+Vpol8]]</f>
        <v>2647200</v>
      </c>
      <c r="DX18" s="154">
        <f>Datos_Origen[[#This Row],[Ctpol10]]-Datos_Origen[[#This Row],[Beneficios]]</f>
        <v>2647200</v>
      </c>
      <c r="DY18" s="154">
        <f>Datos_Origen[[#This Row],[Ctpol]]*$CM$6</f>
        <v>2647200</v>
      </c>
      <c r="DZ18" s="155">
        <f>IF(Datos_Origen[[#This Row],[Gpol66]]/(1+FactorPrestacionalOrdinario)&lt;SMMLV,SMMLV,Datos_Origen[[#This Row],[Gpol66]]/(1+FactorPrestacionalOrdinario))</f>
        <v>3374617.5637393766</v>
      </c>
      <c r="EA18" s="139" t="str">
        <f>IF((Datos_Origen[[#This Row],[Gpol66]]/(1+FactorPrestacionalIntegral))&lt;(13*SMMLV),"",(Datos_Origen[[#This Row],[Gpol66]]/(1+FactorPrestacionalIntegral)))</f>
        <v/>
      </c>
      <c r="EB18" s="154">
        <f>Datos_Origen[[#This Row],[G+Vpol88]]</f>
        <v>3970800</v>
      </c>
      <c r="EC18" s="154">
        <f>Datos_Origen[[#This Row],[Ctpol1010]]-Datos_Origen[[#This Row],[Beneficios]]</f>
        <v>3970800</v>
      </c>
      <c r="ED18" s="154">
        <f>Datos_Origen[[#This Row],[Ctpol]]*$CP$6</f>
        <v>3970800</v>
      </c>
      <c r="EE18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9" spans="2:135">
      <c r="B19" s="148"/>
      <c r="C19" s="149"/>
      <c r="D19" s="150"/>
      <c r="E19" s="151"/>
      <c r="F19" s="151"/>
      <c r="G19" s="150" t="s">
        <v>350</v>
      </c>
      <c r="H19" s="153"/>
      <c r="I19" s="152" t="s">
        <v>350</v>
      </c>
      <c r="J19" s="130" t="str">
        <f>IFERROR(VLOOKUP(Datos_Origen[[#This Row],[Cargo Tipo Valorado]],Cargos_Catalogo[[#All],[Cargo]:[Área]],2,0),"")</f>
        <v xml:space="preserve">Director de producción </v>
      </c>
      <c r="K19" s="153"/>
      <c r="L19" s="153"/>
      <c r="M19" s="153"/>
      <c r="N19" s="153"/>
      <c r="O19" s="154">
        <f>Datos_Origen[[#This Row],[Segmentación Individual]]</f>
        <v>0</v>
      </c>
      <c r="P19" s="153"/>
      <c r="Q19" s="154">
        <f>VLOOKUP(Datos_Origen[[#This Row],[Cargo Tipo Valorado]],Cargos_Catalogo[#Data],MATCH(Cargos_Catalogo[[#Headers],[Puntos]],Cargos_Catalogo[#Headers],0),FALSE)</f>
        <v>192</v>
      </c>
      <c r="R19" s="130">
        <f>VLOOKUP(Datos_Origen[[#This Row],[Puntos valoración]],Categorias_Registro[#Data],MATCH(Categorias_Registro[[#Headers],[Categoria]],Categorias_Registro[#Headers],0),FALSE)</f>
        <v>6</v>
      </c>
      <c r="S19" s="130" t="str">
        <f>VLOOKUP(Datos_Origen[[#This Row],[Cargo Tipo Valorado]],Cargos_Catalogo[#Data],MATCH(Cargos_Catalogo[[#Headers],[Nivel SHR]],Cargos_Catalogo[#Headers],0),FALSE)</f>
        <v>Soporte</v>
      </c>
      <c r="T19" s="130" t="str">
        <f>VLOOKUP(Datos_Origen[[#This Row],[Cargo Tipo Valorado]],Cargos_Catalogo[#Data],MATCH(Cargos_Catalogo[[#Headers],[Criticidad]],Cargos_Catalogo[#Headers],0),FALSE)</f>
        <v>Importante</v>
      </c>
      <c r="U19" s="154">
        <f>VLOOKUP(Datos_Origen[[#This Row],[Puntos valoración]],Categorias_Registro[#Data],5,FALSE)</f>
        <v>189</v>
      </c>
      <c r="V19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2706341.0000000005</v>
      </c>
      <c r="W19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9" s="154">
        <f>SUMIF($BA$5:$BJ$5,"NCS",Datos_Origen[[#This Row],[auxilio Gasolina]:[Otro Beneficio10]])+(SUMIF($BA$5:$BJ$5,"CS",Datos_Origen[[#This Row],[auxilio Gasolina]:[Otro Beneficio10]])*1.17667)</f>
        <v>0</v>
      </c>
      <c r="Y19" s="155">
        <f>Datos_Origen[[#This Row],[Básico]]+Datos_Origen[[#This Row],[Promedio de Comisiones  ]]</f>
        <v>2300000</v>
      </c>
      <c r="Z19" s="155">
        <f>Datos_Origen[[#This Row],[Básico]]+Datos_Origen[[#This Row],[Promedio de Comisiones  ]]</f>
        <v>2300000</v>
      </c>
      <c r="AA19" s="155">
        <f>Datos_Origen[[#This Row],[Garantizado]]</f>
        <v>2706341.0000000005</v>
      </c>
      <c r="AB19" s="155">
        <f>Datos_Origen[[#This Row],[Variable]]+Datos_Origen[[#This Row],[Garantizado]]</f>
        <v>2706341.0000000005</v>
      </c>
      <c r="AC19" s="155">
        <f>Datos_Origen[[#This Row],[Beneficios]]+Datos_Origen[[#This Row],[Variable]]+Datos_Origen[[#This Row],[Garantizado]]</f>
        <v>2706341.0000000005</v>
      </c>
      <c r="AD19" s="156">
        <v>14.12</v>
      </c>
      <c r="AE19" s="141">
        <v>230</v>
      </c>
      <c r="AF19" s="345">
        <v>4.3499999999999997E-2</v>
      </c>
      <c r="AG19" s="155">
        <f>Datos_Origen[[#This Row],[Básico Actual]]*230/Datos_Origen[[#This Row],['# horas mes]]</f>
        <v>2300000</v>
      </c>
      <c r="AH19" s="157">
        <v>2300000</v>
      </c>
      <c r="AI19" s="158"/>
      <c r="AJ19" s="158">
        <f>(((Datos_Origen[[#This Row],[Básico]])/30)*$AJ$6)/12</f>
        <v>0</v>
      </c>
      <c r="AK19" s="158"/>
      <c r="AL19" s="143">
        <f>((Datos_Origen[[#This Row],[Básico]])/30)*$AL$6/12</f>
        <v>0</v>
      </c>
      <c r="AM19" s="158"/>
      <c r="AN19" s="158"/>
      <c r="AO19" s="158"/>
      <c r="AP19" s="158"/>
      <c r="AQ19" s="158"/>
      <c r="AR19" s="149">
        <v>0</v>
      </c>
      <c r="AS19" s="149"/>
      <c r="AT19" s="159" t="str">
        <f>IFERROR(Datos_Origen[[#This Row],[Comisiones Target]]/Datos_Origen[[#This Row],[Promedio de Comisiones  ]],"")</f>
        <v/>
      </c>
      <c r="AU19" s="160"/>
      <c r="AV19" s="143">
        <v>0</v>
      </c>
      <c r="AW19" s="160"/>
      <c r="AX19" s="143">
        <f>Datos_Origen[[#This Row],[N Salarios de la Bonificación2]]*Datos_Origen[[#This Row],[Básico]]/12</f>
        <v>0</v>
      </c>
      <c r="AY19" s="160"/>
      <c r="AZ19" s="158"/>
      <c r="BA19" s="149">
        <v>0</v>
      </c>
      <c r="BB19" s="149"/>
      <c r="BC19" s="149"/>
      <c r="BD19" s="149"/>
      <c r="BE19" s="149"/>
      <c r="BF19" s="149"/>
      <c r="BG19" s="149"/>
      <c r="BH19" s="149"/>
      <c r="BI19" s="149"/>
      <c r="BJ19" s="149"/>
      <c r="BK19" s="159">
        <f>IFERROR(Datos_Origen[[#This Row],[Variable]]/Datos_Origen[[#This Row],[CT]],"")</f>
        <v>0</v>
      </c>
      <c r="BL19" s="159">
        <f>IFERROR(Datos_Origen[[#This Row],[Beneficios]]/Datos_Origen[[#This Row],[CT]],"")</f>
        <v>0</v>
      </c>
      <c r="BM19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2647147.6005700002</v>
      </c>
      <c r="BN19" s="161">
        <f>Datos_Origen[[#This Row],[G]]/Datos_Origen[[#This Row],[Geq]]</f>
        <v>1.0223612009459746</v>
      </c>
      <c r="BO19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2860178.2079323218</v>
      </c>
      <c r="BP19" s="161">
        <f>Datos_Origen[[#This Row],[G+V]]/Datos_Origen[[#This Row],[G+Veq]]</f>
        <v>0.94621411788060117</v>
      </c>
      <c r="BQ19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2863029.376852714</v>
      </c>
      <c r="BR19" s="161">
        <f>Datos_Origen[[#This Row],[CT]]/Datos_Origen[[#This Row],[CTeq]]</f>
        <v>0.94527182357277839</v>
      </c>
      <c r="BS19" s="139">
        <f>ROUNDUP(VLOOKUP(Datos_Origen[[#This Row],[Categoria]],Competitividad_1[#All],2,0)*IndiceIncrementoC,-3)</f>
        <v>2611000</v>
      </c>
      <c r="BT19" s="161">
        <f>Datos_Origen[[#This Row],[G]]/Datos_Origen[[#This Row],[GQ1]]</f>
        <v>1.0365151283033323</v>
      </c>
      <c r="BU19" s="155">
        <f>ROUNDUP(VLOOKUP(Datos_Origen[[#This Row],[Categoria]],Competitividad_1[#All],3,0)*IndiceIncrementoC,-3)</f>
        <v>2711000</v>
      </c>
      <c r="BV19" s="161">
        <f>Datos_Origen[[#This Row],[G+V]]/Datos_Origen[[#This Row],[G+VQ1]]</f>
        <v>0.99828144596090018</v>
      </c>
      <c r="BW19" s="155">
        <f>ROUNDUP(VLOOKUP(Datos_Origen[[#This Row],[Categoria]],Competitividad_1[#All],4,0)*IndiceIncrementoC,-3)</f>
        <v>2818000</v>
      </c>
      <c r="BX19" s="161">
        <f>Datos_Origen[[#This Row],[CT]]/Datos_Origen[[#This Row],[CTQ1]]</f>
        <v>0.96037650816181708</v>
      </c>
      <c r="BY19" s="155">
        <f>ROUNDUP(VLOOKUP(Datos_Origen[[#This Row],[Categoria]],Competitividad_1[#All],5,0)*IndiceIncrementoC,-3)</f>
        <v>3129000</v>
      </c>
      <c r="BZ19" s="161">
        <f>Datos_Origen[[#This Row],[G]]/Datos_Origen[[#This Row],[GMd]]</f>
        <v>0.86492201981463745</v>
      </c>
      <c r="CA19" s="155">
        <f>ROUNDUP(VLOOKUP(Datos_Origen[[#This Row],[Categoria]],Competitividad_1[#All],6,0)*IndiceIncrementoC,-3)</f>
        <v>3170000</v>
      </c>
      <c r="CB19" s="161">
        <f>Datos_Origen[[#This Row],[G+V]]/Datos_Origen[[#This Row],[G+VMd]]</f>
        <v>0.85373533123028411</v>
      </c>
      <c r="CC19" s="155">
        <f>ROUNDUP(VLOOKUP(Datos_Origen[[#This Row],[Categoria]],Competitividad_1[#All],7,0)*IndiceIncrementoC,-3)</f>
        <v>3309000</v>
      </c>
      <c r="CD19" s="161">
        <f>Datos_Origen[[#This Row],[CT]]/Datos_Origen[[#This Row],[CTMd]]</f>
        <v>0.81787277122997903</v>
      </c>
      <c r="CE19" s="155">
        <f>+Datos_Origen[[#This Row],[GMd]]/1.17666666667</f>
        <v>2659206.798859322</v>
      </c>
      <c r="CF19" s="161">
        <f>+Datos_Origen[[#This Row],[Básico Actual]]/Datos_Origen[[#This Row],[Salario Basico Md]]</f>
        <v>0.86491956962000649</v>
      </c>
      <c r="CG19" s="155">
        <f>ROUNDUP(VLOOKUP(Datos_Origen[[#This Row],[Categoria]],Competitividad_1[#All],8,0)*IndiceIncrementoC,-3)</f>
        <v>4169000</v>
      </c>
      <c r="CH19" s="161">
        <f>Datos_Origen[[#This Row],[G]]/Datos_Origen[[#This Row],[GQ3]]</f>
        <v>0.6491583113456465</v>
      </c>
      <c r="CI19" s="155">
        <f>ROUNDUP(VLOOKUP(Datos_Origen[[#This Row],[Categoria]],Competitividad_1[#All],9,0)*IndiceIncrementoC,-3)</f>
        <v>4291000</v>
      </c>
      <c r="CJ19" s="161">
        <f>Datos_Origen[[#This Row],[G+V]]/Datos_Origen[[#This Row],[G+VQ3]]</f>
        <v>0.63070170123514346</v>
      </c>
      <c r="CK19" s="155">
        <f>ROUNDUP(VLOOKUP(Datos_Origen[[#This Row],[Categoria]],Competitividad_1[#All],10,0)*IndiceIncrementoC,-3)</f>
        <v>4410000</v>
      </c>
      <c r="CL19" s="161">
        <f>Datos_Origen[[#This Row],[CT]]/Datos_Origen[[#This Row],[CTQ3]]</f>
        <v>0.61368276643990938</v>
      </c>
      <c r="CM19" s="162">
        <f>IF(ROUND(Datos_Origen[[#This Row],[Salario Ordinario Pol2]],-3)&lt;SMMLV,SMMLV,ROUND(Datos_Origen[[#This Row],[Salario Ordinario Pol2]],-3))</f>
        <v>2250000</v>
      </c>
      <c r="CN19" s="155">
        <f>IF(Datos_Origen[[#This Row],[Gpol]]/(1+FactorPrestacionalOrdinario)&lt;SMMLV,SMMLV,Datos_Origen[[#This Row],[Gpol]]/(1+FactorPrestacionalOrdinario))</f>
        <v>2812181.3031161469</v>
      </c>
      <c r="CO19" s="161">
        <f>IFERROR(IF(Datos_Origen[[#This Row],[Salarios Año]]=14.12,Datos_Origen[[#This Row],[Básico]]/Datos_Origen[[#This Row],[Salario Ordinario Pol]],""),"")</f>
        <v>0.81787045431651062</v>
      </c>
      <c r="CP19" s="155">
        <f>IF(ROUND(Datos_Origen[[#This Row],[Salario Ordinario Pol22]],-3)&lt;SMMLV,SMMLV,ROUND(Datos_Origen[[#This Row],[Salario Ordinario Pol22]],-3))</f>
        <v>3375000</v>
      </c>
      <c r="CQ19" s="155" t="str">
        <f>IFERROR(ROUND(Datos_Origen[[#This Row],[Salario Integral Pol4]],-3),"")</f>
        <v/>
      </c>
      <c r="CR19" s="139" t="str">
        <f>IF((Datos_Origen[[#This Row],[Gpol]]/(1+FactorPrestacionalIntegral))&lt;(13*SMMLV),"",(Datos_Origen[[#This Row],[Gpol]]/(1+FactorPrestacionalIntegral)))</f>
        <v/>
      </c>
      <c r="CS19" s="161" t="str">
        <f>IFERROR(IF(Datos_Origen[[#This Row],[Salarios Año]]=12,Datos_Origen[[#This Row],[Básico]]/Datos_Origen[[#This Row],[Salario Integral Pol]],""),"")</f>
        <v/>
      </c>
      <c r="CT19" s="155" t="str">
        <f>IFERROR(ROUND(Datos_Origen[[#This Row],[Salario Integral Pol44]],-3),"")</f>
        <v/>
      </c>
      <c r="CU19" s="155">
        <f>Datos_Origen[[#This Row],[G+Vpol]]-Datos_Origen[[#This Row],[Variable]]</f>
        <v>3309000</v>
      </c>
      <c r="CV19" s="161">
        <f>Datos_Origen[[#This Row],[G]]/Datos_Origen[[#This Row],[Gpol]]</f>
        <v>0.81787277122997903</v>
      </c>
      <c r="CW19" s="154">
        <f>Datos_Origen[[#This Row],[Ctpol]]-Datos_Origen[[#This Row],[Beneficios]]</f>
        <v>3309000</v>
      </c>
      <c r="CX19" s="161">
        <f>Datos_Origen[[#This Row],[G+V]]/Datos_Origen[[#This Row],[G+Vpol]]</f>
        <v>0.81787277122997903</v>
      </c>
      <c r="CY19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3309000</v>
      </c>
      <c r="CZ19" s="161">
        <f>Datos_Origen[[#This Row],[CT]]/Datos_Origen[[#This Row],[Ctpol]]</f>
        <v>0.81787277122997903</v>
      </c>
      <c r="DA19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2300000</v>
      </c>
      <c r="DB19" s="158">
        <f>IF(Datos_Origen[[#This Row],[Básico]]&lt;10*SMMLV,0,Datos_Origen[[#This Row],[Base Seguridad Social Actual]]*8.5%)</f>
        <v>0</v>
      </c>
      <c r="DC19" s="158">
        <f>Datos_Origen[[#This Row],[Base Seguridad Social Actual]]*12%</f>
        <v>276000</v>
      </c>
      <c r="DD19" s="158">
        <f>Datos_Origen[[#This Row],[Base Seguridad Social Actual]]*Datos_Origen[[#This Row],[%ARL]]</f>
        <v>100050</v>
      </c>
      <c r="DE19" s="158">
        <f>IF(Datos_Origen[[#This Row],[Básico]]&lt;10*SMMLV,Datos_Origen[[#This Row],[Base Seguridad Social Actual]]*4%,Datos_Origen[[#This Row],[Base Seguridad Social Actual]]*9%)</f>
        <v>92000</v>
      </c>
      <c r="DF19" s="158">
        <f>Datos_Origen[[#This Row],[Salud]]+Datos_Origen[[#This Row],[Pensión]]+Datos_Origen[[#This Row],[ARL]]+Datos_Origen[[#This Row],[Parafiscales]]</f>
        <v>468050</v>
      </c>
      <c r="DG19" s="163">
        <f>Datos_Origen[[#This Row],[Costo Laboral Actual]]+Datos_Origen[[#This Row],[CT]]</f>
        <v>3174391.0000000005</v>
      </c>
      <c r="DH19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2812181.3031161469</v>
      </c>
      <c r="DI19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9" s="158">
        <f>Datos_Origen[[#This Row],[Base Seguridad Social Nueva]]*12%</f>
        <v>337461.75637393765</v>
      </c>
      <c r="DK19" s="158">
        <f>Datos_Origen[[#This Row],[Base Seguridad Social Nueva]]*Datos_Origen[[#This Row],[%ARL]]</f>
        <v>122329.88668555238</v>
      </c>
      <c r="DL19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112487.25212464588</v>
      </c>
      <c r="DM19" s="158">
        <f>Datos_Origen[[#This Row],[Salud Nueva]]+Datos_Origen[[#This Row],[Pensión Nueva]]+Datos_Origen[[#This Row],[ARL nueva]]+Datos_Origen[[#This Row],[Parafiscales Nuevos]]</f>
        <v>572278.89518413588</v>
      </c>
      <c r="DN19" s="158">
        <f>Datos_Origen[[#This Row],[Costo Laboral Nuevo]]+Datos_Origen[[#This Row],[Ctpol]]</f>
        <v>3881278.895184136</v>
      </c>
      <c r="DO19" s="158">
        <f>IF(Datos_Origen[[#This Row],[Ctpol]]-Datos_Origen[[#This Row],[CT]]&lt;=0,0,Datos_Origen[[#This Row],[Costo Total Nuevo]]-Datos_Origen[[#This Row],[Costo Total Actual]])</f>
        <v>706887.89518413553</v>
      </c>
      <c r="DP19" s="158">
        <f>IF(Datos_Origen[[#This Row],[Ctpol]]-Datos_Origen[[#This Row],[CT]]&lt;=0,0,Datos_Origen[[#This Row],[Ctpol]]-Datos_Origen[[#This Row],[CT]])</f>
        <v>602658.99999999953</v>
      </c>
      <c r="DQ19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104228.89518413588</v>
      </c>
      <c r="DR19" s="158">
        <f>ROUNDDOWN(VLOOKUP(Datos_Origen[[#This Row],[Categoria]],Competitividad_1[],7,0)*IndiceIncrementoC,-3)</f>
        <v>3308000</v>
      </c>
      <c r="DS19" s="158">
        <f>Datos_Origen[[#This Row],[CTeq]]*0.8</f>
        <v>2290423.5014821715</v>
      </c>
      <c r="DT19" s="158">
        <f>Datos_Origen[[#This Row],[CTeq]]*1.2</f>
        <v>3435635.2522232565</v>
      </c>
      <c r="DU19" s="155">
        <f>IF(Datos_Origen[[#This Row],[Gpol6]]/(1+FactorPrestacionalOrdinario)&lt;SMMLV,SMMLV,Datos_Origen[[#This Row],[Gpol6]]/(1+FactorPrestacionalOrdinario))</f>
        <v>2249745.0424929177</v>
      </c>
      <c r="DV19" s="139" t="str">
        <f>IF((Datos_Origen[[#This Row],[Gpol6]]/(1+FactorPrestacionalIntegral))&lt;(13*SMMLV),"",(Datos_Origen[[#This Row],[Gpol6]]/(1+FactorPrestacionalIntegral)))</f>
        <v/>
      </c>
      <c r="DW19" s="154">
        <f>Datos_Origen[[#This Row],[G+Vpol8]]</f>
        <v>2647200</v>
      </c>
      <c r="DX19" s="154">
        <f>Datos_Origen[[#This Row],[Ctpol10]]-Datos_Origen[[#This Row],[Beneficios]]</f>
        <v>2647200</v>
      </c>
      <c r="DY19" s="154">
        <f>Datos_Origen[[#This Row],[Ctpol]]*$CM$6</f>
        <v>2647200</v>
      </c>
      <c r="DZ19" s="155">
        <f>IF(Datos_Origen[[#This Row],[Gpol66]]/(1+FactorPrestacionalOrdinario)&lt;SMMLV,SMMLV,Datos_Origen[[#This Row],[Gpol66]]/(1+FactorPrestacionalOrdinario))</f>
        <v>3374617.5637393766</v>
      </c>
      <c r="EA19" s="139" t="str">
        <f>IF((Datos_Origen[[#This Row],[Gpol66]]/(1+FactorPrestacionalIntegral))&lt;(13*SMMLV),"",(Datos_Origen[[#This Row],[Gpol66]]/(1+FactorPrestacionalIntegral)))</f>
        <v/>
      </c>
      <c r="EB19" s="154">
        <f>Datos_Origen[[#This Row],[G+Vpol88]]</f>
        <v>3970800</v>
      </c>
      <c r="EC19" s="154">
        <f>Datos_Origen[[#This Row],[Ctpol1010]]-Datos_Origen[[#This Row],[Beneficios]]</f>
        <v>3970800</v>
      </c>
      <c r="ED19" s="154">
        <f>Datos_Origen[[#This Row],[Ctpol]]*$CP$6</f>
        <v>3970800</v>
      </c>
      <c r="EE19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20" spans="2:135">
      <c r="B20" s="148"/>
      <c r="C20" s="149"/>
      <c r="D20" s="150"/>
      <c r="E20" s="151"/>
      <c r="F20" s="151"/>
      <c r="G20" s="150" t="s">
        <v>351</v>
      </c>
      <c r="H20" s="153"/>
      <c r="I20" s="152" t="s">
        <v>351</v>
      </c>
      <c r="J20" s="130" t="str">
        <f>IFERROR(VLOOKUP(Datos_Origen[[#This Row],[Cargo Tipo Valorado]],Cargos_Catalogo[[#All],[Cargo]:[Área]],2,0),"")</f>
        <v xml:space="preserve">Coordinadora de Mercadeo </v>
      </c>
      <c r="K20" s="153"/>
      <c r="L20" s="153"/>
      <c r="M20" s="153"/>
      <c r="N20" s="153"/>
      <c r="O20" s="154">
        <f>Datos_Origen[[#This Row],[Segmentación Individual]]</f>
        <v>0</v>
      </c>
      <c r="P20" s="153"/>
      <c r="Q20" s="154">
        <f>VLOOKUP(Datos_Origen[[#This Row],[Cargo Tipo Valorado]],Cargos_Catalogo[#Data],MATCH(Cargos_Catalogo[[#Headers],[Puntos]],Cargos_Catalogo[#Headers],0),FALSE)</f>
        <v>193</v>
      </c>
      <c r="R20" s="130">
        <f>VLOOKUP(Datos_Origen[[#This Row],[Puntos valoración]],Categorias_Registro[#Data],MATCH(Categorias_Registro[[#Headers],[Categoria]],Categorias_Registro[#Headers],0),FALSE)</f>
        <v>6</v>
      </c>
      <c r="S20" s="130" t="str">
        <f>VLOOKUP(Datos_Origen[[#This Row],[Cargo Tipo Valorado]],Cargos_Catalogo[#Data],MATCH(Cargos_Catalogo[[#Headers],[Nivel SHR]],Cargos_Catalogo[#Headers],0),FALSE)</f>
        <v>Soporte</v>
      </c>
      <c r="T20" s="130" t="str">
        <f>VLOOKUP(Datos_Origen[[#This Row],[Cargo Tipo Valorado]],Cargos_Catalogo[#Data],MATCH(Cargos_Catalogo[[#Headers],[Criticidad]],Cargos_Catalogo[#Headers],0),FALSE)</f>
        <v>Relevante</v>
      </c>
      <c r="U20" s="154">
        <f>VLOOKUP(Datos_Origen[[#This Row],[Puntos valoración]],Categorias_Registro[#Data],5,FALSE)</f>
        <v>189</v>
      </c>
      <c r="V20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2295683.1700000004</v>
      </c>
      <c r="W20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20" s="154">
        <f>SUMIF($BA$5:$BJ$5,"NCS",Datos_Origen[[#This Row],[auxilio Gasolina]:[Otro Beneficio10]])+(SUMIF($BA$5:$BJ$5,"CS",Datos_Origen[[#This Row],[auxilio Gasolina]:[Otro Beneficio10]])*1.17667)</f>
        <v>0</v>
      </c>
      <c r="Y20" s="155">
        <f>Datos_Origen[[#This Row],[Básico]]+Datos_Origen[[#This Row],[Promedio de Comisiones  ]]</f>
        <v>1951000</v>
      </c>
      <c r="Z20" s="155">
        <f>Datos_Origen[[#This Row],[Básico]]+Datos_Origen[[#This Row],[Promedio de Comisiones  ]]</f>
        <v>1951000</v>
      </c>
      <c r="AA20" s="155">
        <f>Datos_Origen[[#This Row],[Garantizado]]</f>
        <v>2295683.1700000004</v>
      </c>
      <c r="AB20" s="155">
        <f>Datos_Origen[[#This Row],[Variable]]+Datos_Origen[[#This Row],[Garantizado]]</f>
        <v>2295683.1700000004</v>
      </c>
      <c r="AC20" s="155">
        <f>Datos_Origen[[#This Row],[Beneficios]]+Datos_Origen[[#This Row],[Variable]]+Datos_Origen[[#This Row],[Garantizado]]</f>
        <v>2295683.1700000004</v>
      </c>
      <c r="AD20" s="156">
        <v>14.12</v>
      </c>
      <c r="AE20" s="141">
        <v>230</v>
      </c>
      <c r="AF20" s="345">
        <v>5.2199999999999998E-3</v>
      </c>
      <c r="AG20" s="155">
        <f>Datos_Origen[[#This Row],[Básico Actual]]*230/Datos_Origen[[#This Row],['# horas mes]]</f>
        <v>1951000</v>
      </c>
      <c r="AH20" s="157">
        <v>1951000</v>
      </c>
      <c r="AI20" s="158"/>
      <c r="AJ20" s="158">
        <f>(((Datos_Origen[[#This Row],[Básico]])/30)*$AJ$6)/12</f>
        <v>0</v>
      </c>
      <c r="AK20" s="158"/>
      <c r="AL20" s="143">
        <f>((Datos_Origen[[#This Row],[Básico]])/30)*$AL$6/12</f>
        <v>0</v>
      </c>
      <c r="AM20" s="158"/>
      <c r="AN20" s="158"/>
      <c r="AO20" s="158"/>
      <c r="AP20" s="158"/>
      <c r="AQ20" s="158"/>
      <c r="AR20" s="149">
        <v>0</v>
      </c>
      <c r="AS20" s="149"/>
      <c r="AT20" s="159" t="str">
        <f>IFERROR(Datos_Origen[[#This Row],[Comisiones Target]]/Datos_Origen[[#This Row],[Promedio de Comisiones  ]],"")</f>
        <v/>
      </c>
      <c r="AU20" s="160"/>
      <c r="AV20" s="143">
        <v>0</v>
      </c>
      <c r="AW20" s="160"/>
      <c r="AX20" s="143">
        <f>Datos_Origen[[#This Row],[N Salarios de la Bonificación2]]*Datos_Origen[[#This Row],[Básico]]/12</f>
        <v>0</v>
      </c>
      <c r="AY20" s="160"/>
      <c r="AZ20" s="158"/>
      <c r="BA20" s="149">
        <v>0</v>
      </c>
      <c r="BB20" s="149"/>
      <c r="BC20" s="149"/>
      <c r="BD20" s="149"/>
      <c r="BE20" s="149"/>
      <c r="BF20" s="149"/>
      <c r="BG20" s="149"/>
      <c r="BH20" s="149"/>
      <c r="BI20" s="149"/>
      <c r="BJ20" s="149"/>
      <c r="BK20" s="159">
        <f>IFERROR(Datos_Origen[[#This Row],[Variable]]/Datos_Origen[[#This Row],[CT]],"")</f>
        <v>0</v>
      </c>
      <c r="BL20" s="159">
        <f>IFERROR(Datos_Origen[[#This Row],[Beneficios]]/Datos_Origen[[#This Row],[CT]],"")</f>
        <v>0</v>
      </c>
      <c r="BM20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2647147.6005700002</v>
      </c>
      <c r="BN20" s="161">
        <f>Datos_Origen[[#This Row],[G]]/Datos_Origen[[#This Row],[Geq]]</f>
        <v>0.86722900132417235</v>
      </c>
      <c r="BO20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2860178.2079323218</v>
      </c>
      <c r="BP20" s="161">
        <f>Datos_Origen[[#This Row],[G+V]]/Datos_Origen[[#This Row],[G+Veq]]</f>
        <v>0.80263641042828382</v>
      </c>
      <c r="BQ20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2863029.376852714</v>
      </c>
      <c r="BR20" s="161">
        <f>Datos_Origen[[#This Row],[CT]]/Datos_Origen[[#This Row],[CTeq]]</f>
        <v>0.80183709903934375</v>
      </c>
      <c r="BS20" s="139">
        <f>ROUNDUP(VLOOKUP(Datos_Origen[[#This Row],[Categoria]],Competitividad_1[#All],2,0)*IndiceIncrementoC,-3)</f>
        <v>2611000</v>
      </c>
      <c r="BT20" s="161">
        <f>Datos_Origen[[#This Row],[G]]/Datos_Origen[[#This Row],[GQ1]]</f>
        <v>0.87923522405208743</v>
      </c>
      <c r="BU20" s="155">
        <f>ROUNDUP(VLOOKUP(Datos_Origen[[#This Row],[Categoria]],Competitividad_1[#All],3,0)*IndiceIncrementoC,-3)</f>
        <v>2711000</v>
      </c>
      <c r="BV20" s="161">
        <f>Datos_Origen[[#This Row],[G+V]]/Datos_Origen[[#This Row],[G+VQ1]]</f>
        <v>0.84680308742161581</v>
      </c>
      <c r="BW20" s="155">
        <f>ROUNDUP(VLOOKUP(Datos_Origen[[#This Row],[Categoria]],Competitividad_1[#All],4,0)*IndiceIncrementoC,-3)</f>
        <v>2818000</v>
      </c>
      <c r="BX20" s="161">
        <f>Datos_Origen[[#This Row],[CT]]/Datos_Origen[[#This Row],[CTQ1]]</f>
        <v>0.81464981192335006</v>
      </c>
      <c r="BY20" s="155">
        <f>ROUNDUP(VLOOKUP(Datos_Origen[[#This Row],[Categoria]],Competitividad_1[#All],5,0)*IndiceIncrementoC,-3)</f>
        <v>3129000</v>
      </c>
      <c r="BZ20" s="161">
        <f>Datos_Origen[[#This Row],[G]]/Datos_Origen[[#This Row],[GMd]]</f>
        <v>0.7336795046340685</v>
      </c>
      <c r="CA20" s="155">
        <f>ROUNDUP(VLOOKUP(Datos_Origen[[#This Row],[Categoria]],Competitividad_1[#All],6,0)*IndiceIncrementoC,-3)</f>
        <v>3170000</v>
      </c>
      <c r="CB20" s="161">
        <f>Datos_Origen[[#This Row],[G+V]]/Datos_Origen[[#This Row],[G+VMd]]</f>
        <v>0.7241902744479497</v>
      </c>
      <c r="CC20" s="155">
        <f>ROUNDUP(VLOOKUP(Datos_Origen[[#This Row],[Categoria]],Competitividad_1[#All],7,0)*IndiceIncrementoC,-3)</f>
        <v>3309000</v>
      </c>
      <c r="CD20" s="161">
        <f>Datos_Origen[[#This Row],[CT]]/Datos_Origen[[#This Row],[CTMd]]</f>
        <v>0.69376946811725604</v>
      </c>
      <c r="CE20" s="155">
        <f>+Datos_Origen[[#This Row],[GMd]]/1.17666666667</f>
        <v>2659206.798859322</v>
      </c>
      <c r="CF20" s="161">
        <f>+Datos_Origen[[#This Row],[Básico Actual]]/Datos_Origen[[#This Row],[Salario Basico Md]]</f>
        <v>0.73367742622984033</v>
      </c>
      <c r="CG20" s="155">
        <f>ROUNDUP(VLOOKUP(Datos_Origen[[#This Row],[Categoria]],Competitividad_1[#All],8,0)*IndiceIncrementoC,-3)</f>
        <v>4169000</v>
      </c>
      <c r="CH20" s="161">
        <f>Datos_Origen[[#This Row],[G]]/Datos_Origen[[#This Row],[GQ3]]</f>
        <v>0.55065559366754624</v>
      </c>
      <c r="CI20" s="155">
        <f>ROUNDUP(VLOOKUP(Datos_Origen[[#This Row],[Categoria]],Competitividad_1[#All],9,0)*IndiceIncrementoC,-3)</f>
        <v>4291000</v>
      </c>
      <c r="CJ20" s="161">
        <f>Datos_Origen[[#This Row],[G+V]]/Datos_Origen[[#This Row],[G+VQ3]]</f>
        <v>0.53499957352598471</v>
      </c>
      <c r="CK20" s="155">
        <f>ROUNDUP(VLOOKUP(Datos_Origen[[#This Row],[Categoria]],Competitividad_1[#All],10,0)*IndiceIncrementoC,-3)</f>
        <v>4410000</v>
      </c>
      <c r="CL20" s="161">
        <f>Datos_Origen[[#This Row],[CT]]/Datos_Origen[[#This Row],[CTQ3]]</f>
        <v>0.52056307709750571</v>
      </c>
      <c r="CM20" s="162">
        <f>IF(ROUND(Datos_Origen[[#This Row],[Salario Ordinario Pol2]],-3)&lt;SMMLV,SMMLV,ROUND(Datos_Origen[[#This Row],[Salario Ordinario Pol2]],-3))</f>
        <v>2025000</v>
      </c>
      <c r="CN20" s="155">
        <f>IF(Datos_Origen[[#This Row],[Gpol]]/(1+FactorPrestacionalOrdinario)&lt;SMMLV,SMMLV,Datos_Origen[[#This Row],[Gpol]]/(1+FactorPrestacionalOrdinario))</f>
        <v>2530878.1869688383</v>
      </c>
      <c r="CO20" s="161">
        <f>IFERROR(IF(Datos_Origen[[#This Row],[Salarios Año]]=14.12,Datos_Origen[[#This Row],[Básico]]/Datos_Origen[[#This Row],[Salario Ordinario Pol]],""),"")</f>
        <v>0.77087866577121111</v>
      </c>
      <c r="CP20" s="155">
        <f>IF(ROUND(Datos_Origen[[#This Row],[Salario Ordinario Pol22]],-3)&lt;SMMLV,SMMLV,ROUND(Datos_Origen[[#This Row],[Salario Ordinario Pol22]],-3))</f>
        <v>3037000</v>
      </c>
      <c r="CQ20" s="155" t="str">
        <f>IFERROR(ROUND(Datos_Origen[[#This Row],[Salario Integral Pol4]],-3),"")</f>
        <v/>
      </c>
      <c r="CR20" s="139" t="str">
        <f>IF((Datos_Origen[[#This Row],[Gpol]]/(1+FactorPrestacionalIntegral))&lt;(13*SMMLV),"",(Datos_Origen[[#This Row],[Gpol]]/(1+FactorPrestacionalIntegral)))</f>
        <v/>
      </c>
      <c r="CS20" s="161" t="str">
        <f>IFERROR(IF(Datos_Origen[[#This Row],[Salarios Año]]=12,Datos_Origen[[#This Row],[Básico]]/Datos_Origen[[#This Row],[Salario Integral Pol]],""),"")</f>
        <v/>
      </c>
      <c r="CT20" s="155" t="str">
        <f>IFERROR(ROUND(Datos_Origen[[#This Row],[Salario Integral Pol44]],-3),"")</f>
        <v/>
      </c>
      <c r="CU20" s="155">
        <f>Datos_Origen[[#This Row],[G+Vpol]]-Datos_Origen[[#This Row],[Variable]]</f>
        <v>2978000</v>
      </c>
      <c r="CV20" s="161">
        <f>Datos_Origen[[#This Row],[G]]/Datos_Origen[[#This Row],[Gpol]]</f>
        <v>0.77088084956346559</v>
      </c>
      <c r="CW20" s="154">
        <f>Datos_Origen[[#This Row],[Ctpol]]-Datos_Origen[[#This Row],[Beneficios]]</f>
        <v>2978000</v>
      </c>
      <c r="CX20" s="161">
        <f>Datos_Origen[[#This Row],[G+V]]/Datos_Origen[[#This Row],[G+Vpol]]</f>
        <v>0.77088084956346559</v>
      </c>
      <c r="CY20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2978000</v>
      </c>
      <c r="CZ20" s="161">
        <f>Datos_Origen[[#This Row],[CT]]/Datos_Origen[[#This Row],[Ctpol]]</f>
        <v>0.77088084956346559</v>
      </c>
      <c r="DA20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1951000</v>
      </c>
      <c r="DB20" s="158">
        <f>IF(Datos_Origen[[#This Row],[Básico]]&lt;10*SMMLV,0,Datos_Origen[[#This Row],[Base Seguridad Social Actual]]*8.5%)</f>
        <v>0</v>
      </c>
      <c r="DC20" s="158">
        <f>Datos_Origen[[#This Row],[Base Seguridad Social Actual]]*12%</f>
        <v>234120</v>
      </c>
      <c r="DD20" s="158">
        <f>Datos_Origen[[#This Row],[Base Seguridad Social Actual]]*Datos_Origen[[#This Row],[%ARL]]</f>
        <v>10184.219999999999</v>
      </c>
      <c r="DE20" s="158">
        <f>IF(Datos_Origen[[#This Row],[Básico]]&lt;10*SMMLV,Datos_Origen[[#This Row],[Base Seguridad Social Actual]]*4%,Datos_Origen[[#This Row],[Base Seguridad Social Actual]]*9%)</f>
        <v>78040</v>
      </c>
      <c r="DF20" s="158">
        <f>Datos_Origen[[#This Row],[Salud]]+Datos_Origen[[#This Row],[Pensión]]+Datos_Origen[[#This Row],[ARL]]+Datos_Origen[[#This Row],[Parafiscales]]</f>
        <v>322344.21999999997</v>
      </c>
      <c r="DG20" s="163">
        <f>Datos_Origen[[#This Row],[Costo Laboral Actual]]+Datos_Origen[[#This Row],[CT]]</f>
        <v>2618027.3900000006</v>
      </c>
      <c r="DH20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2530878.1869688383</v>
      </c>
      <c r="DI20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20" s="158">
        <f>Datos_Origen[[#This Row],[Base Seguridad Social Nueva]]*12%</f>
        <v>303705.38243626058</v>
      </c>
      <c r="DK20" s="158">
        <f>Datos_Origen[[#This Row],[Base Seguridad Social Nueva]]*Datos_Origen[[#This Row],[%ARL]]</f>
        <v>13211.184135977335</v>
      </c>
      <c r="DL20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101235.12747875354</v>
      </c>
      <c r="DM20" s="158">
        <f>Datos_Origen[[#This Row],[Salud Nueva]]+Datos_Origen[[#This Row],[Pensión Nueva]]+Datos_Origen[[#This Row],[ARL nueva]]+Datos_Origen[[#This Row],[Parafiscales Nuevos]]</f>
        <v>418151.69405099144</v>
      </c>
      <c r="DN20" s="158">
        <f>Datos_Origen[[#This Row],[Costo Laboral Nuevo]]+Datos_Origen[[#This Row],[Ctpol]]</f>
        <v>3396151.6940509914</v>
      </c>
      <c r="DO20" s="158">
        <f>IF(Datos_Origen[[#This Row],[Ctpol]]-Datos_Origen[[#This Row],[CT]]&lt;=0,0,Datos_Origen[[#This Row],[Costo Total Nuevo]]-Datos_Origen[[#This Row],[Costo Total Actual]])</f>
        <v>778124.30405099085</v>
      </c>
      <c r="DP20" s="158">
        <f>IF(Datos_Origen[[#This Row],[Ctpol]]-Datos_Origen[[#This Row],[CT]]&lt;=0,0,Datos_Origen[[#This Row],[Ctpol]]-Datos_Origen[[#This Row],[CT]])</f>
        <v>682316.82999999961</v>
      </c>
      <c r="DQ20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95807.47405099147</v>
      </c>
      <c r="DR20" s="158">
        <f>ROUNDDOWN(VLOOKUP(Datos_Origen[[#This Row],[Categoria]],Competitividad_1[],7,0)*IndiceIncrementoC,-3)</f>
        <v>3308000</v>
      </c>
      <c r="DS20" s="158">
        <f>Datos_Origen[[#This Row],[CTeq]]*0.8</f>
        <v>2290423.5014821715</v>
      </c>
      <c r="DT20" s="158">
        <f>Datos_Origen[[#This Row],[CTeq]]*1.2</f>
        <v>3435635.2522232565</v>
      </c>
      <c r="DU20" s="155">
        <f>IF(Datos_Origen[[#This Row],[Gpol6]]/(1+FactorPrestacionalOrdinario)&lt;SMMLV,SMMLV,Datos_Origen[[#This Row],[Gpol6]]/(1+FactorPrestacionalOrdinario))</f>
        <v>2024702.5495750706</v>
      </c>
      <c r="DV20" s="139" t="str">
        <f>IF((Datos_Origen[[#This Row],[Gpol6]]/(1+FactorPrestacionalIntegral))&lt;(13*SMMLV),"",(Datos_Origen[[#This Row],[Gpol6]]/(1+FactorPrestacionalIntegral)))</f>
        <v/>
      </c>
      <c r="DW20" s="154">
        <f>Datos_Origen[[#This Row],[G+Vpol8]]</f>
        <v>2382400</v>
      </c>
      <c r="DX20" s="154">
        <f>Datos_Origen[[#This Row],[Ctpol10]]-Datos_Origen[[#This Row],[Beneficios]]</f>
        <v>2382400</v>
      </c>
      <c r="DY20" s="154">
        <f>Datos_Origen[[#This Row],[Ctpol]]*$CM$6</f>
        <v>2382400</v>
      </c>
      <c r="DZ20" s="155">
        <f>IF(Datos_Origen[[#This Row],[Gpol66]]/(1+FactorPrestacionalOrdinario)&lt;SMMLV,SMMLV,Datos_Origen[[#This Row],[Gpol66]]/(1+FactorPrestacionalOrdinario))</f>
        <v>3037053.8243626058</v>
      </c>
      <c r="EA20" s="139" t="str">
        <f>IF((Datos_Origen[[#This Row],[Gpol66]]/(1+FactorPrestacionalIntegral))&lt;(13*SMMLV),"",(Datos_Origen[[#This Row],[Gpol66]]/(1+FactorPrestacionalIntegral)))</f>
        <v/>
      </c>
      <c r="EB20" s="154">
        <f>Datos_Origen[[#This Row],[G+Vpol88]]</f>
        <v>3573600</v>
      </c>
      <c r="EC20" s="154">
        <f>Datos_Origen[[#This Row],[Ctpol1010]]-Datos_Origen[[#This Row],[Beneficios]]</f>
        <v>3573600</v>
      </c>
      <c r="ED20" s="154">
        <f>Datos_Origen[[#This Row],[Ctpol]]*$CP$6</f>
        <v>3573600</v>
      </c>
      <c r="EE20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21" spans="2:135">
      <c r="B21" s="132"/>
      <c r="C21" s="149"/>
      <c r="D21" s="150"/>
      <c r="E21" s="151"/>
      <c r="F21" s="151"/>
      <c r="G21" s="150" t="s">
        <v>352</v>
      </c>
      <c r="H21" s="153"/>
      <c r="I21" s="152" t="s">
        <v>352</v>
      </c>
      <c r="J21" s="130" t="str">
        <f>IFERROR(VLOOKUP(Datos_Origen[[#This Row],[Cargo Tipo Valorado]],Cargos_Catalogo[[#All],[Cargo]:[Área]],2,0),"")</f>
        <v>Director de Taller</v>
      </c>
      <c r="K21" s="153"/>
      <c r="L21" s="153"/>
      <c r="M21" s="153"/>
      <c r="N21" s="153"/>
      <c r="O21" s="154">
        <f>Datos_Origen[[#This Row],[Segmentación Individual]]</f>
        <v>0</v>
      </c>
      <c r="P21" s="153"/>
      <c r="Q21" s="154">
        <f>VLOOKUP(Datos_Origen[[#This Row],[Cargo Tipo Valorado]],Cargos_Catalogo[#Data],MATCH(Cargos_Catalogo[[#Headers],[Puntos]],Cargos_Catalogo[#Headers],0),FALSE)</f>
        <v>199</v>
      </c>
      <c r="R21" s="130">
        <f>VLOOKUP(Datos_Origen[[#This Row],[Puntos valoración]],Categorias_Registro[#Data],MATCH(Categorias_Registro[[#Headers],[Categoria]],Categorias_Registro[#Headers],0),FALSE)</f>
        <v>6</v>
      </c>
      <c r="S21" s="130" t="str">
        <f>VLOOKUP(Datos_Origen[[#This Row],[Cargo Tipo Valorado]],Cargos_Catalogo[#Data],MATCH(Cargos_Catalogo[[#Headers],[Nivel SHR]],Cargos_Catalogo[#Headers],0),FALSE)</f>
        <v>Soporte</v>
      </c>
      <c r="T21" s="130" t="str">
        <f>VLOOKUP(Datos_Origen[[#This Row],[Cargo Tipo Valorado]],Cargos_Catalogo[#Data],MATCH(Cargos_Catalogo[[#Headers],[Criticidad]],Cargos_Catalogo[#Headers],0),FALSE)</f>
        <v>Importante</v>
      </c>
      <c r="U21" s="154">
        <f>VLOOKUP(Datos_Origen[[#This Row],[Puntos valoración]],Categorias_Registro[#Data],5,FALSE)</f>
        <v>189</v>
      </c>
      <c r="V21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3177009.0000000005</v>
      </c>
      <c r="W21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21" s="154">
        <f>SUMIF($BA$5:$BJ$5,"NCS",Datos_Origen[[#This Row],[auxilio Gasolina]:[Otro Beneficio10]])+(SUMIF($BA$5:$BJ$5,"CS",Datos_Origen[[#This Row],[auxilio Gasolina]:[Otro Beneficio10]])*1.17667)</f>
        <v>0</v>
      </c>
      <c r="Y21" s="155">
        <f>Datos_Origen[[#This Row],[Básico]]+Datos_Origen[[#This Row],[Promedio de Comisiones  ]]</f>
        <v>2700000</v>
      </c>
      <c r="Z21" s="155">
        <f>Datos_Origen[[#This Row],[Básico]]+Datos_Origen[[#This Row],[Promedio de Comisiones  ]]</f>
        <v>2700000</v>
      </c>
      <c r="AA21" s="155">
        <f>Datos_Origen[[#This Row],[Garantizado]]</f>
        <v>3177009.0000000005</v>
      </c>
      <c r="AB21" s="155">
        <f>Datos_Origen[[#This Row],[Variable]]+Datos_Origen[[#This Row],[Garantizado]]</f>
        <v>3177009.0000000005</v>
      </c>
      <c r="AC21" s="155">
        <f>Datos_Origen[[#This Row],[Beneficios]]+Datos_Origen[[#This Row],[Variable]]+Datos_Origen[[#This Row],[Garantizado]]</f>
        <v>3177009.0000000005</v>
      </c>
      <c r="AD21" s="156">
        <v>14.12</v>
      </c>
      <c r="AE21" s="141">
        <v>230</v>
      </c>
      <c r="AF21" s="345">
        <v>4.3499999999999997E-2</v>
      </c>
      <c r="AG21" s="155">
        <f>Datos_Origen[[#This Row],[Básico Actual]]*230/Datos_Origen[[#This Row],['# horas mes]]</f>
        <v>2700000</v>
      </c>
      <c r="AH21" s="157">
        <v>2700000</v>
      </c>
      <c r="AI21" s="158"/>
      <c r="AJ21" s="158">
        <f>(((Datos_Origen[[#This Row],[Básico]])/30)*$AJ$6)/12</f>
        <v>0</v>
      </c>
      <c r="AK21" s="158"/>
      <c r="AL21" s="143">
        <f>((Datos_Origen[[#This Row],[Básico]])/30)*$AL$6/12</f>
        <v>0</v>
      </c>
      <c r="AM21" s="158"/>
      <c r="AN21" s="158"/>
      <c r="AO21" s="158"/>
      <c r="AP21" s="158"/>
      <c r="AQ21" s="158"/>
      <c r="AR21" s="149">
        <v>0</v>
      </c>
      <c r="AS21" s="149"/>
      <c r="AT21" s="159" t="str">
        <f>IFERROR(Datos_Origen[[#This Row],[Comisiones Target]]/Datos_Origen[[#This Row],[Promedio de Comisiones  ]],"")</f>
        <v/>
      </c>
      <c r="AU21" s="160"/>
      <c r="AV21" s="143">
        <v>0</v>
      </c>
      <c r="AW21" s="160"/>
      <c r="AX21" s="143">
        <f>Datos_Origen[[#This Row],[N Salarios de la Bonificación2]]*Datos_Origen[[#This Row],[Básico]]/12</f>
        <v>0</v>
      </c>
      <c r="AY21" s="160"/>
      <c r="AZ21" s="158"/>
      <c r="BA21" s="149">
        <v>0</v>
      </c>
      <c r="BB21" s="149"/>
      <c r="BC21" s="149"/>
      <c r="BD21" s="149"/>
      <c r="BE21" s="149"/>
      <c r="BF21" s="149"/>
      <c r="BG21" s="149"/>
      <c r="BH21" s="149"/>
      <c r="BI21" s="149"/>
      <c r="BJ21" s="149"/>
      <c r="BK21" s="159">
        <f>IFERROR(Datos_Origen[[#This Row],[Variable]]/Datos_Origen[[#This Row],[CT]],"")</f>
        <v>0</v>
      </c>
      <c r="BL21" s="159">
        <f>IFERROR(Datos_Origen[[#This Row],[Beneficios]]/Datos_Origen[[#This Row],[CT]],"")</f>
        <v>0</v>
      </c>
      <c r="BM21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2647147.6005700002</v>
      </c>
      <c r="BN21" s="161">
        <f>Datos_Origen[[#This Row],[G]]/Datos_Origen[[#This Row],[Geq]]</f>
        <v>1.2001631489365787</v>
      </c>
      <c r="BO21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2860178.2079323218</v>
      </c>
      <c r="BP21" s="161">
        <f>Datos_Origen[[#This Row],[G+V]]/Datos_Origen[[#This Row],[G+Veq]]</f>
        <v>1.1107730949033143</v>
      </c>
      <c r="BQ21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2863029.376852714</v>
      </c>
      <c r="BR21" s="161">
        <f>Datos_Origen[[#This Row],[CT]]/Datos_Origen[[#This Row],[CTeq]]</f>
        <v>1.109666923324566</v>
      </c>
      <c r="BS21" s="139">
        <f>ROUNDUP(VLOOKUP(Datos_Origen[[#This Row],[Categoria]],Competitividad_1[#All],2,0)*IndiceIncrementoC,-3)</f>
        <v>2611000</v>
      </c>
      <c r="BT21" s="161">
        <f>Datos_Origen[[#This Row],[G]]/Datos_Origen[[#This Row],[GQ1]]</f>
        <v>1.2167786288778248</v>
      </c>
      <c r="BU21" s="155">
        <f>ROUNDUP(VLOOKUP(Datos_Origen[[#This Row],[Categoria]],Competitividad_1[#All],3,0)*IndiceIncrementoC,-3)</f>
        <v>2711000</v>
      </c>
      <c r="BV21" s="161">
        <f>Datos_Origen[[#This Row],[G+V]]/Datos_Origen[[#This Row],[G+VQ1]]</f>
        <v>1.1718956104758393</v>
      </c>
      <c r="BW21" s="155">
        <f>ROUNDUP(VLOOKUP(Datos_Origen[[#This Row],[Categoria]],Competitividad_1[#All],4,0)*IndiceIncrementoC,-3)</f>
        <v>2818000</v>
      </c>
      <c r="BX21" s="161">
        <f>Datos_Origen[[#This Row],[CT]]/Datos_Origen[[#This Row],[CTQ1]]</f>
        <v>1.1273985095812635</v>
      </c>
      <c r="BY21" s="155">
        <f>ROUNDUP(VLOOKUP(Datos_Origen[[#This Row],[Categoria]],Competitividad_1[#All],5,0)*IndiceIncrementoC,-3)</f>
        <v>3129000</v>
      </c>
      <c r="BZ21" s="161">
        <f>Datos_Origen[[#This Row],[G]]/Datos_Origen[[#This Row],[GMd]]</f>
        <v>1.0153432406519656</v>
      </c>
      <c r="CA21" s="155">
        <f>ROUNDUP(VLOOKUP(Datos_Origen[[#This Row],[Categoria]],Competitividad_1[#All],6,0)*IndiceIncrementoC,-3)</f>
        <v>3170000</v>
      </c>
      <c r="CB21" s="161">
        <f>Datos_Origen[[#This Row],[G+V]]/Datos_Origen[[#This Row],[G+VMd]]</f>
        <v>1.0022110410094638</v>
      </c>
      <c r="CC21" s="155">
        <f>ROUNDUP(VLOOKUP(Datos_Origen[[#This Row],[Categoria]],Competitividad_1[#All],7,0)*IndiceIncrementoC,-3)</f>
        <v>3309000</v>
      </c>
      <c r="CD21" s="161">
        <f>Datos_Origen[[#This Row],[CT]]/Datos_Origen[[#This Row],[CTMd]]</f>
        <v>0.96011151405258399</v>
      </c>
      <c r="CE21" s="155">
        <f>+Datos_Origen[[#This Row],[GMd]]/1.17666666667</f>
        <v>2659206.798859322</v>
      </c>
      <c r="CF21" s="161">
        <f>+Datos_Origen[[#This Row],[Básico Actual]]/Datos_Origen[[#This Row],[Salario Basico Md]]</f>
        <v>1.0153403643365293</v>
      </c>
      <c r="CG21" s="155">
        <f>ROUNDUP(VLOOKUP(Datos_Origen[[#This Row],[Categoria]],Competitividad_1[#All],8,0)*IndiceIncrementoC,-3)</f>
        <v>4169000</v>
      </c>
      <c r="CH21" s="161">
        <f>Datos_Origen[[#This Row],[G]]/Datos_Origen[[#This Row],[GQ3]]</f>
        <v>0.76205540897097634</v>
      </c>
      <c r="CI21" s="155">
        <f>ROUNDUP(VLOOKUP(Datos_Origen[[#This Row],[Categoria]],Competitividad_1[#All],9,0)*IndiceIncrementoC,-3)</f>
        <v>4291000</v>
      </c>
      <c r="CJ21" s="161">
        <f>Datos_Origen[[#This Row],[G+V]]/Datos_Origen[[#This Row],[G+VQ3]]</f>
        <v>0.74038895362386403</v>
      </c>
      <c r="CK21" s="155">
        <f>ROUNDUP(VLOOKUP(Datos_Origen[[#This Row],[Categoria]],Competitividad_1[#All],10,0)*IndiceIncrementoC,-3)</f>
        <v>4410000</v>
      </c>
      <c r="CL21" s="161">
        <f>Datos_Origen[[#This Row],[CT]]/Datos_Origen[[#This Row],[CTQ3]]</f>
        <v>0.72041020408163281</v>
      </c>
      <c r="CM21" s="162">
        <f>IF(ROUND(Datos_Origen[[#This Row],[Salario Ordinario Pol2]],-3)&lt;SMMLV,SMMLV,ROUND(Datos_Origen[[#This Row],[Salario Ordinario Pol2]],-3))</f>
        <v>2250000</v>
      </c>
      <c r="CN21" s="155">
        <f>IF(Datos_Origen[[#This Row],[Gpol]]/(1+FactorPrestacionalOrdinario)&lt;SMMLV,SMMLV,Datos_Origen[[#This Row],[Gpol]]/(1+FactorPrestacionalOrdinario))</f>
        <v>2812181.3031161469</v>
      </c>
      <c r="CO21" s="161">
        <f>IFERROR(IF(Datos_Origen[[#This Row],[Salarios Año]]=14.12,Datos_Origen[[#This Row],[Básico]]/Datos_Origen[[#This Row],[Salario Ordinario Pol]],""),"")</f>
        <v>0.96010879419764295</v>
      </c>
      <c r="CP21" s="155">
        <f>IF(ROUND(Datos_Origen[[#This Row],[Salario Ordinario Pol22]],-3)&lt;SMMLV,SMMLV,ROUND(Datos_Origen[[#This Row],[Salario Ordinario Pol22]],-3))</f>
        <v>3375000</v>
      </c>
      <c r="CQ21" s="155" t="str">
        <f>IFERROR(ROUND(Datos_Origen[[#This Row],[Salario Integral Pol4]],-3),"")</f>
        <v/>
      </c>
      <c r="CR21" s="139" t="str">
        <f>IF((Datos_Origen[[#This Row],[Gpol]]/(1+FactorPrestacionalIntegral))&lt;(13*SMMLV),"",(Datos_Origen[[#This Row],[Gpol]]/(1+FactorPrestacionalIntegral)))</f>
        <v/>
      </c>
      <c r="CS21" s="161" t="str">
        <f>IFERROR(IF(Datos_Origen[[#This Row],[Salarios Año]]=12,Datos_Origen[[#This Row],[Básico]]/Datos_Origen[[#This Row],[Salario Integral Pol]],""),"")</f>
        <v/>
      </c>
      <c r="CT21" s="155" t="str">
        <f>IFERROR(ROUND(Datos_Origen[[#This Row],[Salario Integral Pol44]],-3),"")</f>
        <v/>
      </c>
      <c r="CU21" s="155">
        <f>Datos_Origen[[#This Row],[G+Vpol]]-Datos_Origen[[#This Row],[Variable]]</f>
        <v>3309000</v>
      </c>
      <c r="CV21" s="161">
        <f>Datos_Origen[[#This Row],[G]]/Datos_Origen[[#This Row],[Gpol]]</f>
        <v>0.96011151405258399</v>
      </c>
      <c r="CW21" s="154">
        <f>Datos_Origen[[#This Row],[Ctpol]]-Datos_Origen[[#This Row],[Beneficios]]</f>
        <v>3309000</v>
      </c>
      <c r="CX21" s="161">
        <f>Datos_Origen[[#This Row],[G+V]]/Datos_Origen[[#This Row],[G+Vpol]]</f>
        <v>0.96011151405258399</v>
      </c>
      <c r="CY21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3309000</v>
      </c>
      <c r="CZ21" s="161">
        <f>Datos_Origen[[#This Row],[CT]]/Datos_Origen[[#This Row],[Ctpol]]</f>
        <v>0.96011151405258399</v>
      </c>
      <c r="DA21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2700000</v>
      </c>
      <c r="DB21" s="158">
        <f>IF(Datos_Origen[[#This Row],[Básico]]&lt;10*SMMLV,0,Datos_Origen[[#This Row],[Base Seguridad Social Actual]]*8.5%)</f>
        <v>0</v>
      </c>
      <c r="DC21" s="158">
        <f>Datos_Origen[[#This Row],[Base Seguridad Social Actual]]*12%</f>
        <v>324000</v>
      </c>
      <c r="DD21" s="158">
        <f>Datos_Origen[[#This Row],[Base Seguridad Social Actual]]*Datos_Origen[[#This Row],[%ARL]]</f>
        <v>117449.99999999999</v>
      </c>
      <c r="DE21" s="158">
        <f>IF(Datos_Origen[[#This Row],[Básico]]&lt;10*SMMLV,Datos_Origen[[#This Row],[Base Seguridad Social Actual]]*4%,Datos_Origen[[#This Row],[Base Seguridad Social Actual]]*9%)</f>
        <v>108000</v>
      </c>
      <c r="DF21" s="158">
        <f>Datos_Origen[[#This Row],[Salud]]+Datos_Origen[[#This Row],[Pensión]]+Datos_Origen[[#This Row],[ARL]]+Datos_Origen[[#This Row],[Parafiscales]]</f>
        <v>549450</v>
      </c>
      <c r="DG21" s="163">
        <f>Datos_Origen[[#This Row],[Costo Laboral Actual]]+Datos_Origen[[#This Row],[CT]]</f>
        <v>3726459.0000000005</v>
      </c>
      <c r="DH21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2812181.3031161469</v>
      </c>
      <c r="DI21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21" s="158">
        <f>Datos_Origen[[#This Row],[Base Seguridad Social Nueva]]*12%</f>
        <v>337461.75637393765</v>
      </c>
      <c r="DK21" s="158">
        <f>Datos_Origen[[#This Row],[Base Seguridad Social Nueva]]*Datos_Origen[[#This Row],[%ARL]]</f>
        <v>122329.88668555238</v>
      </c>
      <c r="DL21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112487.25212464588</v>
      </c>
      <c r="DM21" s="158">
        <f>Datos_Origen[[#This Row],[Salud Nueva]]+Datos_Origen[[#This Row],[Pensión Nueva]]+Datos_Origen[[#This Row],[ARL nueva]]+Datos_Origen[[#This Row],[Parafiscales Nuevos]]</f>
        <v>572278.89518413588</v>
      </c>
      <c r="DN21" s="158">
        <f>Datos_Origen[[#This Row],[Costo Laboral Nuevo]]+Datos_Origen[[#This Row],[Ctpol]]</f>
        <v>3881278.895184136</v>
      </c>
      <c r="DO21" s="158">
        <f>IF(Datos_Origen[[#This Row],[Ctpol]]-Datos_Origen[[#This Row],[CT]]&lt;=0,0,Datos_Origen[[#This Row],[Costo Total Nuevo]]-Datos_Origen[[#This Row],[Costo Total Actual]])</f>
        <v>154819.89518413553</v>
      </c>
      <c r="DP21" s="158">
        <f>IF(Datos_Origen[[#This Row],[Ctpol]]-Datos_Origen[[#This Row],[CT]]&lt;=0,0,Datos_Origen[[#This Row],[Ctpol]]-Datos_Origen[[#This Row],[CT]])</f>
        <v>131990.99999999953</v>
      </c>
      <c r="DQ21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22828.895184135879</v>
      </c>
      <c r="DR21" s="158">
        <f>ROUNDDOWN(VLOOKUP(Datos_Origen[[#This Row],[Categoria]],Competitividad_1[],7,0)*IndiceIncrementoC,-3)</f>
        <v>3308000</v>
      </c>
      <c r="DS21" s="158">
        <f>Datos_Origen[[#This Row],[CTeq]]*0.8</f>
        <v>2290423.5014821715</v>
      </c>
      <c r="DT21" s="158">
        <f>Datos_Origen[[#This Row],[CTeq]]*1.2</f>
        <v>3435635.2522232565</v>
      </c>
      <c r="DU21" s="155">
        <f>IF(Datos_Origen[[#This Row],[Gpol6]]/(1+FactorPrestacionalOrdinario)&lt;SMMLV,SMMLV,Datos_Origen[[#This Row],[Gpol6]]/(1+FactorPrestacionalOrdinario))</f>
        <v>2249745.0424929177</v>
      </c>
      <c r="DV21" s="139" t="str">
        <f>IF((Datos_Origen[[#This Row],[Gpol6]]/(1+FactorPrestacionalIntegral))&lt;(13*SMMLV),"",(Datos_Origen[[#This Row],[Gpol6]]/(1+FactorPrestacionalIntegral)))</f>
        <v/>
      </c>
      <c r="DW21" s="154">
        <f>Datos_Origen[[#This Row],[G+Vpol8]]</f>
        <v>2647200</v>
      </c>
      <c r="DX21" s="154">
        <f>Datos_Origen[[#This Row],[Ctpol10]]-Datos_Origen[[#This Row],[Beneficios]]</f>
        <v>2647200</v>
      </c>
      <c r="DY21" s="154">
        <f>Datos_Origen[[#This Row],[Ctpol]]*$CM$6</f>
        <v>2647200</v>
      </c>
      <c r="DZ21" s="155">
        <f>IF(Datos_Origen[[#This Row],[Gpol66]]/(1+FactorPrestacionalOrdinario)&lt;SMMLV,SMMLV,Datos_Origen[[#This Row],[Gpol66]]/(1+FactorPrestacionalOrdinario))</f>
        <v>3374617.5637393766</v>
      </c>
      <c r="EA21" s="139" t="str">
        <f>IF((Datos_Origen[[#This Row],[Gpol66]]/(1+FactorPrestacionalIntegral))&lt;(13*SMMLV),"",(Datos_Origen[[#This Row],[Gpol66]]/(1+FactorPrestacionalIntegral)))</f>
        <v/>
      </c>
      <c r="EB21" s="154">
        <f>Datos_Origen[[#This Row],[G+Vpol88]]</f>
        <v>3970800</v>
      </c>
      <c r="EC21" s="154">
        <f>Datos_Origen[[#This Row],[Ctpol1010]]-Datos_Origen[[#This Row],[Beneficios]]</f>
        <v>3970800</v>
      </c>
      <c r="ED21" s="154">
        <f>Datos_Origen[[#This Row],[Ctpol]]*$CP$6</f>
        <v>3970800</v>
      </c>
      <c r="EE21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22" spans="2:135">
      <c r="B22" s="132"/>
      <c r="C22" s="149"/>
      <c r="D22" s="150"/>
      <c r="E22" s="151"/>
      <c r="F22" s="151"/>
      <c r="G22" s="150" t="s">
        <v>352</v>
      </c>
      <c r="H22" s="153"/>
      <c r="I22" s="152" t="s">
        <v>352</v>
      </c>
      <c r="J22" s="130" t="str">
        <f>IFERROR(VLOOKUP(Datos_Origen[[#This Row],[Cargo Tipo Valorado]],Cargos_Catalogo[[#All],[Cargo]:[Área]],2,0),"")</f>
        <v>Director de Taller</v>
      </c>
      <c r="K22" s="153"/>
      <c r="L22" s="153"/>
      <c r="M22" s="153"/>
      <c r="N22" s="153"/>
      <c r="O22" s="154">
        <f>Datos_Origen[[#This Row],[Segmentación Individual]]</f>
        <v>0</v>
      </c>
      <c r="P22" s="153"/>
      <c r="Q22" s="154">
        <f>VLOOKUP(Datos_Origen[[#This Row],[Cargo Tipo Valorado]],Cargos_Catalogo[#Data],MATCH(Cargos_Catalogo[[#Headers],[Puntos]],Cargos_Catalogo[#Headers],0),FALSE)</f>
        <v>199</v>
      </c>
      <c r="R22" s="130">
        <f>VLOOKUP(Datos_Origen[[#This Row],[Puntos valoración]],Categorias_Registro[#Data],MATCH(Categorias_Registro[[#Headers],[Categoria]],Categorias_Registro[#Headers],0),FALSE)</f>
        <v>6</v>
      </c>
      <c r="S22" s="130" t="str">
        <f>VLOOKUP(Datos_Origen[[#This Row],[Cargo Tipo Valorado]],Cargos_Catalogo[#Data],MATCH(Cargos_Catalogo[[#Headers],[Nivel SHR]],Cargos_Catalogo[#Headers],0),FALSE)</f>
        <v>Soporte</v>
      </c>
      <c r="T22" s="130" t="str">
        <f>VLOOKUP(Datos_Origen[[#This Row],[Cargo Tipo Valorado]],Cargos_Catalogo[#Data],MATCH(Cargos_Catalogo[[#Headers],[Criticidad]],Cargos_Catalogo[#Headers],0),FALSE)</f>
        <v>Importante</v>
      </c>
      <c r="U22" s="154">
        <f>VLOOKUP(Datos_Origen[[#This Row],[Puntos valoración]],Categorias_Registro[#Data],5,FALSE)</f>
        <v>189</v>
      </c>
      <c r="V22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3177009.0000000005</v>
      </c>
      <c r="W22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22" s="154">
        <f>SUMIF($BA$5:$BJ$5,"NCS",Datos_Origen[[#This Row],[auxilio Gasolina]:[Otro Beneficio10]])+(SUMIF($BA$5:$BJ$5,"CS",Datos_Origen[[#This Row],[auxilio Gasolina]:[Otro Beneficio10]])*1.17667)</f>
        <v>0</v>
      </c>
      <c r="Y22" s="155">
        <f>Datos_Origen[[#This Row],[Básico]]+Datos_Origen[[#This Row],[Promedio de Comisiones  ]]</f>
        <v>2700000</v>
      </c>
      <c r="Z22" s="155">
        <f>Datos_Origen[[#This Row],[Básico]]+Datos_Origen[[#This Row],[Promedio de Comisiones  ]]</f>
        <v>2700000</v>
      </c>
      <c r="AA22" s="155">
        <f>Datos_Origen[[#This Row],[Garantizado]]</f>
        <v>3177009.0000000005</v>
      </c>
      <c r="AB22" s="155">
        <f>Datos_Origen[[#This Row],[Variable]]+Datos_Origen[[#This Row],[Garantizado]]</f>
        <v>3177009.0000000005</v>
      </c>
      <c r="AC22" s="155">
        <f>Datos_Origen[[#This Row],[Beneficios]]+Datos_Origen[[#This Row],[Variable]]+Datos_Origen[[#This Row],[Garantizado]]</f>
        <v>3177009.0000000005</v>
      </c>
      <c r="AD22" s="156">
        <v>14.12</v>
      </c>
      <c r="AE22" s="141">
        <v>230</v>
      </c>
      <c r="AF22" s="345">
        <v>4.3499999999999997E-2</v>
      </c>
      <c r="AG22" s="155">
        <f>Datos_Origen[[#This Row],[Básico Actual]]*230/Datos_Origen[[#This Row],['# horas mes]]</f>
        <v>2700000</v>
      </c>
      <c r="AH22" s="157">
        <v>2700000</v>
      </c>
      <c r="AI22" s="158"/>
      <c r="AJ22" s="158">
        <f>(((Datos_Origen[[#This Row],[Básico]])/30)*$AJ$6)/12</f>
        <v>0</v>
      </c>
      <c r="AK22" s="158"/>
      <c r="AL22" s="143">
        <f>((Datos_Origen[[#This Row],[Básico]])/30)*$AL$6/12</f>
        <v>0</v>
      </c>
      <c r="AM22" s="158"/>
      <c r="AN22" s="158"/>
      <c r="AO22" s="158"/>
      <c r="AP22" s="158"/>
      <c r="AQ22" s="158"/>
      <c r="AR22" s="149">
        <v>0</v>
      </c>
      <c r="AS22" s="149"/>
      <c r="AT22" s="159" t="str">
        <f>IFERROR(Datos_Origen[[#This Row],[Comisiones Target]]/Datos_Origen[[#This Row],[Promedio de Comisiones  ]],"")</f>
        <v/>
      </c>
      <c r="AU22" s="160"/>
      <c r="AV22" s="143">
        <v>0</v>
      </c>
      <c r="AW22" s="160"/>
      <c r="AX22" s="143">
        <f>Datos_Origen[[#This Row],[N Salarios de la Bonificación2]]*Datos_Origen[[#This Row],[Básico]]/12</f>
        <v>0</v>
      </c>
      <c r="AY22" s="160"/>
      <c r="AZ22" s="158"/>
      <c r="BA22" s="149">
        <v>0</v>
      </c>
      <c r="BB22" s="149"/>
      <c r="BC22" s="149"/>
      <c r="BD22" s="149"/>
      <c r="BE22" s="149"/>
      <c r="BF22" s="149"/>
      <c r="BG22" s="149"/>
      <c r="BH22" s="149"/>
      <c r="BI22" s="149"/>
      <c r="BJ22" s="149"/>
      <c r="BK22" s="159">
        <f>IFERROR(Datos_Origen[[#This Row],[Variable]]/Datos_Origen[[#This Row],[CT]],"")</f>
        <v>0</v>
      </c>
      <c r="BL22" s="159">
        <f>IFERROR(Datos_Origen[[#This Row],[Beneficios]]/Datos_Origen[[#This Row],[CT]],"")</f>
        <v>0</v>
      </c>
      <c r="BM22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2647147.6005700002</v>
      </c>
      <c r="BN22" s="161">
        <f>Datos_Origen[[#This Row],[G]]/Datos_Origen[[#This Row],[Geq]]</f>
        <v>1.2001631489365787</v>
      </c>
      <c r="BO22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2860178.2079323218</v>
      </c>
      <c r="BP22" s="161">
        <f>Datos_Origen[[#This Row],[G+V]]/Datos_Origen[[#This Row],[G+Veq]]</f>
        <v>1.1107730949033143</v>
      </c>
      <c r="BQ22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2863029.376852714</v>
      </c>
      <c r="BR22" s="161">
        <f>Datos_Origen[[#This Row],[CT]]/Datos_Origen[[#This Row],[CTeq]]</f>
        <v>1.109666923324566</v>
      </c>
      <c r="BS22" s="139">
        <f>ROUNDUP(VLOOKUP(Datos_Origen[[#This Row],[Categoria]],Competitividad_1[#All],2,0)*IndiceIncrementoC,-3)</f>
        <v>2611000</v>
      </c>
      <c r="BT22" s="161">
        <f>Datos_Origen[[#This Row],[G]]/Datos_Origen[[#This Row],[GQ1]]</f>
        <v>1.2167786288778248</v>
      </c>
      <c r="BU22" s="155">
        <f>ROUNDUP(VLOOKUP(Datos_Origen[[#This Row],[Categoria]],Competitividad_1[#All],3,0)*IndiceIncrementoC,-3)</f>
        <v>2711000</v>
      </c>
      <c r="BV22" s="161">
        <f>Datos_Origen[[#This Row],[G+V]]/Datos_Origen[[#This Row],[G+VQ1]]</f>
        <v>1.1718956104758393</v>
      </c>
      <c r="BW22" s="155">
        <f>ROUNDUP(VLOOKUP(Datos_Origen[[#This Row],[Categoria]],Competitividad_1[#All],4,0)*IndiceIncrementoC,-3)</f>
        <v>2818000</v>
      </c>
      <c r="BX22" s="161">
        <f>Datos_Origen[[#This Row],[CT]]/Datos_Origen[[#This Row],[CTQ1]]</f>
        <v>1.1273985095812635</v>
      </c>
      <c r="BY22" s="155">
        <f>ROUNDUP(VLOOKUP(Datos_Origen[[#This Row],[Categoria]],Competitividad_1[#All],5,0)*IndiceIncrementoC,-3)</f>
        <v>3129000</v>
      </c>
      <c r="BZ22" s="161">
        <f>Datos_Origen[[#This Row],[G]]/Datos_Origen[[#This Row],[GMd]]</f>
        <v>1.0153432406519656</v>
      </c>
      <c r="CA22" s="155">
        <f>ROUNDUP(VLOOKUP(Datos_Origen[[#This Row],[Categoria]],Competitividad_1[#All],6,0)*IndiceIncrementoC,-3)</f>
        <v>3170000</v>
      </c>
      <c r="CB22" s="161">
        <f>Datos_Origen[[#This Row],[G+V]]/Datos_Origen[[#This Row],[G+VMd]]</f>
        <v>1.0022110410094638</v>
      </c>
      <c r="CC22" s="155">
        <f>ROUNDUP(VLOOKUP(Datos_Origen[[#This Row],[Categoria]],Competitividad_1[#All],7,0)*IndiceIncrementoC,-3)</f>
        <v>3309000</v>
      </c>
      <c r="CD22" s="161">
        <f>Datos_Origen[[#This Row],[CT]]/Datos_Origen[[#This Row],[CTMd]]</f>
        <v>0.96011151405258399</v>
      </c>
      <c r="CE22" s="155">
        <f>+Datos_Origen[[#This Row],[GMd]]/1.17666666667</f>
        <v>2659206.798859322</v>
      </c>
      <c r="CF22" s="161">
        <f>+Datos_Origen[[#This Row],[Básico Actual]]/Datos_Origen[[#This Row],[Salario Basico Md]]</f>
        <v>1.0153403643365293</v>
      </c>
      <c r="CG22" s="155">
        <f>ROUNDUP(VLOOKUP(Datos_Origen[[#This Row],[Categoria]],Competitividad_1[#All],8,0)*IndiceIncrementoC,-3)</f>
        <v>4169000</v>
      </c>
      <c r="CH22" s="161">
        <f>Datos_Origen[[#This Row],[G]]/Datos_Origen[[#This Row],[GQ3]]</f>
        <v>0.76205540897097634</v>
      </c>
      <c r="CI22" s="155">
        <f>ROUNDUP(VLOOKUP(Datos_Origen[[#This Row],[Categoria]],Competitividad_1[#All],9,0)*IndiceIncrementoC,-3)</f>
        <v>4291000</v>
      </c>
      <c r="CJ22" s="161">
        <f>Datos_Origen[[#This Row],[G+V]]/Datos_Origen[[#This Row],[G+VQ3]]</f>
        <v>0.74038895362386403</v>
      </c>
      <c r="CK22" s="155">
        <f>ROUNDUP(VLOOKUP(Datos_Origen[[#This Row],[Categoria]],Competitividad_1[#All],10,0)*IndiceIncrementoC,-3)</f>
        <v>4410000</v>
      </c>
      <c r="CL22" s="161">
        <f>Datos_Origen[[#This Row],[CT]]/Datos_Origen[[#This Row],[CTQ3]]</f>
        <v>0.72041020408163281</v>
      </c>
      <c r="CM22" s="162">
        <f>IF(ROUND(Datos_Origen[[#This Row],[Salario Ordinario Pol2]],-3)&lt;SMMLV,SMMLV,ROUND(Datos_Origen[[#This Row],[Salario Ordinario Pol2]],-3))</f>
        <v>2250000</v>
      </c>
      <c r="CN22" s="155">
        <f>IF(Datos_Origen[[#This Row],[Gpol]]/(1+FactorPrestacionalOrdinario)&lt;SMMLV,SMMLV,Datos_Origen[[#This Row],[Gpol]]/(1+FactorPrestacionalOrdinario))</f>
        <v>2812181.3031161469</v>
      </c>
      <c r="CO22" s="161">
        <f>IFERROR(IF(Datos_Origen[[#This Row],[Salarios Año]]=14.12,Datos_Origen[[#This Row],[Básico]]/Datos_Origen[[#This Row],[Salario Ordinario Pol]],""),"")</f>
        <v>0.96010879419764295</v>
      </c>
      <c r="CP22" s="155">
        <f>IF(ROUND(Datos_Origen[[#This Row],[Salario Ordinario Pol22]],-3)&lt;SMMLV,SMMLV,ROUND(Datos_Origen[[#This Row],[Salario Ordinario Pol22]],-3))</f>
        <v>3375000</v>
      </c>
      <c r="CQ22" s="155" t="str">
        <f>IFERROR(ROUND(Datos_Origen[[#This Row],[Salario Integral Pol4]],-3),"")</f>
        <v/>
      </c>
      <c r="CR22" s="139" t="str">
        <f>IF((Datos_Origen[[#This Row],[Gpol]]/(1+FactorPrestacionalIntegral))&lt;(13*SMMLV),"",(Datos_Origen[[#This Row],[Gpol]]/(1+FactorPrestacionalIntegral)))</f>
        <v/>
      </c>
      <c r="CS22" s="161" t="str">
        <f>IFERROR(IF(Datos_Origen[[#This Row],[Salarios Año]]=12,Datos_Origen[[#This Row],[Básico]]/Datos_Origen[[#This Row],[Salario Integral Pol]],""),"")</f>
        <v/>
      </c>
      <c r="CT22" s="155" t="str">
        <f>IFERROR(ROUND(Datos_Origen[[#This Row],[Salario Integral Pol44]],-3),"")</f>
        <v/>
      </c>
      <c r="CU22" s="155">
        <f>Datos_Origen[[#This Row],[G+Vpol]]-Datos_Origen[[#This Row],[Variable]]</f>
        <v>3309000</v>
      </c>
      <c r="CV22" s="161">
        <f>Datos_Origen[[#This Row],[G]]/Datos_Origen[[#This Row],[Gpol]]</f>
        <v>0.96011151405258399</v>
      </c>
      <c r="CW22" s="154">
        <f>Datos_Origen[[#This Row],[Ctpol]]-Datos_Origen[[#This Row],[Beneficios]]</f>
        <v>3309000</v>
      </c>
      <c r="CX22" s="161">
        <f>Datos_Origen[[#This Row],[G+V]]/Datos_Origen[[#This Row],[G+Vpol]]</f>
        <v>0.96011151405258399</v>
      </c>
      <c r="CY22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3309000</v>
      </c>
      <c r="CZ22" s="161">
        <f>Datos_Origen[[#This Row],[CT]]/Datos_Origen[[#This Row],[Ctpol]]</f>
        <v>0.96011151405258399</v>
      </c>
      <c r="DA22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2700000</v>
      </c>
      <c r="DB22" s="158">
        <f>IF(Datos_Origen[[#This Row],[Básico]]&lt;10*SMMLV,0,Datos_Origen[[#This Row],[Base Seguridad Social Actual]]*8.5%)</f>
        <v>0</v>
      </c>
      <c r="DC22" s="158">
        <f>Datos_Origen[[#This Row],[Base Seguridad Social Actual]]*12%</f>
        <v>324000</v>
      </c>
      <c r="DD22" s="158">
        <f>Datos_Origen[[#This Row],[Base Seguridad Social Actual]]*Datos_Origen[[#This Row],[%ARL]]</f>
        <v>117449.99999999999</v>
      </c>
      <c r="DE22" s="158">
        <f>IF(Datos_Origen[[#This Row],[Básico]]&lt;10*SMMLV,Datos_Origen[[#This Row],[Base Seguridad Social Actual]]*4%,Datos_Origen[[#This Row],[Base Seguridad Social Actual]]*9%)</f>
        <v>108000</v>
      </c>
      <c r="DF22" s="158">
        <f>Datos_Origen[[#This Row],[Salud]]+Datos_Origen[[#This Row],[Pensión]]+Datos_Origen[[#This Row],[ARL]]+Datos_Origen[[#This Row],[Parafiscales]]</f>
        <v>549450</v>
      </c>
      <c r="DG22" s="163">
        <f>Datos_Origen[[#This Row],[Costo Laboral Actual]]+Datos_Origen[[#This Row],[CT]]</f>
        <v>3726459.0000000005</v>
      </c>
      <c r="DH22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2812181.3031161469</v>
      </c>
      <c r="DI22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22" s="158">
        <f>Datos_Origen[[#This Row],[Base Seguridad Social Nueva]]*12%</f>
        <v>337461.75637393765</v>
      </c>
      <c r="DK22" s="158">
        <f>Datos_Origen[[#This Row],[Base Seguridad Social Nueva]]*Datos_Origen[[#This Row],[%ARL]]</f>
        <v>122329.88668555238</v>
      </c>
      <c r="DL22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112487.25212464588</v>
      </c>
      <c r="DM22" s="158">
        <f>Datos_Origen[[#This Row],[Salud Nueva]]+Datos_Origen[[#This Row],[Pensión Nueva]]+Datos_Origen[[#This Row],[ARL nueva]]+Datos_Origen[[#This Row],[Parafiscales Nuevos]]</f>
        <v>572278.89518413588</v>
      </c>
      <c r="DN22" s="158">
        <f>Datos_Origen[[#This Row],[Costo Laboral Nuevo]]+Datos_Origen[[#This Row],[Ctpol]]</f>
        <v>3881278.895184136</v>
      </c>
      <c r="DO22" s="158">
        <f>IF(Datos_Origen[[#This Row],[Ctpol]]-Datos_Origen[[#This Row],[CT]]&lt;=0,0,Datos_Origen[[#This Row],[Costo Total Nuevo]]-Datos_Origen[[#This Row],[Costo Total Actual]])</f>
        <v>154819.89518413553</v>
      </c>
      <c r="DP22" s="158">
        <f>IF(Datos_Origen[[#This Row],[Ctpol]]-Datos_Origen[[#This Row],[CT]]&lt;=0,0,Datos_Origen[[#This Row],[Ctpol]]-Datos_Origen[[#This Row],[CT]])</f>
        <v>131990.99999999953</v>
      </c>
      <c r="DQ22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22828.895184135879</v>
      </c>
      <c r="DR22" s="158">
        <f>ROUNDDOWN(VLOOKUP(Datos_Origen[[#This Row],[Categoria]],Competitividad_1[],7,0)*IndiceIncrementoC,-3)</f>
        <v>3308000</v>
      </c>
      <c r="DS22" s="158">
        <f>Datos_Origen[[#This Row],[CTeq]]*0.8</f>
        <v>2290423.5014821715</v>
      </c>
      <c r="DT22" s="158">
        <f>Datos_Origen[[#This Row],[CTeq]]*1.2</f>
        <v>3435635.2522232565</v>
      </c>
      <c r="DU22" s="155">
        <f>IF(Datos_Origen[[#This Row],[Gpol6]]/(1+FactorPrestacionalOrdinario)&lt;SMMLV,SMMLV,Datos_Origen[[#This Row],[Gpol6]]/(1+FactorPrestacionalOrdinario))</f>
        <v>2249745.0424929177</v>
      </c>
      <c r="DV22" s="139" t="str">
        <f>IF((Datos_Origen[[#This Row],[Gpol6]]/(1+FactorPrestacionalIntegral))&lt;(13*SMMLV),"",(Datos_Origen[[#This Row],[Gpol6]]/(1+FactorPrestacionalIntegral)))</f>
        <v/>
      </c>
      <c r="DW22" s="154">
        <f>Datos_Origen[[#This Row],[G+Vpol8]]</f>
        <v>2647200</v>
      </c>
      <c r="DX22" s="154">
        <f>Datos_Origen[[#This Row],[Ctpol10]]-Datos_Origen[[#This Row],[Beneficios]]</f>
        <v>2647200</v>
      </c>
      <c r="DY22" s="154">
        <f>Datos_Origen[[#This Row],[Ctpol]]*$CM$6</f>
        <v>2647200</v>
      </c>
      <c r="DZ22" s="155">
        <f>IF(Datos_Origen[[#This Row],[Gpol66]]/(1+FactorPrestacionalOrdinario)&lt;SMMLV,SMMLV,Datos_Origen[[#This Row],[Gpol66]]/(1+FactorPrestacionalOrdinario))</f>
        <v>3374617.5637393766</v>
      </c>
      <c r="EA22" s="139" t="str">
        <f>IF((Datos_Origen[[#This Row],[Gpol66]]/(1+FactorPrestacionalIntegral))&lt;(13*SMMLV),"",(Datos_Origen[[#This Row],[Gpol66]]/(1+FactorPrestacionalIntegral)))</f>
        <v/>
      </c>
      <c r="EB22" s="154">
        <f>Datos_Origen[[#This Row],[G+Vpol88]]</f>
        <v>3970800</v>
      </c>
      <c r="EC22" s="154">
        <f>Datos_Origen[[#This Row],[Ctpol1010]]-Datos_Origen[[#This Row],[Beneficios]]</f>
        <v>3970800</v>
      </c>
      <c r="ED22" s="154">
        <f>Datos_Origen[[#This Row],[Ctpol]]*$CP$6</f>
        <v>3970800</v>
      </c>
      <c r="EE22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23" spans="2:135">
      <c r="B23" s="132"/>
      <c r="C23" s="149"/>
      <c r="D23" s="150"/>
      <c r="E23" s="151"/>
      <c r="F23" s="151"/>
      <c r="G23" s="150" t="s">
        <v>352</v>
      </c>
      <c r="H23" s="153"/>
      <c r="I23" s="152" t="s">
        <v>352</v>
      </c>
      <c r="J23" s="130" t="str">
        <f>IFERROR(VLOOKUP(Datos_Origen[[#This Row],[Cargo Tipo Valorado]],Cargos_Catalogo[[#All],[Cargo]:[Área]],2,0),"")</f>
        <v>Director de Taller</v>
      </c>
      <c r="K23" s="153"/>
      <c r="L23" s="153"/>
      <c r="M23" s="153"/>
      <c r="N23" s="153"/>
      <c r="O23" s="154">
        <f>Datos_Origen[[#This Row],[Segmentación Individual]]</f>
        <v>0</v>
      </c>
      <c r="P23" s="153"/>
      <c r="Q23" s="154">
        <f>VLOOKUP(Datos_Origen[[#This Row],[Cargo Tipo Valorado]],Cargos_Catalogo[#Data],MATCH(Cargos_Catalogo[[#Headers],[Puntos]],Cargos_Catalogo[#Headers],0),FALSE)</f>
        <v>199</v>
      </c>
      <c r="R23" s="130">
        <f>VLOOKUP(Datos_Origen[[#This Row],[Puntos valoración]],Categorias_Registro[#Data],MATCH(Categorias_Registro[[#Headers],[Categoria]],Categorias_Registro[#Headers],0),FALSE)</f>
        <v>6</v>
      </c>
      <c r="S23" s="130" t="str">
        <f>VLOOKUP(Datos_Origen[[#This Row],[Cargo Tipo Valorado]],Cargos_Catalogo[#Data],MATCH(Cargos_Catalogo[[#Headers],[Nivel SHR]],Cargos_Catalogo[#Headers],0),FALSE)</f>
        <v>Soporte</v>
      </c>
      <c r="T23" s="130" t="str">
        <f>VLOOKUP(Datos_Origen[[#This Row],[Cargo Tipo Valorado]],Cargos_Catalogo[#Data],MATCH(Cargos_Catalogo[[#Headers],[Criticidad]],Cargos_Catalogo[#Headers],0),FALSE)</f>
        <v>Importante</v>
      </c>
      <c r="U23" s="154">
        <f>VLOOKUP(Datos_Origen[[#This Row],[Puntos valoración]],Categorias_Registro[#Data],5,FALSE)</f>
        <v>189</v>
      </c>
      <c r="V23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3177009.0000000005</v>
      </c>
      <c r="W23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23" s="154">
        <f>SUMIF($BA$5:$BJ$5,"NCS",Datos_Origen[[#This Row],[auxilio Gasolina]:[Otro Beneficio10]])+(SUMIF($BA$5:$BJ$5,"CS",Datos_Origen[[#This Row],[auxilio Gasolina]:[Otro Beneficio10]])*1.17667)</f>
        <v>0</v>
      </c>
      <c r="Y23" s="155">
        <f>Datos_Origen[[#This Row],[Básico]]+Datos_Origen[[#This Row],[Promedio de Comisiones  ]]</f>
        <v>2700000</v>
      </c>
      <c r="Z23" s="155">
        <f>Datos_Origen[[#This Row],[Básico]]+Datos_Origen[[#This Row],[Promedio de Comisiones  ]]</f>
        <v>2700000</v>
      </c>
      <c r="AA23" s="155">
        <f>Datos_Origen[[#This Row],[Garantizado]]</f>
        <v>3177009.0000000005</v>
      </c>
      <c r="AB23" s="155">
        <f>Datos_Origen[[#This Row],[Variable]]+Datos_Origen[[#This Row],[Garantizado]]</f>
        <v>3177009.0000000005</v>
      </c>
      <c r="AC23" s="155">
        <f>Datos_Origen[[#This Row],[Beneficios]]+Datos_Origen[[#This Row],[Variable]]+Datos_Origen[[#This Row],[Garantizado]]</f>
        <v>3177009.0000000005</v>
      </c>
      <c r="AD23" s="156">
        <v>14.12</v>
      </c>
      <c r="AE23" s="141">
        <v>230</v>
      </c>
      <c r="AF23" s="345">
        <v>4.3499999999999997E-2</v>
      </c>
      <c r="AG23" s="155">
        <f>Datos_Origen[[#This Row],[Básico Actual]]*230/Datos_Origen[[#This Row],['# horas mes]]</f>
        <v>2700000</v>
      </c>
      <c r="AH23" s="157">
        <v>2700000</v>
      </c>
      <c r="AI23" s="158"/>
      <c r="AJ23" s="158">
        <f>(((Datos_Origen[[#This Row],[Básico]])/30)*$AJ$6)/12</f>
        <v>0</v>
      </c>
      <c r="AK23" s="158"/>
      <c r="AL23" s="143">
        <f>((Datos_Origen[[#This Row],[Básico]])/30)*$AL$6/12</f>
        <v>0</v>
      </c>
      <c r="AM23" s="158"/>
      <c r="AN23" s="158"/>
      <c r="AO23" s="158"/>
      <c r="AP23" s="158"/>
      <c r="AQ23" s="158"/>
      <c r="AR23" s="149">
        <v>0</v>
      </c>
      <c r="AS23" s="149"/>
      <c r="AT23" s="159" t="str">
        <f>IFERROR(Datos_Origen[[#This Row],[Comisiones Target]]/Datos_Origen[[#This Row],[Promedio de Comisiones  ]],"")</f>
        <v/>
      </c>
      <c r="AU23" s="160"/>
      <c r="AV23" s="143">
        <v>0</v>
      </c>
      <c r="AW23" s="160"/>
      <c r="AX23" s="143">
        <f>Datos_Origen[[#This Row],[N Salarios de la Bonificación2]]*Datos_Origen[[#This Row],[Básico]]/12</f>
        <v>0</v>
      </c>
      <c r="AY23" s="160"/>
      <c r="AZ23" s="158"/>
      <c r="BA23" s="149">
        <v>0</v>
      </c>
      <c r="BB23" s="149"/>
      <c r="BC23" s="149"/>
      <c r="BD23" s="149"/>
      <c r="BE23" s="149"/>
      <c r="BF23" s="149"/>
      <c r="BG23" s="149"/>
      <c r="BH23" s="149"/>
      <c r="BI23" s="149"/>
      <c r="BJ23" s="149"/>
      <c r="BK23" s="159">
        <f>IFERROR(Datos_Origen[[#This Row],[Variable]]/Datos_Origen[[#This Row],[CT]],"")</f>
        <v>0</v>
      </c>
      <c r="BL23" s="159">
        <f>IFERROR(Datos_Origen[[#This Row],[Beneficios]]/Datos_Origen[[#This Row],[CT]],"")</f>
        <v>0</v>
      </c>
      <c r="BM23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2647147.6005700002</v>
      </c>
      <c r="BN23" s="161">
        <f>Datos_Origen[[#This Row],[G]]/Datos_Origen[[#This Row],[Geq]]</f>
        <v>1.2001631489365787</v>
      </c>
      <c r="BO23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2860178.2079323218</v>
      </c>
      <c r="BP23" s="161">
        <f>Datos_Origen[[#This Row],[G+V]]/Datos_Origen[[#This Row],[G+Veq]]</f>
        <v>1.1107730949033143</v>
      </c>
      <c r="BQ23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2863029.376852714</v>
      </c>
      <c r="BR23" s="161">
        <f>Datos_Origen[[#This Row],[CT]]/Datos_Origen[[#This Row],[CTeq]]</f>
        <v>1.109666923324566</v>
      </c>
      <c r="BS23" s="139">
        <f>ROUNDUP(VLOOKUP(Datos_Origen[[#This Row],[Categoria]],Competitividad_1[#All],2,0)*IndiceIncrementoC,-3)</f>
        <v>2611000</v>
      </c>
      <c r="BT23" s="161">
        <f>Datos_Origen[[#This Row],[G]]/Datos_Origen[[#This Row],[GQ1]]</f>
        <v>1.2167786288778248</v>
      </c>
      <c r="BU23" s="155">
        <f>ROUNDUP(VLOOKUP(Datos_Origen[[#This Row],[Categoria]],Competitividad_1[#All],3,0)*IndiceIncrementoC,-3)</f>
        <v>2711000</v>
      </c>
      <c r="BV23" s="161">
        <f>Datos_Origen[[#This Row],[G+V]]/Datos_Origen[[#This Row],[G+VQ1]]</f>
        <v>1.1718956104758393</v>
      </c>
      <c r="BW23" s="155">
        <f>ROUNDUP(VLOOKUP(Datos_Origen[[#This Row],[Categoria]],Competitividad_1[#All],4,0)*IndiceIncrementoC,-3)</f>
        <v>2818000</v>
      </c>
      <c r="BX23" s="161">
        <f>Datos_Origen[[#This Row],[CT]]/Datos_Origen[[#This Row],[CTQ1]]</f>
        <v>1.1273985095812635</v>
      </c>
      <c r="BY23" s="155">
        <f>ROUNDUP(VLOOKUP(Datos_Origen[[#This Row],[Categoria]],Competitividad_1[#All],5,0)*IndiceIncrementoC,-3)</f>
        <v>3129000</v>
      </c>
      <c r="BZ23" s="161">
        <f>Datos_Origen[[#This Row],[G]]/Datos_Origen[[#This Row],[GMd]]</f>
        <v>1.0153432406519656</v>
      </c>
      <c r="CA23" s="155">
        <f>ROUNDUP(VLOOKUP(Datos_Origen[[#This Row],[Categoria]],Competitividad_1[#All],6,0)*IndiceIncrementoC,-3)</f>
        <v>3170000</v>
      </c>
      <c r="CB23" s="161">
        <f>Datos_Origen[[#This Row],[G+V]]/Datos_Origen[[#This Row],[G+VMd]]</f>
        <v>1.0022110410094638</v>
      </c>
      <c r="CC23" s="155">
        <f>ROUNDUP(VLOOKUP(Datos_Origen[[#This Row],[Categoria]],Competitividad_1[#All],7,0)*IndiceIncrementoC,-3)</f>
        <v>3309000</v>
      </c>
      <c r="CD23" s="161">
        <f>Datos_Origen[[#This Row],[CT]]/Datos_Origen[[#This Row],[CTMd]]</f>
        <v>0.96011151405258399</v>
      </c>
      <c r="CE23" s="155">
        <f>+Datos_Origen[[#This Row],[GMd]]/1.17666666667</f>
        <v>2659206.798859322</v>
      </c>
      <c r="CF23" s="161">
        <f>+Datos_Origen[[#This Row],[Básico Actual]]/Datos_Origen[[#This Row],[Salario Basico Md]]</f>
        <v>1.0153403643365293</v>
      </c>
      <c r="CG23" s="155">
        <f>ROUNDUP(VLOOKUP(Datos_Origen[[#This Row],[Categoria]],Competitividad_1[#All],8,0)*IndiceIncrementoC,-3)</f>
        <v>4169000</v>
      </c>
      <c r="CH23" s="161">
        <f>Datos_Origen[[#This Row],[G]]/Datos_Origen[[#This Row],[GQ3]]</f>
        <v>0.76205540897097634</v>
      </c>
      <c r="CI23" s="155">
        <f>ROUNDUP(VLOOKUP(Datos_Origen[[#This Row],[Categoria]],Competitividad_1[#All],9,0)*IndiceIncrementoC,-3)</f>
        <v>4291000</v>
      </c>
      <c r="CJ23" s="161">
        <f>Datos_Origen[[#This Row],[G+V]]/Datos_Origen[[#This Row],[G+VQ3]]</f>
        <v>0.74038895362386403</v>
      </c>
      <c r="CK23" s="155">
        <f>ROUNDUP(VLOOKUP(Datos_Origen[[#This Row],[Categoria]],Competitividad_1[#All],10,0)*IndiceIncrementoC,-3)</f>
        <v>4410000</v>
      </c>
      <c r="CL23" s="161">
        <f>Datos_Origen[[#This Row],[CT]]/Datos_Origen[[#This Row],[CTQ3]]</f>
        <v>0.72041020408163281</v>
      </c>
      <c r="CM23" s="162">
        <f>IF(ROUND(Datos_Origen[[#This Row],[Salario Ordinario Pol2]],-3)&lt;SMMLV,SMMLV,ROUND(Datos_Origen[[#This Row],[Salario Ordinario Pol2]],-3))</f>
        <v>2250000</v>
      </c>
      <c r="CN23" s="155">
        <f>IF(Datos_Origen[[#This Row],[Gpol]]/(1+FactorPrestacionalOrdinario)&lt;SMMLV,SMMLV,Datos_Origen[[#This Row],[Gpol]]/(1+FactorPrestacionalOrdinario))</f>
        <v>2812181.3031161469</v>
      </c>
      <c r="CO23" s="161">
        <f>IFERROR(IF(Datos_Origen[[#This Row],[Salarios Año]]=14.12,Datos_Origen[[#This Row],[Básico]]/Datos_Origen[[#This Row],[Salario Ordinario Pol]],""),"")</f>
        <v>0.96010879419764295</v>
      </c>
      <c r="CP23" s="155">
        <f>IF(ROUND(Datos_Origen[[#This Row],[Salario Ordinario Pol22]],-3)&lt;SMMLV,SMMLV,ROUND(Datos_Origen[[#This Row],[Salario Ordinario Pol22]],-3))</f>
        <v>3375000</v>
      </c>
      <c r="CQ23" s="155" t="str">
        <f>IFERROR(ROUND(Datos_Origen[[#This Row],[Salario Integral Pol4]],-3),"")</f>
        <v/>
      </c>
      <c r="CR23" s="139" t="str">
        <f>IF((Datos_Origen[[#This Row],[Gpol]]/(1+FactorPrestacionalIntegral))&lt;(13*SMMLV),"",(Datos_Origen[[#This Row],[Gpol]]/(1+FactorPrestacionalIntegral)))</f>
        <v/>
      </c>
      <c r="CS23" s="161" t="str">
        <f>IFERROR(IF(Datos_Origen[[#This Row],[Salarios Año]]=12,Datos_Origen[[#This Row],[Básico]]/Datos_Origen[[#This Row],[Salario Integral Pol]],""),"")</f>
        <v/>
      </c>
      <c r="CT23" s="155" t="str">
        <f>IFERROR(ROUND(Datos_Origen[[#This Row],[Salario Integral Pol44]],-3),"")</f>
        <v/>
      </c>
      <c r="CU23" s="155">
        <f>Datos_Origen[[#This Row],[G+Vpol]]-Datos_Origen[[#This Row],[Variable]]</f>
        <v>3309000</v>
      </c>
      <c r="CV23" s="161">
        <f>Datos_Origen[[#This Row],[G]]/Datos_Origen[[#This Row],[Gpol]]</f>
        <v>0.96011151405258399</v>
      </c>
      <c r="CW23" s="154">
        <f>Datos_Origen[[#This Row],[Ctpol]]-Datos_Origen[[#This Row],[Beneficios]]</f>
        <v>3309000</v>
      </c>
      <c r="CX23" s="161">
        <f>Datos_Origen[[#This Row],[G+V]]/Datos_Origen[[#This Row],[G+Vpol]]</f>
        <v>0.96011151405258399</v>
      </c>
      <c r="CY23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3309000</v>
      </c>
      <c r="CZ23" s="161">
        <f>Datos_Origen[[#This Row],[CT]]/Datos_Origen[[#This Row],[Ctpol]]</f>
        <v>0.96011151405258399</v>
      </c>
      <c r="DA23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2700000</v>
      </c>
      <c r="DB23" s="158">
        <f>IF(Datos_Origen[[#This Row],[Básico]]&lt;10*SMMLV,0,Datos_Origen[[#This Row],[Base Seguridad Social Actual]]*8.5%)</f>
        <v>0</v>
      </c>
      <c r="DC23" s="158">
        <f>Datos_Origen[[#This Row],[Base Seguridad Social Actual]]*12%</f>
        <v>324000</v>
      </c>
      <c r="DD23" s="158">
        <f>Datos_Origen[[#This Row],[Base Seguridad Social Actual]]*Datos_Origen[[#This Row],[%ARL]]</f>
        <v>117449.99999999999</v>
      </c>
      <c r="DE23" s="158">
        <f>IF(Datos_Origen[[#This Row],[Básico]]&lt;10*SMMLV,Datos_Origen[[#This Row],[Base Seguridad Social Actual]]*4%,Datos_Origen[[#This Row],[Base Seguridad Social Actual]]*9%)</f>
        <v>108000</v>
      </c>
      <c r="DF23" s="158">
        <f>Datos_Origen[[#This Row],[Salud]]+Datos_Origen[[#This Row],[Pensión]]+Datos_Origen[[#This Row],[ARL]]+Datos_Origen[[#This Row],[Parafiscales]]</f>
        <v>549450</v>
      </c>
      <c r="DG23" s="163">
        <f>Datos_Origen[[#This Row],[Costo Laboral Actual]]+Datos_Origen[[#This Row],[CT]]</f>
        <v>3726459.0000000005</v>
      </c>
      <c r="DH23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2812181.3031161469</v>
      </c>
      <c r="DI23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23" s="158">
        <f>Datos_Origen[[#This Row],[Base Seguridad Social Nueva]]*12%</f>
        <v>337461.75637393765</v>
      </c>
      <c r="DK23" s="158">
        <f>Datos_Origen[[#This Row],[Base Seguridad Social Nueva]]*Datos_Origen[[#This Row],[%ARL]]</f>
        <v>122329.88668555238</v>
      </c>
      <c r="DL23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112487.25212464588</v>
      </c>
      <c r="DM23" s="158">
        <f>Datos_Origen[[#This Row],[Salud Nueva]]+Datos_Origen[[#This Row],[Pensión Nueva]]+Datos_Origen[[#This Row],[ARL nueva]]+Datos_Origen[[#This Row],[Parafiscales Nuevos]]</f>
        <v>572278.89518413588</v>
      </c>
      <c r="DN23" s="158">
        <f>Datos_Origen[[#This Row],[Costo Laboral Nuevo]]+Datos_Origen[[#This Row],[Ctpol]]</f>
        <v>3881278.895184136</v>
      </c>
      <c r="DO23" s="158">
        <f>IF(Datos_Origen[[#This Row],[Ctpol]]-Datos_Origen[[#This Row],[CT]]&lt;=0,0,Datos_Origen[[#This Row],[Costo Total Nuevo]]-Datos_Origen[[#This Row],[Costo Total Actual]])</f>
        <v>154819.89518413553</v>
      </c>
      <c r="DP23" s="158">
        <f>IF(Datos_Origen[[#This Row],[Ctpol]]-Datos_Origen[[#This Row],[CT]]&lt;=0,0,Datos_Origen[[#This Row],[Ctpol]]-Datos_Origen[[#This Row],[CT]])</f>
        <v>131990.99999999953</v>
      </c>
      <c r="DQ23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22828.895184135879</v>
      </c>
      <c r="DR23" s="158">
        <f>ROUNDDOWN(VLOOKUP(Datos_Origen[[#This Row],[Categoria]],Competitividad_1[],7,0)*IndiceIncrementoC,-3)</f>
        <v>3308000</v>
      </c>
      <c r="DS23" s="158">
        <f>Datos_Origen[[#This Row],[CTeq]]*0.8</f>
        <v>2290423.5014821715</v>
      </c>
      <c r="DT23" s="158">
        <f>Datos_Origen[[#This Row],[CTeq]]*1.2</f>
        <v>3435635.2522232565</v>
      </c>
      <c r="DU23" s="155">
        <f>IF(Datos_Origen[[#This Row],[Gpol6]]/(1+FactorPrestacionalOrdinario)&lt;SMMLV,SMMLV,Datos_Origen[[#This Row],[Gpol6]]/(1+FactorPrestacionalOrdinario))</f>
        <v>2249745.0424929177</v>
      </c>
      <c r="DV23" s="139" t="str">
        <f>IF((Datos_Origen[[#This Row],[Gpol6]]/(1+FactorPrestacionalIntegral))&lt;(13*SMMLV),"",(Datos_Origen[[#This Row],[Gpol6]]/(1+FactorPrestacionalIntegral)))</f>
        <v/>
      </c>
      <c r="DW23" s="154">
        <f>Datos_Origen[[#This Row],[G+Vpol8]]</f>
        <v>2647200</v>
      </c>
      <c r="DX23" s="154">
        <f>Datos_Origen[[#This Row],[Ctpol10]]-Datos_Origen[[#This Row],[Beneficios]]</f>
        <v>2647200</v>
      </c>
      <c r="DY23" s="154">
        <f>Datos_Origen[[#This Row],[Ctpol]]*$CM$6</f>
        <v>2647200</v>
      </c>
      <c r="DZ23" s="155">
        <f>IF(Datos_Origen[[#This Row],[Gpol66]]/(1+FactorPrestacionalOrdinario)&lt;SMMLV,SMMLV,Datos_Origen[[#This Row],[Gpol66]]/(1+FactorPrestacionalOrdinario))</f>
        <v>3374617.5637393766</v>
      </c>
      <c r="EA23" s="139" t="str">
        <f>IF((Datos_Origen[[#This Row],[Gpol66]]/(1+FactorPrestacionalIntegral))&lt;(13*SMMLV),"",(Datos_Origen[[#This Row],[Gpol66]]/(1+FactorPrestacionalIntegral)))</f>
        <v/>
      </c>
      <c r="EB23" s="154">
        <f>Datos_Origen[[#This Row],[G+Vpol88]]</f>
        <v>3970800</v>
      </c>
      <c r="EC23" s="154">
        <f>Datos_Origen[[#This Row],[Ctpol1010]]-Datos_Origen[[#This Row],[Beneficios]]</f>
        <v>3970800</v>
      </c>
      <c r="ED23" s="154">
        <f>Datos_Origen[[#This Row],[Ctpol]]*$CP$6</f>
        <v>3970800</v>
      </c>
      <c r="EE23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24" spans="2:135">
      <c r="B24" s="132"/>
      <c r="C24" s="149"/>
      <c r="D24" s="150"/>
      <c r="E24" s="151"/>
      <c r="F24" s="151"/>
      <c r="G24" s="150" t="s">
        <v>352</v>
      </c>
      <c r="H24" s="153"/>
      <c r="I24" s="152" t="s">
        <v>352</v>
      </c>
      <c r="J24" s="130" t="str">
        <f>IFERROR(VLOOKUP(Datos_Origen[[#This Row],[Cargo Tipo Valorado]],Cargos_Catalogo[[#All],[Cargo]:[Área]],2,0),"")</f>
        <v>Director de Taller</v>
      </c>
      <c r="K24" s="153"/>
      <c r="L24" s="153"/>
      <c r="M24" s="153"/>
      <c r="N24" s="153"/>
      <c r="O24" s="154">
        <f>Datos_Origen[[#This Row],[Segmentación Individual]]</f>
        <v>0</v>
      </c>
      <c r="P24" s="153"/>
      <c r="Q24" s="154">
        <f>VLOOKUP(Datos_Origen[[#This Row],[Cargo Tipo Valorado]],Cargos_Catalogo[#Data],MATCH(Cargos_Catalogo[[#Headers],[Puntos]],Cargos_Catalogo[#Headers],0),FALSE)</f>
        <v>199</v>
      </c>
      <c r="R24" s="130">
        <f>VLOOKUP(Datos_Origen[[#This Row],[Puntos valoración]],Categorias_Registro[#Data],MATCH(Categorias_Registro[[#Headers],[Categoria]],Categorias_Registro[#Headers],0),FALSE)</f>
        <v>6</v>
      </c>
      <c r="S24" s="130" t="str">
        <f>VLOOKUP(Datos_Origen[[#This Row],[Cargo Tipo Valorado]],Cargos_Catalogo[#Data],MATCH(Cargos_Catalogo[[#Headers],[Nivel SHR]],Cargos_Catalogo[#Headers],0),FALSE)</f>
        <v>Soporte</v>
      </c>
      <c r="T24" s="130" t="str">
        <f>VLOOKUP(Datos_Origen[[#This Row],[Cargo Tipo Valorado]],Cargos_Catalogo[#Data],MATCH(Cargos_Catalogo[[#Headers],[Criticidad]],Cargos_Catalogo[#Headers],0),FALSE)</f>
        <v>Importante</v>
      </c>
      <c r="U24" s="154">
        <f>VLOOKUP(Datos_Origen[[#This Row],[Puntos valoración]],Categorias_Registro[#Data],5,FALSE)</f>
        <v>189</v>
      </c>
      <c r="V24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3177009.0000000005</v>
      </c>
      <c r="W24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24" s="154">
        <f>SUMIF($BA$5:$BJ$5,"NCS",Datos_Origen[[#This Row],[auxilio Gasolina]:[Otro Beneficio10]])+(SUMIF($BA$5:$BJ$5,"CS",Datos_Origen[[#This Row],[auxilio Gasolina]:[Otro Beneficio10]])*1.17667)</f>
        <v>0</v>
      </c>
      <c r="Y24" s="155">
        <f>Datos_Origen[[#This Row],[Básico]]+Datos_Origen[[#This Row],[Promedio de Comisiones  ]]</f>
        <v>2700000</v>
      </c>
      <c r="Z24" s="155">
        <f>Datos_Origen[[#This Row],[Básico]]+Datos_Origen[[#This Row],[Promedio de Comisiones  ]]</f>
        <v>2700000</v>
      </c>
      <c r="AA24" s="155">
        <f>Datos_Origen[[#This Row],[Garantizado]]</f>
        <v>3177009.0000000005</v>
      </c>
      <c r="AB24" s="155">
        <f>Datos_Origen[[#This Row],[Variable]]+Datos_Origen[[#This Row],[Garantizado]]</f>
        <v>3177009.0000000005</v>
      </c>
      <c r="AC24" s="155">
        <f>Datos_Origen[[#This Row],[Beneficios]]+Datos_Origen[[#This Row],[Variable]]+Datos_Origen[[#This Row],[Garantizado]]</f>
        <v>3177009.0000000005</v>
      </c>
      <c r="AD24" s="156">
        <v>14.12</v>
      </c>
      <c r="AE24" s="141">
        <v>230</v>
      </c>
      <c r="AF24" s="345">
        <v>4.3499999999999997E-2</v>
      </c>
      <c r="AG24" s="155">
        <f>Datos_Origen[[#This Row],[Básico Actual]]*230/Datos_Origen[[#This Row],['# horas mes]]</f>
        <v>2700000</v>
      </c>
      <c r="AH24" s="157">
        <v>2700000</v>
      </c>
      <c r="AI24" s="158"/>
      <c r="AJ24" s="158">
        <f>(((Datos_Origen[[#This Row],[Básico]])/30)*$AJ$6)/12</f>
        <v>0</v>
      </c>
      <c r="AK24" s="158"/>
      <c r="AL24" s="143">
        <f>((Datos_Origen[[#This Row],[Básico]])/30)*$AL$6/12</f>
        <v>0</v>
      </c>
      <c r="AM24" s="158"/>
      <c r="AN24" s="158"/>
      <c r="AO24" s="158"/>
      <c r="AP24" s="158"/>
      <c r="AQ24" s="158"/>
      <c r="AR24" s="149">
        <v>0</v>
      </c>
      <c r="AS24" s="149"/>
      <c r="AT24" s="159" t="str">
        <f>IFERROR(Datos_Origen[[#This Row],[Comisiones Target]]/Datos_Origen[[#This Row],[Promedio de Comisiones  ]],"")</f>
        <v/>
      </c>
      <c r="AU24" s="160"/>
      <c r="AV24" s="143">
        <v>0</v>
      </c>
      <c r="AW24" s="160"/>
      <c r="AX24" s="143">
        <f>Datos_Origen[[#This Row],[N Salarios de la Bonificación2]]*Datos_Origen[[#This Row],[Básico]]/12</f>
        <v>0</v>
      </c>
      <c r="AY24" s="160"/>
      <c r="AZ24" s="158"/>
      <c r="BA24" s="149">
        <v>0</v>
      </c>
      <c r="BB24" s="149"/>
      <c r="BC24" s="149"/>
      <c r="BD24" s="149"/>
      <c r="BE24" s="149"/>
      <c r="BF24" s="149"/>
      <c r="BG24" s="149"/>
      <c r="BH24" s="149"/>
      <c r="BI24" s="149"/>
      <c r="BJ24" s="149"/>
      <c r="BK24" s="159">
        <f>IFERROR(Datos_Origen[[#This Row],[Variable]]/Datos_Origen[[#This Row],[CT]],"")</f>
        <v>0</v>
      </c>
      <c r="BL24" s="159">
        <f>IFERROR(Datos_Origen[[#This Row],[Beneficios]]/Datos_Origen[[#This Row],[CT]],"")</f>
        <v>0</v>
      </c>
      <c r="BM24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2647147.6005700002</v>
      </c>
      <c r="BN24" s="161">
        <f>Datos_Origen[[#This Row],[G]]/Datos_Origen[[#This Row],[Geq]]</f>
        <v>1.2001631489365787</v>
      </c>
      <c r="BO24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2860178.2079323218</v>
      </c>
      <c r="BP24" s="161">
        <f>Datos_Origen[[#This Row],[G+V]]/Datos_Origen[[#This Row],[G+Veq]]</f>
        <v>1.1107730949033143</v>
      </c>
      <c r="BQ24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2863029.376852714</v>
      </c>
      <c r="BR24" s="161">
        <f>Datos_Origen[[#This Row],[CT]]/Datos_Origen[[#This Row],[CTeq]]</f>
        <v>1.109666923324566</v>
      </c>
      <c r="BS24" s="139">
        <f>ROUNDUP(VLOOKUP(Datos_Origen[[#This Row],[Categoria]],Competitividad_1[#All],2,0)*IndiceIncrementoC,-3)</f>
        <v>2611000</v>
      </c>
      <c r="BT24" s="161">
        <f>Datos_Origen[[#This Row],[G]]/Datos_Origen[[#This Row],[GQ1]]</f>
        <v>1.2167786288778248</v>
      </c>
      <c r="BU24" s="155">
        <f>ROUNDUP(VLOOKUP(Datos_Origen[[#This Row],[Categoria]],Competitividad_1[#All],3,0)*IndiceIncrementoC,-3)</f>
        <v>2711000</v>
      </c>
      <c r="BV24" s="161">
        <f>Datos_Origen[[#This Row],[G+V]]/Datos_Origen[[#This Row],[G+VQ1]]</f>
        <v>1.1718956104758393</v>
      </c>
      <c r="BW24" s="155">
        <f>ROUNDUP(VLOOKUP(Datos_Origen[[#This Row],[Categoria]],Competitividad_1[#All],4,0)*IndiceIncrementoC,-3)</f>
        <v>2818000</v>
      </c>
      <c r="BX24" s="161">
        <f>Datos_Origen[[#This Row],[CT]]/Datos_Origen[[#This Row],[CTQ1]]</f>
        <v>1.1273985095812635</v>
      </c>
      <c r="BY24" s="155">
        <f>ROUNDUP(VLOOKUP(Datos_Origen[[#This Row],[Categoria]],Competitividad_1[#All],5,0)*IndiceIncrementoC,-3)</f>
        <v>3129000</v>
      </c>
      <c r="BZ24" s="161">
        <f>Datos_Origen[[#This Row],[G]]/Datos_Origen[[#This Row],[GMd]]</f>
        <v>1.0153432406519656</v>
      </c>
      <c r="CA24" s="155">
        <f>ROUNDUP(VLOOKUP(Datos_Origen[[#This Row],[Categoria]],Competitividad_1[#All],6,0)*IndiceIncrementoC,-3)</f>
        <v>3170000</v>
      </c>
      <c r="CB24" s="161">
        <f>Datos_Origen[[#This Row],[G+V]]/Datos_Origen[[#This Row],[G+VMd]]</f>
        <v>1.0022110410094638</v>
      </c>
      <c r="CC24" s="155">
        <f>ROUNDUP(VLOOKUP(Datos_Origen[[#This Row],[Categoria]],Competitividad_1[#All],7,0)*IndiceIncrementoC,-3)</f>
        <v>3309000</v>
      </c>
      <c r="CD24" s="161">
        <f>Datos_Origen[[#This Row],[CT]]/Datos_Origen[[#This Row],[CTMd]]</f>
        <v>0.96011151405258399</v>
      </c>
      <c r="CE24" s="155">
        <f>+Datos_Origen[[#This Row],[GMd]]/1.17666666667</f>
        <v>2659206.798859322</v>
      </c>
      <c r="CF24" s="161">
        <f>+Datos_Origen[[#This Row],[Básico Actual]]/Datos_Origen[[#This Row],[Salario Basico Md]]</f>
        <v>1.0153403643365293</v>
      </c>
      <c r="CG24" s="155">
        <f>ROUNDUP(VLOOKUP(Datos_Origen[[#This Row],[Categoria]],Competitividad_1[#All],8,0)*IndiceIncrementoC,-3)</f>
        <v>4169000</v>
      </c>
      <c r="CH24" s="161">
        <f>Datos_Origen[[#This Row],[G]]/Datos_Origen[[#This Row],[GQ3]]</f>
        <v>0.76205540897097634</v>
      </c>
      <c r="CI24" s="155">
        <f>ROUNDUP(VLOOKUP(Datos_Origen[[#This Row],[Categoria]],Competitividad_1[#All],9,0)*IndiceIncrementoC,-3)</f>
        <v>4291000</v>
      </c>
      <c r="CJ24" s="161">
        <f>Datos_Origen[[#This Row],[G+V]]/Datos_Origen[[#This Row],[G+VQ3]]</f>
        <v>0.74038895362386403</v>
      </c>
      <c r="CK24" s="155">
        <f>ROUNDUP(VLOOKUP(Datos_Origen[[#This Row],[Categoria]],Competitividad_1[#All],10,0)*IndiceIncrementoC,-3)</f>
        <v>4410000</v>
      </c>
      <c r="CL24" s="161">
        <f>Datos_Origen[[#This Row],[CT]]/Datos_Origen[[#This Row],[CTQ3]]</f>
        <v>0.72041020408163281</v>
      </c>
      <c r="CM24" s="162">
        <f>IF(ROUND(Datos_Origen[[#This Row],[Salario Ordinario Pol2]],-3)&lt;SMMLV,SMMLV,ROUND(Datos_Origen[[#This Row],[Salario Ordinario Pol2]],-3))</f>
        <v>2250000</v>
      </c>
      <c r="CN24" s="155">
        <f>IF(Datos_Origen[[#This Row],[Gpol]]/(1+FactorPrestacionalOrdinario)&lt;SMMLV,SMMLV,Datos_Origen[[#This Row],[Gpol]]/(1+FactorPrestacionalOrdinario))</f>
        <v>2812181.3031161469</v>
      </c>
      <c r="CO24" s="161">
        <f>IFERROR(IF(Datos_Origen[[#This Row],[Salarios Año]]=14.12,Datos_Origen[[#This Row],[Básico]]/Datos_Origen[[#This Row],[Salario Ordinario Pol]],""),"")</f>
        <v>0.96010879419764295</v>
      </c>
      <c r="CP24" s="155">
        <f>IF(ROUND(Datos_Origen[[#This Row],[Salario Ordinario Pol22]],-3)&lt;SMMLV,SMMLV,ROUND(Datos_Origen[[#This Row],[Salario Ordinario Pol22]],-3))</f>
        <v>3375000</v>
      </c>
      <c r="CQ24" s="155" t="str">
        <f>IFERROR(ROUND(Datos_Origen[[#This Row],[Salario Integral Pol4]],-3),"")</f>
        <v/>
      </c>
      <c r="CR24" s="139" t="str">
        <f>IF((Datos_Origen[[#This Row],[Gpol]]/(1+FactorPrestacionalIntegral))&lt;(13*SMMLV),"",(Datos_Origen[[#This Row],[Gpol]]/(1+FactorPrestacionalIntegral)))</f>
        <v/>
      </c>
      <c r="CS24" s="161" t="str">
        <f>IFERROR(IF(Datos_Origen[[#This Row],[Salarios Año]]=12,Datos_Origen[[#This Row],[Básico]]/Datos_Origen[[#This Row],[Salario Integral Pol]],""),"")</f>
        <v/>
      </c>
      <c r="CT24" s="155" t="str">
        <f>IFERROR(ROUND(Datos_Origen[[#This Row],[Salario Integral Pol44]],-3),"")</f>
        <v/>
      </c>
      <c r="CU24" s="155">
        <f>Datos_Origen[[#This Row],[G+Vpol]]-Datos_Origen[[#This Row],[Variable]]</f>
        <v>3309000</v>
      </c>
      <c r="CV24" s="161">
        <f>Datos_Origen[[#This Row],[G]]/Datos_Origen[[#This Row],[Gpol]]</f>
        <v>0.96011151405258399</v>
      </c>
      <c r="CW24" s="154">
        <f>Datos_Origen[[#This Row],[Ctpol]]-Datos_Origen[[#This Row],[Beneficios]]</f>
        <v>3309000</v>
      </c>
      <c r="CX24" s="161">
        <f>Datos_Origen[[#This Row],[G+V]]/Datos_Origen[[#This Row],[G+Vpol]]</f>
        <v>0.96011151405258399</v>
      </c>
      <c r="CY24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3309000</v>
      </c>
      <c r="CZ24" s="161">
        <f>Datos_Origen[[#This Row],[CT]]/Datos_Origen[[#This Row],[Ctpol]]</f>
        <v>0.96011151405258399</v>
      </c>
      <c r="DA24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2700000</v>
      </c>
      <c r="DB24" s="158">
        <f>IF(Datos_Origen[[#This Row],[Básico]]&lt;10*SMMLV,0,Datos_Origen[[#This Row],[Base Seguridad Social Actual]]*8.5%)</f>
        <v>0</v>
      </c>
      <c r="DC24" s="158">
        <f>Datos_Origen[[#This Row],[Base Seguridad Social Actual]]*12%</f>
        <v>324000</v>
      </c>
      <c r="DD24" s="158">
        <f>Datos_Origen[[#This Row],[Base Seguridad Social Actual]]*Datos_Origen[[#This Row],[%ARL]]</f>
        <v>117449.99999999999</v>
      </c>
      <c r="DE24" s="158">
        <f>IF(Datos_Origen[[#This Row],[Básico]]&lt;10*SMMLV,Datos_Origen[[#This Row],[Base Seguridad Social Actual]]*4%,Datos_Origen[[#This Row],[Base Seguridad Social Actual]]*9%)</f>
        <v>108000</v>
      </c>
      <c r="DF24" s="158">
        <f>Datos_Origen[[#This Row],[Salud]]+Datos_Origen[[#This Row],[Pensión]]+Datos_Origen[[#This Row],[ARL]]+Datos_Origen[[#This Row],[Parafiscales]]</f>
        <v>549450</v>
      </c>
      <c r="DG24" s="163">
        <f>Datos_Origen[[#This Row],[Costo Laboral Actual]]+Datos_Origen[[#This Row],[CT]]</f>
        <v>3726459.0000000005</v>
      </c>
      <c r="DH24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2812181.3031161469</v>
      </c>
      <c r="DI24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24" s="158">
        <f>Datos_Origen[[#This Row],[Base Seguridad Social Nueva]]*12%</f>
        <v>337461.75637393765</v>
      </c>
      <c r="DK24" s="158">
        <f>Datos_Origen[[#This Row],[Base Seguridad Social Nueva]]*Datos_Origen[[#This Row],[%ARL]]</f>
        <v>122329.88668555238</v>
      </c>
      <c r="DL24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112487.25212464588</v>
      </c>
      <c r="DM24" s="158">
        <f>Datos_Origen[[#This Row],[Salud Nueva]]+Datos_Origen[[#This Row],[Pensión Nueva]]+Datos_Origen[[#This Row],[ARL nueva]]+Datos_Origen[[#This Row],[Parafiscales Nuevos]]</f>
        <v>572278.89518413588</v>
      </c>
      <c r="DN24" s="158">
        <f>Datos_Origen[[#This Row],[Costo Laboral Nuevo]]+Datos_Origen[[#This Row],[Ctpol]]</f>
        <v>3881278.895184136</v>
      </c>
      <c r="DO24" s="158">
        <f>IF(Datos_Origen[[#This Row],[Ctpol]]-Datos_Origen[[#This Row],[CT]]&lt;=0,0,Datos_Origen[[#This Row],[Costo Total Nuevo]]-Datos_Origen[[#This Row],[Costo Total Actual]])</f>
        <v>154819.89518413553</v>
      </c>
      <c r="DP24" s="158">
        <f>IF(Datos_Origen[[#This Row],[Ctpol]]-Datos_Origen[[#This Row],[CT]]&lt;=0,0,Datos_Origen[[#This Row],[Ctpol]]-Datos_Origen[[#This Row],[CT]])</f>
        <v>131990.99999999953</v>
      </c>
      <c r="DQ24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22828.895184135879</v>
      </c>
      <c r="DR24" s="158">
        <f>ROUNDDOWN(VLOOKUP(Datos_Origen[[#This Row],[Categoria]],Competitividad_1[],7,0)*IndiceIncrementoC,-3)</f>
        <v>3308000</v>
      </c>
      <c r="DS24" s="158">
        <f>Datos_Origen[[#This Row],[CTeq]]*0.8</f>
        <v>2290423.5014821715</v>
      </c>
      <c r="DT24" s="158">
        <f>Datos_Origen[[#This Row],[CTeq]]*1.2</f>
        <v>3435635.2522232565</v>
      </c>
      <c r="DU24" s="155">
        <f>IF(Datos_Origen[[#This Row],[Gpol6]]/(1+FactorPrestacionalOrdinario)&lt;SMMLV,SMMLV,Datos_Origen[[#This Row],[Gpol6]]/(1+FactorPrestacionalOrdinario))</f>
        <v>2249745.0424929177</v>
      </c>
      <c r="DV24" s="139" t="str">
        <f>IF((Datos_Origen[[#This Row],[Gpol6]]/(1+FactorPrestacionalIntegral))&lt;(13*SMMLV),"",(Datos_Origen[[#This Row],[Gpol6]]/(1+FactorPrestacionalIntegral)))</f>
        <v/>
      </c>
      <c r="DW24" s="154">
        <f>Datos_Origen[[#This Row],[G+Vpol8]]</f>
        <v>2647200</v>
      </c>
      <c r="DX24" s="154">
        <f>Datos_Origen[[#This Row],[Ctpol10]]-Datos_Origen[[#This Row],[Beneficios]]</f>
        <v>2647200</v>
      </c>
      <c r="DY24" s="154">
        <f>Datos_Origen[[#This Row],[Ctpol]]*$CM$6</f>
        <v>2647200</v>
      </c>
      <c r="DZ24" s="155">
        <f>IF(Datos_Origen[[#This Row],[Gpol66]]/(1+FactorPrestacionalOrdinario)&lt;SMMLV,SMMLV,Datos_Origen[[#This Row],[Gpol66]]/(1+FactorPrestacionalOrdinario))</f>
        <v>3374617.5637393766</v>
      </c>
      <c r="EA24" s="139" t="str">
        <f>IF((Datos_Origen[[#This Row],[Gpol66]]/(1+FactorPrestacionalIntegral))&lt;(13*SMMLV),"",(Datos_Origen[[#This Row],[Gpol66]]/(1+FactorPrestacionalIntegral)))</f>
        <v/>
      </c>
      <c r="EB24" s="154">
        <f>Datos_Origen[[#This Row],[G+Vpol88]]</f>
        <v>3970800</v>
      </c>
      <c r="EC24" s="154">
        <f>Datos_Origen[[#This Row],[Ctpol1010]]-Datos_Origen[[#This Row],[Beneficios]]</f>
        <v>3970800</v>
      </c>
      <c r="ED24" s="154">
        <f>Datos_Origen[[#This Row],[Ctpol]]*$CP$6</f>
        <v>3970800</v>
      </c>
      <c r="EE24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25" spans="2:135">
      <c r="B25" s="132"/>
      <c r="C25" s="149"/>
      <c r="D25" s="150"/>
      <c r="E25" s="151"/>
      <c r="F25" s="151"/>
      <c r="G25" s="150" t="s">
        <v>352</v>
      </c>
      <c r="H25" s="153"/>
      <c r="I25" s="152" t="s">
        <v>352</v>
      </c>
      <c r="J25" s="130" t="str">
        <f>IFERROR(VLOOKUP(Datos_Origen[[#This Row],[Cargo Tipo Valorado]],Cargos_Catalogo[[#All],[Cargo]:[Área]],2,0),"")</f>
        <v>Director de Taller</v>
      </c>
      <c r="K25" s="153"/>
      <c r="L25" s="153"/>
      <c r="M25" s="153"/>
      <c r="N25" s="153"/>
      <c r="O25" s="154">
        <f>Datos_Origen[[#This Row],[Segmentación Individual]]</f>
        <v>0</v>
      </c>
      <c r="P25" s="153"/>
      <c r="Q25" s="154">
        <f>VLOOKUP(Datos_Origen[[#This Row],[Cargo Tipo Valorado]],Cargos_Catalogo[#Data],MATCH(Cargos_Catalogo[[#Headers],[Puntos]],Cargos_Catalogo[#Headers],0),FALSE)</f>
        <v>199</v>
      </c>
      <c r="R25" s="130">
        <f>VLOOKUP(Datos_Origen[[#This Row],[Puntos valoración]],Categorias_Registro[#Data],MATCH(Categorias_Registro[[#Headers],[Categoria]],Categorias_Registro[#Headers],0),FALSE)</f>
        <v>6</v>
      </c>
      <c r="S25" s="130" t="str">
        <f>VLOOKUP(Datos_Origen[[#This Row],[Cargo Tipo Valorado]],Cargos_Catalogo[#Data],MATCH(Cargos_Catalogo[[#Headers],[Nivel SHR]],Cargos_Catalogo[#Headers],0),FALSE)</f>
        <v>Soporte</v>
      </c>
      <c r="T25" s="130" t="str">
        <f>VLOOKUP(Datos_Origen[[#This Row],[Cargo Tipo Valorado]],Cargos_Catalogo[#Data],MATCH(Cargos_Catalogo[[#Headers],[Criticidad]],Cargos_Catalogo[#Headers],0),FALSE)</f>
        <v>Importante</v>
      </c>
      <c r="U25" s="154">
        <f>VLOOKUP(Datos_Origen[[#This Row],[Puntos valoración]],Categorias_Registro[#Data],5,FALSE)</f>
        <v>189</v>
      </c>
      <c r="V25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3177009.0000000005</v>
      </c>
      <c r="W25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25" s="154">
        <f>SUMIF($BA$5:$BJ$5,"NCS",Datos_Origen[[#This Row],[auxilio Gasolina]:[Otro Beneficio10]])+(SUMIF($BA$5:$BJ$5,"CS",Datos_Origen[[#This Row],[auxilio Gasolina]:[Otro Beneficio10]])*1.17667)</f>
        <v>0</v>
      </c>
      <c r="Y25" s="155">
        <f>Datos_Origen[[#This Row],[Básico]]+Datos_Origen[[#This Row],[Promedio de Comisiones  ]]</f>
        <v>2700000</v>
      </c>
      <c r="Z25" s="155">
        <f>Datos_Origen[[#This Row],[Básico]]+Datos_Origen[[#This Row],[Promedio de Comisiones  ]]</f>
        <v>2700000</v>
      </c>
      <c r="AA25" s="155">
        <f>Datos_Origen[[#This Row],[Garantizado]]</f>
        <v>3177009.0000000005</v>
      </c>
      <c r="AB25" s="155">
        <f>Datos_Origen[[#This Row],[Variable]]+Datos_Origen[[#This Row],[Garantizado]]</f>
        <v>3177009.0000000005</v>
      </c>
      <c r="AC25" s="155">
        <f>Datos_Origen[[#This Row],[Beneficios]]+Datos_Origen[[#This Row],[Variable]]+Datos_Origen[[#This Row],[Garantizado]]</f>
        <v>3177009.0000000005</v>
      </c>
      <c r="AD25" s="156">
        <v>14.12</v>
      </c>
      <c r="AE25" s="141">
        <v>230</v>
      </c>
      <c r="AF25" s="345">
        <v>4.3499999999999997E-2</v>
      </c>
      <c r="AG25" s="155">
        <f>Datos_Origen[[#This Row],[Básico Actual]]*230/Datos_Origen[[#This Row],['# horas mes]]</f>
        <v>2700000</v>
      </c>
      <c r="AH25" s="157">
        <v>2700000</v>
      </c>
      <c r="AI25" s="158"/>
      <c r="AJ25" s="158">
        <f>(((Datos_Origen[[#This Row],[Básico]])/30)*$AJ$6)/12</f>
        <v>0</v>
      </c>
      <c r="AK25" s="158"/>
      <c r="AL25" s="143">
        <f>((Datos_Origen[[#This Row],[Básico]])/30)*$AL$6/12</f>
        <v>0</v>
      </c>
      <c r="AM25" s="158"/>
      <c r="AN25" s="158"/>
      <c r="AO25" s="158"/>
      <c r="AP25" s="158"/>
      <c r="AQ25" s="158"/>
      <c r="AR25" s="149">
        <v>0</v>
      </c>
      <c r="AS25" s="149"/>
      <c r="AT25" s="159" t="str">
        <f>IFERROR(Datos_Origen[[#This Row],[Comisiones Target]]/Datos_Origen[[#This Row],[Promedio de Comisiones  ]],"")</f>
        <v/>
      </c>
      <c r="AU25" s="160"/>
      <c r="AV25" s="143">
        <v>0</v>
      </c>
      <c r="AW25" s="160"/>
      <c r="AX25" s="143">
        <f>Datos_Origen[[#This Row],[N Salarios de la Bonificación2]]*Datos_Origen[[#This Row],[Básico]]/12</f>
        <v>0</v>
      </c>
      <c r="AY25" s="160"/>
      <c r="AZ25" s="158"/>
      <c r="BA25" s="149">
        <v>0</v>
      </c>
      <c r="BB25" s="149"/>
      <c r="BC25" s="149"/>
      <c r="BD25" s="149"/>
      <c r="BE25" s="149"/>
      <c r="BF25" s="149"/>
      <c r="BG25" s="149"/>
      <c r="BH25" s="149"/>
      <c r="BI25" s="149"/>
      <c r="BJ25" s="149"/>
      <c r="BK25" s="159">
        <f>IFERROR(Datos_Origen[[#This Row],[Variable]]/Datos_Origen[[#This Row],[CT]],"")</f>
        <v>0</v>
      </c>
      <c r="BL25" s="159">
        <f>IFERROR(Datos_Origen[[#This Row],[Beneficios]]/Datos_Origen[[#This Row],[CT]],"")</f>
        <v>0</v>
      </c>
      <c r="BM25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2647147.6005700002</v>
      </c>
      <c r="BN25" s="161">
        <f>Datos_Origen[[#This Row],[G]]/Datos_Origen[[#This Row],[Geq]]</f>
        <v>1.2001631489365787</v>
      </c>
      <c r="BO25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2860178.2079323218</v>
      </c>
      <c r="BP25" s="161">
        <f>Datos_Origen[[#This Row],[G+V]]/Datos_Origen[[#This Row],[G+Veq]]</f>
        <v>1.1107730949033143</v>
      </c>
      <c r="BQ25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2863029.376852714</v>
      </c>
      <c r="BR25" s="161">
        <f>Datos_Origen[[#This Row],[CT]]/Datos_Origen[[#This Row],[CTeq]]</f>
        <v>1.109666923324566</v>
      </c>
      <c r="BS25" s="139">
        <f>ROUNDUP(VLOOKUP(Datos_Origen[[#This Row],[Categoria]],Competitividad_1[#All],2,0)*IndiceIncrementoC,-3)</f>
        <v>2611000</v>
      </c>
      <c r="BT25" s="161">
        <f>Datos_Origen[[#This Row],[G]]/Datos_Origen[[#This Row],[GQ1]]</f>
        <v>1.2167786288778248</v>
      </c>
      <c r="BU25" s="155">
        <f>ROUNDUP(VLOOKUP(Datos_Origen[[#This Row],[Categoria]],Competitividad_1[#All],3,0)*IndiceIncrementoC,-3)</f>
        <v>2711000</v>
      </c>
      <c r="BV25" s="161">
        <f>Datos_Origen[[#This Row],[G+V]]/Datos_Origen[[#This Row],[G+VQ1]]</f>
        <v>1.1718956104758393</v>
      </c>
      <c r="BW25" s="155">
        <f>ROUNDUP(VLOOKUP(Datos_Origen[[#This Row],[Categoria]],Competitividad_1[#All],4,0)*IndiceIncrementoC,-3)</f>
        <v>2818000</v>
      </c>
      <c r="BX25" s="161">
        <f>Datos_Origen[[#This Row],[CT]]/Datos_Origen[[#This Row],[CTQ1]]</f>
        <v>1.1273985095812635</v>
      </c>
      <c r="BY25" s="155">
        <f>ROUNDUP(VLOOKUP(Datos_Origen[[#This Row],[Categoria]],Competitividad_1[#All],5,0)*IndiceIncrementoC,-3)</f>
        <v>3129000</v>
      </c>
      <c r="BZ25" s="161">
        <f>Datos_Origen[[#This Row],[G]]/Datos_Origen[[#This Row],[GMd]]</f>
        <v>1.0153432406519656</v>
      </c>
      <c r="CA25" s="155">
        <f>ROUNDUP(VLOOKUP(Datos_Origen[[#This Row],[Categoria]],Competitividad_1[#All],6,0)*IndiceIncrementoC,-3)</f>
        <v>3170000</v>
      </c>
      <c r="CB25" s="161">
        <f>Datos_Origen[[#This Row],[G+V]]/Datos_Origen[[#This Row],[G+VMd]]</f>
        <v>1.0022110410094638</v>
      </c>
      <c r="CC25" s="155">
        <f>ROUNDUP(VLOOKUP(Datos_Origen[[#This Row],[Categoria]],Competitividad_1[#All],7,0)*IndiceIncrementoC,-3)</f>
        <v>3309000</v>
      </c>
      <c r="CD25" s="161">
        <f>Datos_Origen[[#This Row],[CT]]/Datos_Origen[[#This Row],[CTMd]]</f>
        <v>0.96011151405258399</v>
      </c>
      <c r="CE25" s="155">
        <f>+Datos_Origen[[#This Row],[GMd]]/1.17666666667</f>
        <v>2659206.798859322</v>
      </c>
      <c r="CF25" s="161">
        <f>+Datos_Origen[[#This Row],[Básico Actual]]/Datos_Origen[[#This Row],[Salario Basico Md]]</f>
        <v>1.0153403643365293</v>
      </c>
      <c r="CG25" s="155">
        <f>ROUNDUP(VLOOKUP(Datos_Origen[[#This Row],[Categoria]],Competitividad_1[#All],8,0)*IndiceIncrementoC,-3)</f>
        <v>4169000</v>
      </c>
      <c r="CH25" s="161">
        <f>Datos_Origen[[#This Row],[G]]/Datos_Origen[[#This Row],[GQ3]]</f>
        <v>0.76205540897097634</v>
      </c>
      <c r="CI25" s="155">
        <f>ROUNDUP(VLOOKUP(Datos_Origen[[#This Row],[Categoria]],Competitividad_1[#All],9,0)*IndiceIncrementoC,-3)</f>
        <v>4291000</v>
      </c>
      <c r="CJ25" s="161">
        <f>Datos_Origen[[#This Row],[G+V]]/Datos_Origen[[#This Row],[G+VQ3]]</f>
        <v>0.74038895362386403</v>
      </c>
      <c r="CK25" s="155">
        <f>ROUNDUP(VLOOKUP(Datos_Origen[[#This Row],[Categoria]],Competitividad_1[#All],10,0)*IndiceIncrementoC,-3)</f>
        <v>4410000</v>
      </c>
      <c r="CL25" s="161">
        <f>Datos_Origen[[#This Row],[CT]]/Datos_Origen[[#This Row],[CTQ3]]</f>
        <v>0.72041020408163281</v>
      </c>
      <c r="CM25" s="162">
        <f>IF(ROUND(Datos_Origen[[#This Row],[Salario Ordinario Pol2]],-3)&lt;SMMLV,SMMLV,ROUND(Datos_Origen[[#This Row],[Salario Ordinario Pol2]],-3))</f>
        <v>2250000</v>
      </c>
      <c r="CN25" s="155">
        <f>IF(Datos_Origen[[#This Row],[Gpol]]/(1+FactorPrestacionalOrdinario)&lt;SMMLV,SMMLV,Datos_Origen[[#This Row],[Gpol]]/(1+FactorPrestacionalOrdinario))</f>
        <v>2812181.3031161469</v>
      </c>
      <c r="CO25" s="161">
        <f>IFERROR(IF(Datos_Origen[[#This Row],[Salarios Año]]=14.12,Datos_Origen[[#This Row],[Básico]]/Datos_Origen[[#This Row],[Salario Ordinario Pol]],""),"")</f>
        <v>0.96010879419764295</v>
      </c>
      <c r="CP25" s="155">
        <f>IF(ROUND(Datos_Origen[[#This Row],[Salario Ordinario Pol22]],-3)&lt;SMMLV,SMMLV,ROUND(Datos_Origen[[#This Row],[Salario Ordinario Pol22]],-3))</f>
        <v>3375000</v>
      </c>
      <c r="CQ25" s="155" t="str">
        <f>IFERROR(ROUND(Datos_Origen[[#This Row],[Salario Integral Pol4]],-3),"")</f>
        <v/>
      </c>
      <c r="CR25" s="139" t="str">
        <f>IF((Datos_Origen[[#This Row],[Gpol]]/(1+FactorPrestacionalIntegral))&lt;(13*SMMLV),"",(Datos_Origen[[#This Row],[Gpol]]/(1+FactorPrestacionalIntegral)))</f>
        <v/>
      </c>
      <c r="CS25" s="161" t="str">
        <f>IFERROR(IF(Datos_Origen[[#This Row],[Salarios Año]]=12,Datos_Origen[[#This Row],[Básico]]/Datos_Origen[[#This Row],[Salario Integral Pol]],""),"")</f>
        <v/>
      </c>
      <c r="CT25" s="155" t="str">
        <f>IFERROR(ROUND(Datos_Origen[[#This Row],[Salario Integral Pol44]],-3),"")</f>
        <v/>
      </c>
      <c r="CU25" s="155">
        <f>Datos_Origen[[#This Row],[G+Vpol]]-Datos_Origen[[#This Row],[Variable]]</f>
        <v>3309000</v>
      </c>
      <c r="CV25" s="161">
        <f>Datos_Origen[[#This Row],[G]]/Datos_Origen[[#This Row],[Gpol]]</f>
        <v>0.96011151405258399</v>
      </c>
      <c r="CW25" s="154">
        <f>Datos_Origen[[#This Row],[Ctpol]]-Datos_Origen[[#This Row],[Beneficios]]</f>
        <v>3309000</v>
      </c>
      <c r="CX25" s="161">
        <f>Datos_Origen[[#This Row],[G+V]]/Datos_Origen[[#This Row],[G+Vpol]]</f>
        <v>0.96011151405258399</v>
      </c>
      <c r="CY25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3309000</v>
      </c>
      <c r="CZ25" s="161">
        <f>Datos_Origen[[#This Row],[CT]]/Datos_Origen[[#This Row],[Ctpol]]</f>
        <v>0.96011151405258399</v>
      </c>
      <c r="DA25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2700000</v>
      </c>
      <c r="DB25" s="158">
        <f>IF(Datos_Origen[[#This Row],[Básico]]&lt;10*SMMLV,0,Datos_Origen[[#This Row],[Base Seguridad Social Actual]]*8.5%)</f>
        <v>0</v>
      </c>
      <c r="DC25" s="158">
        <f>Datos_Origen[[#This Row],[Base Seguridad Social Actual]]*12%</f>
        <v>324000</v>
      </c>
      <c r="DD25" s="158">
        <f>Datos_Origen[[#This Row],[Base Seguridad Social Actual]]*Datos_Origen[[#This Row],[%ARL]]</f>
        <v>117449.99999999999</v>
      </c>
      <c r="DE25" s="158">
        <f>IF(Datos_Origen[[#This Row],[Básico]]&lt;10*SMMLV,Datos_Origen[[#This Row],[Base Seguridad Social Actual]]*4%,Datos_Origen[[#This Row],[Base Seguridad Social Actual]]*9%)</f>
        <v>108000</v>
      </c>
      <c r="DF25" s="158">
        <f>Datos_Origen[[#This Row],[Salud]]+Datos_Origen[[#This Row],[Pensión]]+Datos_Origen[[#This Row],[ARL]]+Datos_Origen[[#This Row],[Parafiscales]]</f>
        <v>549450</v>
      </c>
      <c r="DG25" s="163">
        <f>Datos_Origen[[#This Row],[Costo Laboral Actual]]+Datos_Origen[[#This Row],[CT]]</f>
        <v>3726459.0000000005</v>
      </c>
      <c r="DH25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2812181.3031161469</v>
      </c>
      <c r="DI25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25" s="158">
        <f>Datos_Origen[[#This Row],[Base Seguridad Social Nueva]]*12%</f>
        <v>337461.75637393765</v>
      </c>
      <c r="DK25" s="158">
        <f>Datos_Origen[[#This Row],[Base Seguridad Social Nueva]]*Datos_Origen[[#This Row],[%ARL]]</f>
        <v>122329.88668555238</v>
      </c>
      <c r="DL25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112487.25212464588</v>
      </c>
      <c r="DM25" s="158">
        <f>Datos_Origen[[#This Row],[Salud Nueva]]+Datos_Origen[[#This Row],[Pensión Nueva]]+Datos_Origen[[#This Row],[ARL nueva]]+Datos_Origen[[#This Row],[Parafiscales Nuevos]]</f>
        <v>572278.89518413588</v>
      </c>
      <c r="DN25" s="158">
        <f>Datos_Origen[[#This Row],[Costo Laboral Nuevo]]+Datos_Origen[[#This Row],[Ctpol]]</f>
        <v>3881278.895184136</v>
      </c>
      <c r="DO25" s="158">
        <f>IF(Datos_Origen[[#This Row],[Ctpol]]-Datos_Origen[[#This Row],[CT]]&lt;=0,0,Datos_Origen[[#This Row],[Costo Total Nuevo]]-Datos_Origen[[#This Row],[Costo Total Actual]])</f>
        <v>154819.89518413553</v>
      </c>
      <c r="DP25" s="158">
        <f>IF(Datos_Origen[[#This Row],[Ctpol]]-Datos_Origen[[#This Row],[CT]]&lt;=0,0,Datos_Origen[[#This Row],[Ctpol]]-Datos_Origen[[#This Row],[CT]])</f>
        <v>131990.99999999953</v>
      </c>
      <c r="DQ25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22828.895184135879</v>
      </c>
      <c r="DR25" s="158">
        <f>ROUNDDOWN(VLOOKUP(Datos_Origen[[#This Row],[Categoria]],Competitividad_1[],7,0)*IndiceIncrementoC,-3)</f>
        <v>3308000</v>
      </c>
      <c r="DS25" s="158">
        <f>Datos_Origen[[#This Row],[CTeq]]*0.8</f>
        <v>2290423.5014821715</v>
      </c>
      <c r="DT25" s="158">
        <f>Datos_Origen[[#This Row],[CTeq]]*1.2</f>
        <v>3435635.2522232565</v>
      </c>
      <c r="DU25" s="155">
        <f>IF(Datos_Origen[[#This Row],[Gpol6]]/(1+FactorPrestacionalOrdinario)&lt;SMMLV,SMMLV,Datos_Origen[[#This Row],[Gpol6]]/(1+FactorPrestacionalOrdinario))</f>
        <v>2249745.0424929177</v>
      </c>
      <c r="DV25" s="139" t="str">
        <f>IF((Datos_Origen[[#This Row],[Gpol6]]/(1+FactorPrestacionalIntegral))&lt;(13*SMMLV),"",(Datos_Origen[[#This Row],[Gpol6]]/(1+FactorPrestacionalIntegral)))</f>
        <v/>
      </c>
      <c r="DW25" s="154">
        <f>Datos_Origen[[#This Row],[G+Vpol8]]</f>
        <v>2647200</v>
      </c>
      <c r="DX25" s="154">
        <f>Datos_Origen[[#This Row],[Ctpol10]]-Datos_Origen[[#This Row],[Beneficios]]</f>
        <v>2647200</v>
      </c>
      <c r="DY25" s="154">
        <f>Datos_Origen[[#This Row],[Ctpol]]*$CM$6</f>
        <v>2647200</v>
      </c>
      <c r="DZ25" s="155">
        <f>IF(Datos_Origen[[#This Row],[Gpol66]]/(1+FactorPrestacionalOrdinario)&lt;SMMLV,SMMLV,Datos_Origen[[#This Row],[Gpol66]]/(1+FactorPrestacionalOrdinario))</f>
        <v>3374617.5637393766</v>
      </c>
      <c r="EA25" s="139" t="str">
        <f>IF((Datos_Origen[[#This Row],[Gpol66]]/(1+FactorPrestacionalIntegral))&lt;(13*SMMLV),"",(Datos_Origen[[#This Row],[Gpol66]]/(1+FactorPrestacionalIntegral)))</f>
        <v/>
      </c>
      <c r="EB25" s="154">
        <f>Datos_Origen[[#This Row],[G+Vpol88]]</f>
        <v>3970800</v>
      </c>
      <c r="EC25" s="154">
        <f>Datos_Origen[[#This Row],[Ctpol1010]]-Datos_Origen[[#This Row],[Beneficios]]</f>
        <v>3970800</v>
      </c>
      <c r="ED25" s="154">
        <f>Datos_Origen[[#This Row],[Ctpol]]*$CP$6</f>
        <v>3970800</v>
      </c>
      <c r="EE25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26" spans="2:135">
      <c r="B26" s="132"/>
      <c r="C26" s="149"/>
      <c r="D26" s="150"/>
      <c r="E26" s="151"/>
      <c r="F26" s="151"/>
      <c r="G26" s="150" t="s">
        <v>352</v>
      </c>
      <c r="H26" s="153"/>
      <c r="I26" s="152" t="s">
        <v>352</v>
      </c>
      <c r="J26" s="130" t="str">
        <f>IFERROR(VLOOKUP(Datos_Origen[[#This Row],[Cargo Tipo Valorado]],Cargos_Catalogo[[#All],[Cargo]:[Área]],2,0),"")</f>
        <v>Director de Taller</v>
      </c>
      <c r="K26" s="153"/>
      <c r="L26" s="153"/>
      <c r="M26" s="153"/>
      <c r="N26" s="153"/>
      <c r="O26" s="154">
        <f>Datos_Origen[[#This Row],[Segmentación Individual]]</f>
        <v>0</v>
      </c>
      <c r="P26" s="153"/>
      <c r="Q26" s="154">
        <f>VLOOKUP(Datos_Origen[[#This Row],[Cargo Tipo Valorado]],Cargos_Catalogo[#Data],MATCH(Cargos_Catalogo[[#Headers],[Puntos]],Cargos_Catalogo[#Headers],0),FALSE)</f>
        <v>199</v>
      </c>
      <c r="R26" s="130">
        <f>VLOOKUP(Datos_Origen[[#This Row],[Puntos valoración]],Categorias_Registro[#Data],MATCH(Categorias_Registro[[#Headers],[Categoria]],Categorias_Registro[#Headers],0),FALSE)</f>
        <v>6</v>
      </c>
      <c r="S26" s="130" t="str">
        <f>VLOOKUP(Datos_Origen[[#This Row],[Cargo Tipo Valorado]],Cargos_Catalogo[#Data],MATCH(Cargos_Catalogo[[#Headers],[Nivel SHR]],Cargos_Catalogo[#Headers],0),FALSE)</f>
        <v>Soporte</v>
      </c>
      <c r="T26" s="130" t="str">
        <f>VLOOKUP(Datos_Origen[[#This Row],[Cargo Tipo Valorado]],Cargos_Catalogo[#Data],MATCH(Cargos_Catalogo[[#Headers],[Criticidad]],Cargos_Catalogo[#Headers],0),FALSE)</f>
        <v>Importante</v>
      </c>
      <c r="U26" s="154">
        <f>VLOOKUP(Datos_Origen[[#This Row],[Puntos valoración]],Categorias_Registro[#Data],5,FALSE)</f>
        <v>189</v>
      </c>
      <c r="V26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3177009.0000000005</v>
      </c>
      <c r="W26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26" s="154">
        <f>SUMIF($BA$5:$BJ$5,"NCS",Datos_Origen[[#This Row],[auxilio Gasolina]:[Otro Beneficio10]])+(SUMIF($BA$5:$BJ$5,"CS",Datos_Origen[[#This Row],[auxilio Gasolina]:[Otro Beneficio10]])*1.17667)</f>
        <v>0</v>
      </c>
      <c r="Y26" s="155">
        <f>Datos_Origen[[#This Row],[Básico]]+Datos_Origen[[#This Row],[Promedio de Comisiones  ]]</f>
        <v>2700000</v>
      </c>
      <c r="Z26" s="155">
        <f>Datos_Origen[[#This Row],[Básico]]+Datos_Origen[[#This Row],[Promedio de Comisiones  ]]</f>
        <v>2700000</v>
      </c>
      <c r="AA26" s="155">
        <f>Datos_Origen[[#This Row],[Garantizado]]</f>
        <v>3177009.0000000005</v>
      </c>
      <c r="AB26" s="155">
        <f>Datos_Origen[[#This Row],[Variable]]+Datos_Origen[[#This Row],[Garantizado]]</f>
        <v>3177009.0000000005</v>
      </c>
      <c r="AC26" s="155">
        <f>Datos_Origen[[#This Row],[Beneficios]]+Datos_Origen[[#This Row],[Variable]]+Datos_Origen[[#This Row],[Garantizado]]</f>
        <v>3177009.0000000005</v>
      </c>
      <c r="AD26" s="156">
        <v>14.12</v>
      </c>
      <c r="AE26" s="141">
        <v>230</v>
      </c>
      <c r="AF26" s="345">
        <v>4.3499999999999997E-2</v>
      </c>
      <c r="AG26" s="155">
        <f>Datos_Origen[[#This Row],[Básico Actual]]*230/Datos_Origen[[#This Row],['# horas mes]]</f>
        <v>2700000</v>
      </c>
      <c r="AH26" s="157">
        <v>2700000</v>
      </c>
      <c r="AI26" s="158"/>
      <c r="AJ26" s="158">
        <f>(((Datos_Origen[[#This Row],[Básico]])/30)*$AJ$6)/12</f>
        <v>0</v>
      </c>
      <c r="AK26" s="158"/>
      <c r="AL26" s="143">
        <f>((Datos_Origen[[#This Row],[Básico]])/30)*$AL$6/12</f>
        <v>0</v>
      </c>
      <c r="AM26" s="158"/>
      <c r="AN26" s="158"/>
      <c r="AO26" s="158"/>
      <c r="AP26" s="158"/>
      <c r="AQ26" s="158"/>
      <c r="AR26" s="149">
        <v>0</v>
      </c>
      <c r="AS26" s="149"/>
      <c r="AT26" s="159" t="str">
        <f>IFERROR(Datos_Origen[[#This Row],[Comisiones Target]]/Datos_Origen[[#This Row],[Promedio de Comisiones  ]],"")</f>
        <v/>
      </c>
      <c r="AU26" s="160"/>
      <c r="AV26" s="143">
        <v>0</v>
      </c>
      <c r="AW26" s="160"/>
      <c r="AX26" s="143">
        <f>Datos_Origen[[#This Row],[N Salarios de la Bonificación2]]*Datos_Origen[[#This Row],[Básico]]/12</f>
        <v>0</v>
      </c>
      <c r="AY26" s="160"/>
      <c r="AZ26" s="158"/>
      <c r="BA26" s="149">
        <v>0</v>
      </c>
      <c r="BB26" s="149"/>
      <c r="BC26" s="149"/>
      <c r="BD26" s="149"/>
      <c r="BE26" s="149"/>
      <c r="BF26" s="149"/>
      <c r="BG26" s="149"/>
      <c r="BH26" s="149"/>
      <c r="BI26" s="149"/>
      <c r="BJ26" s="149"/>
      <c r="BK26" s="159">
        <f>IFERROR(Datos_Origen[[#This Row],[Variable]]/Datos_Origen[[#This Row],[CT]],"")</f>
        <v>0</v>
      </c>
      <c r="BL26" s="159">
        <f>IFERROR(Datos_Origen[[#This Row],[Beneficios]]/Datos_Origen[[#This Row],[CT]],"")</f>
        <v>0</v>
      </c>
      <c r="BM26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2647147.6005700002</v>
      </c>
      <c r="BN26" s="161">
        <f>Datos_Origen[[#This Row],[G]]/Datos_Origen[[#This Row],[Geq]]</f>
        <v>1.2001631489365787</v>
      </c>
      <c r="BO26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2860178.2079323218</v>
      </c>
      <c r="BP26" s="161">
        <f>Datos_Origen[[#This Row],[G+V]]/Datos_Origen[[#This Row],[G+Veq]]</f>
        <v>1.1107730949033143</v>
      </c>
      <c r="BQ26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2863029.376852714</v>
      </c>
      <c r="BR26" s="161">
        <f>Datos_Origen[[#This Row],[CT]]/Datos_Origen[[#This Row],[CTeq]]</f>
        <v>1.109666923324566</v>
      </c>
      <c r="BS26" s="139">
        <f>ROUNDUP(VLOOKUP(Datos_Origen[[#This Row],[Categoria]],Competitividad_1[#All],2,0)*IndiceIncrementoC,-3)</f>
        <v>2611000</v>
      </c>
      <c r="BT26" s="161">
        <f>Datos_Origen[[#This Row],[G]]/Datos_Origen[[#This Row],[GQ1]]</f>
        <v>1.2167786288778248</v>
      </c>
      <c r="BU26" s="155">
        <f>ROUNDUP(VLOOKUP(Datos_Origen[[#This Row],[Categoria]],Competitividad_1[#All],3,0)*IndiceIncrementoC,-3)</f>
        <v>2711000</v>
      </c>
      <c r="BV26" s="161">
        <f>Datos_Origen[[#This Row],[G+V]]/Datos_Origen[[#This Row],[G+VQ1]]</f>
        <v>1.1718956104758393</v>
      </c>
      <c r="BW26" s="155">
        <f>ROUNDUP(VLOOKUP(Datos_Origen[[#This Row],[Categoria]],Competitividad_1[#All],4,0)*IndiceIncrementoC,-3)</f>
        <v>2818000</v>
      </c>
      <c r="BX26" s="161">
        <f>Datos_Origen[[#This Row],[CT]]/Datos_Origen[[#This Row],[CTQ1]]</f>
        <v>1.1273985095812635</v>
      </c>
      <c r="BY26" s="155">
        <f>ROUNDUP(VLOOKUP(Datos_Origen[[#This Row],[Categoria]],Competitividad_1[#All],5,0)*IndiceIncrementoC,-3)</f>
        <v>3129000</v>
      </c>
      <c r="BZ26" s="161">
        <f>Datos_Origen[[#This Row],[G]]/Datos_Origen[[#This Row],[GMd]]</f>
        <v>1.0153432406519656</v>
      </c>
      <c r="CA26" s="155">
        <f>ROUNDUP(VLOOKUP(Datos_Origen[[#This Row],[Categoria]],Competitividad_1[#All],6,0)*IndiceIncrementoC,-3)</f>
        <v>3170000</v>
      </c>
      <c r="CB26" s="161">
        <f>Datos_Origen[[#This Row],[G+V]]/Datos_Origen[[#This Row],[G+VMd]]</f>
        <v>1.0022110410094638</v>
      </c>
      <c r="CC26" s="155">
        <f>ROUNDUP(VLOOKUP(Datos_Origen[[#This Row],[Categoria]],Competitividad_1[#All],7,0)*IndiceIncrementoC,-3)</f>
        <v>3309000</v>
      </c>
      <c r="CD26" s="161">
        <f>Datos_Origen[[#This Row],[CT]]/Datos_Origen[[#This Row],[CTMd]]</f>
        <v>0.96011151405258399</v>
      </c>
      <c r="CE26" s="155">
        <f>+Datos_Origen[[#This Row],[GMd]]/1.17666666667</f>
        <v>2659206.798859322</v>
      </c>
      <c r="CF26" s="161">
        <f>+Datos_Origen[[#This Row],[Básico Actual]]/Datos_Origen[[#This Row],[Salario Basico Md]]</f>
        <v>1.0153403643365293</v>
      </c>
      <c r="CG26" s="155">
        <f>ROUNDUP(VLOOKUP(Datos_Origen[[#This Row],[Categoria]],Competitividad_1[#All],8,0)*IndiceIncrementoC,-3)</f>
        <v>4169000</v>
      </c>
      <c r="CH26" s="161">
        <f>Datos_Origen[[#This Row],[G]]/Datos_Origen[[#This Row],[GQ3]]</f>
        <v>0.76205540897097634</v>
      </c>
      <c r="CI26" s="155">
        <f>ROUNDUP(VLOOKUP(Datos_Origen[[#This Row],[Categoria]],Competitividad_1[#All],9,0)*IndiceIncrementoC,-3)</f>
        <v>4291000</v>
      </c>
      <c r="CJ26" s="161">
        <f>Datos_Origen[[#This Row],[G+V]]/Datos_Origen[[#This Row],[G+VQ3]]</f>
        <v>0.74038895362386403</v>
      </c>
      <c r="CK26" s="155">
        <f>ROUNDUP(VLOOKUP(Datos_Origen[[#This Row],[Categoria]],Competitividad_1[#All],10,0)*IndiceIncrementoC,-3)</f>
        <v>4410000</v>
      </c>
      <c r="CL26" s="161">
        <f>Datos_Origen[[#This Row],[CT]]/Datos_Origen[[#This Row],[CTQ3]]</f>
        <v>0.72041020408163281</v>
      </c>
      <c r="CM26" s="162">
        <f>IF(ROUND(Datos_Origen[[#This Row],[Salario Ordinario Pol2]],-3)&lt;SMMLV,SMMLV,ROUND(Datos_Origen[[#This Row],[Salario Ordinario Pol2]],-3))</f>
        <v>2250000</v>
      </c>
      <c r="CN26" s="155">
        <f>IF(Datos_Origen[[#This Row],[Gpol]]/(1+FactorPrestacionalOrdinario)&lt;SMMLV,SMMLV,Datos_Origen[[#This Row],[Gpol]]/(1+FactorPrestacionalOrdinario))</f>
        <v>2812181.3031161469</v>
      </c>
      <c r="CO26" s="161">
        <f>IFERROR(IF(Datos_Origen[[#This Row],[Salarios Año]]=14.12,Datos_Origen[[#This Row],[Básico]]/Datos_Origen[[#This Row],[Salario Ordinario Pol]],""),"")</f>
        <v>0.96010879419764295</v>
      </c>
      <c r="CP26" s="155">
        <f>IF(ROUND(Datos_Origen[[#This Row],[Salario Ordinario Pol22]],-3)&lt;SMMLV,SMMLV,ROUND(Datos_Origen[[#This Row],[Salario Ordinario Pol22]],-3))</f>
        <v>3375000</v>
      </c>
      <c r="CQ26" s="155" t="str">
        <f>IFERROR(ROUND(Datos_Origen[[#This Row],[Salario Integral Pol4]],-3),"")</f>
        <v/>
      </c>
      <c r="CR26" s="139" t="str">
        <f>IF((Datos_Origen[[#This Row],[Gpol]]/(1+FactorPrestacionalIntegral))&lt;(13*SMMLV),"",(Datos_Origen[[#This Row],[Gpol]]/(1+FactorPrestacionalIntegral)))</f>
        <v/>
      </c>
      <c r="CS26" s="161" t="str">
        <f>IFERROR(IF(Datos_Origen[[#This Row],[Salarios Año]]=12,Datos_Origen[[#This Row],[Básico]]/Datos_Origen[[#This Row],[Salario Integral Pol]],""),"")</f>
        <v/>
      </c>
      <c r="CT26" s="155" t="str">
        <f>IFERROR(ROUND(Datos_Origen[[#This Row],[Salario Integral Pol44]],-3),"")</f>
        <v/>
      </c>
      <c r="CU26" s="155">
        <f>Datos_Origen[[#This Row],[G+Vpol]]-Datos_Origen[[#This Row],[Variable]]</f>
        <v>3309000</v>
      </c>
      <c r="CV26" s="161">
        <f>Datos_Origen[[#This Row],[G]]/Datos_Origen[[#This Row],[Gpol]]</f>
        <v>0.96011151405258399</v>
      </c>
      <c r="CW26" s="154">
        <f>Datos_Origen[[#This Row],[Ctpol]]-Datos_Origen[[#This Row],[Beneficios]]</f>
        <v>3309000</v>
      </c>
      <c r="CX26" s="161">
        <f>Datos_Origen[[#This Row],[G+V]]/Datos_Origen[[#This Row],[G+Vpol]]</f>
        <v>0.96011151405258399</v>
      </c>
      <c r="CY26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3309000</v>
      </c>
      <c r="CZ26" s="161">
        <f>Datos_Origen[[#This Row],[CT]]/Datos_Origen[[#This Row],[Ctpol]]</f>
        <v>0.96011151405258399</v>
      </c>
      <c r="DA26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2700000</v>
      </c>
      <c r="DB26" s="158">
        <f>IF(Datos_Origen[[#This Row],[Básico]]&lt;10*SMMLV,0,Datos_Origen[[#This Row],[Base Seguridad Social Actual]]*8.5%)</f>
        <v>0</v>
      </c>
      <c r="DC26" s="158">
        <f>Datos_Origen[[#This Row],[Base Seguridad Social Actual]]*12%</f>
        <v>324000</v>
      </c>
      <c r="DD26" s="158">
        <f>Datos_Origen[[#This Row],[Base Seguridad Social Actual]]*Datos_Origen[[#This Row],[%ARL]]</f>
        <v>117449.99999999999</v>
      </c>
      <c r="DE26" s="158">
        <f>IF(Datos_Origen[[#This Row],[Básico]]&lt;10*SMMLV,Datos_Origen[[#This Row],[Base Seguridad Social Actual]]*4%,Datos_Origen[[#This Row],[Base Seguridad Social Actual]]*9%)</f>
        <v>108000</v>
      </c>
      <c r="DF26" s="158">
        <f>Datos_Origen[[#This Row],[Salud]]+Datos_Origen[[#This Row],[Pensión]]+Datos_Origen[[#This Row],[ARL]]+Datos_Origen[[#This Row],[Parafiscales]]</f>
        <v>549450</v>
      </c>
      <c r="DG26" s="163">
        <f>Datos_Origen[[#This Row],[Costo Laboral Actual]]+Datos_Origen[[#This Row],[CT]]</f>
        <v>3726459.0000000005</v>
      </c>
      <c r="DH26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2812181.3031161469</v>
      </c>
      <c r="DI26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26" s="158">
        <f>Datos_Origen[[#This Row],[Base Seguridad Social Nueva]]*12%</f>
        <v>337461.75637393765</v>
      </c>
      <c r="DK26" s="158">
        <f>Datos_Origen[[#This Row],[Base Seguridad Social Nueva]]*Datos_Origen[[#This Row],[%ARL]]</f>
        <v>122329.88668555238</v>
      </c>
      <c r="DL26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112487.25212464588</v>
      </c>
      <c r="DM26" s="158">
        <f>Datos_Origen[[#This Row],[Salud Nueva]]+Datos_Origen[[#This Row],[Pensión Nueva]]+Datos_Origen[[#This Row],[ARL nueva]]+Datos_Origen[[#This Row],[Parafiscales Nuevos]]</f>
        <v>572278.89518413588</v>
      </c>
      <c r="DN26" s="158">
        <f>Datos_Origen[[#This Row],[Costo Laboral Nuevo]]+Datos_Origen[[#This Row],[Ctpol]]</f>
        <v>3881278.895184136</v>
      </c>
      <c r="DO26" s="158">
        <f>IF(Datos_Origen[[#This Row],[Ctpol]]-Datos_Origen[[#This Row],[CT]]&lt;=0,0,Datos_Origen[[#This Row],[Costo Total Nuevo]]-Datos_Origen[[#This Row],[Costo Total Actual]])</f>
        <v>154819.89518413553</v>
      </c>
      <c r="DP26" s="158">
        <f>IF(Datos_Origen[[#This Row],[Ctpol]]-Datos_Origen[[#This Row],[CT]]&lt;=0,0,Datos_Origen[[#This Row],[Ctpol]]-Datos_Origen[[#This Row],[CT]])</f>
        <v>131990.99999999953</v>
      </c>
      <c r="DQ26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22828.895184135879</v>
      </c>
      <c r="DR26" s="158">
        <f>ROUNDDOWN(VLOOKUP(Datos_Origen[[#This Row],[Categoria]],Competitividad_1[],7,0)*IndiceIncrementoC,-3)</f>
        <v>3308000</v>
      </c>
      <c r="DS26" s="158">
        <f>Datos_Origen[[#This Row],[CTeq]]*0.8</f>
        <v>2290423.5014821715</v>
      </c>
      <c r="DT26" s="158">
        <f>Datos_Origen[[#This Row],[CTeq]]*1.2</f>
        <v>3435635.2522232565</v>
      </c>
      <c r="DU26" s="155">
        <f>IF(Datos_Origen[[#This Row],[Gpol6]]/(1+FactorPrestacionalOrdinario)&lt;SMMLV,SMMLV,Datos_Origen[[#This Row],[Gpol6]]/(1+FactorPrestacionalOrdinario))</f>
        <v>2249745.0424929177</v>
      </c>
      <c r="DV26" s="139" t="str">
        <f>IF((Datos_Origen[[#This Row],[Gpol6]]/(1+FactorPrestacionalIntegral))&lt;(13*SMMLV),"",(Datos_Origen[[#This Row],[Gpol6]]/(1+FactorPrestacionalIntegral)))</f>
        <v/>
      </c>
      <c r="DW26" s="154">
        <f>Datos_Origen[[#This Row],[G+Vpol8]]</f>
        <v>2647200</v>
      </c>
      <c r="DX26" s="154">
        <f>Datos_Origen[[#This Row],[Ctpol10]]-Datos_Origen[[#This Row],[Beneficios]]</f>
        <v>2647200</v>
      </c>
      <c r="DY26" s="154">
        <f>Datos_Origen[[#This Row],[Ctpol]]*$CM$6</f>
        <v>2647200</v>
      </c>
      <c r="DZ26" s="155">
        <f>IF(Datos_Origen[[#This Row],[Gpol66]]/(1+FactorPrestacionalOrdinario)&lt;SMMLV,SMMLV,Datos_Origen[[#This Row],[Gpol66]]/(1+FactorPrestacionalOrdinario))</f>
        <v>3374617.5637393766</v>
      </c>
      <c r="EA26" s="139" t="str">
        <f>IF((Datos_Origen[[#This Row],[Gpol66]]/(1+FactorPrestacionalIntegral))&lt;(13*SMMLV),"",(Datos_Origen[[#This Row],[Gpol66]]/(1+FactorPrestacionalIntegral)))</f>
        <v/>
      </c>
      <c r="EB26" s="154">
        <f>Datos_Origen[[#This Row],[G+Vpol88]]</f>
        <v>3970800</v>
      </c>
      <c r="EC26" s="154">
        <f>Datos_Origen[[#This Row],[Ctpol1010]]-Datos_Origen[[#This Row],[Beneficios]]</f>
        <v>3970800</v>
      </c>
      <c r="ED26" s="154">
        <f>Datos_Origen[[#This Row],[Ctpol]]*$CP$6</f>
        <v>3970800</v>
      </c>
      <c r="EE26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27" spans="2:135">
      <c r="B27" s="132"/>
      <c r="C27" s="149"/>
      <c r="D27" s="150"/>
      <c r="E27" s="151"/>
      <c r="F27" s="151"/>
      <c r="G27" s="150" t="s">
        <v>353</v>
      </c>
      <c r="H27" s="153"/>
      <c r="I27" s="152" t="s">
        <v>353</v>
      </c>
      <c r="J27" s="130" t="str">
        <f>IFERROR(VLOOKUP(Datos_Origen[[#This Row],[Cargo Tipo Valorado]],Cargos_Catalogo[[#All],[Cargo]:[Área]],2,0),"")</f>
        <v xml:space="preserve">Directora administrativa y contable </v>
      </c>
      <c r="K27" s="153"/>
      <c r="L27" s="153"/>
      <c r="M27" s="153"/>
      <c r="N27" s="153"/>
      <c r="O27" s="154">
        <f>Datos_Origen[[#This Row],[Segmentación Individual]]</f>
        <v>0</v>
      </c>
      <c r="P27" s="153"/>
      <c r="Q27" s="154">
        <f>VLOOKUP(Datos_Origen[[#This Row],[Cargo Tipo Valorado]],Cargos_Catalogo[#Data],MATCH(Cargos_Catalogo[[#Headers],[Puntos]],Cargos_Catalogo[#Headers],0),FALSE)</f>
        <v>200</v>
      </c>
      <c r="R27" s="130">
        <f>VLOOKUP(Datos_Origen[[#This Row],[Puntos valoración]],Categorias_Registro[#Data],MATCH(Categorias_Registro[[#Headers],[Categoria]],Categorias_Registro[#Headers],0),FALSE)</f>
        <v>6</v>
      </c>
      <c r="S27" s="130" t="str">
        <f>VLOOKUP(Datos_Origen[[#This Row],[Cargo Tipo Valorado]],Cargos_Catalogo[#Data],MATCH(Cargos_Catalogo[[#Headers],[Nivel SHR]],Cargos_Catalogo[#Headers],0),FALSE)</f>
        <v>Soporte</v>
      </c>
      <c r="T27" s="130" t="str">
        <f>VLOOKUP(Datos_Origen[[#This Row],[Cargo Tipo Valorado]],Cargos_Catalogo[#Data],MATCH(Cargos_Catalogo[[#Headers],[Criticidad]],Cargos_Catalogo[#Headers],0),FALSE)</f>
        <v>Relevante</v>
      </c>
      <c r="U27" s="154">
        <f>VLOOKUP(Datos_Origen[[#This Row],[Puntos valoración]],Categorias_Registro[#Data],5,FALSE)</f>
        <v>189</v>
      </c>
      <c r="V27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27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27" s="154">
        <f>SUMIF($BA$5:$BJ$5,"NCS",Datos_Origen[[#This Row],[auxilio Gasolina]:[Otro Beneficio10]])+(SUMIF($BA$5:$BJ$5,"CS",Datos_Origen[[#This Row],[auxilio Gasolina]:[Otro Beneficio10]])*1.17667)</f>
        <v>0</v>
      </c>
      <c r="Y27" s="155">
        <f>Datos_Origen[[#This Row],[Básico]]+Datos_Origen[[#This Row],[Promedio de Comisiones  ]]</f>
        <v>2404000</v>
      </c>
      <c r="Z27" s="155">
        <f>Datos_Origen[[#This Row],[Básico]]+Datos_Origen[[#This Row],[Promedio de Comisiones  ]]</f>
        <v>2404000</v>
      </c>
      <c r="AA27" s="155">
        <f>Datos_Origen[[#This Row],[Garantizado]]</f>
        <v>2828714.68</v>
      </c>
      <c r="AB27" s="155">
        <f>Datos_Origen[[#This Row],[Variable]]+Datos_Origen[[#This Row],[Garantizado]]</f>
        <v>2828714.68</v>
      </c>
      <c r="AC27" s="155">
        <f>Datos_Origen[[#This Row],[Beneficios]]+Datos_Origen[[#This Row],[Variable]]+Datos_Origen[[#This Row],[Garantizado]]</f>
        <v>2828714.68</v>
      </c>
      <c r="AD27" s="156">
        <v>14.12</v>
      </c>
      <c r="AE27" s="141">
        <v>230</v>
      </c>
      <c r="AF27" s="345">
        <v>5.2199999999999998E-3</v>
      </c>
      <c r="AG27" s="155">
        <f>Datos_Origen[[#This Row],[Básico Actual]]*230/Datos_Origen[[#This Row],['# horas mes]]</f>
        <v>2404000</v>
      </c>
      <c r="AH27" s="157">
        <v>2404000</v>
      </c>
      <c r="AI27" s="158"/>
      <c r="AJ27" s="158">
        <f>(((Datos_Origen[[#This Row],[Básico]])/30)*$AJ$6)/12</f>
        <v>0</v>
      </c>
      <c r="AK27" s="158"/>
      <c r="AL27" s="143">
        <f>((Datos_Origen[[#This Row],[Básico]])/30)*$AL$6/12</f>
        <v>0</v>
      </c>
      <c r="AM27" s="158"/>
      <c r="AN27" s="158"/>
      <c r="AO27" s="158"/>
      <c r="AP27" s="158"/>
      <c r="AQ27" s="158"/>
      <c r="AR27" s="149">
        <v>0</v>
      </c>
      <c r="AS27" s="149"/>
      <c r="AT27" s="159" t="str">
        <f>IFERROR(Datos_Origen[[#This Row],[Comisiones Target]]/Datos_Origen[[#This Row],[Promedio de Comisiones  ]],"")</f>
        <v/>
      </c>
      <c r="AU27" s="160"/>
      <c r="AV27" s="143">
        <v>0</v>
      </c>
      <c r="AW27" s="160"/>
      <c r="AX27" s="143">
        <f>Datos_Origen[[#This Row],[N Salarios de la Bonificación2]]*Datos_Origen[[#This Row],[Básico]]/12</f>
        <v>0</v>
      </c>
      <c r="AY27" s="160"/>
      <c r="AZ27" s="158"/>
      <c r="BA27" s="149">
        <v>0</v>
      </c>
      <c r="BB27" s="149"/>
      <c r="BC27" s="149"/>
      <c r="BD27" s="149"/>
      <c r="BE27" s="149"/>
      <c r="BF27" s="149"/>
      <c r="BG27" s="149"/>
      <c r="BH27" s="149"/>
      <c r="BI27" s="149"/>
      <c r="BJ27" s="149"/>
      <c r="BK27" s="159">
        <f>IFERROR(Datos_Origen[[#This Row],[Variable]]/Datos_Origen[[#This Row],[CT]],"")</f>
        <v>0</v>
      </c>
      <c r="BL27" s="159">
        <f>IFERROR(Datos_Origen[[#This Row],[Beneficios]]/Datos_Origen[[#This Row],[CT]],"")</f>
        <v>0</v>
      </c>
      <c r="BM27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2647147.6005700002</v>
      </c>
      <c r="BN27" s="161">
        <f>Datos_Origen[[#This Row],[G]]/Datos_Origen[[#This Row],[Geq]]</f>
        <v>1.0685897074235315</v>
      </c>
      <c r="BO27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2860178.2079323218</v>
      </c>
      <c r="BP27" s="161">
        <f>Datos_Origen[[#This Row],[G+V]]/Datos_Origen[[#This Row],[G+Veq]]</f>
        <v>0.98899945190650651</v>
      </c>
      <c r="BQ27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2863029.376852714</v>
      </c>
      <c r="BR27" s="161">
        <f>Datos_Origen[[#This Row],[CT]]/Datos_Origen[[#This Row],[CTeq]]</f>
        <v>0.98801454950824308</v>
      </c>
      <c r="BS27" s="139">
        <f>ROUNDUP(VLOOKUP(Datos_Origen[[#This Row],[Categoria]],Competitividad_1[#All],2,0)*IndiceIncrementoC,-3)</f>
        <v>2611000</v>
      </c>
      <c r="BT27" s="161">
        <f>Datos_Origen[[#This Row],[G]]/Datos_Origen[[#This Row],[GQ1]]</f>
        <v>1.0833836384527002</v>
      </c>
      <c r="BU27" s="155">
        <f>ROUNDUP(VLOOKUP(Datos_Origen[[#This Row],[Categoria]],Competitividad_1[#All],3,0)*IndiceIncrementoC,-3)</f>
        <v>2711000</v>
      </c>
      <c r="BV27" s="161">
        <f>Datos_Origen[[#This Row],[G+V]]/Datos_Origen[[#This Row],[G+VQ1]]</f>
        <v>1.0434211287347843</v>
      </c>
      <c r="BW27" s="155">
        <f>ROUNDUP(VLOOKUP(Datos_Origen[[#This Row],[Categoria]],Competitividad_1[#All],4,0)*IndiceIncrementoC,-3)</f>
        <v>2818000</v>
      </c>
      <c r="BX27" s="161">
        <f>Datos_Origen[[#This Row],[CT]]/Datos_Origen[[#This Row],[CTQ1]]</f>
        <v>1.003802228530873</v>
      </c>
      <c r="BY27" s="155">
        <f>ROUNDUP(VLOOKUP(Datos_Origen[[#This Row],[Categoria]],Competitividad_1[#All],5,0)*IndiceIncrementoC,-3)</f>
        <v>3129000</v>
      </c>
      <c r="BZ27" s="161">
        <f>Datos_Origen[[#This Row],[G]]/Datos_Origen[[#This Row],[GMd]]</f>
        <v>0.90403153723234264</v>
      </c>
      <c r="CA27" s="155">
        <f>ROUNDUP(VLOOKUP(Datos_Origen[[#This Row],[Categoria]],Competitividad_1[#All],6,0)*IndiceIncrementoC,-3)</f>
        <v>3170000</v>
      </c>
      <c r="CB27" s="161">
        <f>Datos_Origen[[#This Row],[G+V]]/Datos_Origen[[#This Row],[G+VMd]]</f>
        <v>0.89233901577287067</v>
      </c>
      <c r="CC27" s="155">
        <f>ROUNDUP(VLOOKUP(Datos_Origen[[#This Row],[Categoria]],Competitividad_1[#All],7,0)*IndiceIncrementoC,-3)</f>
        <v>3309000</v>
      </c>
      <c r="CD27" s="161">
        <f>Datos_Origen[[#This Row],[CT]]/Datos_Origen[[#This Row],[CTMd]]</f>
        <v>0.85485484436385617</v>
      </c>
      <c r="CE27" s="155">
        <f>+Datos_Origen[[#This Row],[GMd]]/1.17666666667</f>
        <v>2659206.798859322</v>
      </c>
      <c r="CF27" s="161">
        <f>+Datos_Origen[[#This Row],[Básico Actual]]/Datos_Origen[[#This Row],[Salario Basico Md]]</f>
        <v>0.90402897624630252</v>
      </c>
      <c r="CG27" s="155">
        <f>ROUNDUP(VLOOKUP(Datos_Origen[[#This Row],[Categoria]],Competitividad_1[#All],8,0)*IndiceIncrementoC,-3)</f>
        <v>4169000</v>
      </c>
      <c r="CH27" s="161">
        <f>Datos_Origen[[#This Row],[G]]/Datos_Origen[[#This Row],[GQ3]]</f>
        <v>0.67851155672823227</v>
      </c>
      <c r="CI27" s="155">
        <f>ROUNDUP(VLOOKUP(Datos_Origen[[#This Row],[Categoria]],Competitividad_1[#All],9,0)*IndiceIncrementoC,-3)</f>
        <v>4291000</v>
      </c>
      <c r="CJ27" s="161">
        <f>Datos_Origen[[#This Row],[G+V]]/Datos_Origen[[#This Row],[G+VQ3]]</f>
        <v>0.65922038685621076</v>
      </c>
      <c r="CK27" s="155">
        <f>ROUNDUP(VLOOKUP(Datos_Origen[[#This Row],[Categoria]],Competitividad_1[#All],10,0)*IndiceIncrementoC,-3)</f>
        <v>4410000</v>
      </c>
      <c r="CL27" s="161">
        <f>Datos_Origen[[#This Row],[CT]]/Datos_Origen[[#This Row],[CTQ3]]</f>
        <v>0.64143190022675745</v>
      </c>
      <c r="CM27" s="162">
        <f>IF(ROUND(Datos_Origen[[#This Row],[Salario Ordinario Pol2]],-3)&lt;SMMLV,SMMLV,ROUND(Datos_Origen[[#This Row],[Salario Ordinario Pol2]],-3))</f>
        <v>2025000</v>
      </c>
      <c r="CN27" s="155">
        <f>IF(Datos_Origen[[#This Row],[Gpol]]/(1+FactorPrestacionalOrdinario)&lt;SMMLV,SMMLV,Datos_Origen[[#This Row],[Gpol]]/(1+FactorPrestacionalOrdinario))</f>
        <v>2530878.1869688383</v>
      </c>
      <c r="CO27" s="161">
        <f>IFERROR(IF(Datos_Origen[[#This Row],[Salarios Año]]=14.12,Datos_Origen[[#This Row],[Básico]]/Datos_Origen[[#This Row],[Salario Ordinario Pol]],""),"")</f>
        <v>0.94986792030445499</v>
      </c>
      <c r="CP27" s="155">
        <f>IF(ROUND(Datos_Origen[[#This Row],[Salario Ordinario Pol22]],-3)&lt;SMMLV,SMMLV,ROUND(Datos_Origen[[#This Row],[Salario Ordinario Pol22]],-3))</f>
        <v>3037000</v>
      </c>
      <c r="CQ27" s="155" t="str">
        <f>IFERROR(ROUND(Datos_Origen[[#This Row],[Salario Integral Pol4]],-3),"")</f>
        <v/>
      </c>
      <c r="CR27" s="139" t="str">
        <f>IF((Datos_Origen[[#This Row],[Gpol]]/(1+FactorPrestacionalIntegral))&lt;(13*SMMLV),"",(Datos_Origen[[#This Row],[Gpol]]/(1+FactorPrestacionalIntegral)))</f>
        <v/>
      </c>
      <c r="CS27" s="161" t="str">
        <f>IFERROR(IF(Datos_Origen[[#This Row],[Salarios Año]]=12,Datos_Origen[[#This Row],[Básico]]/Datos_Origen[[#This Row],[Salario Integral Pol]],""),"")</f>
        <v/>
      </c>
      <c r="CT27" s="155" t="str">
        <f>IFERROR(ROUND(Datos_Origen[[#This Row],[Salario Integral Pol44]],-3),"")</f>
        <v/>
      </c>
      <c r="CU27" s="155">
        <f>Datos_Origen[[#This Row],[G+Vpol]]-Datos_Origen[[#This Row],[Variable]]</f>
        <v>2978000</v>
      </c>
      <c r="CV27" s="161">
        <f>Datos_Origen[[#This Row],[G]]/Datos_Origen[[#This Row],[Gpol]]</f>
        <v>0.94987061114842186</v>
      </c>
      <c r="CW27" s="154">
        <f>Datos_Origen[[#This Row],[Ctpol]]-Datos_Origen[[#This Row],[Beneficios]]</f>
        <v>2978000</v>
      </c>
      <c r="CX27" s="161">
        <f>Datos_Origen[[#This Row],[G+V]]/Datos_Origen[[#This Row],[G+Vpol]]</f>
        <v>0.94987061114842186</v>
      </c>
      <c r="CY27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2978000</v>
      </c>
      <c r="CZ27" s="161">
        <f>Datos_Origen[[#This Row],[CT]]/Datos_Origen[[#This Row],[Ctpol]]</f>
        <v>0.94987061114842186</v>
      </c>
      <c r="DA27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27" s="158">
        <f>IF(Datos_Origen[[#This Row],[Básico]]&lt;10*SMMLV,0,Datos_Origen[[#This Row],[Base Seguridad Social Actual]]*8.5%)</f>
        <v>0</v>
      </c>
      <c r="DC27" s="158">
        <f>Datos_Origen[[#This Row],[Base Seguridad Social Actual]]*12%</f>
        <v>288480</v>
      </c>
      <c r="DD27" s="158">
        <f>Datos_Origen[[#This Row],[Base Seguridad Social Actual]]*Datos_Origen[[#This Row],[%ARL]]</f>
        <v>12548.88</v>
      </c>
      <c r="DE27" s="158">
        <f>IF(Datos_Origen[[#This Row],[Básico]]&lt;10*SMMLV,Datos_Origen[[#This Row],[Base Seguridad Social Actual]]*4%,Datos_Origen[[#This Row],[Base Seguridad Social Actual]]*9%)</f>
        <v>96160</v>
      </c>
      <c r="DF27" s="158">
        <f>Datos_Origen[[#This Row],[Salud]]+Datos_Origen[[#This Row],[Pensión]]+Datos_Origen[[#This Row],[ARL]]+Datos_Origen[[#This Row],[Parafiscales]]</f>
        <v>397188.88</v>
      </c>
      <c r="DG27" s="163">
        <f>Datos_Origen[[#This Row],[Costo Laboral Actual]]+Datos_Origen[[#This Row],[CT]]</f>
        <v>3225903.56</v>
      </c>
      <c r="DH27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2530878.1869688383</v>
      </c>
      <c r="DI27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27" s="158">
        <f>Datos_Origen[[#This Row],[Base Seguridad Social Nueva]]*12%</f>
        <v>303705.38243626058</v>
      </c>
      <c r="DK27" s="158">
        <f>Datos_Origen[[#This Row],[Base Seguridad Social Nueva]]*Datos_Origen[[#This Row],[%ARL]]</f>
        <v>13211.184135977335</v>
      </c>
      <c r="DL27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101235.12747875354</v>
      </c>
      <c r="DM27" s="158">
        <f>Datos_Origen[[#This Row],[Salud Nueva]]+Datos_Origen[[#This Row],[Pensión Nueva]]+Datos_Origen[[#This Row],[ARL nueva]]+Datos_Origen[[#This Row],[Parafiscales Nuevos]]</f>
        <v>418151.69405099144</v>
      </c>
      <c r="DN27" s="158">
        <f>Datos_Origen[[#This Row],[Costo Laboral Nuevo]]+Datos_Origen[[#This Row],[Ctpol]]</f>
        <v>3396151.6940509914</v>
      </c>
      <c r="DO27" s="158">
        <f>IF(Datos_Origen[[#This Row],[Ctpol]]-Datos_Origen[[#This Row],[CT]]&lt;=0,0,Datos_Origen[[#This Row],[Costo Total Nuevo]]-Datos_Origen[[#This Row],[Costo Total Actual]])</f>
        <v>170248.13405099139</v>
      </c>
      <c r="DP27" s="158">
        <f>IF(Datos_Origen[[#This Row],[Ctpol]]-Datos_Origen[[#This Row],[CT]]&lt;=0,0,Datos_Origen[[#This Row],[Ctpol]]-Datos_Origen[[#This Row],[CT]])</f>
        <v>149285.31999999983</v>
      </c>
      <c r="DQ27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20962.814050991437</v>
      </c>
      <c r="DR27" s="158">
        <f>ROUNDDOWN(VLOOKUP(Datos_Origen[[#This Row],[Categoria]],Competitividad_1[],7,0)*IndiceIncrementoC,-3)</f>
        <v>3308000</v>
      </c>
      <c r="DS27" s="158">
        <f>Datos_Origen[[#This Row],[CTeq]]*0.8</f>
        <v>2290423.5014821715</v>
      </c>
      <c r="DT27" s="158">
        <f>Datos_Origen[[#This Row],[CTeq]]*1.2</f>
        <v>3435635.2522232565</v>
      </c>
      <c r="DU27" s="155">
        <f>IF(Datos_Origen[[#This Row],[Gpol6]]/(1+FactorPrestacionalOrdinario)&lt;SMMLV,SMMLV,Datos_Origen[[#This Row],[Gpol6]]/(1+FactorPrestacionalOrdinario))</f>
        <v>2024702.5495750706</v>
      </c>
      <c r="DV27" s="139" t="str">
        <f>IF((Datos_Origen[[#This Row],[Gpol6]]/(1+FactorPrestacionalIntegral))&lt;(13*SMMLV),"",(Datos_Origen[[#This Row],[Gpol6]]/(1+FactorPrestacionalIntegral)))</f>
        <v/>
      </c>
      <c r="DW27" s="154">
        <f>Datos_Origen[[#This Row],[G+Vpol8]]</f>
        <v>2382400</v>
      </c>
      <c r="DX27" s="154">
        <f>Datos_Origen[[#This Row],[Ctpol10]]-Datos_Origen[[#This Row],[Beneficios]]</f>
        <v>2382400</v>
      </c>
      <c r="DY27" s="154">
        <f>Datos_Origen[[#This Row],[Ctpol]]*$CM$6</f>
        <v>2382400</v>
      </c>
      <c r="DZ27" s="155">
        <f>IF(Datos_Origen[[#This Row],[Gpol66]]/(1+FactorPrestacionalOrdinario)&lt;SMMLV,SMMLV,Datos_Origen[[#This Row],[Gpol66]]/(1+FactorPrestacionalOrdinario))</f>
        <v>3037053.8243626058</v>
      </c>
      <c r="EA27" s="139" t="str">
        <f>IF((Datos_Origen[[#This Row],[Gpol66]]/(1+FactorPrestacionalIntegral))&lt;(13*SMMLV),"",(Datos_Origen[[#This Row],[Gpol66]]/(1+FactorPrestacionalIntegral)))</f>
        <v/>
      </c>
      <c r="EB27" s="154">
        <f>Datos_Origen[[#This Row],[G+Vpol88]]</f>
        <v>3573600</v>
      </c>
      <c r="EC27" s="154">
        <f>Datos_Origen[[#This Row],[Ctpol1010]]-Datos_Origen[[#This Row],[Beneficios]]</f>
        <v>3573600</v>
      </c>
      <c r="ED27" s="154">
        <f>Datos_Origen[[#This Row],[Ctpol]]*$CP$6</f>
        <v>3573600</v>
      </c>
      <c r="EE27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28" spans="2:135">
      <c r="B28" s="132"/>
      <c r="C28" s="149"/>
      <c r="D28" s="150"/>
      <c r="E28" s="151"/>
      <c r="F28" s="151"/>
      <c r="G28" s="150" t="s">
        <v>340</v>
      </c>
      <c r="H28" s="153"/>
      <c r="I28" s="152" t="s">
        <v>340</v>
      </c>
      <c r="J28" s="130" t="str">
        <f>IFERROR(VLOOKUP(Datos_Origen[[#This Row],[Cargo Tipo Valorado]],Cargos_Catalogo[[#All],[Cargo]:[Área]],2,0),"")</f>
        <v>Coordinador de laboratorio</v>
      </c>
      <c r="K28" s="153"/>
      <c r="L28" s="153"/>
      <c r="M28" s="153"/>
      <c r="N28" s="153"/>
      <c r="O28" s="154">
        <f>Datos_Origen[[#This Row],[Segmentación Individual]]</f>
        <v>0</v>
      </c>
      <c r="P28" s="153"/>
      <c r="Q28" s="154">
        <f>VLOOKUP(Datos_Origen[[#This Row],[Cargo Tipo Valorado]],Cargos_Catalogo[#Data],MATCH(Cargos_Catalogo[[#Headers],[Puntos]],Cargos_Catalogo[#Headers],0),FALSE)</f>
        <v>204</v>
      </c>
      <c r="R28" s="130">
        <f>VLOOKUP(Datos_Origen[[#This Row],[Puntos valoración]],Categorias_Registro[#Data],MATCH(Categorias_Registro[[#Headers],[Categoria]],Categorias_Registro[#Headers],0),FALSE)</f>
        <v>7</v>
      </c>
      <c r="S28" s="130" t="str">
        <f>VLOOKUP(Datos_Origen[[#This Row],[Cargo Tipo Valorado]],Cargos_Catalogo[#Data],MATCH(Cargos_Catalogo[[#Headers],[Nivel SHR]],Cargos_Catalogo[#Headers],0),FALSE)</f>
        <v>Soporte</v>
      </c>
      <c r="T28" s="130" t="str">
        <f>VLOOKUP(Datos_Origen[[#This Row],[Cargo Tipo Valorado]],Cargos_Catalogo[#Data],MATCH(Cargos_Catalogo[[#Headers],[Criticidad]],Cargos_Catalogo[#Headers],0),FALSE)</f>
        <v>Relevante</v>
      </c>
      <c r="U28" s="154">
        <f>VLOOKUP(Datos_Origen[[#This Row],[Puntos valoración]],Categorias_Registro[#Data],5,FALSE)</f>
        <v>217</v>
      </c>
      <c r="V28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28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28" s="154">
        <f>SUMIF($BA$5:$BJ$5,"NCS",Datos_Origen[[#This Row],[auxilio Gasolina]:[Otro Beneficio10]])+(SUMIF($BA$5:$BJ$5,"CS",Datos_Origen[[#This Row],[auxilio Gasolina]:[Otro Beneficio10]])*1.17667)</f>
        <v>0</v>
      </c>
      <c r="Y28" s="155">
        <f>Datos_Origen[[#This Row],[Básico]]+Datos_Origen[[#This Row],[Promedio de Comisiones  ]]</f>
        <v>2404000</v>
      </c>
      <c r="Z28" s="155">
        <f>Datos_Origen[[#This Row],[Básico]]+Datos_Origen[[#This Row],[Promedio de Comisiones  ]]</f>
        <v>2404000</v>
      </c>
      <c r="AA28" s="155">
        <f>Datos_Origen[[#This Row],[Garantizado]]</f>
        <v>2828714.68</v>
      </c>
      <c r="AB28" s="155">
        <f>Datos_Origen[[#This Row],[Variable]]+Datos_Origen[[#This Row],[Garantizado]]</f>
        <v>2828714.68</v>
      </c>
      <c r="AC28" s="155">
        <f>Datos_Origen[[#This Row],[Beneficios]]+Datos_Origen[[#This Row],[Variable]]+Datos_Origen[[#This Row],[Garantizado]]</f>
        <v>2828714.68</v>
      </c>
      <c r="AD28" s="156">
        <v>14.12</v>
      </c>
      <c r="AE28" s="141">
        <v>230</v>
      </c>
      <c r="AF28" s="345">
        <v>4.3499999999999997E-2</v>
      </c>
      <c r="AG28" s="155">
        <f>Datos_Origen[[#This Row],[Básico Actual]]*230/Datos_Origen[[#This Row],['# horas mes]]</f>
        <v>2404000</v>
      </c>
      <c r="AH28" s="157">
        <v>2404000</v>
      </c>
      <c r="AI28" s="158"/>
      <c r="AJ28" s="158">
        <f>(((Datos_Origen[[#This Row],[Básico]])/30)*$AJ$6)/12</f>
        <v>0</v>
      </c>
      <c r="AK28" s="158"/>
      <c r="AL28" s="143">
        <f>((Datos_Origen[[#This Row],[Básico]])/30)*$AL$6/12</f>
        <v>0</v>
      </c>
      <c r="AM28" s="158"/>
      <c r="AN28" s="158"/>
      <c r="AO28" s="158"/>
      <c r="AP28" s="158"/>
      <c r="AQ28" s="158"/>
      <c r="AR28" s="149">
        <v>0</v>
      </c>
      <c r="AS28" s="149"/>
      <c r="AT28" s="159" t="str">
        <f>IFERROR(Datos_Origen[[#This Row],[Comisiones Target]]/Datos_Origen[[#This Row],[Promedio de Comisiones  ]],"")</f>
        <v/>
      </c>
      <c r="AU28" s="160"/>
      <c r="AV28" s="143">
        <v>0</v>
      </c>
      <c r="AW28" s="160"/>
      <c r="AX28" s="143">
        <f>Datos_Origen[[#This Row],[N Salarios de la Bonificación2]]*Datos_Origen[[#This Row],[Básico]]/12</f>
        <v>0</v>
      </c>
      <c r="AY28" s="160"/>
      <c r="AZ28" s="158"/>
      <c r="BA28" s="149">
        <v>0</v>
      </c>
      <c r="BB28" s="149"/>
      <c r="BC28" s="149"/>
      <c r="BD28" s="149"/>
      <c r="BE28" s="149"/>
      <c r="BF28" s="149"/>
      <c r="BG28" s="149"/>
      <c r="BH28" s="149"/>
      <c r="BI28" s="149"/>
      <c r="BJ28" s="149"/>
      <c r="BK28" s="159">
        <f>IFERROR(Datos_Origen[[#This Row],[Variable]]/Datos_Origen[[#This Row],[CT]],"")</f>
        <v>0</v>
      </c>
      <c r="BL28" s="159">
        <f>IFERROR(Datos_Origen[[#This Row],[Beneficios]]/Datos_Origen[[#This Row],[CT]],"")</f>
        <v>0</v>
      </c>
      <c r="BM28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28" s="161">
        <f>Datos_Origen[[#This Row],[G]]/Datos_Origen[[#This Row],[Geq]]</f>
        <v>0.96021510368543916</v>
      </c>
      <c r="BO28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28" s="161">
        <f>Datos_Origen[[#This Row],[G+V]]/Datos_Origen[[#This Row],[G+Veq]]</f>
        <v>0.89176690230820366</v>
      </c>
      <c r="BQ28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28" s="161">
        <f>Datos_Origen[[#This Row],[CT]]/Datos_Origen[[#This Row],[CTeq]]</f>
        <v>0.89107027538221539</v>
      </c>
      <c r="BS28" s="139">
        <f>ROUNDUP(VLOOKUP(Datos_Origen[[#This Row],[Categoria]],Competitividad_1[#All],2,0)*IndiceIncrementoC,-3)</f>
        <v>2906000</v>
      </c>
      <c r="BT28" s="161">
        <f>Datos_Origen[[#This Row],[G]]/Datos_Origen[[#This Row],[GQ1]]</f>
        <v>0.9734049139710943</v>
      </c>
      <c r="BU28" s="155">
        <f>ROUNDUP(VLOOKUP(Datos_Origen[[#This Row],[Categoria]],Competitividad_1[#All],3,0)*IndiceIncrementoC,-3)</f>
        <v>3009000</v>
      </c>
      <c r="BV28" s="161">
        <f>Datos_Origen[[#This Row],[G+V]]/Datos_Origen[[#This Row],[G+VQ1]]</f>
        <v>0.94008463941508813</v>
      </c>
      <c r="BW28" s="155">
        <f>ROUNDUP(VLOOKUP(Datos_Origen[[#This Row],[Categoria]],Competitividad_1[#All],4,0)*IndiceIncrementoC,-3)</f>
        <v>3129000</v>
      </c>
      <c r="BX28" s="161">
        <f>Datos_Origen[[#This Row],[CT]]/Datos_Origen[[#This Row],[CTQ1]]</f>
        <v>0.90403153723234264</v>
      </c>
      <c r="BY28" s="155">
        <f>ROUNDUP(VLOOKUP(Datos_Origen[[#This Row],[Categoria]],Competitividad_1[#All],5,0)*IndiceIncrementoC,-3)</f>
        <v>3456000</v>
      </c>
      <c r="BZ28" s="161">
        <f>Datos_Origen[[#This Row],[G]]/Datos_Origen[[#This Row],[GMd]]</f>
        <v>0.81849383101851858</v>
      </c>
      <c r="CA28" s="155">
        <f>ROUNDUP(VLOOKUP(Datos_Origen[[#This Row],[Categoria]],Competitividad_1[#All],6,0)*IndiceIncrementoC,-3)</f>
        <v>3483000</v>
      </c>
      <c r="CB28" s="161">
        <f>Datos_Origen[[#This Row],[G+V]]/Datos_Origen[[#This Row],[G+VMd]]</f>
        <v>0.81214891759977037</v>
      </c>
      <c r="CC28" s="155">
        <f>ROUNDUP(VLOOKUP(Datos_Origen[[#This Row],[Categoria]],Competitividad_1[#All],7,0)*IndiceIncrementoC,-3)</f>
        <v>3645000</v>
      </c>
      <c r="CD28" s="161">
        <f>Datos_Origen[[#This Row],[CT]]/Datos_Origen[[#This Row],[CTMd]]</f>
        <v>0.77605341015089169</v>
      </c>
      <c r="CE28" s="155">
        <f>+Datos_Origen[[#This Row],[GMd]]/1.17666666667</f>
        <v>2937110.4815780818</v>
      </c>
      <c r="CF28" s="161">
        <f>+Datos_Origen[[#This Row],[Básico Actual]]/Datos_Origen[[#This Row],[Salario Basico Md]]</f>
        <v>0.81849151234799766</v>
      </c>
      <c r="CG28" s="155">
        <f>ROUNDUP(VLOOKUP(Datos_Origen[[#This Row],[Categoria]],Competitividad_1[#All],8,0)*IndiceIncrementoC,-3)</f>
        <v>4712000</v>
      </c>
      <c r="CH28" s="161">
        <f>Datos_Origen[[#This Row],[G]]/Datos_Origen[[#This Row],[GQ3]]</f>
        <v>0.60032145161290329</v>
      </c>
      <c r="CI28" s="155">
        <f>ROUNDUP(VLOOKUP(Datos_Origen[[#This Row],[Categoria]],Competitividad_1[#All],9,0)*IndiceIncrementoC,-3)</f>
        <v>4847000</v>
      </c>
      <c r="CJ28" s="161">
        <f>Datos_Origen[[#This Row],[G+V]]/Datos_Origen[[#This Row],[G+VQ3]]</f>
        <v>0.58360113059624519</v>
      </c>
      <c r="CK28" s="155">
        <f>ROUNDUP(VLOOKUP(Datos_Origen[[#This Row],[Categoria]],Competitividad_1[#All],10,0)*IndiceIncrementoC,-3)</f>
        <v>4977000</v>
      </c>
      <c r="CL28" s="161">
        <f>Datos_Origen[[#This Row],[CT]]/Datos_Origen[[#This Row],[CTQ3]]</f>
        <v>0.5683573799477597</v>
      </c>
      <c r="CM28" s="162">
        <f>IF(ROUND(Datos_Origen[[#This Row],[Salario Ordinario Pol2]],-3)&lt;SMMLV,SMMLV,ROUND(Datos_Origen[[#This Row],[Salario Ordinario Pol2]],-3))</f>
        <v>2231000</v>
      </c>
      <c r="CN28" s="155">
        <f>IF(Datos_Origen[[#This Row],[Gpol]]/(1+FactorPrestacionalOrdinario)&lt;SMMLV,SMMLV,Datos_Origen[[#This Row],[Gpol]]/(1+FactorPrestacionalOrdinario))</f>
        <v>2788385.2691218127</v>
      </c>
      <c r="CO28" s="161">
        <f>IFERROR(IF(Datos_Origen[[#This Row],[Salarios Año]]=14.12,Datos_Origen[[#This Row],[Básico]]/Datos_Origen[[#This Row],[Salario Ordinario Pol]],""),"")</f>
        <v>0.86214771919130362</v>
      </c>
      <c r="CP28" s="155">
        <f>IF(ROUND(Datos_Origen[[#This Row],[Salario Ordinario Pol22]],-3)&lt;SMMLV,SMMLV,ROUND(Datos_Origen[[#This Row],[Salario Ordinario Pol22]],-3))</f>
        <v>3346000</v>
      </c>
      <c r="CQ28" s="155" t="str">
        <f>IFERROR(ROUND(Datos_Origen[[#This Row],[Salario Integral Pol4]],-3),"")</f>
        <v/>
      </c>
      <c r="CR28" s="139" t="str">
        <f>IF((Datos_Origen[[#This Row],[Gpol]]/(1+FactorPrestacionalIntegral))&lt;(13*SMMLV),"",(Datos_Origen[[#This Row],[Gpol]]/(1+FactorPrestacionalIntegral)))</f>
        <v/>
      </c>
      <c r="CS28" s="161" t="str">
        <f>IFERROR(IF(Datos_Origen[[#This Row],[Salarios Año]]=12,Datos_Origen[[#This Row],[Básico]]/Datos_Origen[[#This Row],[Salario Integral Pol]],""),"")</f>
        <v/>
      </c>
      <c r="CT28" s="155" t="str">
        <f>IFERROR(ROUND(Datos_Origen[[#This Row],[Salario Integral Pol44]],-3),"")</f>
        <v/>
      </c>
      <c r="CU28" s="155">
        <f>Datos_Origen[[#This Row],[G+Vpol]]-Datos_Origen[[#This Row],[Variable]]</f>
        <v>3281000</v>
      </c>
      <c r="CV28" s="161">
        <f>Datos_Origen[[#This Row],[G]]/Datos_Origen[[#This Row],[Gpol]]</f>
        <v>0.86215016153611712</v>
      </c>
      <c r="CW28" s="154">
        <f>Datos_Origen[[#This Row],[Ctpol]]-Datos_Origen[[#This Row],[Beneficios]]</f>
        <v>3281000</v>
      </c>
      <c r="CX28" s="161">
        <f>Datos_Origen[[#This Row],[G+V]]/Datos_Origen[[#This Row],[G+Vpol]]</f>
        <v>0.86215016153611712</v>
      </c>
      <c r="CY28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3281000</v>
      </c>
      <c r="CZ28" s="161">
        <f>Datos_Origen[[#This Row],[CT]]/Datos_Origen[[#This Row],[Ctpol]]</f>
        <v>0.86215016153611712</v>
      </c>
      <c r="DA28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28" s="158">
        <f>IF(Datos_Origen[[#This Row],[Básico]]&lt;10*SMMLV,0,Datos_Origen[[#This Row],[Base Seguridad Social Actual]]*8.5%)</f>
        <v>0</v>
      </c>
      <c r="DC28" s="158">
        <f>Datos_Origen[[#This Row],[Base Seguridad Social Actual]]*12%</f>
        <v>288480</v>
      </c>
      <c r="DD28" s="158">
        <f>Datos_Origen[[#This Row],[Base Seguridad Social Actual]]*Datos_Origen[[#This Row],[%ARL]]</f>
        <v>104574</v>
      </c>
      <c r="DE28" s="158">
        <f>IF(Datos_Origen[[#This Row],[Básico]]&lt;10*SMMLV,Datos_Origen[[#This Row],[Base Seguridad Social Actual]]*4%,Datos_Origen[[#This Row],[Base Seguridad Social Actual]]*9%)</f>
        <v>96160</v>
      </c>
      <c r="DF28" s="158">
        <f>Datos_Origen[[#This Row],[Salud]]+Datos_Origen[[#This Row],[Pensión]]+Datos_Origen[[#This Row],[ARL]]+Datos_Origen[[#This Row],[Parafiscales]]</f>
        <v>489214</v>
      </c>
      <c r="DG28" s="163">
        <f>Datos_Origen[[#This Row],[Costo Laboral Actual]]+Datos_Origen[[#This Row],[CT]]</f>
        <v>3317928.68</v>
      </c>
      <c r="DH28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2788385.2691218127</v>
      </c>
      <c r="DI28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28" s="158">
        <f>Datos_Origen[[#This Row],[Base Seguridad Social Nueva]]*12%</f>
        <v>334606.23229461751</v>
      </c>
      <c r="DK28" s="158">
        <f>Datos_Origen[[#This Row],[Base Seguridad Social Nueva]]*Datos_Origen[[#This Row],[%ARL]]</f>
        <v>121294.75920679884</v>
      </c>
      <c r="DL28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111535.4107648725</v>
      </c>
      <c r="DM28" s="158">
        <f>Datos_Origen[[#This Row],[Salud Nueva]]+Datos_Origen[[#This Row],[Pensión Nueva]]+Datos_Origen[[#This Row],[ARL nueva]]+Datos_Origen[[#This Row],[Parafiscales Nuevos]]</f>
        <v>567436.40226628887</v>
      </c>
      <c r="DN28" s="158">
        <f>Datos_Origen[[#This Row],[Costo Laboral Nuevo]]+Datos_Origen[[#This Row],[Ctpol]]</f>
        <v>3848436.4022662891</v>
      </c>
      <c r="DO28" s="158">
        <f>IF(Datos_Origen[[#This Row],[Ctpol]]-Datos_Origen[[#This Row],[CT]]&lt;=0,0,Datos_Origen[[#This Row],[Costo Total Nuevo]]-Datos_Origen[[#This Row],[Costo Total Actual]])</f>
        <v>530507.72226628894</v>
      </c>
      <c r="DP28" s="158">
        <f>IF(Datos_Origen[[#This Row],[Ctpol]]-Datos_Origen[[#This Row],[CT]]&lt;=0,0,Datos_Origen[[#This Row],[Ctpol]]-Datos_Origen[[#This Row],[CT]])</f>
        <v>452285.31999999983</v>
      </c>
      <c r="DQ28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78222.402266288875</v>
      </c>
      <c r="DR28" s="158">
        <f>ROUNDDOWN(VLOOKUP(Datos_Origen[[#This Row],[Categoria]],Competitividad_1[],7,0)*IndiceIncrementoC,-3)</f>
        <v>3644000</v>
      </c>
      <c r="DS28" s="158">
        <f>Datos_Origen[[#This Row],[CTeq]]*0.8</f>
        <v>2539610.855080226</v>
      </c>
      <c r="DT28" s="158">
        <f>Datos_Origen[[#This Row],[CTeq]]*1.2</f>
        <v>3809416.2826203383</v>
      </c>
      <c r="DU28" s="155">
        <f>IF(Datos_Origen[[#This Row],[Gpol6]]/(1+FactorPrestacionalOrdinario)&lt;SMMLV,SMMLV,Datos_Origen[[#This Row],[Gpol6]]/(1+FactorPrestacionalOrdinario))</f>
        <v>2230708.2152974503</v>
      </c>
      <c r="DV28" s="139" t="str">
        <f>IF((Datos_Origen[[#This Row],[Gpol6]]/(1+FactorPrestacionalIntegral))&lt;(13*SMMLV),"",(Datos_Origen[[#This Row],[Gpol6]]/(1+FactorPrestacionalIntegral)))</f>
        <v/>
      </c>
      <c r="DW28" s="154">
        <f>Datos_Origen[[#This Row],[G+Vpol8]]</f>
        <v>2624800</v>
      </c>
      <c r="DX28" s="154">
        <f>Datos_Origen[[#This Row],[Ctpol10]]-Datos_Origen[[#This Row],[Beneficios]]</f>
        <v>2624800</v>
      </c>
      <c r="DY28" s="154">
        <f>Datos_Origen[[#This Row],[Ctpol]]*$CM$6</f>
        <v>2624800</v>
      </c>
      <c r="DZ28" s="155">
        <f>IF(Datos_Origen[[#This Row],[Gpol66]]/(1+FactorPrestacionalOrdinario)&lt;SMMLV,SMMLV,Datos_Origen[[#This Row],[Gpol66]]/(1+FactorPrestacionalOrdinario))</f>
        <v>3346062.3229461755</v>
      </c>
      <c r="EA28" s="139" t="str">
        <f>IF((Datos_Origen[[#This Row],[Gpol66]]/(1+FactorPrestacionalIntegral))&lt;(13*SMMLV),"",(Datos_Origen[[#This Row],[Gpol66]]/(1+FactorPrestacionalIntegral)))</f>
        <v/>
      </c>
      <c r="EB28" s="154">
        <f>Datos_Origen[[#This Row],[G+Vpol88]]</f>
        <v>3937200</v>
      </c>
      <c r="EC28" s="154">
        <f>Datos_Origen[[#This Row],[Ctpol1010]]-Datos_Origen[[#This Row],[Beneficios]]</f>
        <v>3937200</v>
      </c>
      <c r="ED28" s="154">
        <f>Datos_Origen[[#This Row],[Ctpol]]*$CP$6</f>
        <v>3937200</v>
      </c>
      <c r="EE28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29" spans="2:135">
      <c r="B29" s="148"/>
      <c r="C29" s="149"/>
      <c r="D29" s="150"/>
      <c r="E29" s="151"/>
      <c r="F29" s="151"/>
      <c r="G29" s="150" t="s">
        <v>340</v>
      </c>
      <c r="H29" s="153"/>
      <c r="I29" s="152" t="s">
        <v>340</v>
      </c>
      <c r="J29" s="130" t="str">
        <f>IFERROR(VLOOKUP(Datos_Origen[[#This Row],[Cargo Tipo Valorado]],Cargos_Catalogo[[#All],[Cargo]:[Área]],2,0),"")</f>
        <v>Coordinador de laboratorio</v>
      </c>
      <c r="K29" s="153"/>
      <c r="L29" s="153"/>
      <c r="M29" s="153"/>
      <c r="N29" s="153"/>
      <c r="O29" s="154">
        <f>Datos_Origen[[#This Row],[Segmentación Individual]]</f>
        <v>0</v>
      </c>
      <c r="P29" s="153"/>
      <c r="Q29" s="154">
        <f>VLOOKUP(Datos_Origen[[#This Row],[Cargo Tipo Valorado]],Cargos_Catalogo[#Data],MATCH(Cargos_Catalogo[[#Headers],[Puntos]],Cargos_Catalogo[#Headers],0),FALSE)</f>
        <v>204</v>
      </c>
      <c r="R29" s="130">
        <f>VLOOKUP(Datos_Origen[[#This Row],[Puntos valoración]],Categorias_Registro[#Data],MATCH(Categorias_Registro[[#Headers],[Categoria]],Categorias_Registro[#Headers],0),FALSE)</f>
        <v>7</v>
      </c>
      <c r="S29" s="130" t="str">
        <f>VLOOKUP(Datos_Origen[[#This Row],[Cargo Tipo Valorado]],Cargos_Catalogo[#Data],MATCH(Cargos_Catalogo[[#Headers],[Nivel SHR]],Cargos_Catalogo[#Headers],0),FALSE)</f>
        <v>Soporte</v>
      </c>
      <c r="T29" s="130" t="str">
        <f>VLOOKUP(Datos_Origen[[#This Row],[Cargo Tipo Valorado]],Cargos_Catalogo[#Data],MATCH(Cargos_Catalogo[[#Headers],[Criticidad]],Cargos_Catalogo[#Headers],0),FALSE)</f>
        <v>Relevante</v>
      </c>
      <c r="U29" s="154">
        <f>VLOOKUP(Datos_Origen[[#This Row],[Puntos valoración]],Categorias_Registro[#Data],5,FALSE)</f>
        <v>217</v>
      </c>
      <c r="V29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29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29" s="154">
        <f>SUMIF($BA$5:$BJ$5,"NCS",Datos_Origen[[#This Row],[auxilio Gasolina]:[Otro Beneficio10]])+(SUMIF($BA$5:$BJ$5,"CS",Datos_Origen[[#This Row],[auxilio Gasolina]:[Otro Beneficio10]])*1.17667)</f>
        <v>0</v>
      </c>
      <c r="Y29" s="155">
        <f>Datos_Origen[[#This Row],[Básico]]+Datos_Origen[[#This Row],[Promedio de Comisiones  ]]</f>
        <v>2404000</v>
      </c>
      <c r="Z29" s="155">
        <f>Datos_Origen[[#This Row],[Básico]]+Datos_Origen[[#This Row],[Promedio de Comisiones  ]]</f>
        <v>2404000</v>
      </c>
      <c r="AA29" s="155">
        <f>Datos_Origen[[#This Row],[Garantizado]]</f>
        <v>2828714.68</v>
      </c>
      <c r="AB29" s="155">
        <f>Datos_Origen[[#This Row],[Variable]]+Datos_Origen[[#This Row],[Garantizado]]</f>
        <v>2828714.68</v>
      </c>
      <c r="AC29" s="155">
        <f>Datos_Origen[[#This Row],[Beneficios]]+Datos_Origen[[#This Row],[Variable]]+Datos_Origen[[#This Row],[Garantizado]]</f>
        <v>2828714.68</v>
      </c>
      <c r="AD29" s="156">
        <v>14.12</v>
      </c>
      <c r="AE29" s="141">
        <v>230</v>
      </c>
      <c r="AF29" s="346">
        <v>4.3499999999999997E-2</v>
      </c>
      <c r="AG29" s="155">
        <f>Datos_Origen[[#This Row],[Básico Actual]]*230/Datos_Origen[[#This Row],['# horas mes]]</f>
        <v>2404000</v>
      </c>
      <c r="AH29" s="157">
        <v>2404000</v>
      </c>
      <c r="AI29" s="158"/>
      <c r="AJ29" s="158">
        <f>(((Datos_Origen[[#This Row],[Básico]])/30)*$AJ$6)/12</f>
        <v>0</v>
      </c>
      <c r="AK29" s="158"/>
      <c r="AL29" s="143">
        <f>((Datos_Origen[[#This Row],[Básico]])/30)*$AL$6/12</f>
        <v>0</v>
      </c>
      <c r="AM29" s="158"/>
      <c r="AN29" s="158"/>
      <c r="AO29" s="158"/>
      <c r="AP29" s="158"/>
      <c r="AQ29" s="158"/>
      <c r="AR29" s="149">
        <v>0</v>
      </c>
      <c r="AS29" s="149"/>
      <c r="AT29" s="159" t="str">
        <f>IFERROR(Datos_Origen[[#This Row],[Comisiones Target]]/Datos_Origen[[#This Row],[Promedio de Comisiones  ]],"")</f>
        <v/>
      </c>
      <c r="AU29" s="160"/>
      <c r="AV29" s="143">
        <v>0</v>
      </c>
      <c r="AW29" s="160"/>
      <c r="AX29" s="143">
        <f>Datos_Origen[[#This Row],[N Salarios de la Bonificación2]]*Datos_Origen[[#This Row],[Básico]]/12</f>
        <v>0</v>
      </c>
      <c r="AY29" s="160"/>
      <c r="AZ29" s="158"/>
      <c r="BA29" s="149">
        <v>0</v>
      </c>
      <c r="BB29" s="149"/>
      <c r="BC29" s="149"/>
      <c r="BD29" s="149"/>
      <c r="BE29" s="149"/>
      <c r="BF29" s="149"/>
      <c r="BG29" s="149"/>
      <c r="BH29" s="149"/>
      <c r="BI29" s="149"/>
      <c r="BJ29" s="149"/>
      <c r="BK29" s="159">
        <f>IFERROR(Datos_Origen[[#This Row],[Variable]]/Datos_Origen[[#This Row],[CT]],"")</f>
        <v>0</v>
      </c>
      <c r="BL29" s="159">
        <f>IFERROR(Datos_Origen[[#This Row],[Beneficios]]/Datos_Origen[[#This Row],[CT]],"")</f>
        <v>0</v>
      </c>
      <c r="BM29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29" s="161">
        <f>Datos_Origen[[#This Row],[G]]/Datos_Origen[[#This Row],[Geq]]</f>
        <v>0.96021510368543916</v>
      </c>
      <c r="BO29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29" s="161">
        <f>Datos_Origen[[#This Row],[G+V]]/Datos_Origen[[#This Row],[G+Veq]]</f>
        <v>0.89176690230820366</v>
      </c>
      <c r="BQ29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29" s="161">
        <f>Datos_Origen[[#This Row],[CT]]/Datos_Origen[[#This Row],[CTeq]]</f>
        <v>0.89107027538221539</v>
      </c>
      <c r="BS29" s="139">
        <f>ROUNDUP(VLOOKUP(Datos_Origen[[#This Row],[Categoria]],Competitividad_1[#All],2,0)*IndiceIncrementoC,-3)</f>
        <v>2906000</v>
      </c>
      <c r="BT29" s="161">
        <f>Datos_Origen[[#This Row],[G]]/Datos_Origen[[#This Row],[GQ1]]</f>
        <v>0.9734049139710943</v>
      </c>
      <c r="BU29" s="155">
        <f>ROUNDUP(VLOOKUP(Datos_Origen[[#This Row],[Categoria]],Competitividad_1[#All],3,0)*IndiceIncrementoC,-3)</f>
        <v>3009000</v>
      </c>
      <c r="BV29" s="161">
        <f>Datos_Origen[[#This Row],[G+V]]/Datos_Origen[[#This Row],[G+VQ1]]</f>
        <v>0.94008463941508813</v>
      </c>
      <c r="BW29" s="155">
        <f>ROUNDUP(VLOOKUP(Datos_Origen[[#This Row],[Categoria]],Competitividad_1[#All],4,0)*IndiceIncrementoC,-3)</f>
        <v>3129000</v>
      </c>
      <c r="BX29" s="161">
        <f>Datos_Origen[[#This Row],[CT]]/Datos_Origen[[#This Row],[CTQ1]]</f>
        <v>0.90403153723234264</v>
      </c>
      <c r="BY29" s="155">
        <f>ROUNDUP(VLOOKUP(Datos_Origen[[#This Row],[Categoria]],Competitividad_1[#All],5,0)*IndiceIncrementoC,-3)</f>
        <v>3456000</v>
      </c>
      <c r="BZ29" s="161">
        <f>Datos_Origen[[#This Row],[G]]/Datos_Origen[[#This Row],[GMd]]</f>
        <v>0.81849383101851858</v>
      </c>
      <c r="CA29" s="155">
        <f>ROUNDUP(VLOOKUP(Datos_Origen[[#This Row],[Categoria]],Competitividad_1[#All],6,0)*IndiceIncrementoC,-3)</f>
        <v>3483000</v>
      </c>
      <c r="CB29" s="161">
        <f>Datos_Origen[[#This Row],[G+V]]/Datos_Origen[[#This Row],[G+VMd]]</f>
        <v>0.81214891759977037</v>
      </c>
      <c r="CC29" s="155">
        <f>ROUNDUP(VLOOKUP(Datos_Origen[[#This Row],[Categoria]],Competitividad_1[#All],7,0)*IndiceIncrementoC,-3)</f>
        <v>3645000</v>
      </c>
      <c r="CD29" s="161">
        <f>Datos_Origen[[#This Row],[CT]]/Datos_Origen[[#This Row],[CTMd]]</f>
        <v>0.77605341015089169</v>
      </c>
      <c r="CE29" s="155">
        <f>+Datos_Origen[[#This Row],[GMd]]/1.17666666667</f>
        <v>2937110.4815780818</v>
      </c>
      <c r="CF29" s="161">
        <f>+Datos_Origen[[#This Row],[Básico Actual]]/Datos_Origen[[#This Row],[Salario Basico Md]]</f>
        <v>0.81849151234799766</v>
      </c>
      <c r="CG29" s="155">
        <f>ROUNDUP(VLOOKUP(Datos_Origen[[#This Row],[Categoria]],Competitividad_1[#All],8,0)*IndiceIncrementoC,-3)</f>
        <v>4712000</v>
      </c>
      <c r="CH29" s="161">
        <f>Datos_Origen[[#This Row],[G]]/Datos_Origen[[#This Row],[GQ3]]</f>
        <v>0.60032145161290329</v>
      </c>
      <c r="CI29" s="155">
        <f>ROUNDUP(VLOOKUP(Datos_Origen[[#This Row],[Categoria]],Competitividad_1[#All],9,0)*IndiceIncrementoC,-3)</f>
        <v>4847000</v>
      </c>
      <c r="CJ29" s="161">
        <f>Datos_Origen[[#This Row],[G+V]]/Datos_Origen[[#This Row],[G+VQ3]]</f>
        <v>0.58360113059624519</v>
      </c>
      <c r="CK29" s="155">
        <f>ROUNDUP(VLOOKUP(Datos_Origen[[#This Row],[Categoria]],Competitividad_1[#All],10,0)*IndiceIncrementoC,-3)</f>
        <v>4977000</v>
      </c>
      <c r="CL29" s="161">
        <f>Datos_Origen[[#This Row],[CT]]/Datos_Origen[[#This Row],[CTQ3]]</f>
        <v>0.5683573799477597</v>
      </c>
      <c r="CM29" s="162">
        <f>IF(ROUND(Datos_Origen[[#This Row],[Salario Ordinario Pol2]],-3)&lt;SMMLV,SMMLV,ROUND(Datos_Origen[[#This Row],[Salario Ordinario Pol2]],-3))</f>
        <v>2231000</v>
      </c>
      <c r="CN29" s="155">
        <f>IF(Datos_Origen[[#This Row],[Gpol]]/(1+FactorPrestacionalOrdinario)&lt;SMMLV,SMMLV,Datos_Origen[[#This Row],[Gpol]]/(1+FactorPrestacionalOrdinario))</f>
        <v>2788385.2691218127</v>
      </c>
      <c r="CO29" s="161">
        <f>IFERROR(IF(Datos_Origen[[#This Row],[Salarios Año]]=14.12,Datos_Origen[[#This Row],[Básico]]/Datos_Origen[[#This Row],[Salario Ordinario Pol]],""),"")</f>
        <v>0.86214771919130362</v>
      </c>
      <c r="CP29" s="155">
        <f>IF(ROUND(Datos_Origen[[#This Row],[Salario Ordinario Pol22]],-3)&lt;SMMLV,SMMLV,ROUND(Datos_Origen[[#This Row],[Salario Ordinario Pol22]],-3))</f>
        <v>3346000</v>
      </c>
      <c r="CQ29" s="155" t="str">
        <f>IFERROR(ROUND(Datos_Origen[[#This Row],[Salario Integral Pol4]],-3),"")</f>
        <v/>
      </c>
      <c r="CR29" s="139" t="str">
        <f>IF((Datos_Origen[[#This Row],[Gpol]]/(1+FactorPrestacionalIntegral))&lt;(13*SMMLV),"",(Datos_Origen[[#This Row],[Gpol]]/(1+FactorPrestacionalIntegral)))</f>
        <v/>
      </c>
      <c r="CS29" s="161" t="str">
        <f>IFERROR(IF(Datos_Origen[[#This Row],[Salarios Año]]=12,Datos_Origen[[#This Row],[Básico]]/Datos_Origen[[#This Row],[Salario Integral Pol]],""),"")</f>
        <v/>
      </c>
      <c r="CT29" s="155" t="str">
        <f>IFERROR(ROUND(Datos_Origen[[#This Row],[Salario Integral Pol44]],-3),"")</f>
        <v/>
      </c>
      <c r="CU29" s="155">
        <f>Datos_Origen[[#This Row],[G+Vpol]]-Datos_Origen[[#This Row],[Variable]]</f>
        <v>3281000</v>
      </c>
      <c r="CV29" s="161">
        <f>Datos_Origen[[#This Row],[G]]/Datos_Origen[[#This Row],[Gpol]]</f>
        <v>0.86215016153611712</v>
      </c>
      <c r="CW29" s="154">
        <f>Datos_Origen[[#This Row],[Ctpol]]-Datos_Origen[[#This Row],[Beneficios]]</f>
        <v>3281000</v>
      </c>
      <c r="CX29" s="161">
        <f>Datos_Origen[[#This Row],[G+V]]/Datos_Origen[[#This Row],[G+Vpol]]</f>
        <v>0.86215016153611712</v>
      </c>
      <c r="CY29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3281000</v>
      </c>
      <c r="CZ29" s="161">
        <f>Datos_Origen[[#This Row],[CT]]/Datos_Origen[[#This Row],[Ctpol]]</f>
        <v>0.86215016153611712</v>
      </c>
      <c r="DA29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29" s="158">
        <f>IF(Datos_Origen[[#This Row],[Básico]]&lt;10*SMMLV,0,Datos_Origen[[#This Row],[Base Seguridad Social Actual]]*8.5%)</f>
        <v>0</v>
      </c>
      <c r="DC29" s="158">
        <f>Datos_Origen[[#This Row],[Base Seguridad Social Actual]]*12%</f>
        <v>288480</v>
      </c>
      <c r="DD29" s="158">
        <f>Datos_Origen[[#This Row],[Base Seguridad Social Actual]]*Datos_Origen[[#This Row],[%ARL]]</f>
        <v>104574</v>
      </c>
      <c r="DE29" s="158">
        <f>IF(Datos_Origen[[#This Row],[Básico]]&lt;10*SMMLV,Datos_Origen[[#This Row],[Base Seguridad Social Actual]]*4%,Datos_Origen[[#This Row],[Base Seguridad Social Actual]]*9%)</f>
        <v>96160</v>
      </c>
      <c r="DF29" s="158">
        <f>Datos_Origen[[#This Row],[Salud]]+Datos_Origen[[#This Row],[Pensión]]+Datos_Origen[[#This Row],[ARL]]+Datos_Origen[[#This Row],[Parafiscales]]</f>
        <v>489214</v>
      </c>
      <c r="DG29" s="163">
        <f>Datos_Origen[[#This Row],[Costo Laboral Actual]]+Datos_Origen[[#This Row],[CT]]</f>
        <v>3317928.68</v>
      </c>
      <c r="DH29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2788385.2691218127</v>
      </c>
      <c r="DI29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29" s="158">
        <f>Datos_Origen[[#This Row],[Base Seguridad Social Nueva]]*12%</f>
        <v>334606.23229461751</v>
      </c>
      <c r="DK29" s="158">
        <f>Datos_Origen[[#This Row],[Base Seguridad Social Nueva]]*Datos_Origen[[#This Row],[%ARL]]</f>
        <v>121294.75920679884</v>
      </c>
      <c r="DL29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111535.4107648725</v>
      </c>
      <c r="DM29" s="158">
        <f>Datos_Origen[[#This Row],[Salud Nueva]]+Datos_Origen[[#This Row],[Pensión Nueva]]+Datos_Origen[[#This Row],[ARL nueva]]+Datos_Origen[[#This Row],[Parafiscales Nuevos]]</f>
        <v>567436.40226628887</v>
      </c>
      <c r="DN29" s="158">
        <f>Datos_Origen[[#This Row],[Costo Laboral Nuevo]]+Datos_Origen[[#This Row],[Ctpol]]</f>
        <v>3848436.4022662891</v>
      </c>
      <c r="DO29" s="158">
        <f>IF(Datos_Origen[[#This Row],[Ctpol]]-Datos_Origen[[#This Row],[CT]]&lt;=0,0,Datos_Origen[[#This Row],[Costo Total Nuevo]]-Datos_Origen[[#This Row],[Costo Total Actual]])</f>
        <v>530507.72226628894</v>
      </c>
      <c r="DP29" s="158">
        <f>IF(Datos_Origen[[#This Row],[Ctpol]]-Datos_Origen[[#This Row],[CT]]&lt;=0,0,Datos_Origen[[#This Row],[Ctpol]]-Datos_Origen[[#This Row],[CT]])</f>
        <v>452285.31999999983</v>
      </c>
      <c r="DQ29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78222.402266288875</v>
      </c>
      <c r="DR29" s="158">
        <f>ROUNDDOWN(VLOOKUP(Datos_Origen[[#This Row],[Categoria]],Competitividad_1[],7,0)*IndiceIncrementoC,-3)</f>
        <v>3644000</v>
      </c>
      <c r="DS29" s="158">
        <f>Datos_Origen[[#This Row],[CTeq]]*0.8</f>
        <v>2539610.855080226</v>
      </c>
      <c r="DT29" s="158">
        <f>Datos_Origen[[#This Row],[CTeq]]*1.2</f>
        <v>3809416.2826203383</v>
      </c>
      <c r="DU29" s="155">
        <f>IF(Datos_Origen[[#This Row],[Gpol6]]/(1+FactorPrestacionalOrdinario)&lt;SMMLV,SMMLV,Datos_Origen[[#This Row],[Gpol6]]/(1+FactorPrestacionalOrdinario))</f>
        <v>2230708.2152974503</v>
      </c>
      <c r="DV29" s="139" t="str">
        <f>IF((Datos_Origen[[#This Row],[Gpol6]]/(1+FactorPrestacionalIntegral))&lt;(13*SMMLV),"",(Datos_Origen[[#This Row],[Gpol6]]/(1+FactorPrestacionalIntegral)))</f>
        <v/>
      </c>
      <c r="DW29" s="154">
        <f>Datos_Origen[[#This Row],[G+Vpol8]]</f>
        <v>2624800</v>
      </c>
      <c r="DX29" s="154">
        <f>Datos_Origen[[#This Row],[Ctpol10]]-Datos_Origen[[#This Row],[Beneficios]]</f>
        <v>2624800</v>
      </c>
      <c r="DY29" s="154">
        <f>Datos_Origen[[#This Row],[Ctpol]]*$CM$6</f>
        <v>2624800</v>
      </c>
      <c r="DZ29" s="155">
        <f>IF(Datos_Origen[[#This Row],[Gpol66]]/(1+FactorPrestacionalOrdinario)&lt;SMMLV,SMMLV,Datos_Origen[[#This Row],[Gpol66]]/(1+FactorPrestacionalOrdinario))</f>
        <v>3346062.3229461755</v>
      </c>
      <c r="EA29" s="139" t="str">
        <f>IF((Datos_Origen[[#This Row],[Gpol66]]/(1+FactorPrestacionalIntegral))&lt;(13*SMMLV),"",(Datos_Origen[[#This Row],[Gpol66]]/(1+FactorPrestacionalIntegral)))</f>
        <v/>
      </c>
      <c r="EB29" s="154">
        <f>Datos_Origen[[#This Row],[G+Vpol88]]</f>
        <v>3937200</v>
      </c>
      <c r="EC29" s="154">
        <f>Datos_Origen[[#This Row],[Ctpol1010]]-Datos_Origen[[#This Row],[Beneficios]]</f>
        <v>3937200</v>
      </c>
      <c r="ED29" s="154">
        <f>Datos_Origen[[#This Row],[Ctpol]]*$CP$6</f>
        <v>3937200</v>
      </c>
      <c r="EE29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30" spans="2:135">
      <c r="B30" s="132"/>
      <c r="C30" s="149"/>
      <c r="D30" s="150"/>
      <c r="E30" s="151"/>
      <c r="F30" s="151"/>
      <c r="G30" s="150" t="s">
        <v>340</v>
      </c>
      <c r="H30" s="153"/>
      <c r="I30" s="152" t="s">
        <v>340</v>
      </c>
      <c r="J30" s="130" t="str">
        <f>IFERROR(VLOOKUP(Datos_Origen[[#This Row],[Cargo Tipo Valorado]],Cargos_Catalogo[[#All],[Cargo]:[Área]],2,0),"")</f>
        <v>Coordinador de laboratorio</v>
      </c>
      <c r="K30" s="153"/>
      <c r="L30" s="153"/>
      <c r="M30" s="153"/>
      <c r="N30" s="153"/>
      <c r="O30" s="154">
        <f>Datos_Origen[[#This Row],[Segmentación Individual]]</f>
        <v>0</v>
      </c>
      <c r="P30" s="153"/>
      <c r="Q30" s="154">
        <f>VLOOKUP(Datos_Origen[[#This Row],[Cargo Tipo Valorado]],Cargos_Catalogo[#Data],MATCH(Cargos_Catalogo[[#Headers],[Puntos]],Cargos_Catalogo[#Headers],0),FALSE)</f>
        <v>204</v>
      </c>
      <c r="R30" s="130">
        <f>VLOOKUP(Datos_Origen[[#This Row],[Puntos valoración]],Categorias_Registro[#Data],MATCH(Categorias_Registro[[#Headers],[Categoria]],Categorias_Registro[#Headers],0),FALSE)</f>
        <v>7</v>
      </c>
      <c r="S30" s="130" t="str">
        <f>VLOOKUP(Datos_Origen[[#This Row],[Cargo Tipo Valorado]],Cargos_Catalogo[#Data],MATCH(Cargos_Catalogo[[#Headers],[Nivel SHR]],Cargos_Catalogo[#Headers],0),FALSE)</f>
        <v>Soporte</v>
      </c>
      <c r="T30" s="130" t="str">
        <f>VLOOKUP(Datos_Origen[[#This Row],[Cargo Tipo Valorado]],Cargos_Catalogo[#Data],MATCH(Cargos_Catalogo[[#Headers],[Criticidad]],Cargos_Catalogo[#Headers],0),FALSE)</f>
        <v>Relevante</v>
      </c>
      <c r="U30" s="154">
        <f>VLOOKUP(Datos_Origen[[#This Row],[Puntos valoración]],Categorias_Registro[#Data],5,FALSE)</f>
        <v>217</v>
      </c>
      <c r="V30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30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30" s="154">
        <f>SUMIF($BA$5:$BJ$5,"NCS",Datos_Origen[[#This Row],[auxilio Gasolina]:[Otro Beneficio10]])+(SUMIF($BA$5:$BJ$5,"CS",Datos_Origen[[#This Row],[auxilio Gasolina]:[Otro Beneficio10]])*1.17667)</f>
        <v>0</v>
      </c>
      <c r="Y30" s="155">
        <f>Datos_Origen[[#This Row],[Básico]]+Datos_Origen[[#This Row],[Promedio de Comisiones  ]]</f>
        <v>2404000</v>
      </c>
      <c r="Z30" s="155">
        <f>Datos_Origen[[#This Row],[Básico]]+Datos_Origen[[#This Row],[Promedio de Comisiones  ]]</f>
        <v>2404000</v>
      </c>
      <c r="AA30" s="155">
        <f>Datos_Origen[[#This Row],[Garantizado]]</f>
        <v>2828714.68</v>
      </c>
      <c r="AB30" s="155">
        <f>Datos_Origen[[#This Row],[Variable]]+Datos_Origen[[#This Row],[Garantizado]]</f>
        <v>2828714.68</v>
      </c>
      <c r="AC30" s="155">
        <f>Datos_Origen[[#This Row],[Beneficios]]+Datos_Origen[[#This Row],[Variable]]+Datos_Origen[[#This Row],[Garantizado]]</f>
        <v>2828714.68</v>
      </c>
      <c r="AD30" s="156">
        <v>14.12</v>
      </c>
      <c r="AE30" s="141">
        <v>230</v>
      </c>
      <c r="AF30" s="345">
        <v>4.3499999999999997E-2</v>
      </c>
      <c r="AG30" s="155">
        <f>Datos_Origen[[#This Row],[Básico Actual]]*230/Datos_Origen[[#This Row],['# horas mes]]</f>
        <v>2404000</v>
      </c>
      <c r="AH30" s="157">
        <v>2404000</v>
      </c>
      <c r="AI30" s="158"/>
      <c r="AJ30" s="158">
        <f>(((Datos_Origen[[#This Row],[Básico]])/30)*$AJ$6)/12</f>
        <v>0</v>
      </c>
      <c r="AK30" s="158"/>
      <c r="AL30" s="143">
        <f>((Datos_Origen[[#This Row],[Básico]])/30)*$AL$6/12</f>
        <v>0</v>
      </c>
      <c r="AM30" s="158"/>
      <c r="AN30" s="158"/>
      <c r="AO30" s="158"/>
      <c r="AP30" s="158"/>
      <c r="AQ30" s="158"/>
      <c r="AR30" s="149">
        <v>0</v>
      </c>
      <c r="AS30" s="149"/>
      <c r="AT30" s="159" t="str">
        <f>IFERROR(Datos_Origen[[#This Row],[Comisiones Target]]/Datos_Origen[[#This Row],[Promedio de Comisiones  ]],"")</f>
        <v/>
      </c>
      <c r="AU30" s="160"/>
      <c r="AV30" s="143">
        <v>0</v>
      </c>
      <c r="AW30" s="160"/>
      <c r="AX30" s="143">
        <f>Datos_Origen[[#This Row],[N Salarios de la Bonificación2]]*Datos_Origen[[#This Row],[Básico]]/12</f>
        <v>0</v>
      </c>
      <c r="AY30" s="160"/>
      <c r="AZ30" s="158"/>
      <c r="BA30" s="149">
        <v>0</v>
      </c>
      <c r="BB30" s="149"/>
      <c r="BC30" s="149"/>
      <c r="BD30" s="149"/>
      <c r="BE30" s="149"/>
      <c r="BF30" s="149"/>
      <c r="BG30" s="149"/>
      <c r="BH30" s="149"/>
      <c r="BI30" s="149"/>
      <c r="BJ30" s="149"/>
      <c r="BK30" s="159">
        <f>IFERROR(Datos_Origen[[#This Row],[Variable]]/Datos_Origen[[#This Row],[CT]],"")</f>
        <v>0</v>
      </c>
      <c r="BL30" s="159">
        <f>IFERROR(Datos_Origen[[#This Row],[Beneficios]]/Datos_Origen[[#This Row],[CT]],"")</f>
        <v>0</v>
      </c>
      <c r="BM30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30" s="161">
        <f>Datos_Origen[[#This Row],[G]]/Datos_Origen[[#This Row],[Geq]]</f>
        <v>0.96021510368543916</v>
      </c>
      <c r="BO30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30" s="161">
        <f>Datos_Origen[[#This Row],[G+V]]/Datos_Origen[[#This Row],[G+Veq]]</f>
        <v>0.89176690230820366</v>
      </c>
      <c r="BQ30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30" s="161">
        <f>Datos_Origen[[#This Row],[CT]]/Datos_Origen[[#This Row],[CTeq]]</f>
        <v>0.89107027538221539</v>
      </c>
      <c r="BS30" s="139">
        <f>ROUNDUP(VLOOKUP(Datos_Origen[[#This Row],[Categoria]],Competitividad_1[#All],2,0)*IndiceIncrementoC,-3)</f>
        <v>2906000</v>
      </c>
      <c r="BT30" s="161">
        <f>Datos_Origen[[#This Row],[G]]/Datos_Origen[[#This Row],[GQ1]]</f>
        <v>0.9734049139710943</v>
      </c>
      <c r="BU30" s="155">
        <f>ROUNDUP(VLOOKUP(Datos_Origen[[#This Row],[Categoria]],Competitividad_1[#All],3,0)*IndiceIncrementoC,-3)</f>
        <v>3009000</v>
      </c>
      <c r="BV30" s="161">
        <f>Datos_Origen[[#This Row],[G+V]]/Datos_Origen[[#This Row],[G+VQ1]]</f>
        <v>0.94008463941508813</v>
      </c>
      <c r="BW30" s="155">
        <f>ROUNDUP(VLOOKUP(Datos_Origen[[#This Row],[Categoria]],Competitividad_1[#All],4,0)*IndiceIncrementoC,-3)</f>
        <v>3129000</v>
      </c>
      <c r="BX30" s="161">
        <f>Datos_Origen[[#This Row],[CT]]/Datos_Origen[[#This Row],[CTQ1]]</f>
        <v>0.90403153723234264</v>
      </c>
      <c r="BY30" s="155">
        <f>ROUNDUP(VLOOKUP(Datos_Origen[[#This Row],[Categoria]],Competitividad_1[#All],5,0)*IndiceIncrementoC,-3)</f>
        <v>3456000</v>
      </c>
      <c r="BZ30" s="161">
        <f>Datos_Origen[[#This Row],[G]]/Datos_Origen[[#This Row],[GMd]]</f>
        <v>0.81849383101851858</v>
      </c>
      <c r="CA30" s="155">
        <f>ROUNDUP(VLOOKUP(Datos_Origen[[#This Row],[Categoria]],Competitividad_1[#All],6,0)*IndiceIncrementoC,-3)</f>
        <v>3483000</v>
      </c>
      <c r="CB30" s="161">
        <f>Datos_Origen[[#This Row],[G+V]]/Datos_Origen[[#This Row],[G+VMd]]</f>
        <v>0.81214891759977037</v>
      </c>
      <c r="CC30" s="155">
        <f>ROUNDUP(VLOOKUP(Datos_Origen[[#This Row],[Categoria]],Competitividad_1[#All],7,0)*IndiceIncrementoC,-3)</f>
        <v>3645000</v>
      </c>
      <c r="CD30" s="161">
        <f>Datos_Origen[[#This Row],[CT]]/Datos_Origen[[#This Row],[CTMd]]</f>
        <v>0.77605341015089169</v>
      </c>
      <c r="CE30" s="155">
        <f>+Datos_Origen[[#This Row],[GMd]]/1.17666666667</f>
        <v>2937110.4815780818</v>
      </c>
      <c r="CF30" s="161">
        <f>+Datos_Origen[[#This Row],[Básico Actual]]/Datos_Origen[[#This Row],[Salario Basico Md]]</f>
        <v>0.81849151234799766</v>
      </c>
      <c r="CG30" s="155">
        <f>ROUNDUP(VLOOKUP(Datos_Origen[[#This Row],[Categoria]],Competitividad_1[#All],8,0)*IndiceIncrementoC,-3)</f>
        <v>4712000</v>
      </c>
      <c r="CH30" s="161">
        <f>Datos_Origen[[#This Row],[G]]/Datos_Origen[[#This Row],[GQ3]]</f>
        <v>0.60032145161290329</v>
      </c>
      <c r="CI30" s="155">
        <f>ROUNDUP(VLOOKUP(Datos_Origen[[#This Row],[Categoria]],Competitividad_1[#All],9,0)*IndiceIncrementoC,-3)</f>
        <v>4847000</v>
      </c>
      <c r="CJ30" s="161">
        <f>Datos_Origen[[#This Row],[G+V]]/Datos_Origen[[#This Row],[G+VQ3]]</f>
        <v>0.58360113059624519</v>
      </c>
      <c r="CK30" s="155">
        <f>ROUNDUP(VLOOKUP(Datos_Origen[[#This Row],[Categoria]],Competitividad_1[#All],10,0)*IndiceIncrementoC,-3)</f>
        <v>4977000</v>
      </c>
      <c r="CL30" s="161">
        <f>Datos_Origen[[#This Row],[CT]]/Datos_Origen[[#This Row],[CTQ3]]</f>
        <v>0.5683573799477597</v>
      </c>
      <c r="CM30" s="162">
        <f>IF(ROUND(Datos_Origen[[#This Row],[Salario Ordinario Pol2]],-3)&lt;SMMLV,SMMLV,ROUND(Datos_Origen[[#This Row],[Salario Ordinario Pol2]],-3))</f>
        <v>2231000</v>
      </c>
      <c r="CN30" s="155">
        <f>IF(Datos_Origen[[#This Row],[Gpol]]/(1+FactorPrestacionalOrdinario)&lt;SMMLV,SMMLV,Datos_Origen[[#This Row],[Gpol]]/(1+FactorPrestacionalOrdinario))</f>
        <v>2788385.2691218127</v>
      </c>
      <c r="CO30" s="161">
        <f>IFERROR(IF(Datos_Origen[[#This Row],[Salarios Año]]=14.12,Datos_Origen[[#This Row],[Básico]]/Datos_Origen[[#This Row],[Salario Ordinario Pol]],""),"")</f>
        <v>0.86214771919130362</v>
      </c>
      <c r="CP30" s="155">
        <f>IF(ROUND(Datos_Origen[[#This Row],[Salario Ordinario Pol22]],-3)&lt;SMMLV,SMMLV,ROUND(Datos_Origen[[#This Row],[Salario Ordinario Pol22]],-3))</f>
        <v>3346000</v>
      </c>
      <c r="CQ30" s="155" t="str">
        <f>IFERROR(ROUND(Datos_Origen[[#This Row],[Salario Integral Pol4]],-3),"")</f>
        <v/>
      </c>
      <c r="CR30" s="139" t="str">
        <f>IF((Datos_Origen[[#This Row],[Gpol]]/(1+FactorPrestacionalIntegral))&lt;(13*SMMLV),"",(Datos_Origen[[#This Row],[Gpol]]/(1+FactorPrestacionalIntegral)))</f>
        <v/>
      </c>
      <c r="CS30" s="161" t="str">
        <f>IFERROR(IF(Datos_Origen[[#This Row],[Salarios Año]]=12,Datos_Origen[[#This Row],[Básico]]/Datos_Origen[[#This Row],[Salario Integral Pol]],""),"")</f>
        <v/>
      </c>
      <c r="CT30" s="155" t="str">
        <f>IFERROR(ROUND(Datos_Origen[[#This Row],[Salario Integral Pol44]],-3),"")</f>
        <v/>
      </c>
      <c r="CU30" s="155">
        <f>Datos_Origen[[#This Row],[G+Vpol]]-Datos_Origen[[#This Row],[Variable]]</f>
        <v>3281000</v>
      </c>
      <c r="CV30" s="161">
        <f>Datos_Origen[[#This Row],[G]]/Datos_Origen[[#This Row],[Gpol]]</f>
        <v>0.86215016153611712</v>
      </c>
      <c r="CW30" s="154">
        <f>Datos_Origen[[#This Row],[Ctpol]]-Datos_Origen[[#This Row],[Beneficios]]</f>
        <v>3281000</v>
      </c>
      <c r="CX30" s="161">
        <f>Datos_Origen[[#This Row],[G+V]]/Datos_Origen[[#This Row],[G+Vpol]]</f>
        <v>0.86215016153611712</v>
      </c>
      <c r="CY30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3281000</v>
      </c>
      <c r="CZ30" s="161">
        <f>Datos_Origen[[#This Row],[CT]]/Datos_Origen[[#This Row],[Ctpol]]</f>
        <v>0.86215016153611712</v>
      </c>
      <c r="DA30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30" s="158">
        <f>IF(Datos_Origen[[#This Row],[Básico]]&lt;10*SMMLV,0,Datos_Origen[[#This Row],[Base Seguridad Social Actual]]*8.5%)</f>
        <v>0</v>
      </c>
      <c r="DC30" s="158">
        <f>Datos_Origen[[#This Row],[Base Seguridad Social Actual]]*12%</f>
        <v>288480</v>
      </c>
      <c r="DD30" s="158">
        <f>Datos_Origen[[#This Row],[Base Seguridad Social Actual]]*Datos_Origen[[#This Row],[%ARL]]</f>
        <v>104574</v>
      </c>
      <c r="DE30" s="158">
        <f>IF(Datos_Origen[[#This Row],[Básico]]&lt;10*SMMLV,Datos_Origen[[#This Row],[Base Seguridad Social Actual]]*4%,Datos_Origen[[#This Row],[Base Seguridad Social Actual]]*9%)</f>
        <v>96160</v>
      </c>
      <c r="DF30" s="158">
        <f>Datos_Origen[[#This Row],[Salud]]+Datos_Origen[[#This Row],[Pensión]]+Datos_Origen[[#This Row],[ARL]]+Datos_Origen[[#This Row],[Parafiscales]]</f>
        <v>489214</v>
      </c>
      <c r="DG30" s="163">
        <f>Datos_Origen[[#This Row],[Costo Laboral Actual]]+Datos_Origen[[#This Row],[CT]]</f>
        <v>3317928.68</v>
      </c>
      <c r="DH30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2788385.2691218127</v>
      </c>
      <c r="DI30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30" s="158">
        <f>Datos_Origen[[#This Row],[Base Seguridad Social Nueva]]*12%</f>
        <v>334606.23229461751</v>
      </c>
      <c r="DK30" s="158">
        <f>Datos_Origen[[#This Row],[Base Seguridad Social Nueva]]*Datos_Origen[[#This Row],[%ARL]]</f>
        <v>121294.75920679884</v>
      </c>
      <c r="DL30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111535.4107648725</v>
      </c>
      <c r="DM30" s="158">
        <f>Datos_Origen[[#This Row],[Salud Nueva]]+Datos_Origen[[#This Row],[Pensión Nueva]]+Datos_Origen[[#This Row],[ARL nueva]]+Datos_Origen[[#This Row],[Parafiscales Nuevos]]</f>
        <v>567436.40226628887</v>
      </c>
      <c r="DN30" s="158">
        <f>Datos_Origen[[#This Row],[Costo Laboral Nuevo]]+Datos_Origen[[#This Row],[Ctpol]]</f>
        <v>3848436.4022662891</v>
      </c>
      <c r="DO30" s="158">
        <f>IF(Datos_Origen[[#This Row],[Ctpol]]-Datos_Origen[[#This Row],[CT]]&lt;=0,0,Datos_Origen[[#This Row],[Costo Total Nuevo]]-Datos_Origen[[#This Row],[Costo Total Actual]])</f>
        <v>530507.72226628894</v>
      </c>
      <c r="DP30" s="158">
        <f>IF(Datos_Origen[[#This Row],[Ctpol]]-Datos_Origen[[#This Row],[CT]]&lt;=0,0,Datos_Origen[[#This Row],[Ctpol]]-Datos_Origen[[#This Row],[CT]])</f>
        <v>452285.31999999983</v>
      </c>
      <c r="DQ30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78222.402266288875</v>
      </c>
      <c r="DR30" s="158">
        <f>ROUNDDOWN(VLOOKUP(Datos_Origen[[#This Row],[Categoria]],Competitividad_1[],7,0)*IndiceIncrementoC,-3)</f>
        <v>3644000</v>
      </c>
      <c r="DS30" s="158">
        <f>Datos_Origen[[#This Row],[CTeq]]*0.8</f>
        <v>2539610.855080226</v>
      </c>
      <c r="DT30" s="158">
        <f>Datos_Origen[[#This Row],[CTeq]]*1.2</f>
        <v>3809416.2826203383</v>
      </c>
      <c r="DU30" s="155">
        <f>IF(Datos_Origen[[#This Row],[Gpol6]]/(1+FactorPrestacionalOrdinario)&lt;SMMLV,SMMLV,Datos_Origen[[#This Row],[Gpol6]]/(1+FactorPrestacionalOrdinario))</f>
        <v>2230708.2152974503</v>
      </c>
      <c r="DV30" s="139" t="str">
        <f>IF((Datos_Origen[[#This Row],[Gpol6]]/(1+FactorPrestacionalIntegral))&lt;(13*SMMLV),"",(Datos_Origen[[#This Row],[Gpol6]]/(1+FactorPrestacionalIntegral)))</f>
        <v/>
      </c>
      <c r="DW30" s="154">
        <f>Datos_Origen[[#This Row],[G+Vpol8]]</f>
        <v>2624800</v>
      </c>
      <c r="DX30" s="154">
        <f>Datos_Origen[[#This Row],[Ctpol10]]-Datos_Origen[[#This Row],[Beneficios]]</f>
        <v>2624800</v>
      </c>
      <c r="DY30" s="154">
        <f>Datos_Origen[[#This Row],[Ctpol]]*$CM$6</f>
        <v>2624800</v>
      </c>
      <c r="DZ30" s="155">
        <f>IF(Datos_Origen[[#This Row],[Gpol66]]/(1+FactorPrestacionalOrdinario)&lt;SMMLV,SMMLV,Datos_Origen[[#This Row],[Gpol66]]/(1+FactorPrestacionalOrdinario))</f>
        <v>3346062.3229461755</v>
      </c>
      <c r="EA30" s="139" t="str">
        <f>IF((Datos_Origen[[#This Row],[Gpol66]]/(1+FactorPrestacionalIntegral))&lt;(13*SMMLV),"",(Datos_Origen[[#This Row],[Gpol66]]/(1+FactorPrestacionalIntegral)))</f>
        <v/>
      </c>
      <c r="EB30" s="154">
        <f>Datos_Origen[[#This Row],[G+Vpol88]]</f>
        <v>3937200</v>
      </c>
      <c r="EC30" s="154">
        <f>Datos_Origen[[#This Row],[Ctpol1010]]-Datos_Origen[[#This Row],[Beneficios]]</f>
        <v>3937200</v>
      </c>
      <c r="ED30" s="154">
        <f>Datos_Origen[[#This Row],[Ctpol]]*$CP$6</f>
        <v>3937200</v>
      </c>
      <c r="EE30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31" spans="2:135">
      <c r="B31" s="148"/>
      <c r="C31" s="149"/>
      <c r="D31" s="150"/>
      <c r="E31" s="151"/>
      <c r="F31" s="151"/>
      <c r="G31" s="150" t="s">
        <v>341</v>
      </c>
      <c r="H31" s="153"/>
      <c r="I31" s="152" t="s">
        <v>341</v>
      </c>
      <c r="J31" s="130" t="str">
        <f>IFERROR(VLOOKUP(Datos_Origen[[#This Row],[Cargo Tipo Valorado]],Cargos_Catalogo[[#All],[Cargo]:[Área]],2,0),"")</f>
        <v>Directora de diseño y desarrollo</v>
      </c>
      <c r="K31" s="153"/>
      <c r="L31" s="153"/>
      <c r="M31" s="153"/>
      <c r="N31" s="153"/>
      <c r="O31" s="154">
        <f>Datos_Origen[[#This Row],[Segmentación Individual]]</f>
        <v>0</v>
      </c>
      <c r="P31" s="153"/>
      <c r="Q31" s="154">
        <f>VLOOKUP(Datos_Origen[[#This Row],[Cargo Tipo Valorado]],Cargos_Catalogo[#Data],MATCH(Cargos_Catalogo[[#Headers],[Puntos]],Cargos_Catalogo[#Headers],0),FALSE)</f>
        <v>204</v>
      </c>
      <c r="R31" s="130">
        <f>VLOOKUP(Datos_Origen[[#This Row],[Puntos valoración]],Categorias_Registro[#Data],MATCH(Categorias_Registro[[#Headers],[Categoria]],Categorias_Registro[#Headers],0),FALSE)</f>
        <v>7</v>
      </c>
      <c r="S31" s="130" t="str">
        <f>VLOOKUP(Datos_Origen[[#This Row],[Cargo Tipo Valorado]],Cargos_Catalogo[#Data],MATCH(Cargos_Catalogo[[#Headers],[Nivel SHR]],Cargos_Catalogo[#Headers],0),FALSE)</f>
        <v>Soporte</v>
      </c>
      <c r="T31" s="130" t="str">
        <f>VLOOKUP(Datos_Origen[[#This Row],[Cargo Tipo Valorado]],Cargos_Catalogo[#Data],MATCH(Cargos_Catalogo[[#Headers],[Criticidad]],Cargos_Catalogo[#Headers],0),FALSE)</f>
        <v>Relevante</v>
      </c>
      <c r="U31" s="154">
        <f>VLOOKUP(Datos_Origen[[#This Row],[Puntos valoración]],Categorias_Registro[#Data],5,FALSE)</f>
        <v>217</v>
      </c>
      <c r="V31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2295683.1700000004</v>
      </c>
      <c r="W31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31" s="154">
        <f>SUMIF($BA$5:$BJ$5,"NCS",Datos_Origen[[#This Row],[auxilio Gasolina]:[Otro Beneficio10]])+(SUMIF($BA$5:$BJ$5,"CS",Datos_Origen[[#This Row],[auxilio Gasolina]:[Otro Beneficio10]])*1.17667)</f>
        <v>0</v>
      </c>
      <c r="Y31" s="155">
        <f>Datos_Origen[[#This Row],[Básico]]+Datos_Origen[[#This Row],[Promedio de Comisiones  ]]</f>
        <v>1951000</v>
      </c>
      <c r="Z31" s="155">
        <f>Datos_Origen[[#This Row],[Básico]]+Datos_Origen[[#This Row],[Promedio de Comisiones  ]]</f>
        <v>1951000</v>
      </c>
      <c r="AA31" s="155">
        <f>Datos_Origen[[#This Row],[Garantizado]]</f>
        <v>2295683.1700000004</v>
      </c>
      <c r="AB31" s="155">
        <f>Datos_Origen[[#This Row],[Variable]]+Datos_Origen[[#This Row],[Garantizado]]</f>
        <v>2295683.1700000004</v>
      </c>
      <c r="AC31" s="155">
        <f>Datos_Origen[[#This Row],[Beneficios]]+Datos_Origen[[#This Row],[Variable]]+Datos_Origen[[#This Row],[Garantizado]]</f>
        <v>2295683.1700000004</v>
      </c>
      <c r="AD31" s="156">
        <v>14.12</v>
      </c>
      <c r="AE31" s="141">
        <v>230</v>
      </c>
      <c r="AF31" s="345">
        <v>4.3499999999999997E-2</v>
      </c>
      <c r="AG31" s="155">
        <f>Datos_Origen[[#This Row],[Básico Actual]]*230/Datos_Origen[[#This Row],['# horas mes]]</f>
        <v>1951000</v>
      </c>
      <c r="AH31" s="157">
        <v>1951000</v>
      </c>
      <c r="AI31" s="158"/>
      <c r="AJ31" s="158">
        <f>(((Datos_Origen[[#This Row],[Básico]])/30)*$AJ$6)/12</f>
        <v>0</v>
      </c>
      <c r="AK31" s="158"/>
      <c r="AL31" s="143">
        <f>((Datos_Origen[[#This Row],[Básico]])/30)*$AL$6/12</f>
        <v>0</v>
      </c>
      <c r="AM31" s="158"/>
      <c r="AN31" s="158"/>
      <c r="AO31" s="158"/>
      <c r="AP31" s="158"/>
      <c r="AQ31" s="158"/>
      <c r="AR31" s="149">
        <v>0</v>
      </c>
      <c r="AS31" s="149"/>
      <c r="AT31" s="159" t="str">
        <f>IFERROR(Datos_Origen[[#This Row],[Comisiones Target]]/Datos_Origen[[#This Row],[Promedio de Comisiones  ]],"")</f>
        <v/>
      </c>
      <c r="AU31" s="160"/>
      <c r="AV31" s="143">
        <v>0</v>
      </c>
      <c r="AW31" s="160"/>
      <c r="AX31" s="143">
        <f>Datos_Origen[[#This Row],[N Salarios de la Bonificación2]]*Datos_Origen[[#This Row],[Básico]]/12</f>
        <v>0</v>
      </c>
      <c r="AY31" s="160"/>
      <c r="AZ31" s="158"/>
      <c r="BA31" s="149">
        <v>0</v>
      </c>
      <c r="BB31" s="149"/>
      <c r="BC31" s="149"/>
      <c r="BD31" s="149"/>
      <c r="BE31" s="149"/>
      <c r="BF31" s="149"/>
      <c r="BG31" s="149"/>
      <c r="BH31" s="149"/>
      <c r="BI31" s="149"/>
      <c r="BJ31" s="149"/>
      <c r="BK31" s="159">
        <f>IFERROR(Datos_Origen[[#This Row],[Variable]]/Datos_Origen[[#This Row],[CT]],"")</f>
        <v>0</v>
      </c>
      <c r="BL31" s="159">
        <f>IFERROR(Datos_Origen[[#This Row],[Beneficios]]/Datos_Origen[[#This Row],[CT]],"")</f>
        <v>0</v>
      </c>
      <c r="BM31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31" s="161">
        <f>Datos_Origen[[#This Row],[G]]/Datos_Origen[[#This Row],[Geq]]</f>
        <v>0.77927606792441428</v>
      </c>
      <c r="BO31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31" s="161">
        <f>Datos_Origen[[#This Row],[G+V]]/Datos_Origen[[#This Row],[G+Veq]]</f>
        <v>0.72372596772184083</v>
      </c>
      <c r="BQ31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31" s="161">
        <f>Datos_Origen[[#This Row],[CT]]/Datos_Origen[[#This Row],[CTeq]]</f>
        <v>0.72316061034555001</v>
      </c>
      <c r="BS31" s="139">
        <f>ROUNDUP(VLOOKUP(Datos_Origen[[#This Row],[Categoria]],Competitividad_1[#All],2,0)*IndiceIncrementoC,-3)</f>
        <v>2906000</v>
      </c>
      <c r="BT31" s="161">
        <f>Datos_Origen[[#This Row],[G]]/Datos_Origen[[#This Row],[GQ1]]</f>
        <v>0.78998044390915356</v>
      </c>
      <c r="BU31" s="155">
        <f>ROUNDUP(VLOOKUP(Datos_Origen[[#This Row],[Categoria]],Competitividad_1[#All],3,0)*IndiceIncrementoC,-3)</f>
        <v>3009000</v>
      </c>
      <c r="BV31" s="161">
        <f>Datos_Origen[[#This Row],[G+V]]/Datos_Origen[[#This Row],[G+VQ1]]</f>
        <v>0.76293890661349295</v>
      </c>
      <c r="BW31" s="155">
        <f>ROUNDUP(VLOOKUP(Datos_Origen[[#This Row],[Categoria]],Competitividad_1[#All],4,0)*IndiceIncrementoC,-3)</f>
        <v>3129000</v>
      </c>
      <c r="BX31" s="161">
        <f>Datos_Origen[[#This Row],[CT]]/Datos_Origen[[#This Row],[CTQ1]]</f>
        <v>0.7336795046340685</v>
      </c>
      <c r="BY31" s="155">
        <f>ROUNDUP(VLOOKUP(Datos_Origen[[#This Row],[Categoria]],Competitividad_1[#All],5,0)*IndiceIncrementoC,-3)</f>
        <v>3456000</v>
      </c>
      <c r="BZ31" s="161">
        <f>Datos_Origen[[#This Row],[G]]/Datos_Origen[[#This Row],[GMd]]</f>
        <v>0.66426017650462976</v>
      </c>
      <c r="CA31" s="155">
        <f>ROUNDUP(VLOOKUP(Datos_Origen[[#This Row],[Categoria]],Competitividad_1[#All],6,0)*IndiceIncrementoC,-3)</f>
        <v>3483000</v>
      </c>
      <c r="CB31" s="161">
        <f>Datos_Origen[[#This Row],[G+V]]/Datos_Origen[[#This Row],[G+VMd]]</f>
        <v>0.65911087281079539</v>
      </c>
      <c r="CC31" s="155">
        <f>ROUNDUP(VLOOKUP(Datos_Origen[[#This Row],[Categoria]],Competitividad_1[#All],7,0)*IndiceIncrementoC,-3)</f>
        <v>3645000</v>
      </c>
      <c r="CD31" s="161">
        <f>Datos_Origen[[#This Row],[CT]]/Datos_Origen[[#This Row],[CTMd]]</f>
        <v>0.6298170562414267</v>
      </c>
      <c r="CE31" s="155">
        <f>+Datos_Origen[[#This Row],[GMd]]/1.17666666667</f>
        <v>2937110.4815780818</v>
      </c>
      <c r="CF31" s="161">
        <f>+Datos_Origen[[#This Row],[Básico Actual]]/Datos_Origen[[#This Row],[Salario Basico Md]]</f>
        <v>0.66425829475496811</v>
      </c>
      <c r="CG31" s="155">
        <f>ROUNDUP(VLOOKUP(Datos_Origen[[#This Row],[Categoria]],Competitividad_1[#All],8,0)*IndiceIncrementoC,-3)</f>
        <v>4712000</v>
      </c>
      <c r="CH31" s="161">
        <f>Datos_Origen[[#This Row],[G]]/Datos_Origen[[#This Row],[GQ3]]</f>
        <v>0.48719931451612913</v>
      </c>
      <c r="CI31" s="155">
        <f>ROUNDUP(VLOOKUP(Datos_Origen[[#This Row],[Categoria]],Competitividad_1[#All],9,0)*IndiceIncrementoC,-3)</f>
        <v>4847000</v>
      </c>
      <c r="CJ31" s="161">
        <f>Datos_Origen[[#This Row],[G+V]]/Datos_Origen[[#This Row],[G+VQ3]]</f>
        <v>0.47362970290901596</v>
      </c>
      <c r="CK31" s="155">
        <f>ROUNDUP(VLOOKUP(Datos_Origen[[#This Row],[Categoria]],Competitividad_1[#All],10,0)*IndiceIncrementoC,-3)</f>
        <v>4977000</v>
      </c>
      <c r="CL31" s="161">
        <f>Datos_Origen[[#This Row],[CT]]/Datos_Origen[[#This Row],[CTQ3]]</f>
        <v>0.46125842274462536</v>
      </c>
      <c r="CM31" s="162">
        <f>IF(ROUND(Datos_Origen[[#This Row],[Salario Ordinario Pol2]],-3)&lt;SMMLV,SMMLV,ROUND(Datos_Origen[[#This Row],[Salario Ordinario Pol2]],-3))</f>
        <v>2231000</v>
      </c>
      <c r="CN31" s="155">
        <f>IF(Datos_Origen[[#This Row],[Gpol]]/(1+FactorPrestacionalOrdinario)&lt;SMMLV,SMMLV,Datos_Origen[[#This Row],[Gpol]]/(1+FactorPrestacionalOrdinario))</f>
        <v>2788385.2691218127</v>
      </c>
      <c r="CO31" s="161">
        <f>IFERROR(IF(Datos_Origen[[#This Row],[Salarios Año]]=14.12,Datos_Origen[[#This Row],[Básico]]/Datos_Origen[[#This Row],[Salario Ordinario Pol]],""),"")</f>
        <v>0.69968810322056296</v>
      </c>
      <c r="CP31" s="155">
        <f>IF(ROUND(Datos_Origen[[#This Row],[Salario Ordinario Pol22]],-3)&lt;SMMLV,SMMLV,ROUND(Datos_Origen[[#This Row],[Salario Ordinario Pol22]],-3))</f>
        <v>3346000</v>
      </c>
      <c r="CQ31" s="155" t="str">
        <f>IFERROR(ROUND(Datos_Origen[[#This Row],[Salario Integral Pol4]],-3),"")</f>
        <v/>
      </c>
      <c r="CR31" s="139" t="str">
        <f>IF((Datos_Origen[[#This Row],[Gpol]]/(1+FactorPrestacionalIntegral))&lt;(13*SMMLV),"",(Datos_Origen[[#This Row],[Gpol]]/(1+FactorPrestacionalIntegral)))</f>
        <v/>
      </c>
      <c r="CS31" s="161" t="str">
        <f>IFERROR(IF(Datos_Origen[[#This Row],[Salarios Año]]=12,Datos_Origen[[#This Row],[Básico]]/Datos_Origen[[#This Row],[Salario Integral Pol]],""),"")</f>
        <v/>
      </c>
      <c r="CT31" s="155" t="str">
        <f>IFERROR(ROUND(Datos_Origen[[#This Row],[Salario Integral Pol44]],-3),"")</f>
        <v/>
      </c>
      <c r="CU31" s="155">
        <f>Datos_Origen[[#This Row],[G+Vpol]]-Datos_Origen[[#This Row],[Variable]]</f>
        <v>3281000</v>
      </c>
      <c r="CV31" s="161">
        <f>Datos_Origen[[#This Row],[G]]/Datos_Origen[[#This Row],[Gpol]]</f>
        <v>0.69969008533983557</v>
      </c>
      <c r="CW31" s="154">
        <f>Datos_Origen[[#This Row],[Ctpol]]-Datos_Origen[[#This Row],[Beneficios]]</f>
        <v>3281000</v>
      </c>
      <c r="CX31" s="161">
        <f>Datos_Origen[[#This Row],[G+V]]/Datos_Origen[[#This Row],[G+Vpol]]</f>
        <v>0.69969008533983557</v>
      </c>
      <c r="CY31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3281000</v>
      </c>
      <c r="CZ31" s="161">
        <f>Datos_Origen[[#This Row],[CT]]/Datos_Origen[[#This Row],[Ctpol]]</f>
        <v>0.69969008533983557</v>
      </c>
      <c r="DA31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1951000</v>
      </c>
      <c r="DB31" s="158">
        <f>IF(Datos_Origen[[#This Row],[Básico]]&lt;10*SMMLV,0,Datos_Origen[[#This Row],[Base Seguridad Social Actual]]*8.5%)</f>
        <v>0</v>
      </c>
      <c r="DC31" s="158">
        <f>Datos_Origen[[#This Row],[Base Seguridad Social Actual]]*12%</f>
        <v>234120</v>
      </c>
      <c r="DD31" s="158">
        <f>Datos_Origen[[#This Row],[Base Seguridad Social Actual]]*Datos_Origen[[#This Row],[%ARL]]</f>
        <v>84868.5</v>
      </c>
      <c r="DE31" s="158">
        <f>IF(Datos_Origen[[#This Row],[Básico]]&lt;10*SMMLV,Datos_Origen[[#This Row],[Base Seguridad Social Actual]]*4%,Datos_Origen[[#This Row],[Base Seguridad Social Actual]]*9%)</f>
        <v>78040</v>
      </c>
      <c r="DF31" s="158">
        <f>Datos_Origen[[#This Row],[Salud]]+Datos_Origen[[#This Row],[Pensión]]+Datos_Origen[[#This Row],[ARL]]+Datos_Origen[[#This Row],[Parafiscales]]</f>
        <v>397028.5</v>
      </c>
      <c r="DG31" s="163">
        <f>Datos_Origen[[#This Row],[Costo Laboral Actual]]+Datos_Origen[[#This Row],[CT]]</f>
        <v>2692711.6700000004</v>
      </c>
      <c r="DH31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2788385.2691218127</v>
      </c>
      <c r="DI31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31" s="158">
        <f>Datos_Origen[[#This Row],[Base Seguridad Social Nueva]]*12%</f>
        <v>334606.23229461751</v>
      </c>
      <c r="DK31" s="158">
        <f>Datos_Origen[[#This Row],[Base Seguridad Social Nueva]]*Datos_Origen[[#This Row],[%ARL]]</f>
        <v>121294.75920679884</v>
      </c>
      <c r="DL31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111535.4107648725</v>
      </c>
      <c r="DM31" s="158">
        <f>Datos_Origen[[#This Row],[Salud Nueva]]+Datos_Origen[[#This Row],[Pensión Nueva]]+Datos_Origen[[#This Row],[ARL nueva]]+Datos_Origen[[#This Row],[Parafiscales Nuevos]]</f>
        <v>567436.40226628887</v>
      </c>
      <c r="DN31" s="158">
        <f>Datos_Origen[[#This Row],[Costo Laboral Nuevo]]+Datos_Origen[[#This Row],[Ctpol]]</f>
        <v>3848436.4022662891</v>
      </c>
      <c r="DO31" s="158">
        <f>IF(Datos_Origen[[#This Row],[Ctpol]]-Datos_Origen[[#This Row],[CT]]&lt;=0,0,Datos_Origen[[#This Row],[Costo Total Nuevo]]-Datos_Origen[[#This Row],[Costo Total Actual]])</f>
        <v>1155724.7322662887</v>
      </c>
      <c r="DP31" s="158">
        <f>IF(Datos_Origen[[#This Row],[Ctpol]]-Datos_Origen[[#This Row],[CT]]&lt;=0,0,Datos_Origen[[#This Row],[Ctpol]]-Datos_Origen[[#This Row],[CT]])</f>
        <v>985316.82999999961</v>
      </c>
      <c r="DQ31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170407.90226628887</v>
      </c>
      <c r="DR31" s="158">
        <f>ROUNDDOWN(VLOOKUP(Datos_Origen[[#This Row],[Categoria]],Competitividad_1[],7,0)*IndiceIncrementoC,-3)</f>
        <v>3644000</v>
      </c>
      <c r="DS31" s="158">
        <f>Datos_Origen[[#This Row],[CTeq]]*0.8</f>
        <v>2539610.855080226</v>
      </c>
      <c r="DT31" s="158">
        <f>Datos_Origen[[#This Row],[CTeq]]*1.2</f>
        <v>3809416.2826203383</v>
      </c>
      <c r="DU31" s="155">
        <f>IF(Datos_Origen[[#This Row],[Gpol6]]/(1+FactorPrestacionalOrdinario)&lt;SMMLV,SMMLV,Datos_Origen[[#This Row],[Gpol6]]/(1+FactorPrestacionalOrdinario))</f>
        <v>2230708.2152974503</v>
      </c>
      <c r="DV31" s="139" t="str">
        <f>IF((Datos_Origen[[#This Row],[Gpol6]]/(1+FactorPrestacionalIntegral))&lt;(13*SMMLV),"",(Datos_Origen[[#This Row],[Gpol6]]/(1+FactorPrestacionalIntegral)))</f>
        <v/>
      </c>
      <c r="DW31" s="154">
        <f>Datos_Origen[[#This Row],[G+Vpol8]]</f>
        <v>2624800</v>
      </c>
      <c r="DX31" s="154">
        <f>Datos_Origen[[#This Row],[Ctpol10]]-Datos_Origen[[#This Row],[Beneficios]]</f>
        <v>2624800</v>
      </c>
      <c r="DY31" s="154">
        <f>Datos_Origen[[#This Row],[Ctpol]]*$CM$6</f>
        <v>2624800</v>
      </c>
      <c r="DZ31" s="155">
        <f>IF(Datos_Origen[[#This Row],[Gpol66]]/(1+FactorPrestacionalOrdinario)&lt;SMMLV,SMMLV,Datos_Origen[[#This Row],[Gpol66]]/(1+FactorPrestacionalOrdinario))</f>
        <v>3346062.3229461755</v>
      </c>
      <c r="EA31" s="139" t="str">
        <f>IF((Datos_Origen[[#This Row],[Gpol66]]/(1+FactorPrestacionalIntegral))&lt;(13*SMMLV),"",(Datos_Origen[[#This Row],[Gpol66]]/(1+FactorPrestacionalIntegral)))</f>
        <v/>
      </c>
      <c r="EB31" s="154">
        <f>Datos_Origen[[#This Row],[G+Vpol88]]</f>
        <v>3937200</v>
      </c>
      <c r="EC31" s="154">
        <f>Datos_Origen[[#This Row],[Ctpol1010]]-Datos_Origen[[#This Row],[Beneficios]]</f>
        <v>3937200</v>
      </c>
      <c r="ED31" s="154">
        <f>Datos_Origen[[#This Row],[Ctpol]]*$CP$6</f>
        <v>3937200</v>
      </c>
      <c r="EE31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32" spans="2:135">
      <c r="B32" s="132"/>
      <c r="C32" s="149"/>
      <c r="D32" s="150"/>
      <c r="E32" s="151"/>
      <c r="F32" s="151"/>
      <c r="G32" s="150" t="s">
        <v>342</v>
      </c>
      <c r="H32" s="153"/>
      <c r="I32" s="152" t="s">
        <v>342</v>
      </c>
      <c r="J32" s="130" t="str">
        <f>IFERROR(VLOOKUP(Datos_Origen[[#This Row],[Cargo Tipo Valorado]],Cargos_Catalogo[[#All],[Cargo]:[Área]],2,0),"")</f>
        <v xml:space="preserve">Coordinadora de Mercadeo </v>
      </c>
      <c r="K32" s="153"/>
      <c r="L32" s="153"/>
      <c r="M32" s="153"/>
      <c r="N32" s="153"/>
      <c r="O32" s="154">
        <f>Datos_Origen[[#This Row],[Segmentación Individual]]</f>
        <v>0</v>
      </c>
      <c r="P32" s="153"/>
      <c r="Q32" s="154">
        <f>VLOOKUP(Datos_Origen[[#This Row],[Cargo Tipo Valorado]],Cargos_Catalogo[#Data],MATCH(Cargos_Catalogo[[#Headers],[Puntos]],Cargos_Catalogo[#Headers],0),FALSE)</f>
        <v>208</v>
      </c>
      <c r="R32" s="130">
        <f>VLOOKUP(Datos_Origen[[#This Row],[Puntos valoración]],Categorias_Registro[#Data],MATCH(Categorias_Registro[[#Headers],[Categoria]],Categorias_Registro[#Headers],0),FALSE)</f>
        <v>7</v>
      </c>
      <c r="S32" s="130" t="str">
        <f>VLOOKUP(Datos_Origen[[#This Row],[Cargo Tipo Valorado]],Cargos_Catalogo[#Data],MATCH(Cargos_Catalogo[[#Headers],[Nivel SHR]],Cargos_Catalogo[#Headers],0),FALSE)</f>
        <v>Soporte</v>
      </c>
      <c r="T32" s="130" t="str">
        <f>VLOOKUP(Datos_Origen[[#This Row],[Cargo Tipo Valorado]],Cargos_Catalogo[#Data],MATCH(Cargos_Catalogo[[#Headers],[Criticidad]],Cargos_Catalogo[#Headers],0),FALSE)</f>
        <v>Relevante</v>
      </c>
      <c r="U32" s="154">
        <f>VLOOKUP(Datos_Origen[[#This Row],[Puntos valoración]],Categorias_Registro[#Data],5,FALSE)</f>
        <v>217</v>
      </c>
      <c r="V32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2536900.52</v>
      </c>
      <c r="W32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32" s="154">
        <f>SUMIF($BA$5:$BJ$5,"NCS",Datos_Origen[[#This Row],[auxilio Gasolina]:[Otro Beneficio10]])+(SUMIF($BA$5:$BJ$5,"CS",Datos_Origen[[#This Row],[auxilio Gasolina]:[Otro Beneficio10]])*1.17667)</f>
        <v>0</v>
      </c>
      <c r="Y32" s="155">
        <f>Datos_Origen[[#This Row],[Básico]]+Datos_Origen[[#This Row],[Promedio de Comisiones  ]]</f>
        <v>2156000</v>
      </c>
      <c r="Z32" s="155">
        <f>Datos_Origen[[#This Row],[Básico]]+Datos_Origen[[#This Row],[Promedio de Comisiones  ]]</f>
        <v>2156000</v>
      </c>
      <c r="AA32" s="155">
        <f>Datos_Origen[[#This Row],[Garantizado]]</f>
        <v>2536900.52</v>
      </c>
      <c r="AB32" s="155">
        <f>Datos_Origen[[#This Row],[Variable]]+Datos_Origen[[#This Row],[Garantizado]]</f>
        <v>2536900.52</v>
      </c>
      <c r="AC32" s="155">
        <f>Datos_Origen[[#This Row],[Beneficios]]+Datos_Origen[[#This Row],[Variable]]+Datos_Origen[[#This Row],[Garantizado]]</f>
        <v>2536900.52</v>
      </c>
      <c r="AD32" s="156">
        <v>14.12</v>
      </c>
      <c r="AE32" s="141">
        <v>230</v>
      </c>
      <c r="AF32" s="345">
        <v>5.2199999999999998E-3</v>
      </c>
      <c r="AG32" s="155">
        <f>Datos_Origen[[#This Row],[Básico Actual]]*230/Datos_Origen[[#This Row],['# horas mes]]</f>
        <v>2156000</v>
      </c>
      <c r="AH32" s="157">
        <v>2156000</v>
      </c>
      <c r="AI32" s="158"/>
      <c r="AJ32" s="158">
        <f>(((Datos_Origen[[#This Row],[Básico]])/30)*$AJ$6)/12</f>
        <v>0</v>
      </c>
      <c r="AK32" s="158"/>
      <c r="AL32" s="143">
        <f>((Datos_Origen[[#This Row],[Básico]])/30)*$AL$6/12</f>
        <v>0</v>
      </c>
      <c r="AM32" s="158"/>
      <c r="AN32" s="158"/>
      <c r="AO32" s="158"/>
      <c r="AP32" s="158"/>
      <c r="AQ32" s="158"/>
      <c r="AR32" s="149">
        <v>0</v>
      </c>
      <c r="AS32" s="149"/>
      <c r="AT32" s="159" t="str">
        <f>IFERROR(Datos_Origen[[#This Row],[Comisiones Target]]/Datos_Origen[[#This Row],[Promedio de Comisiones  ]],"")</f>
        <v/>
      </c>
      <c r="AU32" s="160"/>
      <c r="AV32" s="143">
        <v>0</v>
      </c>
      <c r="AW32" s="160"/>
      <c r="AX32" s="143">
        <f>Datos_Origen[[#This Row],[N Salarios de la Bonificación2]]*Datos_Origen[[#This Row],[Básico]]/12</f>
        <v>0</v>
      </c>
      <c r="AY32" s="160"/>
      <c r="AZ32" s="158"/>
      <c r="BA32" s="149">
        <v>0</v>
      </c>
      <c r="BB32" s="149"/>
      <c r="BC32" s="149"/>
      <c r="BD32" s="149"/>
      <c r="BE32" s="149"/>
      <c r="BF32" s="149"/>
      <c r="BG32" s="149"/>
      <c r="BH32" s="149"/>
      <c r="BI32" s="149"/>
      <c r="BJ32" s="149"/>
      <c r="BK32" s="159">
        <f>IFERROR(Datos_Origen[[#This Row],[Variable]]/Datos_Origen[[#This Row],[CT]],"")</f>
        <v>0</v>
      </c>
      <c r="BL32" s="159">
        <f>IFERROR(Datos_Origen[[#This Row],[Beneficios]]/Datos_Origen[[#This Row],[CT]],"")</f>
        <v>0</v>
      </c>
      <c r="BM32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32" s="161">
        <f>Datos_Origen[[#This Row],[G]]/Datos_Origen[[#This Row],[Geq]]</f>
        <v>0.86115797152487794</v>
      </c>
      <c r="BO32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32" s="161">
        <f>Datos_Origen[[#This Row],[G+V]]/Datos_Origen[[#This Row],[G+Veq]]</f>
        <v>0.79977098226975329</v>
      </c>
      <c r="BQ32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32" s="161">
        <f>Datos_Origen[[#This Row],[CT]]/Datos_Origen[[#This Row],[CTeq]]</f>
        <v>0.79914622035110494</v>
      </c>
      <c r="BS32" s="139">
        <f>ROUNDUP(VLOOKUP(Datos_Origen[[#This Row],[Categoria]],Competitividad_1[#All],2,0)*IndiceIncrementoC,-3)</f>
        <v>2906000</v>
      </c>
      <c r="BT32" s="161">
        <f>Datos_Origen[[#This Row],[G]]/Datos_Origen[[#This Row],[GQ1]]</f>
        <v>0.87298710254645562</v>
      </c>
      <c r="BU32" s="155">
        <f>ROUNDUP(VLOOKUP(Datos_Origen[[#This Row],[Categoria]],Competitividad_1[#All],3,0)*IndiceIncrementoC,-3)</f>
        <v>3009000</v>
      </c>
      <c r="BV32" s="161">
        <f>Datos_Origen[[#This Row],[G+V]]/Datos_Origen[[#This Row],[G+VQ1]]</f>
        <v>0.84310419408441339</v>
      </c>
      <c r="BW32" s="155">
        <f>ROUNDUP(VLOOKUP(Datos_Origen[[#This Row],[Categoria]],Competitividad_1[#All],4,0)*IndiceIncrementoC,-3)</f>
        <v>3129000</v>
      </c>
      <c r="BX32" s="161">
        <f>Datos_Origen[[#This Row],[CT]]/Datos_Origen[[#This Row],[CTQ1]]</f>
        <v>0.81077038031319915</v>
      </c>
      <c r="BY32" s="155">
        <f>ROUNDUP(VLOOKUP(Datos_Origen[[#This Row],[Categoria]],Competitividad_1[#All],5,0)*IndiceIncrementoC,-3)</f>
        <v>3456000</v>
      </c>
      <c r="BZ32" s="161">
        <f>Datos_Origen[[#This Row],[G]]/Datos_Origen[[#This Row],[GMd]]</f>
        <v>0.73405686342592591</v>
      </c>
      <c r="CA32" s="155">
        <f>ROUNDUP(VLOOKUP(Datos_Origen[[#This Row],[Categoria]],Competitividad_1[#All],6,0)*IndiceIncrementoC,-3)</f>
        <v>3483000</v>
      </c>
      <c r="CB32" s="161">
        <f>Datos_Origen[[#This Row],[G+V]]/Datos_Origen[[#This Row],[G+VMd]]</f>
        <v>0.72836650014355442</v>
      </c>
      <c r="CC32" s="155">
        <f>ROUNDUP(VLOOKUP(Datos_Origen[[#This Row],[Categoria]],Competitividad_1[#All],7,0)*IndiceIncrementoC,-3)</f>
        <v>3645000</v>
      </c>
      <c r="CD32" s="161">
        <f>Datos_Origen[[#This Row],[CT]]/Datos_Origen[[#This Row],[CTMd]]</f>
        <v>0.69599465569272978</v>
      </c>
      <c r="CE32" s="155">
        <f>+Datos_Origen[[#This Row],[GMd]]/1.17666666667</f>
        <v>2937110.4815780818</v>
      </c>
      <c r="CF32" s="161">
        <f>+Datos_Origen[[#This Row],[Básico Actual]]/Datos_Origen[[#This Row],[Salario Basico Md]]</f>
        <v>0.73405478395269674</v>
      </c>
      <c r="CG32" s="155">
        <f>ROUNDUP(VLOOKUP(Datos_Origen[[#This Row],[Categoria]],Competitividad_1[#All],8,0)*IndiceIncrementoC,-3)</f>
        <v>4712000</v>
      </c>
      <c r="CH32" s="161">
        <f>Datos_Origen[[#This Row],[G]]/Datos_Origen[[#This Row],[GQ3]]</f>
        <v>0.53839145161290325</v>
      </c>
      <c r="CI32" s="155">
        <f>ROUNDUP(VLOOKUP(Datos_Origen[[#This Row],[Categoria]],Competitividad_1[#All],9,0)*IndiceIncrementoC,-3)</f>
        <v>4847000</v>
      </c>
      <c r="CJ32" s="161">
        <f>Datos_Origen[[#This Row],[G+V]]/Datos_Origen[[#This Row],[G+VQ3]]</f>
        <v>0.5233960222818238</v>
      </c>
      <c r="CK32" s="155">
        <f>ROUNDUP(VLOOKUP(Datos_Origen[[#This Row],[Categoria]],Competitividad_1[#All],10,0)*IndiceIncrementoC,-3)</f>
        <v>4977000</v>
      </c>
      <c r="CL32" s="161">
        <f>Datos_Origen[[#This Row],[CT]]/Datos_Origen[[#This Row],[CTQ3]]</f>
        <v>0.50972483825597747</v>
      </c>
      <c r="CM32" s="162">
        <f>IF(ROUND(Datos_Origen[[#This Row],[Salario Ordinario Pol2]],-3)&lt;SMMLV,SMMLV,ROUND(Datos_Origen[[#This Row],[Salario Ordinario Pol2]],-3))</f>
        <v>2231000</v>
      </c>
      <c r="CN32" s="155">
        <f>IF(Datos_Origen[[#This Row],[Gpol]]/(1+FactorPrestacionalOrdinario)&lt;SMMLV,SMMLV,Datos_Origen[[#This Row],[Gpol]]/(1+FactorPrestacionalOrdinario))</f>
        <v>2788385.2691218127</v>
      </c>
      <c r="CO32" s="161">
        <f>IFERROR(IF(Datos_Origen[[#This Row],[Salarios Año]]=14.12,Datos_Origen[[#This Row],[Básico]]/Datos_Origen[[#This Row],[Salario Ordinario Pol]],""),"")</f>
        <v>0.77320735548105268</v>
      </c>
      <c r="CP32" s="155">
        <f>IF(ROUND(Datos_Origen[[#This Row],[Salario Ordinario Pol22]],-3)&lt;SMMLV,SMMLV,ROUND(Datos_Origen[[#This Row],[Salario Ordinario Pol22]],-3))</f>
        <v>3346000</v>
      </c>
      <c r="CQ32" s="155" t="str">
        <f>IFERROR(ROUND(Datos_Origen[[#This Row],[Salario Integral Pol4]],-3),"")</f>
        <v/>
      </c>
      <c r="CR32" s="139" t="str">
        <f>IF((Datos_Origen[[#This Row],[Gpol]]/(1+FactorPrestacionalIntegral))&lt;(13*SMMLV),"",(Datos_Origen[[#This Row],[Gpol]]/(1+FactorPrestacionalIntegral)))</f>
        <v/>
      </c>
      <c r="CS32" s="161" t="str">
        <f>IFERROR(IF(Datos_Origen[[#This Row],[Salarios Año]]=12,Datos_Origen[[#This Row],[Básico]]/Datos_Origen[[#This Row],[Salario Integral Pol]],""),"")</f>
        <v/>
      </c>
      <c r="CT32" s="155" t="str">
        <f>IFERROR(ROUND(Datos_Origen[[#This Row],[Salario Integral Pol44]],-3),"")</f>
        <v/>
      </c>
      <c r="CU32" s="155">
        <f>Datos_Origen[[#This Row],[G+Vpol]]-Datos_Origen[[#This Row],[Variable]]</f>
        <v>3281000</v>
      </c>
      <c r="CV32" s="161">
        <f>Datos_Origen[[#This Row],[G]]/Datos_Origen[[#This Row],[Gpol]]</f>
        <v>0.77320954587016155</v>
      </c>
      <c r="CW32" s="154">
        <f>Datos_Origen[[#This Row],[Ctpol]]-Datos_Origen[[#This Row],[Beneficios]]</f>
        <v>3281000</v>
      </c>
      <c r="CX32" s="161">
        <f>Datos_Origen[[#This Row],[G+V]]/Datos_Origen[[#This Row],[G+Vpol]]</f>
        <v>0.77320954587016155</v>
      </c>
      <c r="CY32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3281000</v>
      </c>
      <c r="CZ32" s="161">
        <f>Datos_Origen[[#This Row],[CT]]/Datos_Origen[[#This Row],[Ctpol]]</f>
        <v>0.77320954587016155</v>
      </c>
      <c r="DA32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2156000</v>
      </c>
      <c r="DB32" s="158">
        <f>IF(Datos_Origen[[#This Row],[Básico]]&lt;10*SMMLV,0,Datos_Origen[[#This Row],[Base Seguridad Social Actual]]*8.5%)</f>
        <v>0</v>
      </c>
      <c r="DC32" s="158">
        <f>Datos_Origen[[#This Row],[Base Seguridad Social Actual]]*12%</f>
        <v>258720</v>
      </c>
      <c r="DD32" s="158">
        <f>Datos_Origen[[#This Row],[Base Seguridad Social Actual]]*Datos_Origen[[#This Row],[%ARL]]</f>
        <v>11254.32</v>
      </c>
      <c r="DE32" s="158">
        <f>IF(Datos_Origen[[#This Row],[Básico]]&lt;10*SMMLV,Datos_Origen[[#This Row],[Base Seguridad Social Actual]]*4%,Datos_Origen[[#This Row],[Base Seguridad Social Actual]]*9%)</f>
        <v>86240</v>
      </c>
      <c r="DF32" s="158">
        <f>Datos_Origen[[#This Row],[Salud]]+Datos_Origen[[#This Row],[Pensión]]+Datos_Origen[[#This Row],[ARL]]+Datos_Origen[[#This Row],[Parafiscales]]</f>
        <v>356214.32</v>
      </c>
      <c r="DG32" s="163">
        <f>Datos_Origen[[#This Row],[Costo Laboral Actual]]+Datos_Origen[[#This Row],[CT]]</f>
        <v>2893114.84</v>
      </c>
      <c r="DH32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2788385.2691218127</v>
      </c>
      <c r="DI32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32" s="158">
        <f>Datos_Origen[[#This Row],[Base Seguridad Social Nueva]]*12%</f>
        <v>334606.23229461751</v>
      </c>
      <c r="DK32" s="158">
        <f>Datos_Origen[[#This Row],[Base Seguridad Social Nueva]]*Datos_Origen[[#This Row],[%ARL]]</f>
        <v>14555.371104815862</v>
      </c>
      <c r="DL32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111535.4107648725</v>
      </c>
      <c r="DM32" s="158">
        <f>Datos_Origen[[#This Row],[Salud Nueva]]+Datos_Origen[[#This Row],[Pensión Nueva]]+Datos_Origen[[#This Row],[ARL nueva]]+Datos_Origen[[#This Row],[Parafiscales Nuevos]]</f>
        <v>460697.01416430587</v>
      </c>
      <c r="DN32" s="158">
        <f>Datos_Origen[[#This Row],[Costo Laboral Nuevo]]+Datos_Origen[[#This Row],[Ctpol]]</f>
        <v>3741697.0141643058</v>
      </c>
      <c r="DO32" s="158">
        <f>IF(Datos_Origen[[#This Row],[Ctpol]]-Datos_Origen[[#This Row],[CT]]&lt;=0,0,Datos_Origen[[#This Row],[Costo Total Nuevo]]-Datos_Origen[[#This Row],[Costo Total Actual]])</f>
        <v>848582.17416430591</v>
      </c>
      <c r="DP32" s="158">
        <f>IF(Datos_Origen[[#This Row],[Ctpol]]-Datos_Origen[[#This Row],[CT]]&lt;=0,0,Datos_Origen[[#This Row],[Ctpol]]-Datos_Origen[[#This Row],[CT]])</f>
        <v>744099.48</v>
      </c>
      <c r="DQ32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104482.69416430587</v>
      </c>
      <c r="DR32" s="158">
        <f>ROUNDDOWN(VLOOKUP(Datos_Origen[[#This Row],[Categoria]],Competitividad_1[],7,0)*IndiceIncrementoC,-3)</f>
        <v>3644000</v>
      </c>
      <c r="DS32" s="158">
        <f>Datos_Origen[[#This Row],[CTeq]]*0.8</f>
        <v>2539610.855080226</v>
      </c>
      <c r="DT32" s="158">
        <f>Datos_Origen[[#This Row],[CTeq]]*1.2</f>
        <v>3809416.2826203383</v>
      </c>
      <c r="DU32" s="155">
        <f>IF(Datos_Origen[[#This Row],[Gpol6]]/(1+FactorPrestacionalOrdinario)&lt;SMMLV,SMMLV,Datos_Origen[[#This Row],[Gpol6]]/(1+FactorPrestacionalOrdinario))</f>
        <v>2230708.2152974503</v>
      </c>
      <c r="DV32" s="139" t="str">
        <f>IF((Datos_Origen[[#This Row],[Gpol6]]/(1+FactorPrestacionalIntegral))&lt;(13*SMMLV),"",(Datos_Origen[[#This Row],[Gpol6]]/(1+FactorPrestacionalIntegral)))</f>
        <v/>
      </c>
      <c r="DW32" s="154">
        <f>Datos_Origen[[#This Row],[G+Vpol8]]</f>
        <v>2624800</v>
      </c>
      <c r="DX32" s="154">
        <f>Datos_Origen[[#This Row],[Ctpol10]]-Datos_Origen[[#This Row],[Beneficios]]</f>
        <v>2624800</v>
      </c>
      <c r="DY32" s="154">
        <f>Datos_Origen[[#This Row],[Ctpol]]*$CM$6</f>
        <v>2624800</v>
      </c>
      <c r="DZ32" s="155">
        <f>IF(Datos_Origen[[#This Row],[Gpol66]]/(1+FactorPrestacionalOrdinario)&lt;SMMLV,SMMLV,Datos_Origen[[#This Row],[Gpol66]]/(1+FactorPrestacionalOrdinario))</f>
        <v>3346062.3229461755</v>
      </c>
      <c r="EA32" s="139" t="str">
        <f>IF((Datos_Origen[[#This Row],[Gpol66]]/(1+FactorPrestacionalIntegral))&lt;(13*SMMLV),"",(Datos_Origen[[#This Row],[Gpol66]]/(1+FactorPrestacionalIntegral)))</f>
        <v/>
      </c>
      <c r="EB32" s="154">
        <f>Datos_Origen[[#This Row],[G+Vpol88]]</f>
        <v>3937200</v>
      </c>
      <c r="EC32" s="154">
        <f>Datos_Origen[[#This Row],[Ctpol1010]]-Datos_Origen[[#This Row],[Beneficios]]</f>
        <v>3937200</v>
      </c>
      <c r="ED32" s="154">
        <f>Datos_Origen[[#This Row],[Ctpol]]*$CP$6</f>
        <v>3937200</v>
      </c>
      <c r="EE32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33" spans="2:135">
      <c r="B33" s="148"/>
      <c r="C33" s="149"/>
      <c r="D33" s="150"/>
      <c r="E33" s="151"/>
      <c r="F33" s="151"/>
      <c r="G33" s="150" t="s">
        <v>343</v>
      </c>
      <c r="H33" s="153"/>
      <c r="I33" s="152" t="s">
        <v>343</v>
      </c>
      <c r="J33" s="130" t="str">
        <f>IFERROR(VLOOKUP(Datos_Origen[[#This Row],[Cargo Tipo Valorado]],Cargos_Catalogo[[#All],[Cargo]:[Área]],2,0),"")</f>
        <v>Directora de diseño y desarrollo</v>
      </c>
      <c r="K33" s="153"/>
      <c r="L33" s="153"/>
      <c r="M33" s="153"/>
      <c r="N33" s="153"/>
      <c r="O33" s="154">
        <f>Datos_Origen[[#This Row],[Segmentación Individual]]</f>
        <v>0</v>
      </c>
      <c r="P33" s="153"/>
      <c r="Q33" s="154">
        <f>VLOOKUP(Datos_Origen[[#This Row],[Cargo Tipo Valorado]],Cargos_Catalogo[#Data],MATCH(Cargos_Catalogo[[#Headers],[Puntos]],Cargos_Catalogo[#Headers],0),FALSE)</f>
        <v>209</v>
      </c>
      <c r="R33" s="130">
        <f>VLOOKUP(Datos_Origen[[#This Row],[Puntos valoración]],Categorias_Registro[#Data],MATCH(Categorias_Registro[[#Headers],[Categoria]],Categorias_Registro[#Headers],0),FALSE)</f>
        <v>7</v>
      </c>
      <c r="S33" s="130" t="str">
        <f>VLOOKUP(Datos_Origen[[#This Row],[Cargo Tipo Valorado]],Cargos_Catalogo[#Data],MATCH(Cargos_Catalogo[[#Headers],[Nivel SHR]],Cargos_Catalogo[#Headers],0),FALSE)</f>
        <v>Soporte</v>
      </c>
      <c r="T33" s="130" t="str">
        <f>VLOOKUP(Datos_Origen[[#This Row],[Cargo Tipo Valorado]],Cargos_Catalogo[#Data],MATCH(Cargos_Catalogo[[#Headers],[Criticidad]],Cargos_Catalogo[#Headers],0),FALSE)</f>
        <v>Relevante</v>
      </c>
      <c r="U33" s="154">
        <f>VLOOKUP(Datos_Origen[[#This Row],[Puntos valoración]],Categorias_Registro[#Data],5,FALSE)</f>
        <v>217</v>
      </c>
      <c r="V33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33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33" s="154">
        <f>SUMIF($BA$5:$BJ$5,"NCS",Datos_Origen[[#This Row],[auxilio Gasolina]:[Otro Beneficio10]])+(SUMIF($BA$5:$BJ$5,"CS",Datos_Origen[[#This Row],[auxilio Gasolina]:[Otro Beneficio10]])*1.17667)</f>
        <v>0</v>
      </c>
      <c r="Y33" s="155">
        <f>Datos_Origen[[#This Row],[Básico]]+Datos_Origen[[#This Row],[Promedio de Comisiones  ]]</f>
        <v>2404000</v>
      </c>
      <c r="Z33" s="155">
        <f>Datos_Origen[[#This Row],[Básico]]+Datos_Origen[[#This Row],[Promedio de Comisiones  ]]</f>
        <v>2404000</v>
      </c>
      <c r="AA33" s="155">
        <f>Datos_Origen[[#This Row],[Garantizado]]</f>
        <v>2828714.68</v>
      </c>
      <c r="AB33" s="155">
        <f>Datos_Origen[[#This Row],[Variable]]+Datos_Origen[[#This Row],[Garantizado]]</f>
        <v>2828714.68</v>
      </c>
      <c r="AC33" s="155">
        <f>Datos_Origen[[#This Row],[Beneficios]]+Datos_Origen[[#This Row],[Variable]]+Datos_Origen[[#This Row],[Garantizado]]</f>
        <v>2828714.68</v>
      </c>
      <c r="AD33" s="156">
        <v>14.12</v>
      </c>
      <c r="AE33" s="141">
        <v>230</v>
      </c>
      <c r="AF33" s="345">
        <v>5.2199999999999998E-3</v>
      </c>
      <c r="AG33" s="155">
        <f>Datos_Origen[[#This Row],[Básico Actual]]*230/Datos_Origen[[#This Row],['# horas mes]]</f>
        <v>2404000</v>
      </c>
      <c r="AH33" s="157">
        <v>2404000</v>
      </c>
      <c r="AI33" s="158"/>
      <c r="AJ33" s="158">
        <f>(((Datos_Origen[[#This Row],[Básico]])/30)*$AJ$6)/12</f>
        <v>0</v>
      </c>
      <c r="AK33" s="158"/>
      <c r="AL33" s="143">
        <f>((Datos_Origen[[#This Row],[Básico]])/30)*$AL$6/12</f>
        <v>0</v>
      </c>
      <c r="AM33" s="158"/>
      <c r="AN33" s="158"/>
      <c r="AO33" s="158"/>
      <c r="AP33" s="158"/>
      <c r="AQ33" s="158"/>
      <c r="AR33" s="149">
        <v>0</v>
      </c>
      <c r="AS33" s="149"/>
      <c r="AT33" s="159" t="str">
        <f>IFERROR(Datos_Origen[[#This Row],[Comisiones Target]]/Datos_Origen[[#This Row],[Promedio de Comisiones  ]],"")</f>
        <v/>
      </c>
      <c r="AU33" s="160"/>
      <c r="AV33" s="143">
        <v>0</v>
      </c>
      <c r="AW33" s="160"/>
      <c r="AX33" s="143">
        <f>Datos_Origen[[#This Row],[N Salarios de la Bonificación2]]*Datos_Origen[[#This Row],[Básico]]/12</f>
        <v>0</v>
      </c>
      <c r="AY33" s="160"/>
      <c r="AZ33" s="158"/>
      <c r="BA33" s="149">
        <v>0</v>
      </c>
      <c r="BB33" s="149"/>
      <c r="BC33" s="149"/>
      <c r="BD33" s="149"/>
      <c r="BE33" s="149"/>
      <c r="BF33" s="149"/>
      <c r="BG33" s="149"/>
      <c r="BH33" s="149"/>
      <c r="BI33" s="149"/>
      <c r="BJ33" s="149"/>
      <c r="BK33" s="159">
        <f>IFERROR(Datos_Origen[[#This Row],[Variable]]/Datos_Origen[[#This Row],[CT]],"")</f>
        <v>0</v>
      </c>
      <c r="BL33" s="159">
        <f>IFERROR(Datos_Origen[[#This Row],[Beneficios]]/Datos_Origen[[#This Row],[CT]],"")</f>
        <v>0</v>
      </c>
      <c r="BM33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33" s="161">
        <f>Datos_Origen[[#This Row],[G]]/Datos_Origen[[#This Row],[Geq]]</f>
        <v>0.96021510368543916</v>
      </c>
      <c r="BO33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33" s="161">
        <f>Datos_Origen[[#This Row],[G+V]]/Datos_Origen[[#This Row],[G+Veq]]</f>
        <v>0.89176690230820366</v>
      </c>
      <c r="BQ33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33" s="161">
        <f>Datos_Origen[[#This Row],[CT]]/Datos_Origen[[#This Row],[CTeq]]</f>
        <v>0.89107027538221539</v>
      </c>
      <c r="BS33" s="139">
        <f>ROUNDUP(VLOOKUP(Datos_Origen[[#This Row],[Categoria]],Competitividad_1[#All],2,0)*IndiceIncrementoC,-3)</f>
        <v>2906000</v>
      </c>
      <c r="BT33" s="161">
        <f>Datos_Origen[[#This Row],[G]]/Datos_Origen[[#This Row],[GQ1]]</f>
        <v>0.9734049139710943</v>
      </c>
      <c r="BU33" s="155">
        <f>ROUNDUP(VLOOKUP(Datos_Origen[[#This Row],[Categoria]],Competitividad_1[#All],3,0)*IndiceIncrementoC,-3)</f>
        <v>3009000</v>
      </c>
      <c r="BV33" s="161">
        <f>Datos_Origen[[#This Row],[G+V]]/Datos_Origen[[#This Row],[G+VQ1]]</f>
        <v>0.94008463941508813</v>
      </c>
      <c r="BW33" s="155">
        <f>ROUNDUP(VLOOKUP(Datos_Origen[[#This Row],[Categoria]],Competitividad_1[#All],4,0)*IndiceIncrementoC,-3)</f>
        <v>3129000</v>
      </c>
      <c r="BX33" s="161">
        <f>Datos_Origen[[#This Row],[CT]]/Datos_Origen[[#This Row],[CTQ1]]</f>
        <v>0.90403153723234264</v>
      </c>
      <c r="BY33" s="155">
        <f>ROUNDUP(VLOOKUP(Datos_Origen[[#This Row],[Categoria]],Competitividad_1[#All],5,0)*IndiceIncrementoC,-3)</f>
        <v>3456000</v>
      </c>
      <c r="BZ33" s="161">
        <f>Datos_Origen[[#This Row],[G]]/Datos_Origen[[#This Row],[GMd]]</f>
        <v>0.81849383101851858</v>
      </c>
      <c r="CA33" s="155">
        <f>ROUNDUP(VLOOKUP(Datos_Origen[[#This Row],[Categoria]],Competitividad_1[#All],6,0)*IndiceIncrementoC,-3)</f>
        <v>3483000</v>
      </c>
      <c r="CB33" s="161">
        <f>Datos_Origen[[#This Row],[G+V]]/Datos_Origen[[#This Row],[G+VMd]]</f>
        <v>0.81214891759977037</v>
      </c>
      <c r="CC33" s="155">
        <f>ROUNDUP(VLOOKUP(Datos_Origen[[#This Row],[Categoria]],Competitividad_1[#All],7,0)*IndiceIncrementoC,-3)</f>
        <v>3645000</v>
      </c>
      <c r="CD33" s="161">
        <f>Datos_Origen[[#This Row],[CT]]/Datos_Origen[[#This Row],[CTMd]]</f>
        <v>0.77605341015089169</v>
      </c>
      <c r="CE33" s="155">
        <f>+Datos_Origen[[#This Row],[GMd]]/1.17666666667</f>
        <v>2937110.4815780818</v>
      </c>
      <c r="CF33" s="161">
        <f>+Datos_Origen[[#This Row],[Básico Actual]]/Datos_Origen[[#This Row],[Salario Basico Md]]</f>
        <v>0.81849151234799766</v>
      </c>
      <c r="CG33" s="155">
        <f>ROUNDUP(VLOOKUP(Datos_Origen[[#This Row],[Categoria]],Competitividad_1[#All],8,0)*IndiceIncrementoC,-3)</f>
        <v>4712000</v>
      </c>
      <c r="CH33" s="161">
        <f>Datos_Origen[[#This Row],[G]]/Datos_Origen[[#This Row],[GQ3]]</f>
        <v>0.60032145161290329</v>
      </c>
      <c r="CI33" s="155">
        <f>ROUNDUP(VLOOKUP(Datos_Origen[[#This Row],[Categoria]],Competitividad_1[#All],9,0)*IndiceIncrementoC,-3)</f>
        <v>4847000</v>
      </c>
      <c r="CJ33" s="161">
        <f>Datos_Origen[[#This Row],[G+V]]/Datos_Origen[[#This Row],[G+VQ3]]</f>
        <v>0.58360113059624519</v>
      </c>
      <c r="CK33" s="155">
        <f>ROUNDUP(VLOOKUP(Datos_Origen[[#This Row],[Categoria]],Competitividad_1[#All],10,0)*IndiceIncrementoC,-3)</f>
        <v>4977000</v>
      </c>
      <c r="CL33" s="161">
        <f>Datos_Origen[[#This Row],[CT]]/Datos_Origen[[#This Row],[CTQ3]]</f>
        <v>0.5683573799477597</v>
      </c>
      <c r="CM33" s="162">
        <f>IF(ROUND(Datos_Origen[[#This Row],[Salario Ordinario Pol2]],-3)&lt;SMMLV,SMMLV,ROUND(Datos_Origen[[#This Row],[Salario Ordinario Pol2]],-3))</f>
        <v>2231000</v>
      </c>
      <c r="CN33" s="155">
        <f>IF(Datos_Origen[[#This Row],[Gpol]]/(1+FactorPrestacionalOrdinario)&lt;SMMLV,SMMLV,Datos_Origen[[#This Row],[Gpol]]/(1+FactorPrestacionalOrdinario))</f>
        <v>2788385.2691218127</v>
      </c>
      <c r="CO33" s="161">
        <f>IFERROR(IF(Datos_Origen[[#This Row],[Salarios Año]]=14.12,Datos_Origen[[#This Row],[Básico]]/Datos_Origen[[#This Row],[Salario Ordinario Pol]],""),"")</f>
        <v>0.86214771919130362</v>
      </c>
      <c r="CP33" s="155">
        <f>IF(ROUND(Datos_Origen[[#This Row],[Salario Ordinario Pol22]],-3)&lt;SMMLV,SMMLV,ROUND(Datos_Origen[[#This Row],[Salario Ordinario Pol22]],-3))</f>
        <v>3346000</v>
      </c>
      <c r="CQ33" s="155" t="str">
        <f>IFERROR(ROUND(Datos_Origen[[#This Row],[Salario Integral Pol4]],-3),"")</f>
        <v/>
      </c>
      <c r="CR33" s="139" t="str">
        <f>IF((Datos_Origen[[#This Row],[Gpol]]/(1+FactorPrestacionalIntegral))&lt;(13*SMMLV),"",(Datos_Origen[[#This Row],[Gpol]]/(1+FactorPrestacionalIntegral)))</f>
        <v/>
      </c>
      <c r="CS33" s="161" t="str">
        <f>IFERROR(IF(Datos_Origen[[#This Row],[Salarios Año]]=12,Datos_Origen[[#This Row],[Básico]]/Datos_Origen[[#This Row],[Salario Integral Pol]],""),"")</f>
        <v/>
      </c>
      <c r="CT33" s="155" t="str">
        <f>IFERROR(ROUND(Datos_Origen[[#This Row],[Salario Integral Pol44]],-3),"")</f>
        <v/>
      </c>
      <c r="CU33" s="155">
        <f>Datos_Origen[[#This Row],[G+Vpol]]-Datos_Origen[[#This Row],[Variable]]</f>
        <v>3281000</v>
      </c>
      <c r="CV33" s="161">
        <f>Datos_Origen[[#This Row],[G]]/Datos_Origen[[#This Row],[Gpol]]</f>
        <v>0.86215016153611712</v>
      </c>
      <c r="CW33" s="154">
        <f>Datos_Origen[[#This Row],[Ctpol]]-Datos_Origen[[#This Row],[Beneficios]]</f>
        <v>3281000</v>
      </c>
      <c r="CX33" s="161">
        <f>Datos_Origen[[#This Row],[G+V]]/Datos_Origen[[#This Row],[G+Vpol]]</f>
        <v>0.86215016153611712</v>
      </c>
      <c r="CY33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3281000</v>
      </c>
      <c r="CZ33" s="161">
        <f>Datos_Origen[[#This Row],[CT]]/Datos_Origen[[#This Row],[Ctpol]]</f>
        <v>0.86215016153611712</v>
      </c>
      <c r="DA33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33" s="158">
        <f>IF(Datos_Origen[[#This Row],[Básico]]&lt;10*SMMLV,0,Datos_Origen[[#This Row],[Base Seguridad Social Actual]]*8.5%)</f>
        <v>0</v>
      </c>
      <c r="DC33" s="158">
        <f>Datos_Origen[[#This Row],[Base Seguridad Social Actual]]*12%</f>
        <v>288480</v>
      </c>
      <c r="DD33" s="158">
        <f>Datos_Origen[[#This Row],[Base Seguridad Social Actual]]*Datos_Origen[[#This Row],[%ARL]]</f>
        <v>12548.88</v>
      </c>
      <c r="DE33" s="158">
        <f>IF(Datos_Origen[[#This Row],[Básico]]&lt;10*SMMLV,Datos_Origen[[#This Row],[Base Seguridad Social Actual]]*4%,Datos_Origen[[#This Row],[Base Seguridad Social Actual]]*9%)</f>
        <v>96160</v>
      </c>
      <c r="DF33" s="158">
        <f>Datos_Origen[[#This Row],[Salud]]+Datos_Origen[[#This Row],[Pensión]]+Datos_Origen[[#This Row],[ARL]]+Datos_Origen[[#This Row],[Parafiscales]]</f>
        <v>397188.88</v>
      </c>
      <c r="DG33" s="158">
        <f>Datos_Origen[[#This Row],[Costo Laboral Actual]]+Datos_Origen[[#This Row],[CT]]</f>
        <v>3225903.56</v>
      </c>
      <c r="DH33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2788385.2691218127</v>
      </c>
      <c r="DI33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33" s="158">
        <f>Datos_Origen[[#This Row],[Base Seguridad Social Nueva]]*12%</f>
        <v>334606.23229461751</v>
      </c>
      <c r="DK33" s="158">
        <f>Datos_Origen[[#This Row],[Base Seguridad Social Nueva]]*Datos_Origen[[#This Row],[%ARL]]</f>
        <v>14555.371104815862</v>
      </c>
      <c r="DL33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111535.4107648725</v>
      </c>
      <c r="DM33" s="158">
        <f>Datos_Origen[[#This Row],[Salud Nueva]]+Datos_Origen[[#This Row],[Pensión Nueva]]+Datos_Origen[[#This Row],[ARL nueva]]+Datos_Origen[[#This Row],[Parafiscales Nuevos]]</f>
        <v>460697.01416430587</v>
      </c>
      <c r="DN33" s="158">
        <f>Datos_Origen[[#This Row],[Costo Laboral Nuevo]]+Datos_Origen[[#This Row],[Ctpol]]</f>
        <v>3741697.0141643058</v>
      </c>
      <c r="DO33" s="158">
        <f>IF(Datos_Origen[[#This Row],[Ctpol]]-Datos_Origen[[#This Row],[CT]]&lt;=0,0,Datos_Origen[[#This Row],[Costo Total Nuevo]]-Datos_Origen[[#This Row],[Costo Total Actual]])</f>
        <v>515793.4541643057</v>
      </c>
      <c r="DP33" s="158">
        <f>IF(Datos_Origen[[#This Row],[Ctpol]]-Datos_Origen[[#This Row],[CT]]&lt;=0,0,Datos_Origen[[#This Row],[Ctpol]]-Datos_Origen[[#This Row],[CT]])</f>
        <v>452285.31999999983</v>
      </c>
      <c r="DQ33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63508.134164305869</v>
      </c>
      <c r="DR33" s="158">
        <f>ROUNDDOWN(VLOOKUP(Datos_Origen[[#This Row],[Categoria]],Competitividad_1[],7,0)*IndiceIncrementoC,-3)</f>
        <v>3644000</v>
      </c>
      <c r="DS33" s="158">
        <f>Datos_Origen[[#This Row],[CTeq]]*0.8</f>
        <v>2539610.855080226</v>
      </c>
      <c r="DT33" s="158">
        <f>Datos_Origen[[#This Row],[CTeq]]*1.2</f>
        <v>3809416.2826203383</v>
      </c>
      <c r="DU33" s="155">
        <f>IF(Datos_Origen[[#This Row],[Gpol6]]/(1+FactorPrestacionalOrdinario)&lt;SMMLV,SMMLV,Datos_Origen[[#This Row],[Gpol6]]/(1+FactorPrestacionalOrdinario))</f>
        <v>2230708.2152974503</v>
      </c>
      <c r="DV33" s="139" t="str">
        <f>IF((Datos_Origen[[#This Row],[Gpol6]]/(1+FactorPrestacionalIntegral))&lt;(13*SMMLV),"",(Datos_Origen[[#This Row],[Gpol6]]/(1+FactorPrestacionalIntegral)))</f>
        <v/>
      </c>
      <c r="DW33" s="154">
        <f>Datos_Origen[[#This Row],[G+Vpol8]]</f>
        <v>2624800</v>
      </c>
      <c r="DX33" s="154">
        <f>Datos_Origen[[#This Row],[Ctpol10]]-Datos_Origen[[#This Row],[Beneficios]]</f>
        <v>2624800</v>
      </c>
      <c r="DY33" s="154">
        <f>Datos_Origen[[#This Row],[Ctpol]]*$CM$6</f>
        <v>2624800</v>
      </c>
      <c r="DZ33" s="155">
        <f>IF(Datos_Origen[[#This Row],[Gpol66]]/(1+FactorPrestacionalOrdinario)&lt;SMMLV,SMMLV,Datos_Origen[[#This Row],[Gpol66]]/(1+FactorPrestacionalOrdinario))</f>
        <v>3346062.3229461755</v>
      </c>
      <c r="EA33" s="139" t="str">
        <f>IF((Datos_Origen[[#This Row],[Gpol66]]/(1+FactorPrestacionalIntegral))&lt;(13*SMMLV),"",(Datos_Origen[[#This Row],[Gpol66]]/(1+FactorPrestacionalIntegral)))</f>
        <v/>
      </c>
      <c r="EB33" s="154">
        <f>Datos_Origen[[#This Row],[G+Vpol88]]</f>
        <v>3937200</v>
      </c>
      <c r="EC33" s="154">
        <f>Datos_Origen[[#This Row],[Ctpol1010]]-Datos_Origen[[#This Row],[Beneficios]]</f>
        <v>3937200</v>
      </c>
      <c r="ED33" s="154">
        <f>Datos_Origen[[#This Row],[Ctpol]]*$CP$6</f>
        <v>3937200</v>
      </c>
      <c r="EE33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34" spans="2:135">
      <c r="B34" s="132"/>
      <c r="C34" s="149"/>
      <c r="D34" s="150"/>
      <c r="E34" s="151"/>
      <c r="F34" s="151"/>
      <c r="G34" s="150" t="s">
        <v>396</v>
      </c>
      <c r="H34" s="153"/>
      <c r="I34" s="152" t="s">
        <v>344</v>
      </c>
      <c r="J34" s="130" t="str">
        <f>IFERROR(VLOOKUP(Datos_Origen[[#This Row],[Cargo Tipo Valorado]],Cargos_Catalogo[[#All],[Cargo]:[Área]],2,0),"")</f>
        <v/>
      </c>
      <c r="K34" s="153"/>
      <c r="L34" s="153"/>
      <c r="M34" s="153"/>
      <c r="N34" s="153"/>
      <c r="O34" s="154">
        <f>Datos_Origen[[#This Row],[Segmentación Individual]]</f>
        <v>0</v>
      </c>
      <c r="P34" s="153"/>
      <c r="Q34" s="154">
        <f>VLOOKUP(Datos_Origen[[#This Row],[Cargo Tipo Valorado]],Cargos_Catalogo[#Data],MATCH(Cargos_Catalogo[[#Headers],[Puntos]],Cargos_Catalogo[#Headers],0),FALSE)</f>
        <v>211</v>
      </c>
      <c r="R34" s="130">
        <f>VLOOKUP(Datos_Origen[[#This Row],[Puntos valoración]],Categorias_Registro[#Data],MATCH(Categorias_Registro[[#Headers],[Categoria]],Categorias_Registro[#Headers],0),FALSE)</f>
        <v>7</v>
      </c>
      <c r="S34" s="130" t="str">
        <f>VLOOKUP(Datos_Origen[[#This Row],[Cargo Tipo Valorado]],Cargos_Catalogo[#Data],MATCH(Cargos_Catalogo[[#Headers],[Nivel SHR]],Cargos_Catalogo[#Headers],0),FALSE)</f>
        <v>Soporte</v>
      </c>
      <c r="T34" s="130" t="str">
        <f>VLOOKUP(Datos_Origen[[#This Row],[Cargo Tipo Valorado]],Cargos_Catalogo[#Data],MATCH(Cargos_Catalogo[[#Headers],[Criticidad]],Cargos_Catalogo[#Headers],0),FALSE)</f>
        <v>Relevante</v>
      </c>
      <c r="U34" s="154">
        <f>VLOOKUP(Datos_Origen[[#This Row],[Puntos valoración]],Categorias_Registro[#Data],5,FALSE)</f>
        <v>217</v>
      </c>
      <c r="V34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3112292.1500000004</v>
      </c>
      <c r="W34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34" s="154">
        <f>SUMIF($BA$5:$BJ$5,"NCS",Datos_Origen[[#This Row],[auxilio Gasolina]:[Otro Beneficio10]])+(SUMIF($BA$5:$BJ$5,"CS",Datos_Origen[[#This Row],[auxilio Gasolina]:[Otro Beneficio10]])*1.17667)</f>
        <v>0</v>
      </c>
      <c r="Y34" s="155">
        <f>Datos_Origen[[#This Row],[Básico]]+Datos_Origen[[#This Row],[Promedio de Comisiones  ]]</f>
        <v>2645000</v>
      </c>
      <c r="Z34" s="155">
        <f>Datos_Origen[[#This Row],[Básico]]+Datos_Origen[[#This Row],[Promedio de Comisiones  ]]</f>
        <v>2645000</v>
      </c>
      <c r="AA34" s="155">
        <f>Datos_Origen[[#This Row],[Garantizado]]</f>
        <v>3112292.1500000004</v>
      </c>
      <c r="AB34" s="155">
        <f>Datos_Origen[[#This Row],[Variable]]+Datos_Origen[[#This Row],[Garantizado]]</f>
        <v>3112292.1500000004</v>
      </c>
      <c r="AC34" s="155">
        <f>Datos_Origen[[#This Row],[Beneficios]]+Datos_Origen[[#This Row],[Variable]]+Datos_Origen[[#This Row],[Garantizado]]</f>
        <v>3112292.1500000004</v>
      </c>
      <c r="AD34" s="156">
        <v>14.12</v>
      </c>
      <c r="AE34" s="141">
        <v>230</v>
      </c>
      <c r="AF34" s="345">
        <v>5.2199999999999998E-3</v>
      </c>
      <c r="AG34" s="155">
        <f>Datos_Origen[[#This Row],[Básico Actual]]*230/Datos_Origen[[#This Row],['# horas mes]]</f>
        <v>2645000</v>
      </c>
      <c r="AH34" s="157">
        <v>2645000</v>
      </c>
      <c r="AI34" s="158"/>
      <c r="AJ34" s="158">
        <f>(((Datos_Origen[[#This Row],[Básico]])/30)*$AJ$6)/12</f>
        <v>0</v>
      </c>
      <c r="AK34" s="158"/>
      <c r="AL34" s="143">
        <f>((Datos_Origen[[#This Row],[Básico]])/30)*$AL$6/12</f>
        <v>0</v>
      </c>
      <c r="AM34" s="158"/>
      <c r="AN34" s="158"/>
      <c r="AO34" s="158"/>
      <c r="AP34" s="158"/>
      <c r="AQ34" s="158"/>
      <c r="AR34" s="149">
        <v>0</v>
      </c>
      <c r="AS34" s="149"/>
      <c r="AT34" s="159" t="str">
        <f>IFERROR(Datos_Origen[[#This Row],[Comisiones Target]]/Datos_Origen[[#This Row],[Promedio de Comisiones  ]],"")</f>
        <v/>
      </c>
      <c r="AU34" s="160"/>
      <c r="AV34" s="143">
        <v>0</v>
      </c>
      <c r="AW34" s="160"/>
      <c r="AX34" s="143">
        <f>Datos_Origen[[#This Row],[N Salarios de la Bonificación2]]*Datos_Origen[[#This Row],[Básico]]/12</f>
        <v>0</v>
      </c>
      <c r="AY34" s="160"/>
      <c r="AZ34" s="158"/>
      <c r="BA34" s="149">
        <v>0</v>
      </c>
      <c r="BB34" s="149"/>
      <c r="BC34" s="149"/>
      <c r="BD34" s="149"/>
      <c r="BE34" s="149"/>
      <c r="BF34" s="149"/>
      <c r="BG34" s="149"/>
      <c r="BH34" s="149"/>
      <c r="BI34" s="149"/>
      <c r="BJ34" s="149"/>
      <c r="BK34" s="159">
        <f>IFERROR(Datos_Origen[[#This Row],[Variable]]/Datos_Origen[[#This Row],[CT]],"")</f>
        <v>0</v>
      </c>
      <c r="BL34" s="159">
        <f>IFERROR(Datos_Origen[[#This Row],[Beneficios]]/Datos_Origen[[#This Row],[CT]],"")</f>
        <v>0</v>
      </c>
      <c r="BM34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34" s="161">
        <f>Datos_Origen[[#This Row],[G]]/Datos_Origen[[#This Row],[Geq]]</f>
        <v>1.0564762684059845</v>
      </c>
      <c r="BO34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34" s="161">
        <f>Datos_Origen[[#This Row],[G+V]]/Datos_Origen[[#This Row],[G+Veq]]</f>
        <v>0.98116616331331064</v>
      </c>
      <c r="BQ34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34" s="161">
        <f>Datos_Origen[[#This Row],[CT]]/Datos_Origen[[#This Row],[CTeq]]</f>
        <v>0.98039969982777031</v>
      </c>
      <c r="BS34" s="139">
        <f>ROUNDUP(VLOOKUP(Datos_Origen[[#This Row],[Categoria]],Competitividad_1[#All],2,0)*IndiceIncrementoC,-3)</f>
        <v>2906000</v>
      </c>
      <c r="BT34" s="161">
        <f>Datos_Origen[[#This Row],[G]]/Datos_Origen[[#This Row],[GQ1]]</f>
        <v>1.0709883516861667</v>
      </c>
      <c r="BU34" s="155">
        <f>ROUNDUP(VLOOKUP(Datos_Origen[[#This Row],[Categoria]],Competitividad_1[#All],3,0)*IndiceIncrementoC,-3)</f>
        <v>3009000</v>
      </c>
      <c r="BV34" s="161">
        <f>Datos_Origen[[#This Row],[G+V]]/Datos_Origen[[#This Row],[G+VQ1]]</f>
        <v>1.0343277334662679</v>
      </c>
      <c r="BW34" s="155">
        <f>ROUNDUP(VLOOKUP(Datos_Origen[[#This Row],[Categoria]],Competitividad_1[#All],4,0)*IndiceIncrementoC,-3)</f>
        <v>3129000</v>
      </c>
      <c r="BX34" s="161">
        <f>Datos_Origen[[#This Row],[CT]]/Datos_Origen[[#This Row],[CTQ1]]</f>
        <v>0.99466032278683292</v>
      </c>
      <c r="BY34" s="155">
        <f>ROUNDUP(VLOOKUP(Datos_Origen[[#This Row],[Categoria]],Competitividad_1[#All],5,0)*IndiceIncrementoC,-3)</f>
        <v>3456000</v>
      </c>
      <c r="BZ34" s="161">
        <f>Datos_Origen[[#This Row],[G]]/Datos_Origen[[#This Row],[GMd]]</f>
        <v>0.90054749710648163</v>
      </c>
      <c r="CA34" s="155">
        <f>ROUNDUP(VLOOKUP(Datos_Origen[[#This Row],[Categoria]],Competitividad_1[#All],6,0)*IndiceIncrementoC,-3)</f>
        <v>3483000</v>
      </c>
      <c r="CB34" s="161">
        <f>Datos_Origen[[#This Row],[G+V]]/Datos_Origen[[#This Row],[G+VMd]]</f>
        <v>0.89356650875681898</v>
      </c>
      <c r="CC34" s="155">
        <f>ROUNDUP(VLOOKUP(Datos_Origen[[#This Row],[Categoria]],Competitividad_1[#All],7,0)*IndiceIncrementoC,-3)</f>
        <v>3645000</v>
      </c>
      <c r="CD34" s="161">
        <f>Datos_Origen[[#This Row],[CT]]/Datos_Origen[[#This Row],[CTMd]]</f>
        <v>0.85385244170096031</v>
      </c>
      <c r="CE34" s="155">
        <f>+Datos_Origen[[#This Row],[GMd]]/1.17666666667</f>
        <v>2937110.4815780818</v>
      </c>
      <c r="CF34" s="161">
        <f>+Datos_Origen[[#This Row],[Básico Actual]]/Datos_Origen[[#This Row],[Salario Basico Md]]</f>
        <v>0.9005449459902054</v>
      </c>
      <c r="CG34" s="155">
        <f>ROUNDUP(VLOOKUP(Datos_Origen[[#This Row],[Categoria]],Competitividad_1[#All],8,0)*IndiceIncrementoC,-3)</f>
        <v>4712000</v>
      </c>
      <c r="CH34" s="161">
        <f>Datos_Origen[[#This Row],[G]]/Datos_Origen[[#This Row],[GQ3]]</f>
        <v>0.66050342741935497</v>
      </c>
      <c r="CI34" s="155">
        <f>ROUNDUP(VLOOKUP(Datos_Origen[[#This Row],[Categoria]],Competitividad_1[#All],9,0)*IndiceIncrementoC,-3)</f>
        <v>4847000</v>
      </c>
      <c r="CJ34" s="161">
        <f>Datos_Origen[[#This Row],[G+V]]/Datos_Origen[[#This Row],[G+VQ3]]</f>
        <v>0.64210690117598523</v>
      </c>
      <c r="CK34" s="155">
        <f>ROUNDUP(VLOOKUP(Datos_Origen[[#This Row],[Categoria]],Competitividad_1[#All],10,0)*IndiceIncrementoC,-3)</f>
        <v>4977000</v>
      </c>
      <c r="CL34" s="161">
        <f>Datos_Origen[[#This Row],[CT]]/Datos_Origen[[#This Row],[CTQ3]]</f>
        <v>0.62533497086598355</v>
      </c>
      <c r="CM34" s="162">
        <f>IF(ROUND(Datos_Origen[[#This Row],[Salario Ordinario Pol2]],-3)&lt;SMMLV,SMMLV,ROUND(Datos_Origen[[#This Row],[Salario Ordinario Pol2]],-3))</f>
        <v>2231000</v>
      </c>
      <c r="CN34" s="155">
        <f>IF(Datos_Origen[[#This Row],[Gpol]]/(1+FactorPrestacionalOrdinario)&lt;SMMLV,SMMLV,Datos_Origen[[#This Row],[Gpol]]/(1+FactorPrestacionalOrdinario))</f>
        <v>2788385.2691218127</v>
      </c>
      <c r="CO34" s="161">
        <f>IFERROR(IF(Datos_Origen[[#This Row],[Salarios Año]]=14.12,Datos_Origen[[#This Row],[Básico]]/Datos_Origen[[#This Row],[Salario Ordinario Pol]],""),"")</f>
        <v>0.94857766940973298</v>
      </c>
      <c r="CP34" s="155">
        <f>IF(ROUND(Datos_Origen[[#This Row],[Salario Ordinario Pol22]],-3)&lt;SMMLV,SMMLV,ROUND(Datos_Origen[[#This Row],[Salario Ordinario Pol22]],-3))</f>
        <v>3346000</v>
      </c>
      <c r="CQ34" s="155" t="str">
        <f>IFERROR(ROUND(Datos_Origen[[#This Row],[Salario Integral Pol4]],-3),"")</f>
        <v/>
      </c>
      <c r="CR34" s="139" t="str">
        <f>IF((Datos_Origen[[#This Row],[Gpol]]/(1+FactorPrestacionalIntegral))&lt;(13*SMMLV),"",(Datos_Origen[[#This Row],[Gpol]]/(1+FactorPrestacionalIntegral)))</f>
        <v/>
      </c>
      <c r="CS34" s="161" t="str">
        <f>IFERROR(IF(Datos_Origen[[#This Row],[Salarios Año]]=12,Datos_Origen[[#This Row],[Básico]]/Datos_Origen[[#This Row],[Salario Integral Pol]],""),"")</f>
        <v/>
      </c>
      <c r="CT34" s="155" t="str">
        <f>IFERROR(ROUND(Datos_Origen[[#This Row],[Salario Integral Pol44]],-3),"")</f>
        <v/>
      </c>
      <c r="CU34" s="155">
        <f>Datos_Origen[[#This Row],[G+Vpol]]-Datos_Origen[[#This Row],[Variable]]</f>
        <v>3281000</v>
      </c>
      <c r="CV34" s="161">
        <f>Datos_Origen[[#This Row],[G]]/Datos_Origen[[#This Row],[Gpol]]</f>
        <v>0.94858035659859807</v>
      </c>
      <c r="CW34" s="154">
        <f>Datos_Origen[[#This Row],[Ctpol]]-Datos_Origen[[#This Row],[Beneficios]]</f>
        <v>3281000</v>
      </c>
      <c r="CX34" s="161">
        <f>Datos_Origen[[#This Row],[G+V]]/Datos_Origen[[#This Row],[G+Vpol]]</f>
        <v>0.94858035659859807</v>
      </c>
      <c r="CY34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3281000</v>
      </c>
      <c r="CZ34" s="161">
        <f>Datos_Origen[[#This Row],[CT]]/Datos_Origen[[#This Row],[Ctpol]]</f>
        <v>0.94858035659859807</v>
      </c>
      <c r="DA34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2645000</v>
      </c>
      <c r="DB34" s="158">
        <f>IF(Datos_Origen[[#This Row],[Básico]]&lt;10*SMMLV,0,Datos_Origen[[#This Row],[Base Seguridad Social Actual]]*8.5%)</f>
        <v>0</v>
      </c>
      <c r="DC34" s="158">
        <f>Datos_Origen[[#This Row],[Base Seguridad Social Actual]]*12%</f>
        <v>317400</v>
      </c>
      <c r="DD34" s="158">
        <f>Datos_Origen[[#This Row],[Base Seguridad Social Actual]]*Datos_Origen[[#This Row],[%ARL]]</f>
        <v>13806.9</v>
      </c>
      <c r="DE34" s="158">
        <f>IF(Datos_Origen[[#This Row],[Básico]]&lt;10*SMMLV,Datos_Origen[[#This Row],[Base Seguridad Social Actual]]*4%,Datos_Origen[[#This Row],[Base Seguridad Social Actual]]*9%)</f>
        <v>105800</v>
      </c>
      <c r="DF34" s="158">
        <f>Datos_Origen[[#This Row],[Salud]]+Datos_Origen[[#This Row],[Pensión]]+Datos_Origen[[#This Row],[ARL]]+Datos_Origen[[#This Row],[Parafiscales]]</f>
        <v>437006.9</v>
      </c>
      <c r="DG34" s="158">
        <f>Datos_Origen[[#This Row],[Costo Laboral Actual]]+Datos_Origen[[#This Row],[CT]]</f>
        <v>3549299.0500000003</v>
      </c>
      <c r="DH34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2788385.2691218127</v>
      </c>
      <c r="DI34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34" s="158">
        <f>Datos_Origen[[#This Row],[Base Seguridad Social Nueva]]*12%</f>
        <v>334606.23229461751</v>
      </c>
      <c r="DK34" s="158">
        <f>Datos_Origen[[#This Row],[Base Seguridad Social Nueva]]*Datos_Origen[[#This Row],[%ARL]]</f>
        <v>14555.371104815862</v>
      </c>
      <c r="DL34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111535.4107648725</v>
      </c>
      <c r="DM34" s="158">
        <f>Datos_Origen[[#This Row],[Salud Nueva]]+Datos_Origen[[#This Row],[Pensión Nueva]]+Datos_Origen[[#This Row],[ARL nueva]]+Datos_Origen[[#This Row],[Parafiscales Nuevos]]</f>
        <v>460697.01416430587</v>
      </c>
      <c r="DN34" s="158">
        <f>Datos_Origen[[#This Row],[Costo Laboral Nuevo]]+Datos_Origen[[#This Row],[Ctpol]]</f>
        <v>3741697.0141643058</v>
      </c>
      <c r="DO34" s="158">
        <f>IF(Datos_Origen[[#This Row],[Ctpol]]-Datos_Origen[[#This Row],[CT]]&lt;=0,0,Datos_Origen[[#This Row],[Costo Total Nuevo]]-Datos_Origen[[#This Row],[Costo Total Actual]])</f>
        <v>192397.96416430548</v>
      </c>
      <c r="DP34" s="158">
        <f>IF(Datos_Origen[[#This Row],[Ctpol]]-Datos_Origen[[#This Row],[CT]]&lt;=0,0,Datos_Origen[[#This Row],[Ctpol]]-Datos_Origen[[#This Row],[CT]])</f>
        <v>168707.84999999963</v>
      </c>
      <c r="DQ34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23690.114164305851</v>
      </c>
      <c r="DR34" s="158">
        <f>ROUNDDOWN(VLOOKUP(Datos_Origen[[#This Row],[Categoria]],Competitividad_1[],7,0)*IndiceIncrementoC,-3)</f>
        <v>3644000</v>
      </c>
      <c r="DS34" s="158">
        <f>Datos_Origen[[#This Row],[CTeq]]*0.8</f>
        <v>2539610.855080226</v>
      </c>
      <c r="DT34" s="158">
        <f>Datos_Origen[[#This Row],[CTeq]]*1.2</f>
        <v>3809416.2826203383</v>
      </c>
      <c r="DU34" s="155">
        <f>IF(Datos_Origen[[#This Row],[Gpol6]]/(1+FactorPrestacionalOrdinario)&lt;SMMLV,SMMLV,Datos_Origen[[#This Row],[Gpol6]]/(1+FactorPrestacionalOrdinario))</f>
        <v>2230708.2152974503</v>
      </c>
      <c r="DV34" s="139" t="str">
        <f>IF((Datos_Origen[[#This Row],[Gpol6]]/(1+FactorPrestacionalIntegral))&lt;(13*SMMLV),"",(Datos_Origen[[#This Row],[Gpol6]]/(1+FactorPrestacionalIntegral)))</f>
        <v/>
      </c>
      <c r="DW34" s="154">
        <f>Datos_Origen[[#This Row],[G+Vpol8]]</f>
        <v>2624800</v>
      </c>
      <c r="DX34" s="154">
        <f>Datos_Origen[[#This Row],[Ctpol10]]-Datos_Origen[[#This Row],[Beneficios]]</f>
        <v>2624800</v>
      </c>
      <c r="DY34" s="154">
        <f>Datos_Origen[[#This Row],[Ctpol]]*$CM$6</f>
        <v>2624800</v>
      </c>
      <c r="DZ34" s="155">
        <f>IF(Datos_Origen[[#This Row],[Gpol66]]/(1+FactorPrestacionalOrdinario)&lt;SMMLV,SMMLV,Datos_Origen[[#This Row],[Gpol66]]/(1+FactorPrestacionalOrdinario))</f>
        <v>3346062.3229461755</v>
      </c>
      <c r="EA34" s="139" t="str">
        <f>IF((Datos_Origen[[#This Row],[Gpol66]]/(1+FactorPrestacionalIntegral))&lt;(13*SMMLV),"",(Datos_Origen[[#This Row],[Gpol66]]/(1+FactorPrestacionalIntegral)))</f>
        <v/>
      </c>
      <c r="EB34" s="154">
        <f>Datos_Origen[[#This Row],[G+Vpol88]]</f>
        <v>3937200</v>
      </c>
      <c r="EC34" s="154">
        <f>Datos_Origen[[#This Row],[Ctpol1010]]-Datos_Origen[[#This Row],[Beneficios]]</f>
        <v>3937200</v>
      </c>
      <c r="ED34" s="154">
        <f>Datos_Origen[[#This Row],[Ctpol]]*$CP$6</f>
        <v>3937200</v>
      </c>
      <c r="EE34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35" spans="2:135">
      <c r="B35" s="132"/>
      <c r="C35" s="149"/>
      <c r="D35" s="150"/>
      <c r="E35" s="151"/>
      <c r="F35" s="151"/>
      <c r="G35" s="150" t="s">
        <v>336</v>
      </c>
      <c r="H35" s="153"/>
      <c r="I35" s="152" t="s">
        <v>336</v>
      </c>
      <c r="J35" s="130" t="str">
        <f>IFERROR(VLOOKUP(Datos_Origen[[#This Row],[Cargo Tipo Valorado]],Cargos_Catalogo[[#All],[Cargo]:[Área]],2,0),"")</f>
        <v xml:space="preserve">Coordinadora de Mercadeo </v>
      </c>
      <c r="K35" s="153"/>
      <c r="L35" s="153"/>
      <c r="M35" s="153"/>
      <c r="N35" s="153"/>
      <c r="O35" s="154">
        <f>Datos_Origen[[#This Row],[Segmentación Individual]]</f>
        <v>0</v>
      </c>
      <c r="P35" s="153"/>
      <c r="Q35" s="154">
        <f>VLOOKUP(Datos_Origen[[#This Row],[Cargo Tipo Valorado]],Cargos_Catalogo[#Data],MATCH(Cargos_Catalogo[[#Headers],[Puntos]],Cargos_Catalogo[#Headers],0),FALSE)</f>
        <v>212</v>
      </c>
      <c r="R35" s="130">
        <f>VLOOKUP(Datos_Origen[[#This Row],[Puntos valoración]],Categorias_Registro[#Data],MATCH(Categorias_Registro[[#Headers],[Categoria]],Categorias_Registro[#Headers],0),FALSE)</f>
        <v>7</v>
      </c>
      <c r="S35" s="130" t="str">
        <f>VLOOKUP(Datos_Origen[[#This Row],[Cargo Tipo Valorado]],Cargos_Catalogo[#Data],MATCH(Cargos_Catalogo[[#Headers],[Nivel SHR]],Cargos_Catalogo[#Headers],0),FALSE)</f>
        <v>Soporte</v>
      </c>
      <c r="T35" s="130" t="str">
        <f>VLOOKUP(Datos_Origen[[#This Row],[Cargo Tipo Valorado]],Cargos_Catalogo[#Data],MATCH(Cargos_Catalogo[[#Headers],[Criticidad]],Cargos_Catalogo[#Headers],0),FALSE)</f>
        <v>Relevante</v>
      </c>
      <c r="U35" s="154">
        <f>VLOOKUP(Datos_Origen[[#This Row],[Puntos valoración]],Categorias_Registro[#Data],5,FALSE)</f>
        <v>217</v>
      </c>
      <c r="V35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35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35" s="154">
        <f>SUMIF($BA$5:$BJ$5,"NCS",Datos_Origen[[#This Row],[auxilio Gasolina]:[Otro Beneficio10]])+(SUMIF($BA$5:$BJ$5,"CS",Datos_Origen[[#This Row],[auxilio Gasolina]:[Otro Beneficio10]])*1.17667)</f>
        <v>0</v>
      </c>
      <c r="Y35" s="155">
        <f>Datos_Origen[[#This Row],[Básico]]+Datos_Origen[[#This Row],[Promedio de Comisiones  ]]</f>
        <v>2404000</v>
      </c>
      <c r="Z35" s="155">
        <f>Datos_Origen[[#This Row],[Básico]]+Datos_Origen[[#This Row],[Promedio de Comisiones  ]]</f>
        <v>2404000</v>
      </c>
      <c r="AA35" s="155">
        <f>Datos_Origen[[#This Row],[Garantizado]]</f>
        <v>2828714.68</v>
      </c>
      <c r="AB35" s="155">
        <f>Datos_Origen[[#This Row],[Variable]]+Datos_Origen[[#This Row],[Garantizado]]</f>
        <v>2828714.68</v>
      </c>
      <c r="AC35" s="155">
        <f>Datos_Origen[[#This Row],[Beneficios]]+Datos_Origen[[#This Row],[Variable]]+Datos_Origen[[#This Row],[Garantizado]]</f>
        <v>2828714.68</v>
      </c>
      <c r="AD35" s="156">
        <v>14.12</v>
      </c>
      <c r="AE35" s="141">
        <v>230</v>
      </c>
      <c r="AF35" s="345">
        <v>5.2199999999999998E-3</v>
      </c>
      <c r="AG35" s="155">
        <f>Datos_Origen[[#This Row],[Básico Actual]]*230/Datos_Origen[[#This Row],['# horas mes]]</f>
        <v>2404000</v>
      </c>
      <c r="AH35" s="157">
        <v>2404000</v>
      </c>
      <c r="AI35" s="158"/>
      <c r="AJ35" s="158">
        <f>(((Datos_Origen[[#This Row],[Básico]])/30)*$AJ$6)/12</f>
        <v>0</v>
      </c>
      <c r="AK35" s="158"/>
      <c r="AL35" s="143">
        <f>((Datos_Origen[[#This Row],[Básico]])/30)*$AL$6/12</f>
        <v>0</v>
      </c>
      <c r="AM35" s="158"/>
      <c r="AN35" s="158"/>
      <c r="AO35" s="158"/>
      <c r="AP35" s="158"/>
      <c r="AQ35" s="158"/>
      <c r="AR35" s="149">
        <v>0</v>
      </c>
      <c r="AS35" s="149"/>
      <c r="AT35" s="159" t="str">
        <f>IFERROR(Datos_Origen[[#This Row],[Comisiones Target]]/Datos_Origen[[#This Row],[Promedio de Comisiones  ]],"")</f>
        <v/>
      </c>
      <c r="AU35" s="160"/>
      <c r="AV35" s="143">
        <v>0</v>
      </c>
      <c r="AW35" s="160"/>
      <c r="AX35" s="143">
        <f>Datos_Origen[[#This Row],[N Salarios de la Bonificación2]]*Datos_Origen[[#This Row],[Básico]]/12</f>
        <v>0</v>
      </c>
      <c r="AY35" s="160"/>
      <c r="AZ35" s="158"/>
      <c r="BA35" s="149">
        <v>0</v>
      </c>
      <c r="BB35" s="149"/>
      <c r="BC35" s="149"/>
      <c r="BD35" s="149"/>
      <c r="BE35" s="149"/>
      <c r="BF35" s="149"/>
      <c r="BG35" s="149"/>
      <c r="BH35" s="149"/>
      <c r="BI35" s="149"/>
      <c r="BJ35" s="149"/>
      <c r="BK35" s="159">
        <f>IFERROR(Datos_Origen[[#This Row],[Variable]]/Datos_Origen[[#This Row],[CT]],"")</f>
        <v>0</v>
      </c>
      <c r="BL35" s="159">
        <f>IFERROR(Datos_Origen[[#This Row],[Beneficios]]/Datos_Origen[[#This Row],[CT]],"")</f>
        <v>0</v>
      </c>
      <c r="BM35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35" s="161">
        <f>Datos_Origen[[#This Row],[G]]/Datos_Origen[[#This Row],[Geq]]</f>
        <v>0.96021510368543916</v>
      </c>
      <c r="BO35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35" s="161">
        <f>Datos_Origen[[#This Row],[G+V]]/Datos_Origen[[#This Row],[G+Veq]]</f>
        <v>0.89176690230820366</v>
      </c>
      <c r="BQ35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35" s="161">
        <f>Datos_Origen[[#This Row],[CT]]/Datos_Origen[[#This Row],[CTeq]]</f>
        <v>0.89107027538221539</v>
      </c>
      <c r="BS35" s="139">
        <f>ROUNDUP(VLOOKUP(Datos_Origen[[#This Row],[Categoria]],Competitividad_1[#All],2,0)*IndiceIncrementoC,-3)</f>
        <v>2906000</v>
      </c>
      <c r="BT35" s="161">
        <f>Datos_Origen[[#This Row],[G]]/Datos_Origen[[#This Row],[GQ1]]</f>
        <v>0.9734049139710943</v>
      </c>
      <c r="BU35" s="155">
        <f>ROUNDUP(VLOOKUP(Datos_Origen[[#This Row],[Categoria]],Competitividad_1[#All],3,0)*IndiceIncrementoC,-3)</f>
        <v>3009000</v>
      </c>
      <c r="BV35" s="161">
        <f>Datos_Origen[[#This Row],[G+V]]/Datos_Origen[[#This Row],[G+VQ1]]</f>
        <v>0.94008463941508813</v>
      </c>
      <c r="BW35" s="155">
        <f>ROUNDUP(VLOOKUP(Datos_Origen[[#This Row],[Categoria]],Competitividad_1[#All],4,0)*IndiceIncrementoC,-3)</f>
        <v>3129000</v>
      </c>
      <c r="BX35" s="161">
        <f>Datos_Origen[[#This Row],[CT]]/Datos_Origen[[#This Row],[CTQ1]]</f>
        <v>0.90403153723234264</v>
      </c>
      <c r="BY35" s="155">
        <f>ROUNDUP(VLOOKUP(Datos_Origen[[#This Row],[Categoria]],Competitividad_1[#All],5,0)*IndiceIncrementoC,-3)</f>
        <v>3456000</v>
      </c>
      <c r="BZ35" s="161">
        <f>Datos_Origen[[#This Row],[G]]/Datos_Origen[[#This Row],[GMd]]</f>
        <v>0.81849383101851858</v>
      </c>
      <c r="CA35" s="155">
        <f>ROUNDUP(VLOOKUP(Datos_Origen[[#This Row],[Categoria]],Competitividad_1[#All],6,0)*IndiceIncrementoC,-3)</f>
        <v>3483000</v>
      </c>
      <c r="CB35" s="161">
        <f>Datos_Origen[[#This Row],[G+V]]/Datos_Origen[[#This Row],[G+VMd]]</f>
        <v>0.81214891759977037</v>
      </c>
      <c r="CC35" s="155">
        <f>ROUNDUP(VLOOKUP(Datos_Origen[[#This Row],[Categoria]],Competitividad_1[#All],7,0)*IndiceIncrementoC,-3)</f>
        <v>3645000</v>
      </c>
      <c r="CD35" s="161">
        <f>Datos_Origen[[#This Row],[CT]]/Datos_Origen[[#This Row],[CTMd]]</f>
        <v>0.77605341015089169</v>
      </c>
      <c r="CE35" s="155">
        <f>+Datos_Origen[[#This Row],[GMd]]/1.17666666667</f>
        <v>2937110.4815780818</v>
      </c>
      <c r="CF35" s="161">
        <f>+Datos_Origen[[#This Row],[Básico Actual]]/Datos_Origen[[#This Row],[Salario Basico Md]]</f>
        <v>0.81849151234799766</v>
      </c>
      <c r="CG35" s="155">
        <f>ROUNDUP(VLOOKUP(Datos_Origen[[#This Row],[Categoria]],Competitividad_1[#All],8,0)*IndiceIncrementoC,-3)</f>
        <v>4712000</v>
      </c>
      <c r="CH35" s="161">
        <f>Datos_Origen[[#This Row],[G]]/Datos_Origen[[#This Row],[GQ3]]</f>
        <v>0.60032145161290329</v>
      </c>
      <c r="CI35" s="155">
        <f>ROUNDUP(VLOOKUP(Datos_Origen[[#This Row],[Categoria]],Competitividad_1[#All],9,0)*IndiceIncrementoC,-3)</f>
        <v>4847000</v>
      </c>
      <c r="CJ35" s="161">
        <f>Datos_Origen[[#This Row],[G+V]]/Datos_Origen[[#This Row],[G+VQ3]]</f>
        <v>0.58360113059624519</v>
      </c>
      <c r="CK35" s="155">
        <f>ROUNDUP(VLOOKUP(Datos_Origen[[#This Row],[Categoria]],Competitividad_1[#All],10,0)*IndiceIncrementoC,-3)</f>
        <v>4977000</v>
      </c>
      <c r="CL35" s="161">
        <f>Datos_Origen[[#This Row],[CT]]/Datos_Origen[[#This Row],[CTQ3]]</f>
        <v>0.5683573799477597</v>
      </c>
      <c r="CM35" s="162">
        <f>IF(ROUND(Datos_Origen[[#This Row],[Salario Ordinario Pol2]],-3)&lt;SMMLV,SMMLV,ROUND(Datos_Origen[[#This Row],[Salario Ordinario Pol2]],-3))</f>
        <v>2231000</v>
      </c>
      <c r="CN35" s="155">
        <f>IF(Datos_Origen[[#This Row],[Gpol]]/(1+FactorPrestacionalOrdinario)&lt;SMMLV,SMMLV,Datos_Origen[[#This Row],[Gpol]]/(1+FactorPrestacionalOrdinario))</f>
        <v>2788385.2691218127</v>
      </c>
      <c r="CO35" s="161">
        <f>IFERROR(IF(Datos_Origen[[#This Row],[Salarios Año]]=14.12,Datos_Origen[[#This Row],[Básico]]/Datos_Origen[[#This Row],[Salario Ordinario Pol]],""),"")</f>
        <v>0.86214771919130362</v>
      </c>
      <c r="CP35" s="155">
        <f>IF(ROUND(Datos_Origen[[#This Row],[Salario Ordinario Pol22]],-3)&lt;SMMLV,SMMLV,ROUND(Datos_Origen[[#This Row],[Salario Ordinario Pol22]],-3))</f>
        <v>3346000</v>
      </c>
      <c r="CQ35" s="155" t="str">
        <f>IFERROR(ROUND(Datos_Origen[[#This Row],[Salario Integral Pol4]],-3),"")</f>
        <v/>
      </c>
      <c r="CR35" s="139" t="str">
        <f>IF((Datos_Origen[[#This Row],[Gpol]]/(1+FactorPrestacionalIntegral))&lt;(13*SMMLV),"",(Datos_Origen[[#This Row],[Gpol]]/(1+FactorPrestacionalIntegral)))</f>
        <v/>
      </c>
      <c r="CS35" s="161" t="str">
        <f>IFERROR(IF(Datos_Origen[[#This Row],[Salarios Año]]=12,Datos_Origen[[#This Row],[Básico]]/Datos_Origen[[#This Row],[Salario Integral Pol]],""),"")</f>
        <v/>
      </c>
      <c r="CT35" s="155" t="str">
        <f>IFERROR(ROUND(Datos_Origen[[#This Row],[Salario Integral Pol44]],-3),"")</f>
        <v/>
      </c>
      <c r="CU35" s="155">
        <f>Datos_Origen[[#This Row],[G+Vpol]]-Datos_Origen[[#This Row],[Variable]]</f>
        <v>3281000</v>
      </c>
      <c r="CV35" s="161">
        <f>Datos_Origen[[#This Row],[G]]/Datos_Origen[[#This Row],[Gpol]]</f>
        <v>0.86215016153611712</v>
      </c>
      <c r="CW35" s="154">
        <f>Datos_Origen[[#This Row],[Ctpol]]-Datos_Origen[[#This Row],[Beneficios]]</f>
        <v>3281000</v>
      </c>
      <c r="CX35" s="161">
        <f>Datos_Origen[[#This Row],[G+V]]/Datos_Origen[[#This Row],[G+Vpol]]</f>
        <v>0.86215016153611712</v>
      </c>
      <c r="CY35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3281000</v>
      </c>
      <c r="CZ35" s="161">
        <f>Datos_Origen[[#This Row],[CT]]/Datos_Origen[[#This Row],[Ctpol]]</f>
        <v>0.86215016153611712</v>
      </c>
      <c r="DA35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35" s="158">
        <f>IF(Datos_Origen[[#This Row],[Básico]]&lt;10*SMMLV,0,Datos_Origen[[#This Row],[Base Seguridad Social Actual]]*8.5%)</f>
        <v>0</v>
      </c>
      <c r="DC35" s="158">
        <f>Datos_Origen[[#This Row],[Base Seguridad Social Actual]]*12%</f>
        <v>288480</v>
      </c>
      <c r="DD35" s="158">
        <f>Datos_Origen[[#This Row],[Base Seguridad Social Actual]]*Datos_Origen[[#This Row],[%ARL]]</f>
        <v>12548.88</v>
      </c>
      <c r="DE35" s="158">
        <f>IF(Datos_Origen[[#This Row],[Básico]]&lt;10*SMMLV,Datos_Origen[[#This Row],[Base Seguridad Social Actual]]*4%,Datos_Origen[[#This Row],[Base Seguridad Social Actual]]*9%)</f>
        <v>96160</v>
      </c>
      <c r="DF35" s="158">
        <f>Datos_Origen[[#This Row],[Salud]]+Datos_Origen[[#This Row],[Pensión]]+Datos_Origen[[#This Row],[ARL]]+Datos_Origen[[#This Row],[Parafiscales]]</f>
        <v>397188.88</v>
      </c>
      <c r="DG35" s="163">
        <f>Datos_Origen[[#This Row],[Costo Laboral Actual]]+Datos_Origen[[#This Row],[CT]]</f>
        <v>3225903.56</v>
      </c>
      <c r="DH35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2788385.2691218127</v>
      </c>
      <c r="DI35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35" s="158">
        <f>Datos_Origen[[#This Row],[Base Seguridad Social Nueva]]*12%</f>
        <v>334606.23229461751</v>
      </c>
      <c r="DK35" s="158">
        <f>Datos_Origen[[#This Row],[Base Seguridad Social Nueva]]*Datos_Origen[[#This Row],[%ARL]]</f>
        <v>14555.371104815862</v>
      </c>
      <c r="DL35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111535.4107648725</v>
      </c>
      <c r="DM35" s="158">
        <f>Datos_Origen[[#This Row],[Salud Nueva]]+Datos_Origen[[#This Row],[Pensión Nueva]]+Datos_Origen[[#This Row],[ARL nueva]]+Datos_Origen[[#This Row],[Parafiscales Nuevos]]</f>
        <v>460697.01416430587</v>
      </c>
      <c r="DN35" s="158">
        <f>Datos_Origen[[#This Row],[Costo Laboral Nuevo]]+Datos_Origen[[#This Row],[Ctpol]]</f>
        <v>3741697.0141643058</v>
      </c>
      <c r="DO35" s="158">
        <f>IF(Datos_Origen[[#This Row],[Ctpol]]-Datos_Origen[[#This Row],[CT]]&lt;=0,0,Datos_Origen[[#This Row],[Costo Total Nuevo]]-Datos_Origen[[#This Row],[Costo Total Actual]])</f>
        <v>515793.4541643057</v>
      </c>
      <c r="DP35" s="158">
        <f>IF(Datos_Origen[[#This Row],[Ctpol]]-Datos_Origen[[#This Row],[CT]]&lt;=0,0,Datos_Origen[[#This Row],[Ctpol]]-Datos_Origen[[#This Row],[CT]])</f>
        <v>452285.31999999983</v>
      </c>
      <c r="DQ35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63508.134164305869</v>
      </c>
      <c r="DR35" s="158">
        <f>ROUNDDOWN(VLOOKUP(Datos_Origen[[#This Row],[Categoria]],Competitividad_1[],7,0)*IndiceIncrementoC,-3)</f>
        <v>3644000</v>
      </c>
      <c r="DS35" s="158">
        <f>Datos_Origen[[#This Row],[CTeq]]*0.8</f>
        <v>2539610.855080226</v>
      </c>
      <c r="DT35" s="158">
        <f>Datos_Origen[[#This Row],[CTeq]]*1.2</f>
        <v>3809416.2826203383</v>
      </c>
      <c r="DU35" s="155">
        <f>IF(Datos_Origen[[#This Row],[Gpol6]]/(1+FactorPrestacionalOrdinario)&lt;SMMLV,SMMLV,Datos_Origen[[#This Row],[Gpol6]]/(1+FactorPrestacionalOrdinario))</f>
        <v>2230708.2152974503</v>
      </c>
      <c r="DV35" s="139" t="str">
        <f>IF((Datos_Origen[[#This Row],[Gpol6]]/(1+FactorPrestacionalIntegral))&lt;(13*SMMLV),"",(Datos_Origen[[#This Row],[Gpol6]]/(1+FactorPrestacionalIntegral)))</f>
        <v/>
      </c>
      <c r="DW35" s="154">
        <f>Datos_Origen[[#This Row],[G+Vpol8]]</f>
        <v>2624800</v>
      </c>
      <c r="DX35" s="154">
        <f>Datos_Origen[[#This Row],[Ctpol10]]-Datos_Origen[[#This Row],[Beneficios]]</f>
        <v>2624800</v>
      </c>
      <c r="DY35" s="154">
        <f>Datos_Origen[[#This Row],[Ctpol]]*$CM$6</f>
        <v>2624800</v>
      </c>
      <c r="DZ35" s="155">
        <f>IF(Datos_Origen[[#This Row],[Gpol66]]/(1+FactorPrestacionalOrdinario)&lt;SMMLV,SMMLV,Datos_Origen[[#This Row],[Gpol66]]/(1+FactorPrestacionalOrdinario))</f>
        <v>3346062.3229461755</v>
      </c>
      <c r="EA35" s="139" t="str">
        <f>IF((Datos_Origen[[#This Row],[Gpol66]]/(1+FactorPrestacionalIntegral))&lt;(13*SMMLV),"",(Datos_Origen[[#This Row],[Gpol66]]/(1+FactorPrestacionalIntegral)))</f>
        <v/>
      </c>
      <c r="EB35" s="154">
        <f>Datos_Origen[[#This Row],[G+Vpol88]]</f>
        <v>3937200</v>
      </c>
      <c r="EC35" s="154">
        <f>Datos_Origen[[#This Row],[Ctpol1010]]-Datos_Origen[[#This Row],[Beneficios]]</f>
        <v>3937200</v>
      </c>
      <c r="ED35" s="154">
        <f>Datos_Origen[[#This Row],[Ctpol]]*$CP$6</f>
        <v>3937200</v>
      </c>
      <c r="EE35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36" spans="2:135">
      <c r="B36" s="132"/>
      <c r="C36" s="149"/>
      <c r="D36" s="150"/>
      <c r="E36" s="151"/>
      <c r="F36" s="151"/>
      <c r="G36" s="150" t="s">
        <v>336</v>
      </c>
      <c r="H36" s="153"/>
      <c r="I36" s="152" t="s">
        <v>336</v>
      </c>
      <c r="J36" s="130" t="str">
        <f>IFERROR(VLOOKUP(Datos_Origen[[#This Row],[Cargo Tipo Valorado]],Cargos_Catalogo[[#All],[Cargo]:[Área]],2,0),"")</f>
        <v xml:space="preserve">Coordinadora de Mercadeo </v>
      </c>
      <c r="K36" s="153"/>
      <c r="L36" s="153"/>
      <c r="M36" s="153"/>
      <c r="N36" s="153"/>
      <c r="O36" s="154">
        <f>Datos_Origen[[#This Row],[Segmentación Individual]]</f>
        <v>0</v>
      </c>
      <c r="P36" s="153"/>
      <c r="Q36" s="154">
        <f>VLOOKUP(Datos_Origen[[#This Row],[Cargo Tipo Valorado]],Cargos_Catalogo[#Data],MATCH(Cargos_Catalogo[[#Headers],[Puntos]],Cargos_Catalogo[#Headers],0),FALSE)</f>
        <v>212</v>
      </c>
      <c r="R36" s="130">
        <f>VLOOKUP(Datos_Origen[[#This Row],[Puntos valoración]],Categorias_Registro[#Data],MATCH(Categorias_Registro[[#Headers],[Categoria]],Categorias_Registro[#Headers],0),FALSE)</f>
        <v>7</v>
      </c>
      <c r="S36" s="130" t="str">
        <f>VLOOKUP(Datos_Origen[[#This Row],[Cargo Tipo Valorado]],Cargos_Catalogo[#Data],MATCH(Cargos_Catalogo[[#Headers],[Nivel SHR]],Cargos_Catalogo[#Headers],0),FALSE)</f>
        <v>Soporte</v>
      </c>
      <c r="T36" s="130" t="str">
        <f>VLOOKUP(Datos_Origen[[#This Row],[Cargo Tipo Valorado]],Cargos_Catalogo[#Data],MATCH(Cargos_Catalogo[[#Headers],[Criticidad]],Cargos_Catalogo[#Headers],0),FALSE)</f>
        <v>Relevante</v>
      </c>
      <c r="U36" s="154">
        <f>VLOOKUP(Datos_Origen[[#This Row],[Puntos valoración]],Categorias_Registro[#Data],5,FALSE)</f>
        <v>217</v>
      </c>
      <c r="V36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36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36" s="154">
        <f>SUMIF($BA$5:$BJ$5,"NCS",Datos_Origen[[#This Row],[auxilio Gasolina]:[Otro Beneficio10]])+(SUMIF($BA$5:$BJ$5,"CS",Datos_Origen[[#This Row],[auxilio Gasolina]:[Otro Beneficio10]])*1.17667)</f>
        <v>0</v>
      </c>
      <c r="Y36" s="155">
        <f>Datos_Origen[[#This Row],[Básico]]+Datos_Origen[[#This Row],[Promedio de Comisiones  ]]</f>
        <v>2404000</v>
      </c>
      <c r="Z36" s="155">
        <f>Datos_Origen[[#This Row],[Básico]]+Datos_Origen[[#This Row],[Promedio de Comisiones  ]]</f>
        <v>2404000</v>
      </c>
      <c r="AA36" s="155">
        <f>Datos_Origen[[#This Row],[Garantizado]]</f>
        <v>2828714.68</v>
      </c>
      <c r="AB36" s="155">
        <f>Datos_Origen[[#This Row],[Variable]]+Datos_Origen[[#This Row],[Garantizado]]</f>
        <v>2828714.68</v>
      </c>
      <c r="AC36" s="155">
        <f>Datos_Origen[[#This Row],[Beneficios]]+Datos_Origen[[#This Row],[Variable]]+Datos_Origen[[#This Row],[Garantizado]]</f>
        <v>2828714.68</v>
      </c>
      <c r="AD36" s="156">
        <v>14.12</v>
      </c>
      <c r="AE36" s="141">
        <v>230</v>
      </c>
      <c r="AF36" s="345">
        <v>5.2199999999999998E-3</v>
      </c>
      <c r="AG36" s="155">
        <f>Datos_Origen[[#This Row],[Básico Actual]]*230/Datos_Origen[[#This Row],['# horas mes]]</f>
        <v>2404000</v>
      </c>
      <c r="AH36" s="157">
        <v>2404000</v>
      </c>
      <c r="AI36" s="158"/>
      <c r="AJ36" s="158">
        <f>(((Datos_Origen[[#This Row],[Básico]])/30)*$AJ$6)/12</f>
        <v>0</v>
      </c>
      <c r="AK36" s="158"/>
      <c r="AL36" s="143">
        <f>((Datos_Origen[[#This Row],[Básico]])/30)*$AL$6/12</f>
        <v>0</v>
      </c>
      <c r="AM36" s="158"/>
      <c r="AN36" s="158"/>
      <c r="AO36" s="158"/>
      <c r="AP36" s="158"/>
      <c r="AQ36" s="158"/>
      <c r="AR36" s="149">
        <v>0</v>
      </c>
      <c r="AS36" s="149"/>
      <c r="AT36" s="159" t="str">
        <f>IFERROR(Datos_Origen[[#This Row],[Comisiones Target]]/Datos_Origen[[#This Row],[Promedio de Comisiones  ]],"")</f>
        <v/>
      </c>
      <c r="AU36" s="160"/>
      <c r="AV36" s="143">
        <v>0</v>
      </c>
      <c r="AW36" s="160"/>
      <c r="AX36" s="143">
        <f>Datos_Origen[[#This Row],[N Salarios de la Bonificación2]]*Datos_Origen[[#This Row],[Básico]]/12</f>
        <v>0</v>
      </c>
      <c r="AY36" s="160"/>
      <c r="AZ36" s="158"/>
      <c r="BA36" s="149">
        <v>0</v>
      </c>
      <c r="BB36" s="149"/>
      <c r="BC36" s="149"/>
      <c r="BD36" s="149"/>
      <c r="BE36" s="149"/>
      <c r="BF36" s="149"/>
      <c r="BG36" s="149"/>
      <c r="BH36" s="149"/>
      <c r="BI36" s="149"/>
      <c r="BJ36" s="149"/>
      <c r="BK36" s="159">
        <f>IFERROR(Datos_Origen[[#This Row],[Variable]]/Datos_Origen[[#This Row],[CT]],"")</f>
        <v>0</v>
      </c>
      <c r="BL36" s="159">
        <f>IFERROR(Datos_Origen[[#This Row],[Beneficios]]/Datos_Origen[[#This Row],[CT]],"")</f>
        <v>0</v>
      </c>
      <c r="BM36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36" s="161">
        <f>Datos_Origen[[#This Row],[G]]/Datos_Origen[[#This Row],[Geq]]</f>
        <v>0.96021510368543916</v>
      </c>
      <c r="BO36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36" s="161">
        <f>Datos_Origen[[#This Row],[G+V]]/Datos_Origen[[#This Row],[G+Veq]]</f>
        <v>0.89176690230820366</v>
      </c>
      <c r="BQ36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36" s="161">
        <f>Datos_Origen[[#This Row],[CT]]/Datos_Origen[[#This Row],[CTeq]]</f>
        <v>0.89107027538221539</v>
      </c>
      <c r="BS36" s="139">
        <f>ROUNDUP(VLOOKUP(Datos_Origen[[#This Row],[Categoria]],Competitividad_1[#All],2,0)*IndiceIncrementoC,-3)</f>
        <v>2906000</v>
      </c>
      <c r="BT36" s="161">
        <f>Datos_Origen[[#This Row],[G]]/Datos_Origen[[#This Row],[GQ1]]</f>
        <v>0.9734049139710943</v>
      </c>
      <c r="BU36" s="155">
        <f>ROUNDUP(VLOOKUP(Datos_Origen[[#This Row],[Categoria]],Competitividad_1[#All],3,0)*IndiceIncrementoC,-3)</f>
        <v>3009000</v>
      </c>
      <c r="BV36" s="161">
        <f>Datos_Origen[[#This Row],[G+V]]/Datos_Origen[[#This Row],[G+VQ1]]</f>
        <v>0.94008463941508813</v>
      </c>
      <c r="BW36" s="155">
        <f>ROUNDUP(VLOOKUP(Datos_Origen[[#This Row],[Categoria]],Competitividad_1[#All],4,0)*IndiceIncrementoC,-3)</f>
        <v>3129000</v>
      </c>
      <c r="BX36" s="161">
        <f>Datos_Origen[[#This Row],[CT]]/Datos_Origen[[#This Row],[CTQ1]]</f>
        <v>0.90403153723234264</v>
      </c>
      <c r="BY36" s="155">
        <f>ROUNDUP(VLOOKUP(Datos_Origen[[#This Row],[Categoria]],Competitividad_1[#All],5,0)*IndiceIncrementoC,-3)</f>
        <v>3456000</v>
      </c>
      <c r="BZ36" s="161">
        <f>Datos_Origen[[#This Row],[G]]/Datos_Origen[[#This Row],[GMd]]</f>
        <v>0.81849383101851858</v>
      </c>
      <c r="CA36" s="155">
        <f>ROUNDUP(VLOOKUP(Datos_Origen[[#This Row],[Categoria]],Competitividad_1[#All],6,0)*IndiceIncrementoC,-3)</f>
        <v>3483000</v>
      </c>
      <c r="CB36" s="161">
        <f>Datos_Origen[[#This Row],[G+V]]/Datos_Origen[[#This Row],[G+VMd]]</f>
        <v>0.81214891759977037</v>
      </c>
      <c r="CC36" s="155">
        <f>ROUNDUP(VLOOKUP(Datos_Origen[[#This Row],[Categoria]],Competitividad_1[#All],7,0)*IndiceIncrementoC,-3)</f>
        <v>3645000</v>
      </c>
      <c r="CD36" s="161">
        <f>Datos_Origen[[#This Row],[CT]]/Datos_Origen[[#This Row],[CTMd]]</f>
        <v>0.77605341015089169</v>
      </c>
      <c r="CE36" s="155">
        <f>+Datos_Origen[[#This Row],[GMd]]/1.17666666667</f>
        <v>2937110.4815780818</v>
      </c>
      <c r="CF36" s="161">
        <f>+Datos_Origen[[#This Row],[Básico Actual]]/Datos_Origen[[#This Row],[Salario Basico Md]]</f>
        <v>0.81849151234799766</v>
      </c>
      <c r="CG36" s="155">
        <f>ROUNDUP(VLOOKUP(Datos_Origen[[#This Row],[Categoria]],Competitividad_1[#All],8,0)*IndiceIncrementoC,-3)</f>
        <v>4712000</v>
      </c>
      <c r="CH36" s="161">
        <f>Datos_Origen[[#This Row],[G]]/Datos_Origen[[#This Row],[GQ3]]</f>
        <v>0.60032145161290329</v>
      </c>
      <c r="CI36" s="155">
        <f>ROUNDUP(VLOOKUP(Datos_Origen[[#This Row],[Categoria]],Competitividad_1[#All],9,0)*IndiceIncrementoC,-3)</f>
        <v>4847000</v>
      </c>
      <c r="CJ36" s="161">
        <f>Datos_Origen[[#This Row],[G+V]]/Datos_Origen[[#This Row],[G+VQ3]]</f>
        <v>0.58360113059624519</v>
      </c>
      <c r="CK36" s="155">
        <f>ROUNDUP(VLOOKUP(Datos_Origen[[#This Row],[Categoria]],Competitividad_1[#All],10,0)*IndiceIncrementoC,-3)</f>
        <v>4977000</v>
      </c>
      <c r="CL36" s="161">
        <f>Datos_Origen[[#This Row],[CT]]/Datos_Origen[[#This Row],[CTQ3]]</f>
        <v>0.5683573799477597</v>
      </c>
      <c r="CM36" s="162">
        <f>IF(ROUND(Datos_Origen[[#This Row],[Salario Ordinario Pol2]],-3)&lt;SMMLV,SMMLV,ROUND(Datos_Origen[[#This Row],[Salario Ordinario Pol2]],-3))</f>
        <v>2231000</v>
      </c>
      <c r="CN36" s="155">
        <f>IF(Datos_Origen[[#This Row],[Gpol]]/(1+FactorPrestacionalOrdinario)&lt;SMMLV,SMMLV,Datos_Origen[[#This Row],[Gpol]]/(1+FactorPrestacionalOrdinario))</f>
        <v>2788385.2691218127</v>
      </c>
      <c r="CO36" s="161">
        <f>IFERROR(IF(Datos_Origen[[#This Row],[Salarios Año]]=14.12,Datos_Origen[[#This Row],[Básico]]/Datos_Origen[[#This Row],[Salario Ordinario Pol]],""),"")</f>
        <v>0.86214771919130362</v>
      </c>
      <c r="CP36" s="155">
        <f>IF(ROUND(Datos_Origen[[#This Row],[Salario Ordinario Pol22]],-3)&lt;SMMLV,SMMLV,ROUND(Datos_Origen[[#This Row],[Salario Ordinario Pol22]],-3))</f>
        <v>3346000</v>
      </c>
      <c r="CQ36" s="155" t="str">
        <f>IFERROR(ROUND(Datos_Origen[[#This Row],[Salario Integral Pol4]],-3),"")</f>
        <v/>
      </c>
      <c r="CR36" s="139" t="str">
        <f>IF((Datos_Origen[[#This Row],[Gpol]]/(1+FactorPrestacionalIntegral))&lt;(13*SMMLV),"",(Datos_Origen[[#This Row],[Gpol]]/(1+FactorPrestacionalIntegral)))</f>
        <v/>
      </c>
      <c r="CS36" s="161" t="str">
        <f>IFERROR(IF(Datos_Origen[[#This Row],[Salarios Año]]=12,Datos_Origen[[#This Row],[Básico]]/Datos_Origen[[#This Row],[Salario Integral Pol]],""),"")</f>
        <v/>
      </c>
      <c r="CT36" s="155" t="str">
        <f>IFERROR(ROUND(Datos_Origen[[#This Row],[Salario Integral Pol44]],-3),"")</f>
        <v/>
      </c>
      <c r="CU36" s="155">
        <f>Datos_Origen[[#This Row],[G+Vpol]]-Datos_Origen[[#This Row],[Variable]]</f>
        <v>3281000</v>
      </c>
      <c r="CV36" s="161">
        <f>Datos_Origen[[#This Row],[G]]/Datos_Origen[[#This Row],[Gpol]]</f>
        <v>0.86215016153611712</v>
      </c>
      <c r="CW36" s="154">
        <f>Datos_Origen[[#This Row],[Ctpol]]-Datos_Origen[[#This Row],[Beneficios]]</f>
        <v>3281000</v>
      </c>
      <c r="CX36" s="161">
        <f>Datos_Origen[[#This Row],[G+V]]/Datos_Origen[[#This Row],[G+Vpol]]</f>
        <v>0.86215016153611712</v>
      </c>
      <c r="CY36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3281000</v>
      </c>
      <c r="CZ36" s="161">
        <f>Datos_Origen[[#This Row],[CT]]/Datos_Origen[[#This Row],[Ctpol]]</f>
        <v>0.86215016153611712</v>
      </c>
      <c r="DA36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36" s="158">
        <f>IF(Datos_Origen[[#This Row],[Básico]]&lt;10*SMMLV,0,Datos_Origen[[#This Row],[Base Seguridad Social Actual]]*8.5%)</f>
        <v>0</v>
      </c>
      <c r="DC36" s="158">
        <f>Datos_Origen[[#This Row],[Base Seguridad Social Actual]]*12%</f>
        <v>288480</v>
      </c>
      <c r="DD36" s="158">
        <f>Datos_Origen[[#This Row],[Base Seguridad Social Actual]]*Datos_Origen[[#This Row],[%ARL]]</f>
        <v>12548.88</v>
      </c>
      <c r="DE36" s="158">
        <f>IF(Datos_Origen[[#This Row],[Básico]]&lt;10*SMMLV,Datos_Origen[[#This Row],[Base Seguridad Social Actual]]*4%,Datos_Origen[[#This Row],[Base Seguridad Social Actual]]*9%)</f>
        <v>96160</v>
      </c>
      <c r="DF36" s="158">
        <f>Datos_Origen[[#This Row],[Salud]]+Datos_Origen[[#This Row],[Pensión]]+Datos_Origen[[#This Row],[ARL]]+Datos_Origen[[#This Row],[Parafiscales]]</f>
        <v>397188.88</v>
      </c>
      <c r="DG36" s="163">
        <f>Datos_Origen[[#This Row],[Costo Laboral Actual]]+Datos_Origen[[#This Row],[CT]]</f>
        <v>3225903.56</v>
      </c>
      <c r="DH36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2788385.2691218127</v>
      </c>
      <c r="DI36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36" s="158">
        <f>Datos_Origen[[#This Row],[Base Seguridad Social Nueva]]*12%</f>
        <v>334606.23229461751</v>
      </c>
      <c r="DK36" s="158">
        <f>Datos_Origen[[#This Row],[Base Seguridad Social Nueva]]*Datos_Origen[[#This Row],[%ARL]]</f>
        <v>14555.371104815862</v>
      </c>
      <c r="DL36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111535.4107648725</v>
      </c>
      <c r="DM36" s="158">
        <f>Datos_Origen[[#This Row],[Salud Nueva]]+Datos_Origen[[#This Row],[Pensión Nueva]]+Datos_Origen[[#This Row],[ARL nueva]]+Datos_Origen[[#This Row],[Parafiscales Nuevos]]</f>
        <v>460697.01416430587</v>
      </c>
      <c r="DN36" s="158">
        <f>Datos_Origen[[#This Row],[Costo Laboral Nuevo]]+Datos_Origen[[#This Row],[Ctpol]]</f>
        <v>3741697.0141643058</v>
      </c>
      <c r="DO36" s="158">
        <f>IF(Datos_Origen[[#This Row],[Ctpol]]-Datos_Origen[[#This Row],[CT]]&lt;=0,0,Datos_Origen[[#This Row],[Costo Total Nuevo]]-Datos_Origen[[#This Row],[Costo Total Actual]])</f>
        <v>515793.4541643057</v>
      </c>
      <c r="DP36" s="158">
        <f>IF(Datos_Origen[[#This Row],[Ctpol]]-Datos_Origen[[#This Row],[CT]]&lt;=0,0,Datos_Origen[[#This Row],[Ctpol]]-Datos_Origen[[#This Row],[CT]])</f>
        <v>452285.31999999983</v>
      </c>
      <c r="DQ36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63508.134164305869</v>
      </c>
      <c r="DR36" s="158">
        <f>ROUNDDOWN(VLOOKUP(Datos_Origen[[#This Row],[Categoria]],Competitividad_1[],7,0)*IndiceIncrementoC,-3)</f>
        <v>3644000</v>
      </c>
      <c r="DS36" s="158">
        <f>Datos_Origen[[#This Row],[CTeq]]*0.8</f>
        <v>2539610.855080226</v>
      </c>
      <c r="DT36" s="158">
        <f>Datos_Origen[[#This Row],[CTeq]]*1.2</f>
        <v>3809416.2826203383</v>
      </c>
      <c r="DU36" s="155">
        <f>IF(Datos_Origen[[#This Row],[Gpol6]]/(1+FactorPrestacionalOrdinario)&lt;SMMLV,SMMLV,Datos_Origen[[#This Row],[Gpol6]]/(1+FactorPrestacionalOrdinario))</f>
        <v>2230708.2152974503</v>
      </c>
      <c r="DV36" s="139" t="str">
        <f>IF((Datos_Origen[[#This Row],[Gpol6]]/(1+FactorPrestacionalIntegral))&lt;(13*SMMLV),"",(Datos_Origen[[#This Row],[Gpol6]]/(1+FactorPrestacionalIntegral)))</f>
        <v/>
      </c>
      <c r="DW36" s="154">
        <f>Datos_Origen[[#This Row],[G+Vpol8]]</f>
        <v>2624800</v>
      </c>
      <c r="DX36" s="154">
        <f>Datos_Origen[[#This Row],[Ctpol10]]-Datos_Origen[[#This Row],[Beneficios]]</f>
        <v>2624800</v>
      </c>
      <c r="DY36" s="154">
        <f>Datos_Origen[[#This Row],[Ctpol]]*$CM$6</f>
        <v>2624800</v>
      </c>
      <c r="DZ36" s="155">
        <f>IF(Datos_Origen[[#This Row],[Gpol66]]/(1+FactorPrestacionalOrdinario)&lt;SMMLV,SMMLV,Datos_Origen[[#This Row],[Gpol66]]/(1+FactorPrestacionalOrdinario))</f>
        <v>3346062.3229461755</v>
      </c>
      <c r="EA36" s="139" t="str">
        <f>IF((Datos_Origen[[#This Row],[Gpol66]]/(1+FactorPrestacionalIntegral))&lt;(13*SMMLV),"",(Datos_Origen[[#This Row],[Gpol66]]/(1+FactorPrestacionalIntegral)))</f>
        <v/>
      </c>
      <c r="EB36" s="154">
        <f>Datos_Origen[[#This Row],[G+Vpol88]]</f>
        <v>3937200</v>
      </c>
      <c r="EC36" s="154">
        <f>Datos_Origen[[#This Row],[Ctpol1010]]-Datos_Origen[[#This Row],[Beneficios]]</f>
        <v>3937200</v>
      </c>
      <c r="ED36" s="154">
        <f>Datos_Origen[[#This Row],[Ctpol]]*$CP$6</f>
        <v>3937200</v>
      </c>
      <c r="EE36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37" spans="2:135">
      <c r="B37" s="132"/>
      <c r="C37" s="149"/>
      <c r="D37" s="150"/>
      <c r="E37" s="151"/>
      <c r="F37" s="151"/>
      <c r="G37" s="150" t="s">
        <v>345</v>
      </c>
      <c r="H37" s="153"/>
      <c r="I37" s="152" t="s">
        <v>345</v>
      </c>
      <c r="J37" s="130" t="str">
        <f>IFERROR(VLOOKUP(Datos_Origen[[#This Row],[Cargo Tipo Valorado]],Cargos_Catalogo[[#All],[Cargo]:[Área]],2,0),"")</f>
        <v xml:space="preserve">Director Senior de ingenieria </v>
      </c>
      <c r="K37" s="153"/>
      <c r="L37" s="153"/>
      <c r="M37" s="153"/>
      <c r="N37" s="153"/>
      <c r="O37" s="154">
        <f>Datos_Origen[[#This Row],[Segmentación Individual]]</f>
        <v>0</v>
      </c>
      <c r="P37" s="153"/>
      <c r="Q37" s="154">
        <f>VLOOKUP(Datos_Origen[[#This Row],[Cargo Tipo Valorado]],Cargos_Catalogo[#Data],MATCH(Cargos_Catalogo[[#Headers],[Puntos]],Cargos_Catalogo[#Headers],0),FALSE)</f>
        <v>213</v>
      </c>
      <c r="R37" s="130">
        <f>VLOOKUP(Datos_Origen[[#This Row],[Puntos valoración]],Categorias_Registro[#Data],MATCH(Categorias_Registro[[#Headers],[Categoria]],Categorias_Registro[#Headers],0),FALSE)</f>
        <v>7</v>
      </c>
      <c r="S37" s="130" t="str">
        <f>VLOOKUP(Datos_Origen[[#This Row],[Cargo Tipo Valorado]],Cargos_Catalogo[#Data],MATCH(Cargos_Catalogo[[#Headers],[Nivel SHR]],Cargos_Catalogo[#Headers],0),FALSE)</f>
        <v>Soporte</v>
      </c>
      <c r="T37" s="130" t="str">
        <f>VLOOKUP(Datos_Origen[[#This Row],[Cargo Tipo Valorado]],Cargos_Catalogo[#Data],MATCH(Cargos_Catalogo[[#Headers],[Criticidad]],Cargos_Catalogo[#Headers],0),FALSE)</f>
        <v>Relevante</v>
      </c>
      <c r="U37" s="154">
        <f>VLOOKUP(Datos_Origen[[#This Row],[Puntos valoración]],Categorias_Registro[#Data],5,FALSE)</f>
        <v>217</v>
      </c>
      <c r="V37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37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37" s="154">
        <f>SUMIF($BA$5:$BJ$5,"NCS",Datos_Origen[[#This Row],[auxilio Gasolina]:[Otro Beneficio10]])+(SUMIF($BA$5:$BJ$5,"CS",Datos_Origen[[#This Row],[auxilio Gasolina]:[Otro Beneficio10]])*1.17667)</f>
        <v>0</v>
      </c>
      <c r="Y37" s="155">
        <f>Datos_Origen[[#This Row],[Básico]]+Datos_Origen[[#This Row],[Promedio de Comisiones  ]]</f>
        <v>2404000</v>
      </c>
      <c r="Z37" s="155">
        <f>Datos_Origen[[#This Row],[Básico]]+Datos_Origen[[#This Row],[Promedio de Comisiones  ]]</f>
        <v>2404000</v>
      </c>
      <c r="AA37" s="155">
        <f>Datos_Origen[[#This Row],[Garantizado]]</f>
        <v>2828714.68</v>
      </c>
      <c r="AB37" s="155">
        <f>Datos_Origen[[#This Row],[Variable]]+Datos_Origen[[#This Row],[Garantizado]]</f>
        <v>2828714.68</v>
      </c>
      <c r="AC37" s="155">
        <f>Datos_Origen[[#This Row],[Beneficios]]+Datos_Origen[[#This Row],[Variable]]+Datos_Origen[[#This Row],[Garantizado]]</f>
        <v>2828714.68</v>
      </c>
      <c r="AD37" s="156">
        <v>14.12</v>
      </c>
      <c r="AE37" s="141">
        <v>230</v>
      </c>
      <c r="AF37" s="345">
        <v>4.3499999999999997E-2</v>
      </c>
      <c r="AG37" s="155">
        <f>Datos_Origen[[#This Row],[Básico Actual]]*230/Datos_Origen[[#This Row],['# horas mes]]</f>
        <v>2404000</v>
      </c>
      <c r="AH37" s="157">
        <v>2404000</v>
      </c>
      <c r="AI37" s="158"/>
      <c r="AJ37" s="158">
        <f>(((Datos_Origen[[#This Row],[Básico]])/30)*$AJ$6)/12</f>
        <v>0</v>
      </c>
      <c r="AK37" s="158"/>
      <c r="AL37" s="143">
        <f>((Datos_Origen[[#This Row],[Básico]])/30)*$AL$6/12</f>
        <v>0</v>
      </c>
      <c r="AM37" s="158"/>
      <c r="AN37" s="158"/>
      <c r="AO37" s="158"/>
      <c r="AP37" s="158"/>
      <c r="AQ37" s="158"/>
      <c r="AR37" s="149">
        <v>0</v>
      </c>
      <c r="AS37" s="149"/>
      <c r="AT37" s="159" t="str">
        <f>IFERROR(Datos_Origen[[#This Row],[Comisiones Target]]/Datos_Origen[[#This Row],[Promedio de Comisiones  ]],"")</f>
        <v/>
      </c>
      <c r="AU37" s="160"/>
      <c r="AV37" s="143">
        <v>0</v>
      </c>
      <c r="AW37" s="160"/>
      <c r="AX37" s="143">
        <f>Datos_Origen[[#This Row],[N Salarios de la Bonificación2]]*Datos_Origen[[#This Row],[Básico]]/12</f>
        <v>0</v>
      </c>
      <c r="AY37" s="160"/>
      <c r="AZ37" s="158"/>
      <c r="BA37" s="149">
        <v>0</v>
      </c>
      <c r="BB37" s="149"/>
      <c r="BC37" s="149"/>
      <c r="BD37" s="149"/>
      <c r="BE37" s="149"/>
      <c r="BF37" s="149"/>
      <c r="BG37" s="149"/>
      <c r="BH37" s="149"/>
      <c r="BI37" s="149"/>
      <c r="BJ37" s="149"/>
      <c r="BK37" s="159">
        <f>IFERROR(Datos_Origen[[#This Row],[Variable]]/Datos_Origen[[#This Row],[CT]],"")</f>
        <v>0</v>
      </c>
      <c r="BL37" s="159">
        <f>IFERROR(Datos_Origen[[#This Row],[Beneficios]]/Datos_Origen[[#This Row],[CT]],"")</f>
        <v>0</v>
      </c>
      <c r="BM37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37" s="161">
        <f>Datos_Origen[[#This Row],[G]]/Datos_Origen[[#This Row],[Geq]]</f>
        <v>0.96021510368543916</v>
      </c>
      <c r="BO37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37" s="161">
        <f>Datos_Origen[[#This Row],[G+V]]/Datos_Origen[[#This Row],[G+Veq]]</f>
        <v>0.89176690230820366</v>
      </c>
      <c r="BQ37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37" s="161">
        <f>Datos_Origen[[#This Row],[CT]]/Datos_Origen[[#This Row],[CTeq]]</f>
        <v>0.89107027538221539</v>
      </c>
      <c r="BS37" s="139">
        <f>ROUNDUP(VLOOKUP(Datos_Origen[[#This Row],[Categoria]],Competitividad_1[#All],2,0)*IndiceIncrementoC,-3)</f>
        <v>2906000</v>
      </c>
      <c r="BT37" s="161">
        <f>Datos_Origen[[#This Row],[G]]/Datos_Origen[[#This Row],[GQ1]]</f>
        <v>0.9734049139710943</v>
      </c>
      <c r="BU37" s="155">
        <f>ROUNDUP(VLOOKUP(Datos_Origen[[#This Row],[Categoria]],Competitividad_1[#All],3,0)*IndiceIncrementoC,-3)</f>
        <v>3009000</v>
      </c>
      <c r="BV37" s="161">
        <f>Datos_Origen[[#This Row],[G+V]]/Datos_Origen[[#This Row],[G+VQ1]]</f>
        <v>0.94008463941508813</v>
      </c>
      <c r="BW37" s="155">
        <f>ROUNDUP(VLOOKUP(Datos_Origen[[#This Row],[Categoria]],Competitividad_1[#All],4,0)*IndiceIncrementoC,-3)</f>
        <v>3129000</v>
      </c>
      <c r="BX37" s="161">
        <f>Datos_Origen[[#This Row],[CT]]/Datos_Origen[[#This Row],[CTQ1]]</f>
        <v>0.90403153723234264</v>
      </c>
      <c r="BY37" s="155">
        <f>ROUNDUP(VLOOKUP(Datos_Origen[[#This Row],[Categoria]],Competitividad_1[#All],5,0)*IndiceIncrementoC,-3)</f>
        <v>3456000</v>
      </c>
      <c r="BZ37" s="161">
        <f>Datos_Origen[[#This Row],[G]]/Datos_Origen[[#This Row],[GMd]]</f>
        <v>0.81849383101851858</v>
      </c>
      <c r="CA37" s="155">
        <f>ROUNDUP(VLOOKUP(Datos_Origen[[#This Row],[Categoria]],Competitividad_1[#All],6,0)*IndiceIncrementoC,-3)</f>
        <v>3483000</v>
      </c>
      <c r="CB37" s="161">
        <f>Datos_Origen[[#This Row],[G+V]]/Datos_Origen[[#This Row],[G+VMd]]</f>
        <v>0.81214891759977037</v>
      </c>
      <c r="CC37" s="155">
        <f>ROUNDUP(VLOOKUP(Datos_Origen[[#This Row],[Categoria]],Competitividad_1[#All],7,0)*IndiceIncrementoC,-3)</f>
        <v>3645000</v>
      </c>
      <c r="CD37" s="161">
        <f>Datos_Origen[[#This Row],[CT]]/Datos_Origen[[#This Row],[CTMd]]</f>
        <v>0.77605341015089169</v>
      </c>
      <c r="CE37" s="155">
        <f>+Datos_Origen[[#This Row],[GMd]]/1.17666666667</f>
        <v>2937110.4815780818</v>
      </c>
      <c r="CF37" s="161">
        <f>+Datos_Origen[[#This Row],[Básico Actual]]/Datos_Origen[[#This Row],[Salario Basico Md]]</f>
        <v>0.81849151234799766</v>
      </c>
      <c r="CG37" s="155">
        <f>ROUNDUP(VLOOKUP(Datos_Origen[[#This Row],[Categoria]],Competitividad_1[#All],8,0)*IndiceIncrementoC,-3)</f>
        <v>4712000</v>
      </c>
      <c r="CH37" s="161">
        <f>Datos_Origen[[#This Row],[G]]/Datos_Origen[[#This Row],[GQ3]]</f>
        <v>0.60032145161290329</v>
      </c>
      <c r="CI37" s="155">
        <f>ROUNDUP(VLOOKUP(Datos_Origen[[#This Row],[Categoria]],Competitividad_1[#All],9,0)*IndiceIncrementoC,-3)</f>
        <v>4847000</v>
      </c>
      <c r="CJ37" s="161">
        <f>Datos_Origen[[#This Row],[G+V]]/Datos_Origen[[#This Row],[G+VQ3]]</f>
        <v>0.58360113059624519</v>
      </c>
      <c r="CK37" s="155">
        <f>ROUNDUP(VLOOKUP(Datos_Origen[[#This Row],[Categoria]],Competitividad_1[#All],10,0)*IndiceIncrementoC,-3)</f>
        <v>4977000</v>
      </c>
      <c r="CL37" s="161">
        <f>Datos_Origen[[#This Row],[CT]]/Datos_Origen[[#This Row],[CTQ3]]</f>
        <v>0.5683573799477597</v>
      </c>
      <c r="CM37" s="162">
        <f>IF(ROUND(Datos_Origen[[#This Row],[Salario Ordinario Pol2]],-3)&lt;SMMLV,SMMLV,ROUND(Datos_Origen[[#This Row],[Salario Ordinario Pol2]],-3))</f>
        <v>2231000</v>
      </c>
      <c r="CN37" s="155">
        <f>IF(Datos_Origen[[#This Row],[Gpol]]/(1+FactorPrestacionalOrdinario)&lt;SMMLV,SMMLV,Datos_Origen[[#This Row],[Gpol]]/(1+FactorPrestacionalOrdinario))</f>
        <v>2788385.2691218127</v>
      </c>
      <c r="CO37" s="161">
        <f>IFERROR(IF(Datos_Origen[[#This Row],[Salarios Año]]=14.12,Datos_Origen[[#This Row],[Básico]]/Datos_Origen[[#This Row],[Salario Ordinario Pol]],""),"")</f>
        <v>0.86214771919130362</v>
      </c>
      <c r="CP37" s="155">
        <f>IF(ROUND(Datos_Origen[[#This Row],[Salario Ordinario Pol22]],-3)&lt;SMMLV,SMMLV,ROUND(Datos_Origen[[#This Row],[Salario Ordinario Pol22]],-3))</f>
        <v>3346000</v>
      </c>
      <c r="CQ37" s="155" t="str">
        <f>IFERROR(ROUND(Datos_Origen[[#This Row],[Salario Integral Pol4]],-3),"")</f>
        <v/>
      </c>
      <c r="CR37" s="139" t="str">
        <f>IF((Datos_Origen[[#This Row],[Gpol]]/(1+FactorPrestacionalIntegral))&lt;(13*SMMLV),"",(Datos_Origen[[#This Row],[Gpol]]/(1+FactorPrestacionalIntegral)))</f>
        <v/>
      </c>
      <c r="CS37" s="161" t="str">
        <f>IFERROR(IF(Datos_Origen[[#This Row],[Salarios Año]]=12,Datos_Origen[[#This Row],[Básico]]/Datos_Origen[[#This Row],[Salario Integral Pol]],""),"")</f>
        <v/>
      </c>
      <c r="CT37" s="155" t="str">
        <f>IFERROR(ROUND(Datos_Origen[[#This Row],[Salario Integral Pol44]],-3),"")</f>
        <v/>
      </c>
      <c r="CU37" s="155">
        <f>Datos_Origen[[#This Row],[G+Vpol]]-Datos_Origen[[#This Row],[Variable]]</f>
        <v>3281000</v>
      </c>
      <c r="CV37" s="161">
        <f>Datos_Origen[[#This Row],[G]]/Datos_Origen[[#This Row],[Gpol]]</f>
        <v>0.86215016153611712</v>
      </c>
      <c r="CW37" s="154">
        <f>Datos_Origen[[#This Row],[Ctpol]]-Datos_Origen[[#This Row],[Beneficios]]</f>
        <v>3281000</v>
      </c>
      <c r="CX37" s="161">
        <f>Datos_Origen[[#This Row],[G+V]]/Datos_Origen[[#This Row],[G+Vpol]]</f>
        <v>0.86215016153611712</v>
      </c>
      <c r="CY37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3281000</v>
      </c>
      <c r="CZ37" s="161">
        <f>Datos_Origen[[#This Row],[CT]]/Datos_Origen[[#This Row],[Ctpol]]</f>
        <v>0.86215016153611712</v>
      </c>
      <c r="DA37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37" s="158">
        <f>IF(Datos_Origen[[#This Row],[Básico]]&lt;10*SMMLV,0,Datos_Origen[[#This Row],[Base Seguridad Social Actual]]*8.5%)</f>
        <v>0</v>
      </c>
      <c r="DC37" s="158">
        <f>Datos_Origen[[#This Row],[Base Seguridad Social Actual]]*12%</f>
        <v>288480</v>
      </c>
      <c r="DD37" s="158">
        <f>Datos_Origen[[#This Row],[Base Seguridad Social Actual]]*Datos_Origen[[#This Row],[%ARL]]</f>
        <v>104574</v>
      </c>
      <c r="DE37" s="158">
        <f>IF(Datos_Origen[[#This Row],[Básico]]&lt;10*SMMLV,Datos_Origen[[#This Row],[Base Seguridad Social Actual]]*4%,Datos_Origen[[#This Row],[Base Seguridad Social Actual]]*9%)</f>
        <v>96160</v>
      </c>
      <c r="DF37" s="158">
        <f>Datos_Origen[[#This Row],[Salud]]+Datos_Origen[[#This Row],[Pensión]]+Datos_Origen[[#This Row],[ARL]]+Datos_Origen[[#This Row],[Parafiscales]]</f>
        <v>489214</v>
      </c>
      <c r="DG37" s="158">
        <f>Datos_Origen[[#This Row],[Costo Laboral Actual]]+Datos_Origen[[#This Row],[CT]]</f>
        <v>3317928.68</v>
      </c>
      <c r="DH37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2788385.2691218127</v>
      </c>
      <c r="DI37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37" s="158">
        <f>Datos_Origen[[#This Row],[Base Seguridad Social Nueva]]*12%</f>
        <v>334606.23229461751</v>
      </c>
      <c r="DK37" s="158">
        <f>Datos_Origen[[#This Row],[Base Seguridad Social Nueva]]*Datos_Origen[[#This Row],[%ARL]]</f>
        <v>121294.75920679884</v>
      </c>
      <c r="DL37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111535.4107648725</v>
      </c>
      <c r="DM37" s="158">
        <f>Datos_Origen[[#This Row],[Salud Nueva]]+Datos_Origen[[#This Row],[Pensión Nueva]]+Datos_Origen[[#This Row],[ARL nueva]]+Datos_Origen[[#This Row],[Parafiscales Nuevos]]</f>
        <v>567436.40226628887</v>
      </c>
      <c r="DN37" s="158">
        <f>Datos_Origen[[#This Row],[Costo Laboral Nuevo]]+Datos_Origen[[#This Row],[Ctpol]]</f>
        <v>3848436.4022662891</v>
      </c>
      <c r="DO37" s="158">
        <f>IF(Datos_Origen[[#This Row],[Ctpol]]-Datos_Origen[[#This Row],[CT]]&lt;=0,0,Datos_Origen[[#This Row],[Costo Total Nuevo]]-Datos_Origen[[#This Row],[Costo Total Actual]])</f>
        <v>530507.72226628894</v>
      </c>
      <c r="DP37" s="158">
        <f>IF(Datos_Origen[[#This Row],[Ctpol]]-Datos_Origen[[#This Row],[CT]]&lt;=0,0,Datos_Origen[[#This Row],[Ctpol]]-Datos_Origen[[#This Row],[CT]])</f>
        <v>452285.31999999983</v>
      </c>
      <c r="DQ37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78222.402266288875</v>
      </c>
      <c r="DR37" s="158">
        <f>ROUNDDOWN(VLOOKUP(Datos_Origen[[#This Row],[Categoria]],Competitividad_1[],7,0)*IndiceIncrementoC,-3)</f>
        <v>3644000</v>
      </c>
      <c r="DS37" s="158">
        <f>Datos_Origen[[#This Row],[CTeq]]*0.8</f>
        <v>2539610.855080226</v>
      </c>
      <c r="DT37" s="158">
        <f>Datos_Origen[[#This Row],[CTeq]]*1.2</f>
        <v>3809416.2826203383</v>
      </c>
      <c r="DU37" s="155">
        <f>IF(Datos_Origen[[#This Row],[Gpol6]]/(1+FactorPrestacionalOrdinario)&lt;SMMLV,SMMLV,Datos_Origen[[#This Row],[Gpol6]]/(1+FactorPrestacionalOrdinario))</f>
        <v>2230708.2152974503</v>
      </c>
      <c r="DV37" s="139" t="str">
        <f>IF((Datos_Origen[[#This Row],[Gpol6]]/(1+FactorPrestacionalIntegral))&lt;(13*SMMLV),"",(Datos_Origen[[#This Row],[Gpol6]]/(1+FactorPrestacionalIntegral)))</f>
        <v/>
      </c>
      <c r="DW37" s="154">
        <f>Datos_Origen[[#This Row],[G+Vpol8]]</f>
        <v>2624800</v>
      </c>
      <c r="DX37" s="154">
        <f>Datos_Origen[[#This Row],[Ctpol10]]-Datos_Origen[[#This Row],[Beneficios]]</f>
        <v>2624800</v>
      </c>
      <c r="DY37" s="154">
        <f>Datos_Origen[[#This Row],[Ctpol]]*$CM$6</f>
        <v>2624800</v>
      </c>
      <c r="DZ37" s="155">
        <f>IF(Datos_Origen[[#This Row],[Gpol66]]/(1+FactorPrestacionalOrdinario)&lt;SMMLV,SMMLV,Datos_Origen[[#This Row],[Gpol66]]/(1+FactorPrestacionalOrdinario))</f>
        <v>3346062.3229461755</v>
      </c>
      <c r="EA37" s="139" t="str">
        <f>IF((Datos_Origen[[#This Row],[Gpol66]]/(1+FactorPrestacionalIntegral))&lt;(13*SMMLV),"",(Datos_Origen[[#This Row],[Gpol66]]/(1+FactorPrestacionalIntegral)))</f>
        <v/>
      </c>
      <c r="EB37" s="154">
        <f>Datos_Origen[[#This Row],[G+Vpol88]]</f>
        <v>3937200</v>
      </c>
      <c r="EC37" s="154">
        <f>Datos_Origen[[#This Row],[Ctpol1010]]-Datos_Origen[[#This Row],[Beneficios]]</f>
        <v>3937200</v>
      </c>
      <c r="ED37" s="154">
        <f>Datos_Origen[[#This Row],[Ctpol]]*$CP$6</f>
        <v>3937200</v>
      </c>
      <c r="EE37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38" spans="2:135">
      <c r="B38" s="132"/>
      <c r="C38" s="149"/>
      <c r="D38" s="150"/>
      <c r="E38" s="151"/>
      <c r="F38" s="151"/>
      <c r="G38" s="150" t="s">
        <v>339</v>
      </c>
      <c r="H38" s="153"/>
      <c r="I38" s="152" t="s">
        <v>339</v>
      </c>
      <c r="J38" s="130" t="str">
        <f>IFERROR(VLOOKUP(Datos_Origen[[#This Row],[Cargo Tipo Valorado]],Cargos_Catalogo[[#All],[Cargo]:[Área]],2,0),"")</f>
        <v/>
      </c>
      <c r="K38" s="153"/>
      <c r="L38" s="153"/>
      <c r="M38" s="153"/>
      <c r="N38" s="153"/>
      <c r="O38" s="154">
        <f>Datos_Origen[[#This Row],[Segmentación Individual]]</f>
        <v>0</v>
      </c>
      <c r="P38" s="153"/>
      <c r="Q38" s="154">
        <f>VLOOKUP(Datos_Origen[[#This Row],[Cargo Tipo Valorado]],Cargos_Catalogo[#Data],MATCH(Cargos_Catalogo[[#Headers],[Puntos]],Cargos_Catalogo[#Headers],0),FALSE)</f>
        <v>217</v>
      </c>
      <c r="R38" s="130">
        <f>VLOOKUP(Datos_Origen[[#This Row],[Puntos valoración]],Categorias_Registro[#Data],MATCH(Categorias_Registro[[#Headers],[Categoria]],Categorias_Registro[#Headers],0),FALSE)</f>
        <v>7</v>
      </c>
      <c r="S38" s="130" t="str">
        <f>VLOOKUP(Datos_Origen[[#This Row],[Cargo Tipo Valorado]],Cargos_Catalogo[#Data],MATCH(Cargos_Catalogo[[#Headers],[Nivel SHR]],Cargos_Catalogo[#Headers],0),FALSE)</f>
        <v>Soporte</v>
      </c>
      <c r="T38" s="130" t="str">
        <f>VLOOKUP(Datos_Origen[[#This Row],[Cargo Tipo Valorado]],Cargos_Catalogo[#Data],MATCH(Cargos_Catalogo[[#Headers],[Criticidad]],Cargos_Catalogo[#Headers],0),FALSE)</f>
        <v>Relevante</v>
      </c>
      <c r="U38" s="154">
        <f>VLOOKUP(Datos_Origen[[#This Row],[Puntos valoración]],Categorias_Registro[#Data],5,FALSE)</f>
        <v>217</v>
      </c>
      <c r="V38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3218192.45</v>
      </c>
      <c r="W38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38" s="154">
        <f>SUMIF($BA$5:$BJ$5,"NCS",Datos_Origen[[#This Row],[auxilio Gasolina]:[Otro Beneficio10]])+(SUMIF($BA$5:$BJ$5,"CS",Datos_Origen[[#This Row],[auxilio Gasolina]:[Otro Beneficio10]])*1.17667)</f>
        <v>0</v>
      </c>
      <c r="Y38" s="155">
        <f>Datos_Origen[[#This Row],[Básico]]+Datos_Origen[[#This Row],[Promedio de Comisiones  ]]</f>
        <v>2735000</v>
      </c>
      <c r="Z38" s="155">
        <f>Datos_Origen[[#This Row],[Básico]]+Datos_Origen[[#This Row],[Promedio de Comisiones  ]]</f>
        <v>2735000</v>
      </c>
      <c r="AA38" s="155">
        <f>Datos_Origen[[#This Row],[Garantizado]]</f>
        <v>3218192.45</v>
      </c>
      <c r="AB38" s="155">
        <f>Datos_Origen[[#This Row],[Variable]]+Datos_Origen[[#This Row],[Garantizado]]</f>
        <v>3218192.45</v>
      </c>
      <c r="AC38" s="155">
        <f>Datos_Origen[[#This Row],[Beneficios]]+Datos_Origen[[#This Row],[Variable]]+Datos_Origen[[#This Row],[Garantizado]]</f>
        <v>3218192.45</v>
      </c>
      <c r="AD38" s="156">
        <v>14.12</v>
      </c>
      <c r="AE38" s="141">
        <v>230</v>
      </c>
      <c r="AF38" s="345">
        <v>5.2199999999999998E-3</v>
      </c>
      <c r="AG38" s="155">
        <f>Datos_Origen[[#This Row],[Básico Actual]]*230/Datos_Origen[[#This Row],['# horas mes]]</f>
        <v>2735000</v>
      </c>
      <c r="AH38" s="157">
        <v>2735000</v>
      </c>
      <c r="AI38" s="158"/>
      <c r="AJ38" s="158">
        <f>(((Datos_Origen[[#This Row],[Básico]])/30)*$AJ$6)/12</f>
        <v>0</v>
      </c>
      <c r="AK38" s="158"/>
      <c r="AL38" s="143">
        <f>((Datos_Origen[[#This Row],[Básico]])/30)*$AL$6/12</f>
        <v>0</v>
      </c>
      <c r="AM38" s="158"/>
      <c r="AN38" s="158"/>
      <c r="AO38" s="158"/>
      <c r="AP38" s="158"/>
      <c r="AQ38" s="158"/>
      <c r="AR38" s="149">
        <v>0</v>
      </c>
      <c r="AS38" s="149"/>
      <c r="AT38" s="159" t="str">
        <f>IFERROR(Datos_Origen[[#This Row],[Comisiones Target]]/Datos_Origen[[#This Row],[Promedio de Comisiones  ]],"")</f>
        <v/>
      </c>
      <c r="AU38" s="160"/>
      <c r="AV38" s="143">
        <v>0</v>
      </c>
      <c r="AW38" s="160"/>
      <c r="AX38" s="143">
        <f>Datos_Origen[[#This Row],[N Salarios de la Bonificación2]]*Datos_Origen[[#This Row],[Básico]]/12</f>
        <v>0</v>
      </c>
      <c r="AY38" s="160"/>
      <c r="AZ38" s="158"/>
      <c r="BA38" s="149">
        <v>0</v>
      </c>
      <c r="BB38" s="149"/>
      <c r="BC38" s="149"/>
      <c r="BD38" s="149"/>
      <c r="BE38" s="149"/>
      <c r="BF38" s="149"/>
      <c r="BG38" s="149"/>
      <c r="BH38" s="149"/>
      <c r="BI38" s="149"/>
      <c r="BJ38" s="149"/>
      <c r="BK38" s="159">
        <f>IFERROR(Datos_Origen[[#This Row],[Variable]]/Datos_Origen[[#This Row],[CT]],"")</f>
        <v>0</v>
      </c>
      <c r="BL38" s="159">
        <f>IFERROR(Datos_Origen[[#This Row],[Beneficios]]/Datos_Origen[[#This Row],[CT]],"")</f>
        <v>0</v>
      </c>
      <c r="BM38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38" s="161">
        <f>Datos_Origen[[#This Row],[G]]/Datos_Origen[[#This Row],[Geq]]</f>
        <v>1.092424421206188</v>
      </c>
      <c r="BO38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38" s="161">
        <f>Datos_Origen[[#This Row],[G+V]]/Datos_Origen[[#This Row],[G+Veq]]</f>
        <v>1.0145517794562966</v>
      </c>
      <c r="BQ38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38" s="161">
        <f>Datos_Origen[[#This Row],[CT]]/Datos_Origen[[#This Row],[CTeq]]</f>
        <v>1.0137592359277701</v>
      </c>
      <c r="BS38" s="139">
        <f>ROUNDUP(VLOOKUP(Datos_Origen[[#This Row],[Categoria]],Competitividad_1[#All],2,0)*IndiceIncrementoC,-3)</f>
        <v>2906000</v>
      </c>
      <c r="BT38" s="161">
        <f>Datos_Origen[[#This Row],[G]]/Datos_Origen[[#This Row],[GQ1]]</f>
        <v>1.107430299380592</v>
      </c>
      <c r="BU38" s="155">
        <f>ROUNDUP(VLOOKUP(Datos_Origen[[#This Row],[Categoria]],Competitividad_1[#All],3,0)*IndiceIncrementoC,-3)</f>
        <v>3009000</v>
      </c>
      <c r="BV38" s="161">
        <f>Datos_Origen[[#This Row],[G+V]]/Datos_Origen[[#This Row],[G+VQ1]]</f>
        <v>1.0695222499169159</v>
      </c>
      <c r="BW38" s="155">
        <f>ROUNDUP(VLOOKUP(Datos_Origen[[#This Row],[Categoria]],Competitividad_1[#All],4,0)*IndiceIncrementoC,-3)</f>
        <v>3129000</v>
      </c>
      <c r="BX38" s="161">
        <f>Datos_Origen[[#This Row],[CT]]/Datos_Origen[[#This Row],[CTQ1]]</f>
        <v>1.0285050974752317</v>
      </c>
      <c r="BY38" s="155">
        <f>ROUNDUP(VLOOKUP(Datos_Origen[[#This Row],[Categoria]],Competitividad_1[#All],5,0)*IndiceIncrementoC,-3)</f>
        <v>3456000</v>
      </c>
      <c r="BZ38" s="161">
        <f>Datos_Origen[[#This Row],[G]]/Datos_Origen[[#This Row],[GMd]]</f>
        <v>0.93118994502314822</v>
      </c>
      <c r="CA38" s="155">
        <f>ROUNDUP(VLOOKUP(Datos_Origen[[#This Row],[Categoria]],Competitividad_1[#All],6,0)*IndiceIncrementoC,-3)</f>
        <v>3483000</v>
      </c>
      <c r="CB38" s="161">
        <f>Datos_Origen[[#This Row],[G+V]]/Datos_Origen[[#This Row],[G+VMd]]</f>
        <v>0.92397141831754237</v>
      </c>
      <c r="CC38" s="155">
        <f>ROUNDUP(VLOOKUP(Datos_Origen[[#This Row],[Categoria]],Competitividad_1[#All],7,0)*IndiceIncrementoC,-3)</f>
        <v>3645000</v>
      </c>
      <c r="CD38" s="161">
        <f>Datos_Origen[[#This Row],[CT]]/Datos_Origen[[#This Row],[CTMd]]</f>
        <v>0.88290602194787382</v>
      </c>
      <c r="CE38" s="155">
        <f>+Datos_Origen[[#This Row],[GMd]]/1.17666666667</f>
        <v>2937110.4815780818</v>
      </c>
      <c r="CF38" s="161">
        <f>+Datos_Origen[[#This Row],[Básico Actual]]/Datos_Origen[[#This Row],[Salario Basico Md]]</f>
        <v>0.93118730710140341</v>
      </c>
      <c r="CG38" s="155">
        <f>ROUNDUP(VLOOKUP(Datos_Origen[[#This Row],[Categoria]],Competitividad_1[#All],8,0)*IndiceIncrementoC,-3)</f>
        <v>4712000</v>
      </c>
      <c r="CH38" s="161">
        <f>Datos_Origen[[#This Row],[G]]/Datos_Origen[[#This Row],[GQ3]]</f>
        <v>0.68297802419354847</v>
      </c>
      <c r="CI38" s="155">
        <f>ROUNDUP(VLOOKUP(Datos_Origen[[#This Row],[Categoria]],Competitividad_1[#All],9,0)*IndiceIncrementoC,-3)</f>
        <v>4847000</v>
      </c>
      <c r="CJ38" s="161">
        <f>Datos_Origen[[#This Row],[G+V]]/Datos_Origen[[#This Row],[G+VQ3]]</f>
        <v>0.66395552919331546</v>
      </c>
      <c r="CK38" s="155">
        <f>ROUNDUP(VLOOKUP(Datos_Origen[[#This Row],[Categoria]],Competitividad_1[#All],10,0)*IndiceIncrementoC,-3)</f>
        <v>4977000</v>
      </c>
      <c r="CL38" s="161">
        <f>Datos_Origen[[#This Row],[CT]]/Datos_Origen[[#This Row],[CTQ3]]</f>
        <v>0.64661290938316263</v>
      </c>
      <c r="CM38" s="162">
        <f>IF(ROUND(Datos_Origen[[#This Row],[Salario Ordinario Pol2]],-3)&lt;SMMLV,SMMLV,ROUND(Datos_Origen[[#This Row],[Salario Ordinario Pol2]],-3))</f>
        <v>2231000</v>
      </c>
      <c r="CN38" s="155">
        <f>IF(Datos_Origen[[#This Row],[Gpol]]/(1+FactorPrestacionalOrdinario)&lt;SMMLV,SMMLV,Datos_Origen[[#This Row],[Gpol]]/(1+FactorPrestacionalOrdinario))</f>
        <v>2788385.2691218127</v>
      </c>
      <c r="CO38" s="161">
        <f>IFERROR(IF(Datos_Origen[[#This Row],[Salarios Año]]=14.12,Datos_Origen[[#This Row],[Básico]]/Datos_Origen[[#This Row],[Salario Ordinario Pol]],""),"")</f>
        <v>0.98085441430458209</v>
      </c>
      <c r="CP38" s="155">
        <f>IF(ROUND(Datos_Origen[[#This Row],[Salario Ordinario Pol22]],-3)&lt;SMMLV,SMMLV,ROUND(Datos_Origen[[#This Row],[Salario Ordinario Pol22]],-3))</f>
        <v>3346000</v>
      </c>
      <c r="CQ38" s="155" t="str">
        <f>IFERROR(ROUND(Datos_Origen[[#This Row],[Salario Integral Pol4]],-3),"")</f>
        <v/>
      </c>
      <c r="CR38" s="139" t="str">
        <f>IF((Datos_Origen[[#This Row],[Gpol]]/(1+FactorPrestacionalIntegral))&lt;(13*SMMLV),"",(Datos_Origen[[#This Row],[Gpol]]/(1+FactorPrestacionalIntegral)))</f>
        <v/>
      </c>
      <c r="CS38" s="161" t="str">
        <f>IFERROR(IF(Datos_Origen[[#This Row],[Salarios Año]]=12,Datos_Origen[[#This Row],[Básico]]/Datos_Origen[[#This Row],[Salario Integral Pol]],""),"")</f>
        <v/>
      </c>
      <c r="CT38" s="155" t="str">
        <f>IFERROR(ROUND(Datos_Origen[[#This Row],[Salario Integral Pol44]],-3),"")</f>
        <v/>
      </c>
      <c r="CU38" s="155">
        <f>Datos_Origen[[#This Row],[G+Vpol]]-Datos_Origen[[#This Row],[Variable]]</f>
        <v>3281000</v>
      </c>
      <c r="CV38" s="161">
        <f>Datos_Origen[[#This Row],[G]]/Datos_Origen[[#This Row],[Gpol]]</f>
        <v>0.9808571929289851</v>
      </c>
      <c r="CW38" s="154">
        <f>Datos_Origen[[#This Row],[Ctpol]]-Datos_Origen[[#This Row],[Beneficios]]</f>
        <v>3281000</v>
      </c>
      <c r="CX38" s="161">
        <f>Datos_Origen[[#This Row],[G+V]]/Datos_Origen[[#This Row],[G+Vpol]]</f>
        <v>0.9808571929289851</v>
      </c>
      <c r="CY38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3281000</v>
      </c>
      <c r="CZ38" s="161">
        <f>Datos_Origen[[#This Row],[CT]]/Datos_Origen[[#This Row],[Ctpol]]</f>
        <v>0.9808571929289851</v>
      </c>
      <c r="DA38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2735000</v>
      </c>
      <c r="DB38" s="158">
        <f>IF(Datos_Origen[[#This Row],[Básico]]&lt;10*SMMLV,0,Datos_Origen[[#This Row],[Base Seguridad Social Actual]]*8.5%)</f>
        <v>0</v>
      </c>
      <c r="DC38" s="158">
        <f>Datos_Origen[[#This Row],[Base Seguridad Social Actual]]*12%</f>
        <v>328200</v>
      </c>
      <c r="DD38" s="158">
        <f>Datos_Origen[[#This Row],[Base Seguridad Social Actual]]*Datos_Origen[[#This Row],[%ARL]]</f>
        <v>14276.699999999999</v>
      </c>
      <c r="DE38" s="158">
        <f>IF(Datos_Origen[[#This Row],[Básico]]&lt;10*SMMLV,Datos_Origen[[#This Row],[Base Seguridad Social Actual]]*4%,Datos_Origen[[#This Row],[Base Seguridad Social Actual]]*9%)</f>
        <v>109400</v>
      </c>
      <c r="DF38" s="158">
        <f>Datos_Origen[[#This Row],[Salud]]+Datos_Origen[[#This Row],[Pensión]]+Datos_Origen[[#This Row],[ARL]]+Datos_Origen[[#This Row],[Parafiscales]]</f>
        <v>451876.7</v>
      </c>
      <c r="DG38" s="163">
        <f>Datos_Origen[[#This Row],[Costo Laboral Actual]]+Datos_Origen[[#This Row],[CT]]</f>
        <v>3670069.1500000004</v>
      </c>
      <c r="DH38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2788385.2691218127</v>
      </c>
      <c r="DI38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38" s="158">
        <f>Datos_Origen[[#This Row],[Base Seguridad Social Nueva]]*12%</f>
        <v>334606.23229461751</v>
      </c>
      <c r="DK38" s="158">
        <f>Datos_Origen[[#This Row],[Base Seguridad Social Nueva]]*Datos_Origen[[#This Row],[%ARL]]</f>
        <v>14555.371104815862</v>
      </c>
      <c r="DL38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111535.4107648725</v>
      </c>
      <c r="DM38" s="158">
        <f>Datos_Origen[[#This Row],[Salud Nueva]]+Datos_Origen[[#This Row],[Pensión Nueva]]+Datos_Origen[[#This Row],[ARL nueva]]+Datos_Origen[[#This Row],[Parafiscales Nuevos]]</f>
        <v>460697.01416430587</v>
      </c>
      <c r="DN38" s="158">
        <f>Datos_Origen[[#This Row],[Costo Laboral Nuevo]]+Datos_Origen[[#This Row],[Ctpol]]</f>
        <v>3741697.0141643058</v>
      </c>
      <c r="DO38" s="158">
        <f>IF(Datos_Origen[[#This Row],[Ctpol]]-Datos_Origen[[#This Row],[CT]]&lt;=0,0,Datos_Origen[[#This Row],[Costo Total Nuevo]]-Datos_Origen[[#This Row],[Costo Total Actual]])</f>
        <v>71627.864164305385</v>
      </c>
      <c r="DP38" s="158">
        <f>IF(Datos_Origen[[#This Row],[Ctpol]]-Datos_Origen[[#This Row],[CT]]&lt;=0,0,Datos_Origen[[#This Row],[Ctpol]]-Datos_Origen[[#This Row],[CT]])</f>
        <v>62807.549999999814</v>
      </c>
      <c r="DQ38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8820.3141643058625</v>
      </c>
      <c r="DR38" s="158">
        <f>ROUNDDOWN(VLOOKUP(Datos_Origen[[#This Row],[Categoria]],Competitividad_1[],7,0)*IndiceIncrementoC,-3)</f>
        <v>3644000</v>
      </c>
      <c r="DS38" s="158">
        <f>Datos_Origen[[#This Row],[CTeq]]*0.8</f>
        <v>2539610.855080226</v>
      </c>
      <c r="DT38" s="158">
        <f>Datos_Origen[[#This Row],[CTeq]]*1.2</f>
        <v>3809416.2826203383</v>
      </c>
      <c r="DU38" s="155">
        <f>IF(Datos_Origen[[#This Row],[Gpol6]]/(1+FactorPrestacionalOrdinario)&lt;SMMLV,SMMLV,Datos_Origen[[#This Row],[Gpol6]]/(1+FactorPrestacionalOrdinario))</f>
        <v>2230708.2152974503</v>
      </c>
      <c r="DV38" s="139" t="str">
        <f>IF((Datos_Origen[[#This Row],[Gpol6]]/(1+FactorPrestacionalIntegral))&lt;(13*SMMLV),"",(Datos_Origen[[#This Row],[Gpol6]]/(1+FactorPrestacionalIntegral)))</f>
        <v/>
      </c>
      <c r="DW38" s="154">
        <f>Datos_Origen[[#This Row],[G+Vpol8]]</f>
        <v>2624800</v>
      </c>
      <c r="DX38" s="154">
        <f>Datos_Origen[[#This Row],[Ctpol10]]-Datos_Origen[[#This Row],[Beneficios]]</f>
        <v>2624800</v>
      </c>
      <c r="DY38" s="154">
        <f>Datos_Origen[[#This Row],[Ctpol]]*$CM$6</f>
        <v>2624800</v>
      </c>
      <c r="DZ38" s="155">
        <f>IF(Datos_Origen[[#This Row],[Gpol66]]/(1+FactorPrestacionalOrdinario)&lt;SMMLV,SMMLV,Datos_Origen[[#This Row],[Gpol66]]/(1+FactorPrestacionalOrdinario))</f>
        <v>3346062.3229461755</v>
      </c>
      <c r="EA38" s="139" t="str">
        <f>IF((Datos_Origen[[#This Row],[Gpol66]]/(1+FactorPrestacionalIntegral))&lt;(13*SMMLV),"",(Datos_Origen[[#This Row],[Gpol66]]/(1+FactorPrestacionalIntegral)))</f>
        <v/>
      </c>
      <c r="EB38" s="154">
        <f>Datos_Origen[[#This Row],[G+Vpol88]]</f>
        <v>3937200</v>
      </c>
      <c r="EC38" s="154">
        <f>Datos_Origen[[#This Row],[Ctpol1010]]-Datos_Origen[[#This Row],[Beneficios]]</f>
        <v>3937200</v>
      </c>
      <c r="ED38" s="154">
        <f>Datos_Origen[[#This Row],[Ctpol]]*$CP$6</f>
        <v>3937200</v>
      </c>
      <c r="EE38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39" spans="2:135">
      <c r="B39" s="148"/>
      <c r="C39" s="149"/>
      <c r="D39" s="150"/>
      <c r="E39" s="151"/>
      <c r="F39" s="151"/>
      <c r="G39" s="150" t="s">
        <v>346</v>
      </c>
      <c r="H39" s="153"/>
      <c r="I39" s="152" t="s">
        <v>346</v>
      </c>
      <c r="J39" s="130" t="str">
        <f>IFERROR(VLOOKUP(Datos_Origen[[#This Row],[Cargo Tipo Valorado]],Cargos_Catalogo[[#All],[Cargo]:[Área]],2,0),"")</f>
        <v/>
      </c>
      <c r="K39" s="153"/>
      <c r="L39" s="153"/>
      <c r="M39" s="153"/>
      <c r="N39" s="153"/>
      <c r="O39" s="154">
        <f>Datos_Origen[[#This Row],[Segmentación Individual]]</f>
        <v>0</v>
      </c>
      <c r="P39" s="153"/>
      <c r="Q39" s="154">
        <f>VLOOKUP(Datos_Origen[[#This Row],[Cargo Tipo Valorado]],Cargos_Catalogo[#Data],MATCH(Cargos_Catalogo[[#Headers],[Puntos]],Cargos_Catalogo[#Headers],0),FALSE)</f>
        <v>217</v>
      </c>
      <c r="R39" s="130">
        <f>VLOOKUP(Datos_Origen[[#This Row],[Puntos valoración]],Categorias_Registro[#Data],MATCH(Categorias_Registro[[#Headers],[Categoria]],Categorias_Registro[#Headers],0),FALSE)</f>
        <v>7</v>
      </c>
      <c r="S39" s="130" t="str">
        <f>VLOOKUP(Datos_Origen[[#This Row],[Cargo Tipo Valorado]],Cargos_Catalogo[#Data],MATCH(Cargos_Catalogo[[#Headers],[Nivel SHR]],Cargos_Catalogo[#Headers],0),FALSE)</f>
        <v>Soporte</v>
      </c>
      <c r="T39" s="130" t="str">
        <f>VLOOKUP(Datos_Origen[[#This Row],[Cargo Tipo Valorado]],Cargos_Catalogo[#Data],MATCH(Cargos_Catalogo[[#Headers],[Criticidad]],Cargos_Catalogo[#Headers],0),FALSE)</f>
        <v>Relevante</v>
      </c>
      <c r="U39" s="154">
        <f>VLOOKUP(Datos_Origen[[#This Row],[Puntos valoración]],Categorias_Registro[#Data],5,FALSE)</f>
        <v>217</v>
      </c>
      <c r="V39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39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39" s="154">
        <f>SUMIF($BA$5:$BJ$5,"NCS",Datos_Origen[[#This Row],[auxilio Gasolina]:[Otro Beneficio10]])+(SUMIF($BA$5:$BJ$5,"CS",Datos_Origen[[#This Row],[auxilio Gasolina]:[Otro Beneficio10]])*1.17667)</f>
        <v>0</v>
      </c>
      <c r="Y39" s="155">
        <f>Datos_Origen[[#This Row],[Básico]]+Datos_Origen[[#This Row],[Promedio de Comisiones  ]]</f>
        <v>2404000</v>
      </c>
      <c r="Z39" s="155">
        <f>Datos_Origen[[#This Row],[Básico]]+Datos_Origen[[#This Row],[Promedio de Comisiones  ]]</f>
        <v>2404000</v>
      </c>
      <c r="AA39" s="155">
        <f>Datos_Origen[[#This Row],[Garantizado]]</f>
        <v>2828714.68</v>
      </c>
      <c r="AB39" s="155">
        <f>Datos_Origen[[#This Row],[Variable]]+Datos_Origen[[#This Row],[Garantizado]]</f>
        <v>2828714.68</v>
      </c>
      <c r="AC39" s="155">
        <f>Datos_Origen[[#This Row],[Beneficios]]+Datos_Origen[[#This Row],[Variable]]+Datos_Origen[[#This Row],[Garantizado]]</f>
        <v>2828714.68</v>
      </c>
      <c r="AD39" s="156">
        <v>14.12</v>
      </c>
      <c r="AE39" s="141">
        <v>230</v>
      </c>
      <c r="AF39" s="345">
        <v>5.2199999999999998E-3</v>
      </c>
      <c r="AG39" s="155">
        <f>Datos_Origen[[#This Row],[Básico Actual]]*230/Datos_Origen[[#This Row],['# horas mes]]</f>
        <v>2404000</v>
      </c>
      <c r="AH39" s="157">
        <v>2404000</v>
      </c>
      <c r="AI39" s="158"/>
      <c r="AJ39" s="158">
        <f>(((Datos_Origen[[#This Row],[Básico]])/30)*$AJ$6)/12</f>
        <v>0</v>
      </c>
      <c r="AK39" s="158"/>
      <c r="AL39" s="143">
        <f>((Datos_Origen[[#This Row],[Básico]])/30)*$AL$6/12</f>
        <v>0</v>
      </c>
      <c r="AM39" s="158"/>
      <c r="AN39" s="158"/>
      <c r="AO39" s="158"/>
      <c r="AP39" s="158"/>
      <c r="AQ39" s="158"/>
      <c r="AR39" s="149">
        <v>0</v>
      </c>
      <c r="AS39" s="149"/>
      <c r="AT39" s="159" t="str">
        <f>IFERROR(Datos_Origen[[#This Row],[Comisiones Target]]/Datos_Origen[[#This Row],[Promedio de Comisiones  ]],"")</f>
        <v/>
      </c>
      <c r="AU39" s="160"/>
      <c r="AV39" s="143">
        <f>Datos_Origen[[#This Row],[N Salarios de la Bonificación]]*Datos_Origen[[#This Row],[Básico]]/12</f>
        <v>0</v>
      </c>
      <c r="AW39" s="160"/>
      <c r="AX39" s="143">
        <f>Datos_Origen[[#This Row],[N Salarios de la Bonificación2]]*Datos_Origen[[#This Row],[Básico]]/12</f>
        <v>0</v>
      </c>
      <c r="AY39" s="160"/>
      <c r="AZ39" s="158"/>
      <c r="BA39" s="149">
        <v>0</v>
      </c>
      <c r="BB39" s="149"/>
      <c r="BC39" s="149"/>
      <c r="BD39" s="149"/>
      <c r="BE39" s="149"/>
      <c r="BF39" s="149"/>
      <c r="BG39" s="149"/>
      <c r="BH39" s="149"/>
      <c r="BI39" s="149"/>
      <c r="BJ39" s="149"/>
      <c r="BK39" s="159">
        <f>IFERROR(Datos_Origen[[#This Row],[Variable]]/Datos_Origen[[#This Row],[CT]],"")</f>
        <v>0</v>
      </c>
      <c r="BL39" s="159">
        <f>IFERROR(Datos_Origen[[#This Row],[Beneficios]]/Datos_Origen[[#This Row],[CT]],"")</f>
        <v>0</v>
      </c>
      <c r="BM39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39" s="161">
        <f>Datos_Origen[[#This Row],[G]]/Datos_Origen[[#This Row],[Geq]]</f>
        <v>0.96021510368543916</v>
      </c>
      <c r="BO39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39" s="161">
        <f>Datos_Origen[[#This Row],[G+V]]/Datos_Origen[[#This Row],[G+Veq]]</f>
        <v>0.89176690230820366</v>
      </c>
      <c r="BQ39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39" s="161">
        <f>Datos_Origen[[#This Row],[CT]]/Datos_Origen[[#This Row],[CTeq]]</f>
        <v>0.89107027538221539</v>
      </c>
      <c r="BS39" s="139">
        <f>ROUNDUP(VLOOKUP(Datos_Origen[[#This Row],[Categoria]],Competitividad_1[#All],2,0)*IndiceIncrementoC,-3)</f>
        <v>2906000</v>
      </c>
      <c r="BT39" s="161">
        <f>Datos_Origen[[#This Row],[G]]/Datos_Origen[[#This Row],[GQ1]]</f>
        <v>0.9734049139710943</v>
      </c>
      <c r="BU39" s="155">
        <f>ROUNDUP(VLOOKUP(Datos_Origen[[#This Row],[Categoria]],Competitividad_1[#All],3,0)*IndiceIncrementoC,-3)</f>
        <v>3009000</v>
      </c>
      <c r="BV39" s="161">
        <f>Datos_Origen[[#This Row],[G+V]]/Datos_Origen[[#This Row],[G+VQ1]]</f>
        <v>0.94008463941508813</v>
      </c>
      <c r="BW39" s="155">
        <f>ROUNDUP(VLOOKUP(Datos_Origen[[#This Row],[Categoria]],Competitividad_1[#All],4,0)*IndiceIncrementoC,-3)</f>
        <v>3129000</v>
      </c>
      <c r="BX39" s="161">
        <f>Datos_Origen[[#This Row],[CT]]/Datos_Origen[[#This Row],[CTQ1]]</f>
        <v>0.90403153723234264</v>
      </c>
      <c r="BY39" s="155">
        <f>ROUNDUP(VLOOKUP(Datos_Origen[[#This Row],[Categoria]],Competitividad_1[#All],5,0)*IndiceIncrementoC,-3)</f>
        <v>3456000</v>
      </c>
      <c r="BZ39" s="161">
        <f>Datos_Origen[[#This Row],[G]]/Datos_Origen[[#This Row],[GMd]]</f>
        <v>0.81849383101851858</v>
      </c>
      <c r="CA39" s="155">
        <f>ROUNDUP(VLOOKUP(Datos_Origen[[#This Row],[Categoria]],Competitividad_1[#All],6,0)*IndiceIncrementoC,-3)</f>
        <v>3483000</v>
      </c>
      <c r="CB39" s="161">
        <f>Datos_Origen[[#This Row],[G+V]]/Datos_Origen[[#This Row],[G+VMd]]</f>
        <v>0.81214891759977037</v>
      </c>
      <c r="CC39" s="155">
        <f>ROUNDUP(VLOOKUP(Datos_Origen[[#This Row],[Categoria]],Competitividad_1[#All],7,0)*IndiceIncrementoC,-3)</f>
        <v>3645000</v>
      </c>
      <c r="CD39" s="161">
        <f>Datos_Origen[[#This Row],[CT]]/Datos_Origen[[#This Row],[CTMd]]</f>
        <v>0.77605341015089169</v>
      </c>
      <c r="CE39" s="155">
        <f>+Datos_Origen[[#This Row],[GMd]]/1.17666666667</f>
        <v>2937110.4815780818</v>
      </c>
      <c r="CF39" s="161">
        <f>+Datos_Origen[[#This Row],[Básico Actual]]/Datos_Origen[[#This Row],[Salario Basico Md]]</f>
        <v>0.81849151234799766</v>
      </c>
      <c r="CG39" s="155">
        <f>ROUNDUP(VLOOKUP(Datos_Origen[[#This Row],[Categoria]],Competitividad_1[#All],8,0)*IndiceIncrementoC,-3)</f>
        <v>4712000</v>
      </c>
      <c r="CH39" s="161">
        <f>Datos_Origen[[#This Row],[G]]/Datos_Origen[[#This Row],[GQ3]]</f>
        <v>0.60032145161290329</v>
      </c>
      <c r="CI39" s="155">
        <f>ROUNDUP(VLOOKUP(Datos_Origen[[#This Row],[Categoria]],Competitividad_1[#All],9,0)*IndiceIncrementoC,-3)</f>
        <v>4847000</v>
      </c>
      <c r="CJ39" s="161">
        <f>Datos_Origen[[#This Row],[G+V]]/Datos_Origen[[#This Row],[G+VQ3]]</f>
        <v>0.58360113059624519</v>
      </c>
      <c r="CK39" s="155">
        <f>ROUNDUP(VLOOKUP(Datos_Origen[[#This Row],[Categoria]],Competitividad_1[#All],10,0)*IndiceIncrementoC,-3)</f>
        <v>4977000</v>
      </c>
      <c r="CL39" s="161">
        <f>Datos_Origen[[#This Row],[CT]]/Datos_Origen[[#This Row],[CTQ3]]</f>
        <v>0.5683573799477597</v>
      </c>
      <c r="CM39" s="162">
        <f>IF(ROUND(Datos_Origen[[#This Row],[Salario Ordinario Pol2]],-3)&lt;SMMLV,SMMLV,ROUND(Datos_Origen[[#This Row],[Salario Ordinario Pol2]],-3))</f>
        <v>2231000</v>
      </c>
      <c r="CN39" s="155">
        <f>IF(Datos_Origen[[#This Row],[Gpol]]/(1+FactorPrestacionalOrdinario)&lt;SMMLV,SMMLV,Datos_Origen[[#This Row],[Gpol]]/(1+FactorPrestacionalOrdinario))</f>
        <v>2788385.2691218127</v>
      </c>
      <c r="CO39" s="161">
        <f>IFERROR(IF(Datos_Origen[[#This Row],[Salarios Año]]=14.12,Datos_Origen[[#This Row],[Básico]]/Datos_Origen[[#This Row],[Salario Ordinario Pol]],""),"")</f>
        <v>0.86214771919130362</v>
      </c>
      <c r="CP39" s="155">
        <f>IF(ROUND(Datos_Origen[[#This Row],[Salario Ordinario Pol22]],-3)&lt;SMMLV,SMMLV,ROUND(Datos_Origen[[#This Row],[Salario Ordinario Pol22]],-3))</f>
        <v>3346000</v>
      </c>
      <c r="CQ39" s="155" t="str">
        <f>IFERROR(ROUND(Datos_Origen[[#This Row],[Salario Integral Pol4]],-3),"")</f>
        <v/>
      </c>
      <c r="CR39" s="139" t="str">
        <f>IF((Datos_Origen[[#This Row],[Gpol]]/(1+FactorPrestacionalIntegral))&lt;(13*SMMLV),"",(Datos_Origen[[#This Row],[Gpol]]/(1+FactorPrestacionalIntegral)))</f>
        <v/>
      </c>
      <c r="CS39" s="161" t="str">
        <f>IFERROR(IF(Datos_Origen[[#This Row],[Salarios Año]]=12,Datos_Origen[[#This Row],[Básico]]/Datos_Origen[[#This Row],[Salario Integral Pol]],""),"")</f>
        <v/>
      </c>
      <c r="CT39" s="155" t="str">
        <f>IFERROR(ROUND(Datos_Origen[[#This Row],[Salario Integral Pol44]],-3),"")</f>
        <v/>
      </c>
      <c r="CU39" s="155">
        <f>Datos_Origen[[#This Row],[G+Vpol]]-Datos_Origen[[#This Row],[Variable]]</f>
        <v>3281000</v>
      </c>
      <c r="CV39" s="161">
        <f>Datos_Origen[[#This Row],[G]]/Datos_Origen[[#This Row],[Gpol]]</f>
        <v>0.86215016153611712</v>
      </c>
      <c r="CW39" s="154">
        <f>Datos_Origen[[#This Row],[Ctpol]]-Datos_Origen[[#This Row],[Beneficios]]</f>
        <v>3281000</v>
      </c>
      <c r="CX39" s="161">
        <f>Datos_Origen[[#This Row],[G+V]]/Datos_Origen[[#This Row],[G+Vpol]]</f>
        <v>0.86215016153611712</v>
      </c>
      <c r="CY39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3281000</v>
      </c>
      <c r="CZ39" s="161">
        <f>Datos_Origen[[#This Row],[CT]]/Datos_Origen[[#This Row],[Ctpol]]</f>
        <v>0.86215016153611712</v>
      </c>
      <c r="DA39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39" s="158">
        <f>IF(Datos_Origen[[#This Row],[Básico]]&lt;10*SMMLV,0,Datos_Origen[[#This Row],[Base Seguridad Social Actual]]*8.5%)</f>
        <v>0</v>
      </c>
      <c r="DC39" s="158">
        <f>Datos_Origen[[#This Row],[Base Seguridad Social Actual]]*12%</f>
        <v>288480</v>
      </c>
      <c r="DD39" s="158">
        <f>Datos_Origen[[#This Row],[Base Seguridad Social Actual]]*Datos_Origen[[#This Row],[%ARL]]</f>
        <v>12548.88</v>
      </c>
      <c r="DE39" s="158">
        <f>IF(Datos_Origen[[#This Row],[Básico]]&lt;10*SMMLV,Datos_Origen[[#This Row],[Base Seguridad Social Actual]]*4%,Datos_Origen[[#This Row],[Base Seguridad Social Actual]]*9%)</f>
        <v>96160</v>
      </c>
      <c r="DF39" s="158">
        <f>Datos_Origen[[#This Row],[Salud]]+Datos_Origen[[#This Row],[Pensión]]+Datos_Origen[[#This Row],[ARL]]+Datos_Origen[[#This Row],[Parafiscales]]</f>
        <v>397188.88</v>
      </c>
      <c r="DG39" s="163">
        <f>Datos_Origen[[#This Row],[Costo Laboral Actual]]+Datos_Origen[[#This Row],[CT]]</f>
        <v>3225903.56</v>
      </c>
      <c r="DH39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2788385.2691218127</v>
      </c>
      <c r="DI39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39" s="158">
        <f>Datos_Origen[[#This Row],[Base Seguridad Social Nueva]]*12%</f>
        <v>334606.23229461751</v>
      </c>
      <c r="DK39" s="158">
        <f>Datos_Origen[[#This Row],[Base Seguridad Social Nueva]]*Datos_Origen[[#This Row],[%ARL]]</f>
        <v>14555.371104815862</v>
      </c>
      <c r="DL39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111535.4107648725</v>
      </c>
      <c r="DM39" s="158">
        <f>Datos_Origen[[#This Row],[Salud Nueva]]+Datos_Origen[[#This Row],[Pensión Nueva]]+Datos_Origen[[#This Row],[ARL nueva]]+Datos_Origen[[#This Row],[Parafiscales Nuevos]]</f>
        <v>460697.01416430587</v>
      </c>
      <c r="DN39" s="158">
        <f>Datos_Origen[[#This Row],[Costo Laboral Nuevo]]+Datos_Origen[[#This Row],[Ctpol]]</f>
        <v>3741697.0141643058</v>
      </c>
      <c r="DO39" s="158">
        <f>IF(Datos_Origen[[#This Row],[Ctpol]]-Datos_Origen[[#This Row],[CT]]&lt;=0,0,Datos_Origen[[#This Row],[Costo Total Nuevo]]-Datos_Origen[[#This Row],[Costo Total Actual]])</f>
        <v>515793.4541643057</v>
      </c>
      <c r="DP39" s="158">
        <f>IF(Datos_Origen[[#This Row],[Ctpol]]-Datos_Origen[[#This Row],[CT]]&lt;=0,0,Datos_Origen[[#This Row],[Ctpol]]-Datos_Origen[[#This Row],[CT]])</f>
        <v>452285.31999999983</v>
      </c>
      <c r="DQ39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63508.134164305869</v>
      </c>
      <c r="DR39" s="158">
        <f>ROUNDDOWN(VLOOKUP(Datos_Origen[[#This Row],[Categoria]],Competitividad_1[],7,0)*IndiceIncrementoC,-3)</f>
        <v>3644000</v>
      </c>
      <c r="DS39" s="158">
        <f>Datos_Origen[[#This Row],[CTeq]]*0.8</f>
        <v>2539610.855080226</v>
      </c>
      <c r="DT39" s="158">
        <f>Datos_Origen[[#This Row],[CTeq]]*1.2</f>
        <v>3809416.2826203383</v>
      </c>
      <c r="DU39" s="155">
        <f>IF(Datos_Origen[[#This Row],[Gpol6]]/(1+FactorPrestacionalOrdinario)&lt;SMMLV,SMMLV,Datos_Origen[[#This Row],[Gpol6]]/(1+FactorPrestacionalOrdinario))</f>
        <v>2230708.2152974503</v>
      </c>
      <c r="DV39" s="139" t="str">
        <f>IF((Datos_Origen[[#This Row],[Gpol6]]/(1+FactorPrestacionalIntegral))&lt;(13*SMMLV),"",(Datos_Origen[[#This Row],[Gpol6]]/(1+FactorPrestacionalIntegral)))</f>
        <v/>
      </c>
      <c r="DW39" s="154">
        <f>Datos_Origen[[#This Row],[G+Vpol8]]</f>
        <v>2624800</v>
      </c>
      <c r="DX39" s="154">
        <f>Datos_Origen[[#This Row],[Ctpol10]]-Datos_Origen[[#This Row],[Beneficios]]</f>
        <v>2624800</v>
      </c>
      <c r="DY39" s="154">
        <f>Datos_Origen[[#This Row],[Ctpol]]*$CM$6</f>
        <v>2624800</v>
      </c>
      <c r="DZ39" s="155">
        <f>IF(Datos_Origen[[#This Row],[Gpol66]]/(1+FactorPrestacionalOrdinario)&lt;SMMLV,SMMLV,Datos_Origen[[#This Row],[Gpol66]]/(1+FactorPrestacionalOrdinario))</f>
        <v>3346062.3229461755</v>
      </c>
      <c r="EA39" s="139" t="str">
        <f>IF((Datos_Origen[[#This Row],[Gpol66]]/(1+FactorPrestacionalIntegral))&lt;(13*SMMLV),"",(Datos_Origen[[#This Row],[Gpol66]]/(1+FactorPrestacionalIntegral)))</f>
        <v/>
      </c>
      <c r="EB39" s="154">
        <f>Datos_Origen[[#This Row],[G+Vpol88]]</f>
        <v>3937200</v>
      </c>
      <c r="EC39" s="154">
        <f>Datos_Origen[[#This Row],[Ctpol1010]]-Datos_Origen[[#This Row],[Beneficios]]</f>
        <v>3937200</v>
      </c>
      <c r="ED39" s="154">
        <f>Datos_Origen[[#This Row],[Ctpol]]*$CP$6</f>
        <v>3937200</v>
      </c>
      <c r="EE39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40" spans="2:135">
      <c r="B40" s="148"/>
      <c r="C40" s="149"/>
      <c r="D40" s="150"/>
      <c r="E40" s="151"/>
      <c r="F40" s="151"/>
      <c r="G40" s="150" t="s">
        <v>338</v>
      </c>
      <c r="H40" s="153"/>
      <c r="I40" s="152" t="s">
        <v>338</v>
      </c>
      <c r="J40" s="130" t="str">
        <f>IFERROR(VLOOKUP(Datos_Origen[[#This Row],[Cargo Tipo Valorado]],Cargos_Catalogo[[#All],[Cargo]:[Área]],2,0),"")</f>
        <v/>
      </c>
      <c r="K40" s="153"/>
      <c r="L40" s="153"/>
      <c r="M40" s="153"/>
      <c r="N40" s="153"/>
      <c r="O40" s="154">
        <f>Datos_Origen[[#This Row],[Segmentación Individual]]</f>
        <v>0</v>
      </c>
      <c r="P40" s="153"/>
      <c r="Q40" s="154">
        <f>VLOOKUP(Datos_Origen[[#This Row],[Cargo Tipo Valorado]],Cargos_Catalogo[#Data],MATCH(Cargos_Catalogo[[#Headers],[Puntos]],Cargos_Catalogo[#Headers],0),FALSE)</f>
        <v>217</v>
      </c>
      <c r="R40" s="130">
        <f>VLOOKUP(Datos_Origen[[#This Row],[Puntos valoración]],Categorias_Registro[#Data],MATCH(Categorias_Registro[[#Headers],[Categoria]],Categorias_Registro[#Headers],0),FALSE)</f>
        <v>7</v>
      </c>
      <c r="S40" s="130" t="str">
        <f>VLOOKUP(Datos_Origen[[#This Row],[Cargo Tipo Valorado]],Cargos_Catalogo[#Data],MATCH(Cargos_Catalogo[[#Headers],[Nivel SHR]],Cargos_Catalogo[#Headers],0),FALSE)</f>
        <v>Soporte</v>
      </c>
      <c r="T40" s="130" t="str">
        <f>VLOOKUP(Datos_Origen[[#This Row],[Cargo Tipo Valorado]],Cargos_Catalogo[#Data],MATCH(Cargos_Catalogo[[#Headers],[Criticidad]],Cargos_Catalogo[#Headers],0),FALSE)</f>
        <v>Relevante</v>
      </c>
      <c r="U40" s="154">
        <f>VLOOKUP(Datos_Origen[[#This Row],[Puntos valoración]],Categorias_Registro[#Data],5,FALSE)</f>
        <v>217</v>
      </c>
      <c r="V40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40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40" s="154">
        <f>SUMIF($BA$5:$BJ$5,"NCS",Datos_Origen[[#This Row],[auxilio Gasolina]:[Otro Beneficio10]])+(SUMIF($BA$5:$BJ$5,"CS",Datos_Origen[[#This Row],[auxilio Gasolina]:[Otro Beneficio10]])*1.17667)</f>
        <v>0</v>
      </c>
      <c r="Y40" s="155">
        <f>Datos_Origen[[#This Row],[Básico]]+Datos_Origen[[#This Row],[Promedio de Comisiones  ]]</f>
        <v>2404000</v>
      </c>
      <c r="Z40" s="155">
        <f>Datos_Origen[[#This Row],[Básico]]+Datos_Origen[[#This Row],[Promedio de Comisiones  ]]</f>
        <v>2404000</v>
      </c>
      <c r="AA40" s="155">
        <f>Datos_Origen[[#This Row],[Garantizado]]</f>
        <v>2828714.68</v>
      </c>
      <c r="AB40" s="155">
        <f>Datos_Origen[[#This Row],[Variable]]+Datos_Origen[[#This Row],[Garantizado]]</f>
        <v>2828714.68</v>
      </c>
      <c r="AC40" s="155">
        <f>Datos_Origen[[#This Row],[Beneficios]]+Datos_Origen[[#This Row],[Variable]]+Datos_Origen[[#This Row],[Garantizado]]</f>
        <v>2828714.68</v>
      </c>
      <c r="AD40" s="156">
        <v>14.12</v>
      </c>
      <c r="AE40" s="141">
        <v>230</v>
      </c>
      <c r="AF40" s="345">
        <v>5.2199999999999998E-3</v>
      </c>
      <c r="AG40" s="155">
        <f>Datos_Origen[[#This Row],[Básico Actual]]*230/Datos_Origen[[#This Row],['# horas mes]]</f>
        <v>2404000</v>
      </c>
      <c r="AH40" s="157">
        <v>2404000</v>
      </c>
      <c r="AI40" s="158"/>
      <c r="AJ40" s="158">
        <f>(((Datos_Origen[[#This Row],[Básico]])/30)*$AJ$6)/12</f>
        <v>0</v>
      </c>
      <c r="AK40" s="158"/>
      <c r="AL40" s="143">
        <f>((Datos_Origen[[#This Row],[Básico]])/30)*$AL$6/12</f>
        <v>0</v>
      </c>
      <c r="AM40" s="158"/>
      <c r="AN40" s="158"/>
      <c r="AO40" s="158"/>
      <c r="AP40" s="158"/>
      <c r="AQ40" s="158"/>
      <c r="AR40" s="149">
        <v>0</v>
      </c>
      <c r="AS40" s="149"/>
      <c r="AT40" s="159" t="str">
        <f>IFERROR(Datos_Origen[[#This Row],[Comisiones Target]]/Datos_Origen[[#This Row],[Promedio de Comisiones  ]],"")</f>
        <v/>
      </c>
      <c r="AU40" s="160"/>
      <c r="AV40" s="143">
        <f>Datos_Origen[[#This Row],[N Salarios de la Bonificación]]*Datos_Origen[[#This Row],[Básico]]/12</f>
        <v>0</v>
      </c>
      <c r="AW40" s="160"/>
      <c r="AX40" s="143">
        <f>Datos_Origen[[#This Row],[N Salarios de la Bonificación2]]*Datos_Origen[[#This Row],[Básico]]/12</f>
        <v>0</v>
      </c>
      <c r="AY40" s="160"/>
      <c r="AZ40" s="158"/>
      <c r="BA40" s="149">
        <v>0</v>
      </c>
      <c r="BB40" s="149"/>
      <c r="BC40" s="149"/>
      <c r="BD40" s="149"/>
      <c r="BE40" s="149"/>
      <c r="BF40" s="149"/>
      <c r="BG40" s="149"/>
      <c r="BH40" s="149"/>
      <c r="BI40" s="149"/>
      <c r="BJ40" s="149"/>
      <c r="BK40" s="159">
        <f>IFERROR(Datos_Origen[[#This Row],[Variable]]/Datos_Origen[[#This Row],[CT]],"")</f>
        <v>0</v>
      </c>
      <c r="BL40" s="159">
        <f>IFERROR(Datos_Origen[[#This Row],[Beneficios]]/Datos_Origen[[#This Row],[CT]],"")</f>
        <v>0</v>
      </c>
      <c r="BM40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40" s="161">
        <f>Datos_Origen[[#This Row],[G]]/Datos_Origen[[#This Row],[Geq]]</f>
        <v>0.96021510368543916</v>
      </c>
      <c r="BO40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40" s="161">
        <f>Datos_Origen[[#This Row],[G+V]]/Datos_Origen[[#This Row],[G+Veq]]</f>
        <v>0.89176690230820366</v>
      </c>
      <c r="BQ40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40" s="161">
        <f>Datos_Origen[[#This Row],[CT]]/Datos_Origen[[#This Row],[CTeq]]</f>
        <v>0.89107027538221539</v>
      </c>
      <c r="BS40" s="139">
        <f>ROUNDUP(VLOOKUP(Datos_Origen[[#This Row],[Categoria]],Competitividad_1[#All],2,0)*IndiceIncrementoC,-3)</f>
        <v>2906000</v>
      </c>
      <c r="BT40" s="161">
        <f>Datos_Origen[[#This Row],[G]]/Datos_Origen[[#This Row],[GQ1]]</f>
        <v>0.9734049139710943</v>
      </c>
      <c r="BU40" s="155">
        <f>ROUNDUP(VLOOKUP(Datos_Origen[[#This Row],[Categoria]],Competitividad_1[#All],3,0)*IndiceIncrementoC,-3)</f>
        <v>3009000</v>
      </c>
      <c r="BV40" s="161">
        <f>Datos_Origen[[#This Row],[G+V]]/Datos_Origen[[#This Row],[G+VQ1]]</f>
        <v>0.94008463941508813</v>
      </c>
      <c r="BW40" s="155">
        <f>ROUNDUP(VLOOKUP(Datos_Origen[[#This Row],[Categoria]],Competitividad_1[#All],4,0)*IndiceIncrementoC,-3)</f>
        <v>3129000</v>
      </c>
      <c r="BX40" s="161">
        <f>Datos_Origen[[#This Row],[CT]]/Datos_Origen[[#This Row],[CTQ1]]</f>
        <v>0.90403153723234264</v>
      </c>
      <c r="BY40" s="155">
        <f>ROUNDUP(VLOOKUP(Datos_Origen[[#This Row],[Categoria]],Competitividad_1[#All],5,0)*IndiceIncrementoC,-3)</f>
        <v>3456000</v>
      </c>
      <c r="BZ40" s="161">
        <f>Datos_Origen[[#This Row],[G]]/Datos_Origen[[#This Row],[GMd]]</f>
        <v>0.81849383101851858</v>
      </c>
      <c r="CA40" s="155">
        <f>ROUNDUP(VLOOKUP(Datos_Origen[[#This Row],[Categoria]],Competitividad_1[#All],6,0)*IndiceIncrementoC,-3)</f>
        <v>3483000</v>
      </c>
      <c r="CB40" s="161">
        <f>Datos_Origen[[#This Row],[G+V]]/Datos_Origen[[#This Row],[G+VMd]]</f>
        <v>0.81214891759977037</v>
      </c>
      <c r="CC40" s="155">
        <f>ROUNDUP(VLOOKUP(Datos_Origen[[#This Row],[Categoria]],Competitividad_1[#All],7,0)*IndiceIncrementoC,-3)</f>
        <v>3645000</v>
      </c>
      <c r="CD40" s="161">
        <f>Datos_Origen[[#This Row],[CT]]/Datos_Origen[[#This Row],[CTMd]]</f>
        <v>0.77605341015089169</v>
      </c>
      <c r="CE40" s="155">
        <f>+Datos_Origen[[#This Row],[GMd]]/1.17666666667</f>
        <v>2937110.4815780818</v>
      </c>
      <c r="CF40" s="161">
        <f>+Datos_Origen[[#This Row],[Básico Actual]]/Datos_Origen[[#This Row],[Salario Basico Md]]</f>
        <v>0.81849151234799766</v>
      </c>
      <c r="CG40" s="155">
        <f>ROUNDUP(VLOOKUP(Datos_Origen[[#This Row],[Categoria]],Competitividad_1[#All],8,0)*IndiceIncrementoC,-3)</f>
        <v>4712000</v>
      </c>
      <c r="CH40" s="161">
        <f>Datos_Origen[[#This Row],[G]]/Datos_Origen[[#This Row],[GQ3]]</f>
        <v>0.60032145161290329</v>
      </c>
      <c r="CI40" s="155">
        <f>ROUNDUP(VLOOKUP(Datos_Origen[[#This Row],[Categoria]],Competitividad_1[#All],9,0)*IndiceIncrementoC,-3)</f>
        <v>4847000</v>
      </c>
      <c r="CJ40" s="161">
        <f>Datos_Origen[[#This Row],[G+V]]/Datos_Origen[[#This Row],[G+VQ3]]</f>
        <v>0.58360113059624519</v>
      </c>
      <c r="CK40" s="155">
        <f>ROUNDUP(VLOOKUP(Datos_Origen[[#This Row],[Categoria]],Competitividad_1[#All],10,0)*IndiceIncrementoC,-3)</f>
        <v>4977000</v>
      </c>
      <c r="CL40" s="161">
        <f>Datos_Origen[[#This Row],[CT]]/Datos_Origen[[#This Row],[CTQ3]]</f>
        <v>0.5683573799477597</v>
      </c>
      <c r="CM40" s="162">
        <f>IF(ROUND(Datos_Origen[[#This Row],[Salario Ordinario Pol2]],-3)&lt;SMMLV,SMMLV,ROUND(Datos_Origen[[#This Row],[Salario Ordinario Pol2]],-3))</f>
        <v>2231000</v>
      </c>
      <c r="CN40" s="155">
        <f>IF(Datos_Origen[[#This Row],[Gpol]]/(1+FactorPrestacionalOrdinario)&lt;SMMLV,SMMLV,Datos_Origen[[#This Row],[Gpol]]/(1+FactorPrestacionalOrdinario))</f>
        <v>2788385.2691218127</v>
      </c>
      <c r="CO40" s="161">
        <f>IFERROR(IF(Datos_Origen[[#This Row],[Salarios Año]]=14.12,Datos_Origen[[#This Row],[Básico]]/Datos_Origen[[#This Row],[Salario Ordinario Pol]],""),"")</f>
        <v>0.86214771919130362</v>
      </c>
      <c r="CP40" s="155">
        <f>IF(ROUND(Datos_Origen[[#This Row],[Salario Ordinario Pol22]],-3)&lt;SMMLV,SMMLV,ROUND(Datos_Origen[[#This Row],[Salario Ordinario Pol22]],-3))</f>
        <v>3346000</v>
      </c>
      <c r="CQ40" s="155" t="str">
        <f>IFERROR(ROUND(Datos_Origen[[#This Row],[Salario Integral Pol4]],-3),"")</f>
        <v/>
      </c>
      <c r="CR40" s="139" t="str">
        <f>IF((Datos_Origen[[#This Row],[Gpol]]/(1+FactorPrestacionalIntegral))&lt;(13*SMMLV),"",(Datos_Origen[[#This Row],[Gpol]]/(1+FactorPrestacionalIntegral)))</f>
        <v/>
      </c>
      <c r="CS40" s="161" t="str">
        <f>IFERROR(IF(Datos_Origen[[#This Row],[Salarios Año]]=12,Datos_Origen[[#This Row],[Básico]]/Datos_Origen[[#This Row],[Salario Integral Pol]],""),"")</f>
        <v/>
      </c>
      <c r="CT40" s="155" t="str">
        <f>IFERROR(ROUND(Datos_Origen[[#This Row],[Salario Integral Pol44]],-3),"")</f>
        <v/>
      </c>
      <c r="CU40" s="155">
        <f>Datos_Origen[[#This Row],[G+Vpol]]-Datos_Origen[[#This Row],[Variable]]</f>
        <v>3281000</v>
      </c>
      <c r="CV40" s="161">
        <f>Datos_Origen[[#This Row],[G]]/Datos_Origen[[#This Row],[Gpol]]</f>
        <v>0.86215016153611712</v>
      </c>
      <c r="CW40" s="154">
        <f>Datos_Origen[[#This Row],[Ctpol]]-Datos_Origen[[#This Row],[Beneficios]]</f>
        <v>3281000</v>
      </c>
      <c r="CX40" s="161">
        <f>Datos_Origen[[#This Row],[G+V]]/Datos_Origen[[#This Row],[G+Vpol]]</f>
        <v>0.86215016153611712</v>
      </c>
      <c r="CY40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3281000</v>
      </c>
      <c r="CZ40" s="161">
        <f>Datos_Origen[[#This Row],[CT]]/Datos_Origen[[#This Row],[Ctpol]]</f>
        <v>0.86215016153611712</v>
      </c>
      <c r="DA40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40" s="158">
        <f>IF(Datos_Origen[[#This Row],[Básico]]&lt;10*SMMLV,0,Datos_Origen[[#This Row],[Base Seguridad Social Actual]]*8.5%)</f>
        <v>0</v>
      </c>
      <c r="DC40" s="158">
        <f>Datos_Origen[[#This Row],[Base Seguridad Social Actual]]*12%</f>
        <v>288480</v>
      </c>
      <c r="DD40" s="158">
        <f>Datos_Origen[[#This Row],[Base Seguridad Social Actual]]*Datos_Origen[[#This Row],[%ARL]]</f>
        <v>12548.88</v>
      </c>
      <c r="DE40" s="158">
        <f>IF(Datos_Origen[[#This Row],[Básico]]&lt;10*SMMLV,Datos_Origen[[#This Row],[Base Seguridad Social Actual]]*4%,Datos_Origen[[#This Row],[Base Seguridad Social Actual]]*9%)</f>
        <v>96160</v>
      </c>
      <c r="DF40" s="158">
        <f>Datos_Origen[[#This Row],[Salud]]+Datos_Origen[[#This Row],[Pensión]]+Datos_Origen[[#This Row],[ARL]]+Datos_Origen[[#This Row],[Parafiscales]]</f>
        <v>397188.88</v>
      </c>
      <c r="DG40" s="163">
        <f>Datos_Origen[[#This Row],[Costo Laboral Actual]]+Datos_Origen[[#This Row],[CT]]</f>
        <v>3225903.56</v>
      </c>
      <c r="DH40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2788385.2691218127</v>
      </c>
      <c r="DI40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40" s="158">
        <f>Datos_Origen[[#This Row],[Base Seguridad Social Nueva]]*12%</f>
        <v>334606.23229461751</v>
      </c>
      <c r="DK40" s="158">
        <f>Datos_Origen[[#This Row],[Base Seguridad Social Nueva]]*Datos_Origen[[#This Row],[%ARL]]</f>
        <v>14555.371104815862</v>
      </c>
      <c r="DL40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111535.4107648725</v>
      </c>
      <c r="DM40" s="158">
        <f>Datos_Origen[[#This Row],[Salud Nueva]]+Datos_Origen[[#This Row],[Pensión Nueva]]+Datos_Origen[[#This Row],[ARL nueva]]+Datos_Origen[[#This Row],[Parafiscales Nuevos]]</f>
        <v>460697.01416430587</v>
      </c>
      <c r="DN40" s="158">
        <f>Datos_Origen[[#This Row],[Costo Laboral Nuevo]]+Datos_Origen[[#This Row],[Ctpol]]</f>
        <v>3741697.0141643058</v>
      </c>
      <c r="DO40" s="158">
        <f>IF(Datos_Origen[[#This Row],[Ctpol]]-Datos_Origen[[#This Row],[CT]]&lt;=0,0,Datos_Origen[[#This Row],[Costo Total Nuevo]]-Datos_Origen[[#This Row],[Costo Total Actual]])</f>
        <v>515793.4541643057</v>
      </c>
      <c r="DP40" s="158">
        <f>IF(Datos_Origen[[#This Row],[Ctpol]]-Datos_Origen[[#This Row],[CT]]&lt;=0,0,Datos_Origen[[#This Row],[Ctpol]]-Datos_Origen[[#This Row],[CT]])</f>
        <v>452285.31999999983</v>
      </c>
      <c r="DQ40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63508.134164305869</v>
      </c>
      <c r="DR40" s="158">
        <f>ROUNDDOWN(VLOOKUP(Datos_Origen[[#This Row],[Categoria]],Competitividad_1[],7,0)*IndiceIncrementoC,-3)</f>
        <v>3644000</v>
      </c>
      <c r="DS40" s="158">
        <f>Datos_Origen[[#This Row],[CTeq]]*0.8</f>
        <v>2539610.855080226</v>
      </c>
      <c r="DT40" s="158">
        <f>Datos_Origen[[#This Row],[CTeq]]*1.2</f>
        <v>3809416.2826203383</v>
      </c>
      <c r="DU40" s="155">
        <f>IF(Datos_Origen[[#This Row],[Gpol6]]/(1+FactorPrestacionalOrdinario)&lt;SMMLV,SMMLV,Datos_Origen[[#This Row],[Gpol6]]/(1+FactorPrestacionalOrdinario))</f>
        <v>2230708.2152974503</v>
      </c>
      <c r="DV40" s="139" t="str">
        <f>IF((Datos_Origen[[#This Row],[Gpol6]]/(1+FactorPrestacionalIntegral))&lt;(13*SMMLV),"",(Datos_Origen[[#This Row],[Gpol6]]/(1+FactorPrestacionalIntegral)))</f>
        <v/>
      </c>
      <c r="DW40" s="154">
        <f>Datos_Origen[[#This Row],[G+Vpol8]]</f>
        <v>2624800</v>
      </c>
      <c r="DX40" s="154">
        <f>Datos_Origen[[#This Row],[Ctpol10]]-Datos_Origen[[#This Row],[Beneficios]]</f>
        <v>2624800</v>
      </c>
      <c r="DY40" s="154">
        <f>Datos_Origen[[#This Row],[Ctpol]]*$CM$6</f>
        <v>2624800</v>
      </c>
      <c r="DZ40" s="155">
        <f>IF(Datos_Origen[[#This Row],[Gpol66]]/(1+FactorPrestacionalOrdinario)&lt;SMMLV,SMMLV,Datos_Origen[[#This Row],[Gpol66]]/(1+FactorPrestacionalOrdinario))</f>
        <v>3346062.3229461755</v>
      </c>
      <c r="EA40" s="139" t="str">
        <f>IF((Datos_Origen[[#This Row],[Gpol66]]/(1+FactorPrestacionalIntegral))&lt;(13*SMMLV),"",(Datos_Origen[[#This Row],[Gpol66]]/(1+FactorPrestacionalIntegral)))</f>
        <v/>
      </c>
      <c r="EB40" s="154">
        <f>Datos_Origen[[#This Row],[G+Vpol88]]</f>
        <v>3937200</v>
      </c>
      <c r="EC40" s="154">
        <f>Datos_Origen[[#This Row],[Ctpol1010]]-Datos_Origen[[#This Row],[Beneficios]]</f>
        <v>3937200</v>
      </c>
      <c r="ED40" s="154">
        <f>Datos_Origen[[#This Row],[Ctpol]]*$CP$6</f>
        <v>3937200</v>
      </c>
      <c r="EE40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41" spans="2:135">
      <c r="B41" s="148"/>
      <c r="C41" s="149"/>
      <c r="D41" s="150"/>
      <c r="E41" s="151"/>
      <c r="F41" s="151"/>
      <c r="G41" s="150" t="s">
        <v>347</v>
      </c>
      <c r="H41" s="153"/>
      <c r="I41" s="152" t="s">
        <v>347</v>
      </c>
      <c r="J41" s="130" t="str">
        <f>IFERROR(VLOOKUP(Datos_Origen[[#This Row],[Cargo Tipo Valorado]],Cargos_Catalogo[[#All],[Cargo]:[Área]],2,0),"")</f>
        <v xml:space="preserve">Director de costos </v>
      </c>
      <c r="K41" s="153"/>
      <c r="L41" s="153"/>
      <c r="M41" s="153"/>
      <c r="N41" s="153"/>
      <c r="O41" s="154">
        <f>Datos_Origen[[#This Row],[Segmentación Individual]]</f>
        <v>0</v>
      </c>
      <c r="P41" s="153"/>
      <c r="Q41" s="154">
        <f>VLOOKUP(Datos_Origen[[#This Row],[Cargo Tipo Valorado]],Cargos_Catalogo[#Data],MATCH(Cargos_Catalogo[[#Headers],[Puntos]],Cargos_Catalogo[#Headers],0),FALSE)</f>
        <v>224</v>
      </c>
      <c r="R41" s="130">
        <f>VLOOKUP(Datos_Origen[[#This Row],[Puntos valoración]],Categorias_Registro[#Data],MATCH(Categorias_Registro[[#Headers],[Categoria]],Categorias_Registro[#Headers],0),FALSE)</f>
        <v>7</v>
      </c>
      <c r="S41" s="130" t="str">
        <f>VLOOKUP(Datos_Origen[[#This Row],[Cargo Tipo Valorado]],Cargos_Catalogo[#Data],MATCH(Cargos_Catalogo[[#Headers],[Nivel SHR]],Cargos_Catalogo[#Headers],0),FALSE)</f>
        <v>Soporte</v>
      </c>
      <c r="T41" s="130" t="str">
        <f>VLOOKUP(Datos_Origen[[#This Row],[Cargo Tipo Valorado]],Cargos_Catalogo[#Data],MATCH(Cargos_Catalogo[[#Headers],[Criticidad]],Cargos_Catalogo[#Headers],0),FALSE)</f>
        <v>Relevante</v>
      </c>
      <c r="U41" s="154">
        <f>VLOOKUP(Datos_Origen[[#This Row],[Puntos valoración]],Categorias_Registro[#Data],5,FALSE)</f>
        <v>217</v>
      </c>
      <c r="V41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2536900.52</v>
      </c>
      <c r="W41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41" s="154">
        <f>SUMIF($BA$5:$BJ$5,"NCS",Datos_Origen[[#This Row],[auxilio Gasolina]:[Otro Beneficio10]])+(SUMIF($BA$5:$BJ$5,"CS",Datos_Origen[[#This Row],[auxilio Gasolina]:[Otro Beneficio10]])*1.17667)</f>
        <v>0</v>
      </c>
      <c r="Y41" s="155">
        <f>Datos_Origen[[#This Row],[Básico]]+Datos_Origen[[#This Row],[Promedio de Comisiones  ]]</f>
        <v>2156000</v>
      </c>
      <c r="Z41" s="155">
        <f>Datos_Origen[[#This Row],[Básico]]+Datos_Origen[[#This Row],[Promedio de Comisiones  ]]</f>
        <v>2156000</v>
      </c>
      <c r="AA41" s="155">
        <f>Datos_Origen[[#This Row],[Garantizado]]</f>
        <v>2536900.52</v>
      </c>
      <c r="AB41" s="155">
        <f>Datos_Origen[[#This Row],[Variable]]+Datos_Origen[[#This Row],[Garantizado]]</f>
        <v>2536900.52</v>
      </c>
      <c r="AC41" s="155">
        <f>Datos_Origen[[#This Row],[Beneficios]]+Datos_Origen[[#This Row],[Variable]]+Datos_Origen[[#This Row],[Garantizado]]</f>
        <v>2536900.52</v>
      </c>
      <c r="AD41" s="156">
        <v>14.12</v>
      </c>
      <c r="AE41" s="141">
        <v>230</v>
      </c>
      <c r="AF41" s="345">
        <v>5.2199999999999998E-3</v>
      </c>
      <c r="AG41" s="155">
        <f>Datos_Origen[[#This Row],[Básico Actual]]*230/Datos_Origen[[#This Row],['# horas mes]]</f>
        <v>2156000</v>
      </c>
      <c r="AH41" s="157">
        <v>2156000</v>
      </c>
      <c r="AI41" s="158"/>
      <c r="AJ41" s="158">
        <f>(((Datos_Origen[[#This Row],[Básico]])/30)*$AJ$6)/12</f>
        <v>0</v>
      </c>
      <c r="AK41" s="158"/>
      <c r="AL41" s="143">
        <f>((Datos_Origen[[#This Row],[Básico]])/30)*$AL$6/12</f>
        <v>0</v>
      </c>
      <c r="AM41" s="158"/>
      <c r="AN41" s="158"/>
      <c r="AO41" s="158"/>
      <c r="AP41" s="158"/>
      <c r="AQ41" s="158"/>
      <c r="AR41" s="149">
        <v>0</v>
      </c>
      <c r="AS41" s="149"/>
      <c r="AT41" s="159" t="str">
        <f>IFERROR(Datos_Origen[[#This Row],[Comisiones Target]]/Datos_Origen[[#This Row],[Promedio de Comisiones  ]],"")</f>
        <v/>
      </c>
      <c r="AU41" s="160"/>
      <c r="AV41" s="143">
        <v>0</v>
      </c>
      <c r="AW41" s="160"/>
      <c r="AX41" s="143">
        <f>Datos_Origen[[#This Row],[N Salarios de la Bonificación2]]*Datos_Origen[[#This Row],[Básico]]/12</f>
        <v>0</v>
      </c>
      <c r="AY41" s="160"/>
      <c r="AZ41" s="158"/>
      <c r="BA41" s="149">
        <v>0</v>
      </c>
      <c r="BB41" s="149"/>
      <c r="BC41" s="149"/>
      <c r="BD41" s="149"/>
      <c r="BE41" s="149"/>
      <c r="BF41" s="149"/>
      <c r="BG41" s="149"/>
      <c r="BH41" s="149"/>
      <c r="BI41" s="149"/>
      <c r="BJ41" s="149"/>
      <c r="BK41" s="159">
        <f>IFERROR(Datos_Origen[[#This Row],[Variable]]/Datos_Origen[[#This Row],[CT]],"")</f>
        <v>0</v>
      </c>
      <c r="BL41" s="159">
        <f>IFERROR(Datos_Origen[[#This Row],[Beneficios]]/Datos_Origen[[#This Row],[CT]],"")</f>
        <v>0</v>
      </c>
      <c r="BM41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41" s="161">
        <f>Datos_Origen[[#This Row],[G]]/Datos_Origen[[#This Row],[Geq]]</f>
        <v>0.86115797152487794</v>
      </c>
      <c r="BO41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41" s="161">
        <f>Datos_Origen[[#This Row],[G+V]]/Datos_Origen[[#This Row],[G+Veq]]</f>
        <v>0.79977098226975329</v>
      </c>
      <c r="BQ41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41" s="161">
        <f>Datos_Origen[[#This Row],[CT]]/Datos_Origen[[#This Row],[CTeq]]</f>
        <v>0.79914622035110494</v>
      </c>
      <c r="BS41" s="139">
        <f>ROUNDUP(VLOOKUP(Datos_Origen[[#This Row],[Categoria]],Competitividad_1[#All],2,0)*IndiceIncrementoC,-3)</f>
        <v>2906000</v>
      </c>
      <c r="BT41" s="161">
        <f>Datos_Origen[[#This Row],[G]]/Datos_Origen[[#This Row],[GQ1]]</f>
        <v>0.87298710254645562</v>
      </c>
      <c r="BU41" s="155">
        <f>ROUNDUP(VLOOKUP(Datos_Origen[[#This Row],[Categoria]],Competitividad_1[#All],3,0)*IndiceIncrementoC,-3)</f>
        <v>3009000</v>
      </c>
      <c r="BV41" s="161">
        <f>Datos_Origen[[#This Row],[G+V]]/Datos_Origen[[#This Row],[G+VQ1]]</f>
        <v>0.84310419408441339</v>
      </c>
      <c r="BW41" s="155">
        <f>ROUNDUP(VLOOKUP(Datos_Origen[[#This Row],[Categoria]],Competitividad_1[#All],4,0)*IndiceIncrementoC,-3)</f>
        <v>3129000</v>
      </c>
      <c r="BX41" s="161">
        <f>Datos_Origen[[#This Row],[CT]]/Datos_Origen[[#This Row],[CTQ1]]</f>
        <v>0.81077038031319915</v>
      </c>
      <c r="BY41" s="155">
        <f>ROUNDUP(VLOOKUP(Datos_Origen[[#This Row],[Categoria]],Competitividad_1[#All],5,0)*IndiceIncrementoC,-3)</f>
        <v>3456000</v>
      </c>
      <c r="BZ41" s="161">
        <f>Datos_Origen[[#This Row],[G]]/Datos_Origen[[#This Row],[GMd]]</f>
        <v>0.73405686342592591</v>
      </c>
      <c r="CA41" s="155">
        <f>ROUNDUP(VLOOKUP(Datos_Origen[[#This Row],[Categoria]],Competitividad_1[#All],6,0)*IndiceIncrementoC,-3)</f>
        <v>3483000</v>
      </c>
      <c r="CB41" s="161">
        <f>Datos_Origen[[#This Row],[G+V]]/Datos_Origen[[#This Row],[G+VMd]]</f>
        <v>0.72836650014355442</v>
      </c>
      <c r="CC41" s="155">
        <f>ROUNDUP(VLOOKUP(Datos_Origen[[#This Row],[Categoria]],Competitividad_1[#All],7,0)*IndiceIncrementoC,-3)</f>
        <v>3645000</v>
      </c>
      <c r="CD41" s="161">
        <f>Datos_Origen[[#This Row],[CT]]/Datos_Origen[[#This Row],[CTMd]]</f>
        <v>0.69599465569272978</v>
      </c>
      <c r="CE41" s="155">
        <f>+Datos_Origen[[#This Row],[GMd]]/1.17666666667</f>
        <v>2937110.4815780818</v>
      </c>
      <c r="CF41" s="161">
        <f>+Datos_Origen[[#This Row],[Básico Actual]]/Datos_Origen[[#This Row],[Salario Basico Md]]</f>
        <v>0.73405478395269674</v>
      </c>
      <c r="CG41" s="155">
        <f>ROUNDUP(VLOOKUP(Datos_Origen[[#This Row],[Categoria]],Competitividad_1[#All],8,0)*IndiceIncrementoC,-3)</f>
        <v>4712000</v>
      </c>
      <c r="CH41" s="161">
        <f>Datos_Origen[[#This Row],[G]]/Datos_Origen[[#This Row],[GQ3]]</f>
        <v>0.53839145161290325</v>
      </c>
      <c r="CI41" s="155">
        <f>ROUNDUP(VLOOKUP(Datos_Origen[[#This Row],[Categoria]],Competitividad_1[#All],9,0)*IndiceIncrementoC,-3)</f>
        <v>4847000</v>
      </c>
      <c r="CJ41" s="161">
        <f>Datos_Origen[[#This Row],[G+V]]/Datos_Origen[[#This Row],[G+VQ3]]</f>
        <v>0.5233960222818238</v>
      </c>
      <c r="CK41" s="155">
        <f>ROUNDUP(VLOOKUP(Datos_Origen[[#This Row],[Categoria]],Competitividad_1[#All],10,0)*IndiceIncrementoC,-3)</f>
        <v>4977000</v>
      </c>
      <c r="CL41" s="161">
        <f>Datos_Origen[[#This Row],[CT]]/Datos_Origen[[#This Row],[CTQ3]]</f>
        <v>0.50972483825597747</v>
      </c>
      <c r="CM41" s="162">
        <f>IF(ROUND(Datos_Origen[[#This Row],[Salario Ordinario Pol2]],-3)&lt;SMMLV,SMMLV,ROUND(Datos_Origen[[#This Row],[Salario Ordinario Pol2]],-3))</f>
        <v>2231000</v>
      </c>
      <c r="CN41" s="155">
        <f>IF(Datos_Origen[[#This Row],[Gpol]]/(1+FactorPrestacionalOrdinario)&lt;SMMLV,SMMLV,Datos_Origen[[#This Row],[Gpol]]/(1+FactorPrestacionalOrdinario))</f>
        <v>2788385.2691218127</v>
      </c>
      <c r="CO41" s="161">
        <f>IFERROR(IF(Datos_Origen[[#This Row],[Salarios Año]]=14.12,Datos_Origen[[#This Row],[Básico]]/Datos_Origen[[#This Row],[Salario Ordinario Pol]],""),"")</f>
        <v>0.77320735548105268</v>
      </c>
      <c r="CP41" s="155">
        <f>IF(ROUND(Datos_Origen[[#This Row],[Salario Ordinario Pol22]],-3)&lt;SMMLV,SMMLV,ROUND(Datos_Origen[[#This Row],[Salario Ordinario Pol22]],-3))</f>
        <v>3346000</v>
      </c>
      <c r="CQ41" s="155" t="str">
        <f>IFERROR(ROUND(Datos_Origen[[#This Row],[Salario Integral Pol4]],-3),"")</f>
        <v/>
      </c>
      <c r="CR41" s="139" t="str">
        <f>IF((Datos_Origen[[#This Row],[Gpol]]/(1+FactorPrestacionalIntegral))&lt;(13*SMMLV),"",(Datos_Origen[[#This Row],[Gpol]]/(1+FactorPrestacionalIntegral)))</f>
        <v/>
      </c>
      <c r="CS41" s="161" t="str">
        <f>IFERROR(IF(Datos_Origen[[#This Row],[Salarios Año]]=12,Datos_Origen[[#This Row],[Básico]]/Datos_Origen[[#This Row],[Salario Integral Pol]],""),"")</f>
        <v/>
      </c>
      <c r="CT41" s="155" t="str">
        <f>IFERROR(ROUND(Datos_Origen[[#This Row],[Salario Integral Pol44]],-3),"")</f>
        <v/>
      </c>
      <c r="CU41" s="155">
        <f>Datos_Origen[[#This Row],[G+Vpol]]-Datos_Origen[[#This Row],[Variable]]</f>
        <v>3281000</v>
      </c>
      <c r="CV41" s="161">
        <f>Datos_Origen[[#This Row],[G]]/Datos_Origen[[#This Row],[Gpol]]</f>
        <v>0.77320954587016155</v>
      </c>
      <c r="CW41" s="154">
        <f>Datos_Origen[[#This Row],[Ctpol]]-Datos_Origen[[#This Row],[Beneficios]]</f>
        <v>3281000</v>
      </c>
      <c r="CX41" s="161">
        <f>Datos_Origen[[#This Row],[G+V]]/Datos_Origen[[#This Row],[G+Vpol]]</f>
        <v>0.77320954587016155</v>
      </c>
      <c r="CY41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3281000</v>
      </c>
      <c r="CZ41" s="161">
        <f>Datos_Origen[[#This Row],[CT]]/Datos_Origen[[#This Row],[Ctpol]]</f>
        <v>0.77320954587016155</v>
      </c>
      <c r="DA41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2156000</v>
      </c>
      <c r="DB41" s="158">
        <f>IF(Datos_Origen[[#This Row],[Básico]]&lt;10*SMMLV,0,Datos_Origen[[#This Row],[Base Seguridad Social Actual]]*8.5%)</f>
        <v>0</v>
      </c>
      <c r="DC41" s="158">
        <f>Datos_Origen[[#This Row],[Base Seguridad Social Actual]]*12%</f>
        <v>258720</v>
      </c>
      <c r="DD41" s="158">
        <f>Datos_Origen[[#This Row],[Base Seguridad Social Actual]]*Datos_Origen[[#This Row],[%ARL]]</f>
        <v>11254.32</v>
      </c>
      <c r="DE41" s="158">
        <f>IF(Datos_Origen[[#This Row],[Básico]]&lt;10*SMMLV,Datos_Origen[[#This Row],[Base Seguridad Social Actual]]*4%,Datos_Origen[[#This Row],[Base Seguridad Social Actual]]*9%)</f>
        <v>86240</v>
      </c>
      <c r="DF41" s="158">
        <f>Datos_Origen[[#This Row],[Salud]]+Datos_Origen[[#This Row],[Pensión]]+Datos_Origen[[#This Row],[ARL]]+Datos_Origen[[#This Row],[Parafiscales]]</f>
        <v>356214.32</v>
      </c>
      <c r="DG41" s="163">
        <f>Datos_Origen[[#This Row],[Costo Laboral Actual]]+Datos_Origen[[#This Row],[CT]]</f>
        <v>2893114.84</v>
      </c>
      <c r="DH41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2788385.2691218127</v>
      </c>
      <c r="DI41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41" s="158">
        <f>Datos_Origen[[#This Row],[Base Seguridad Social Nueva]]*12%</f>
        <v>334606.23229461751</v>
      </c>
      <c r="DK41" s="158">
        <f>Datos_Origen[[#This Row],[Base Seguridad Social Nueva]]*Datos_Origen[[#This Row],[%ARL]]</f>
        <v>14555.371104815862</v>
      </c>
      <c r="DL41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111535.4107648725</v>
      </c>
      <c r="DM41" s="158">
        <f>Datos_Origen[[#This Row],[Salud Nueva]]+Datos_Origen[[#This Row],[Pensión Nueva]]+Datos_Origen[[#This Row],[ARL nueva]]+Datos_Origen[[#This Row],[Parafiscales Nuevos]]</f>
        <v>460697.01416430587</v>
      </c>
      <c r="DN41" s="158">
        <f>Datos_Origen[[#This Row],[Costo Laboral Nuevo]]+Datos_Origen[[#This Row],[Ctpol]]</f>
        <v>3741697.0141643058</v>
      </c>
      <c r="DO41" s="158">
        <f>IF(Datos_Origen[[#This Row],[Ctpol]]-Datos_Origen[[#This Row],[CT]]&lt;=0,0,Datos_Origen[[#This Row],[Costo Total Nuevo]]-Datos_Origen[[#This Row],[Costo Total Actual]])</f>
        <v>848582.17416430591</v>
      </c>
      <c r="DP41" s="158">
        <f>IF(Datos_Origen[[#This Row],[Ctpol]]-Datos_Origen[[#This Row],[CT]]&lt;=0,0,Datos_Origen[[#This Row],[Ctpol]]-Datos_Origen[[#This Row],[CT]])</f>
        <v>744099.48</v>
      </c>
      <c r="DQ41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104482.69416430587</v>
      </c>
      <c r="DR41" s="158">
        <f>ROUNDDOWN(VLOOKUP(Datos_Origen[[#This Row],[Categoria]],Competitividad_1[],7,0)*IndiceIncrementoC,-3)</f>
        <v>3644000</v>
      </c>
      <c r="DS41" s="158">
        <f>Datos_Origen[[#This Row],[CTeq]]*0.8</f>
        <v>2539610.855080226</v>
      </c>
      <c r="DT41" s="158">
        <f>Datos_Origen[[#This Row],[CTeq]]*1.2</f>
        <v>3809416.2826203383</v>
      </c>
      <c r="DU41" s="155">
        <f>IF(Datos_Origen[[#This Row],[Gpol6]]/(1+FactorPrestacionalOrdinario)&lt;SMMLV,SMMLV,Datos_Origen[[#This Row],[Gpol6]]/(1+FactorPrestacionalOrdinario))</f>
        <v>2230708.2152974503</v>
      </c>
      <c r="DV41" s="139" t="str">
        <f>IF((Datos_Origen[[#This Row],[Gpol6]]/(1+FactorPrestacionalIntegral))&lt;(13*SMMLV),"",(Datos_Origen[[#This Row],[Gpol6]]/(1+FactorPrestacionalIntegral)))</f>
        <v/>
      </c>
      <c r="DW41" s="154">
        <f>Datos_Origen[[#This Row],[G+Vpol8]]</f>
        <v>2624800</v>
      </c>
      <c r="DX41" s="154">
        <f>Datos_Origen[[#This Row],[Ctpol10]]-Datos_Origen[[#This Row],[Beneficios]]</f>
        <v>2624800</v>
      </c>
      <c r="DY41" s="154">
        <f>Datos_Origen[[#This Row],[Ctpol]]*$CM$6</f>
        <v>2624800</v>
      </c>
      <c r="DZ41" s="155">
        <f>IF(Datos_Origen[[#This Row],[Gpol66]]/(1+FactorPrestacionalOrdinario)&lt;SMMLV,SMMLV,Datos_Origen[[#This Row],[Gpol66]]/(1+FactorPrestacionalOrdinario))</f>
        <v>3346062.3229461755</v>
      </c>
      <c r="EA41" s="139" t="str">
        <f>IF((Datos_Origen[[#This Row],[Gpol66]]/(1+FactorPrestacionalIntegral))&lt;(13*SMMLV),"",(Datos_Origen[[#This Row],[Gpol66]]/(1+FactorPrestacionalIntegral)))</f>
        <v/>
      </c>
      <c r="EB41" s="154">
        <f>Datos_Origen[[#This Row],[G+Vpol88]]</f>
        <v>3937200</v>
      </c>
      <c r="EC41" s="154">
        <f>Datos_Origen[[#This Row],[Ctpol1010]]-Datos_Origen[[#This Row],[Beneficios]]</f>
        <v>3937200</v>
      </c>
      <c r="ED41" s="154">
        <f>Datos_Origen[[#This Row],[Ctpol]]*$CP$6</f>
        <v>3937200</v>
      </c>
      <c r="EE41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42" spans="2:135">
      <c r="B42" s="132"/>
      <c r="C42" s="149"/>
      <c r="D42" s="150"/>
      <c r="E42" s="151"/>
      <c r="F42" s="151"/>
      <c r="G42" s="150" t="s">
        <v>347</v>
      </c>
      <c r="H42" s="153"/>
      <c r="I42" s="152" t="s">
        <v>347</v>
      </c>
      <c r="J42" s="130" t="str">
        <f>IFERROR(VLOOKUP(Datos_Origen[[#This Row],[Cargo Tipo Valorado]],Cargos_Catalogo[[#All],[Cargo]:[Área]],2,0),"")</f>
        <v xml:space="preserve">Director de costos </v>
      </c>
      <c r="K42" s="153"/>
      <c r="L42" s="153"/>
      <c r="M42" s="153"/>
      <c r="N42" s="153"/>
      <c r="O42" s="154">
        <f>Datos_Origen[[#This Row],[Segmentación Individual]]</f>
        <v>0</v>
      </c>
      <c r="P42" s="153"/>
      <c r="Q42" s="154">
        <f>VLOOKUP(Datos_Origen[[#This Row],[Cargo Tipo Valorado]],Cargos_Catalogo[#Data],MATCH(Cargos_Catalogo[[#Headers],[Puntos]],Cargos_Catalogo[#Headers],0),FALSE)</f>
        <v>224</v>
      </c>
      <c r="R42" s="130">
        <f>VLOOKUP(Datos_Origen[[#This Row],[Puntos valoración]],Categorias_Registro[#Data],MATCH(Categorias_Registro[[#Headers],[Categoria]],Categorias_Registro[#Headers],0),FALSE)</f>
        <v>7</v>
      </c>
      <c r="S42" s="130" t="str">
        <f>VLOOKUP(Datos_Origen[[#This Row],[Cargo Tipo Valorado]],Cargos_Catalogo[#Data],MATCH(Cargos_Catalogo[[#Headers],[Nivel SHR]],Cargos_Catalogo[#Headers],0),FALSE)</f>
        <v>Soporte</v>
      </c>
      <c r="T42" s="130" t="str">
        <f>VLOOKUP(Datos_Origen[[#This Row],[Cargo Tipo Valorado]],Cargos_Catalogo[#Data],MATCH(Cargos_Catalogo[[#Headers],[Criticidad]],Cargos_Catalogo[#Headers],0),FALSE)</f>
        <v>Relevante</v>
      </c>
      <c r="U42" s="154">
        <f>VLOOKUP(Datos_Origen[[#This Row],[Puntos valoración]],Categorias_Registro[#Data],5,FALSE)</f>
        <v>217</v>
      </c>
      <c r="V42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2536900.52</v>
      </c>
      <c r="W42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42" s="154">
        <f>SUMIF($BA$5:$BJ$5,"NCS",Datos_Origen[[#This Row],[auxilio Gasolina]:[Otro Beneficio10]])+(SUMIF($BA$5:$BJ$5,"CS",Datos_Origen[[#This Row],[auxilio Gasolina]:[Otro Beneficio10]])*1.17667)</f>
        <v>0</v>
      </c>
      <c r="Y42" s="155">
        <f>Datos_Origen[[#This Row],[Básico]]+Datos_Origen[[#This Row],[Promedio de Comisiones  ]]</f>
        <v>2156000</v>
      </c>
      <c r="Z42" s="155">
        <f>Datos_Origen[[#This Row],[Básico]]+Datos_Origen[[#This Row],[Promedio de Comisiones  ]]</f>
        <v>2156000</v>
      </c>
      <c r="AA42" s="155">
        <f>Datos_Origen[[#This Row],[Garantizado]]</f>
        <v>2536900.52</v>
      </c>
      <c r="AB42" s="155">
        <f>Datos_Origen[[#This Row],[Variable]]+Datos_Origen[[#This Row],[Garantizado]]</f>
        <v>2536900.52</v>
      </c>
      <c r="AC42" s="155">
        <f>Datos_Origen[[#This Row],[Beneficios]]+Datos_Origen[[#This Row],[Variable]]+Datos_Origen[[#This Row],[Garantizado]]</f>
        <v>2536900.52</v>
      </c>
      <c r="AD42" s="156">
        <v>14.12</v>
      </c>
      <c r="AE42" s="141">
        <v>230</v>
      </c>
      <c r="AF42" s="345">
        <v>5.2199999999999998E-3</v>
      </c>
      <c r="AG42" s="155">
        <f>Datos_Origen[[#This Row],[Básico Actual]]*230/Datos_Origen[[#This Row],['# horas mes]]</f>
        <v>2156000</v>
      </c>
      <c r="AH42" s="157">
        <v>2156000</v>
      </c>
      <c r="AI42" s="158"/>
      <c r="AJ42" s="158">
        <f>(((Datos_Origen[[#This Row],[Básico]])/30)*$AJ$6)/12</f>
        <v>0</v>
      </c>
      <c r="AK42" s="158"/>
      <c r="AL42" s="143">
        <f>((Datos_Origen[[#This Row],[Básico]])/30)*$AL$6/12</f>
        <v>0</v>
      </c>
      <c r="AM42" s="158"/>
      <c r="AN42" s="158"/>
      <c r="AO42" s="158"/>
      <c r="AP42" s="158"/>
      <c r="AQ42" s="158"/>
      <c r="AR42" s="149">
        <v>0</v>
      </c>
      <c r="AS42" s="149"/>
      <c r="AT42" s="159" t="str">
        <f>IFERROR(Datos_Origen[[#This Row],[Comisiones Target]]/Datos_Origen[[#This Row],[Promedio de Comisiones  ]],"")</f>
        <v/>
      </c>
      <c r="AU42" s="160"/>
      <c r="AV42" s="143">
        <v>0</v>
      </c>
      <c r="AW42" s="160"/>
      <c r="AX42" s="143">
        <f>Datos_Origen[[#This Row],[N Salarios de la Bonificación2]]*Datos_Origen[[#This Row],[Básico]]/12</f>
        <v>0</v>
      </c>
      <c r="AY42" s="160"/>
      <c r="AZ42" s="158"/>
      <c r="BA42" s="149">
        <v>0</v>
      </c>
      <c r="BB42" s="149"/>
      <c r="BC42" s="149"/>
      <c r="BD42" s="149"/>
      <c r="BE42" s="149"/>
      <c r="BF42" s="149"/>
      <c r="BG42" s="149"/>
      <c r="BH42" s="149"/>
      <c r="BI42" s="149"/>
      <c r="BJ42" s="149"/>
      <c r="BK42" s="159">
        <f>IFERROR(Datos_Origen[[#This Row],[Variable]]/Datos_Origen[[#This Row],[CT]],"")</f>
        <v>0</v>
      </c>
      <c r="BL42" s="159">
        <f>IFERROR(Datos_Origen[[#This Row],[Beneficios]]/Datos_Origen[[#This Row],[CT]],"")</f>
        <v>0</v>
      </c>
      <c r="BM42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42" s="161">
        <f>Datos_Origen[[#This Row],[G]]/Datos_Origen[[#This Row],[Geq]]</f>
        <v>0.86115797152487794</v>
      </c>
      <c r="BO42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42" s="161">
        <f>Datos_Origen[[#This Row],[G+V]]/Datos_Origen[[#This Row],[G+Veq]]</f>
        <v>0.79977098226975329</v>
      </c>
      <c r="BQ42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42" s="161">
        <f>Datos_Origen[[#This Row],[CT]]/Datos_Origen[[#This Row],[CTeq]]</f>
        <v>0.79914622035110494</v>
      </c>
      <c r="BS42" s="139">
        <f>ROUNDUP(VLOOKUP(Datos_Origen[[#This Row],[Categoria]],Competitividad_1[#All],2,0)*IndiceIncrementoC,-3)</f>
        <v>2906000</v>
      </c>
      <c r="BT42" s="161">
        <f>Datos_Origen[[#This Row],[G]]/Datos_Origen[[#This Row],[GQ1]]</f>
        <v>0.87298710254645562</v>
      </c>
      <c r="BU42" s="155">
        <f>ROUNDUP(VLOOKUP(Datos_Origen[[#This Row],[Categoria]],Competitividad_1[#All],3,0)*IndiceIncrementoC,-3)</f>
        <v>3009000</v>
      </c>
      <c r="BV42" s="161">
        <f>Datos_Origen[[#This Row],[G+V]]/Datos_Origen[[#This Row],[G+VQ1]]</f>
        <v>0.84310419408441339</v>
      </c>
      <c r="BW42" s="155">
        <f>ROUNDUP(VLOOKUP(Datos_Origen[[#This Row],[Categoria]],Competitividad_1[#All],4,0)*IndiceIncrementoC,-3)</f>
        <v>3129000</v>
      </c>
      <c r="BX42" s="161">
        <f>Datos_Origen[[#This Row],[CT]]/Datos_Origen[[#This Row],[CTQ1]]</f>
        <v>0.81077038031319915</v>
      </c>
      <c r="BY42" s="155">
        <f>ROUNDUP(VLOOKUP(Datos_Origen[[#This Row],[Categoria]],Competitividad_1[#All],5,0)*IndiceIncrementoC,-3)</f>
        <v>3456000</v>
      </c>
      <c r="BZ42" s="161">
        <f>Datos_Origen[[#This Row],[G]]/Datos_Origen[[#This Row],[GMd]]</f>
        <v>0.73405686342592591</v>
      </c>
      <c r="CA42" s="155">
        <f>ROUNDUP(VLOOKUP(Datos_Origen[[#This Row],[Categoria]],Competitividad_1[#All],6,0)*IndiceIncrementoC,-3)</f>
        <v>3483000</v>
      </c>
      <c r="CB42" s="161">
        <f>Datos_Origen[[#This Row],[G+V]]/Datos_Origen[[#This Row],[G+VMd]]</f>
        <v>0.72836650014355442</v>
      </c>
      <c r="CC42" s="155">
        <f>ROUNDUP(VLOOKUP(Datos_Origen[[#This Row],[Categoria]],Competitividad_1[#All],7,0)*IndiceIncrementoC,-3)</f>
        <v>3645000</v>
      </c>
      <c r="CD42" s="161">
        <f>Datos_Origen[[#This Row],[CT]]/Datos_Origen[[#This Row],[CTMd]]</f>
        <v>0.69599465569272978</v>
      </c>
      <c r="CE42" s="155">
        <f>+Datos_Origen[[#This Row],[GMd]]/1.17666666667</f>
        <v>2937110.4815780818</v>
      </c>
      <c r="CF42" s="161">
        <f>+Datos_Origen[[#This Row],[Básico Actual]]/Datos_Origen[[#This Row],[Salario Basico Md]]</f>
        <v>0.73405478395269674</v>
      </c>
      <c r="CG42" s="155">
        <f>ROUNDUP(VLOOKUP(Datos_Origen[[#This Row],[Categoria]],Competitividad_1[#All],8,0)*IndiceIncrementoC,-3)</f>
        <v>4712000</v>
      </c>
      <c r="CH42" s="161">
        <f>Datos_Origen[[#This Row],[G]]/Datos_Origen[[#This Row],[GQ3]]</f>
        <v>0.53839145161290325</v>
      </c>
      <c r="CI42" s="155">
        <f>ROUNDUP(VLOOKUP(Datos_Origen[[#This Row],[Categoria]],Competitividad_1[#All],9,0)*IndiceIncrementoC,-3)</f>
        <v>4847000</v>
      </c>
      <c r="CJ42" s="161">
        <f>Datos_Origen[[#This Row],[G+V]]/Datos_Origen[[#This Row],[G+VQ3]]</f>
        <v>0.5233960222818238</v>
      </c>
      <c r="CK42" s="155">
        <f>ROUNDUP(VLOOKUP(Datos_Origen[[#This Row],[Categoria]],Competitividad_1[#All],10,0)*IndiceIncrementoC,-3)</f>
        <v>4977000</v>
      </c>
      <c r="CL42" s="161">
        <f>Datos_Origen[[#This Row],[CT]]/Datos_Origen[[#This Row],[CTQ3]]</f>
        <v>0.50972483825597747</v>
      </c>
      <c r="CM42" s="162">
        <f>IF(ROUND(Datos_Origen[[#This Row],[Salario Ordinario Pol2]],-3)&lt;SMMLV,SMMLV,ROUND(Datos_Origen[[#This Row],[Salario Ordinario Pol2]],-3))</f>
        <v>2231000</v>
      </c>
      <c r="CN42" s="155">
        <f>IF(Datos_Origen[[#This Row],[Gpol]]/(1+FactorPrestacionalOrdinario)&lt;SMMLV,SMMLV,Datos_Origen[[#This Row],[Gpol]]/(1+FactorPrestacionalOrdinario))</f>
        <v>2788385.2691218127</v>
      </c>
      <c r="CO42" s="161">
        <f>IFERROR(IF(Datos_Origen[[#This Row],[Salarios Año]]=14.12,Datos_Origen[[#This Row],[Básico]]/Datos_Origen[[#This Row],[Salario Ordinario Pol]],""),"")</f>
        <v>0.77320735548105268</v>
      </c>
      <c r="CP42" s="155">
        <f>IF(ROUND(Datos_Origen[[#This Row],[Salario Ordinario Pol22]],-3)&lt;SMMLV,SMMLV,ROUND(Datos_Origen[[#This Row],[Salario Ordinario Pol22]],-3))</f>
        <v>3346000</v>
      </c>
      <c r="CQ42" s="155" t="str">
        <f>IFERROR(ROUND(Datos_Origen[[#This Row],[Salario Integral Pol4]],-3),"")</f>
        <v/>
      </c>
      <c r="CR42" s="139" t="str">
        <f>IF((Datos_Origen[[#This Row],[Gpol]]/(1+FactorPrestacionalIntegral))&lt;(13*SMMLV),"",(Datos_Origen[[#This Row],[Gpol]]/(1+FactorPrestacionalIntegral)))</f>
        <v/>
      </c>
      <c r="CS42" s="161" t="str">
        <f>IFERROR(IF(Datos_Origen[[#This Row],[Salarios Año]]=12,Datos_Origen[[#This Row],[Básico]]/Datos_Origen[[#This Row],[Salario Integral Pol]],""),"")</f>
        <v/>
      </c>
      <c r="CT42" s="155" t="str">
        <f>IFERROR(ROUND(Datos_Origen[[#This Row],[Salario Integral Pol44]],-3),"")</f>
        <v/>
      </c>
      <c r="CU42" s="155">
        <f>Datos_Origen[[#This Row],[G+Vpol]]-Datos_Origen[[#This Row],[Variable]]</f>
        <v>3281000</v>
      </c>
      <c r="CV42" s="161">
        <f>Datos_Origen[[#This Row],[G]]/Datos_Origen[[#This Row],[Gpol]]</f>
        <v>0.77320954587016155</v>
      </c>
      <c r="CW42" s="154">
        <f>Datos_Origen[[#This Row],[Ctpol]]-Datos_Origen[[#This Row],[Beneficios]]</f>
        <v>3281000</v>
      </c>
      <c r="CX42" s="161">
        <f>Datos_Origen[[#This Row],[G+V]]/Datos_Origen[[#This Row],[G+Vpol]]</f>
        <v>0.77320954587016155</v>
      </c>
      <c r="CY42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3281000</v>
      </c>
      <c r="CZ42" s="161">
        <f>Datos_Origen[[#This Row],[CT]]/Datos_Origen[[#This Row],[Ctpol]]</f>
        <v>0.77320954587016155</v>
      </c>
      <c r="DA42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2156000</v>
      </c>
      <c r="DB42" s="158">
        <f>IF(Datos_Origen[[#This Row],[Básico]]&lt;10*SMMLV,0,Datos_Origen[[#This Row],[Base Seguridad Social Actual]]*8.5%)</f>
        <v>0</v>
      </c>
      <c r="DC42" s="158">
        <f>Datos_Origen[[#This Row],[Base Seguridad Social Actual]]*12%</f>
        <v>258720</v>
      </c>
      <c r="DD42" s="158">
        <f>Datos_Origen[[#This Row],[Base Seguridad Social Actual]]*Datos_Origen[[#This Row],[%ARL]]</f>
        <v>11254.32</v>
      </c>
      <c r="DE42" s="158">
        <f>IF(Datos_Origen[[#This Row],[Básico]]&lt;10*SMMLV,Datos_Origen[[#This Row],[Base Seguridad Social Actual]]*4%,Datos_Origen[[#This Row],[Base Seguridad Social Actual]]*9%)</f>
        <v>86240</v>
      </c>
      <c r="DF42" s="158">
        <f>Datos_Origen[[#This Row],[Salud]]+Datos_Origen[[#This Row],[Pensión]]+Datos_Origen[[#This Row],[ARL]]+Datos_Origen[[#This Row],[Parafiscales]]</f>
        <v>356214.32</v>
      </c>
      <c r="DG42" s="163">
        <f>Datos_Origen[[#This Row],[Costo Laboral Actual]]+Datos_Origen[[#This Row],[CT]]</f>
        <v>2893114.84</v>
      </c>
      <c r="DH42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2788385.2691218127</v>
      </c>
      <c r="DI42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42" s="158">
        <f>Datos_Origen[[#This Row],[Base Seguridad Social Nueva]]*12%</f>
        <v>334606.23229461751</v>
      </c>
      <c r="DK42" s="158">
        <f>Datos_Origen[[#This Row],[Base Seguridad Social Nueva]]*Datos_Origen[[#This Row],[%ARL]]</f>
        <v>14555.371104815862</v>
      </c>
      <c r="DL42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111535.4107648725</v>
      </c>
      <c r="DM42" s="158">
        <f>Datos_Origen[[#This Row],[Salud Nueva]]+Datos_Origen[[#This Row],[Pensión Nueva]]+Datos_Origen[[#This Row],[ARL nueva]]+Datos_Origen[[#This Row],[Parafiscales Nuevos]]</f>
        <v>460697.01416430587</v>
      </c>
      <c r="DN42" s="158">
        <f>Datos_Origen[[#This Row],[Costo Laboral Nuevo]]+Datos_Origen[[#This Row],[Ctpol]]</f>
        <v>3741697.0141643058</v>
      </c>
      <c r="DO42" s="158">
        <f>IF(Datos_Origen[[#This Row],[Ctpol]]-Datos_Origen[[#This Row],[CT]]&lt;=0,0,Datos_Origen[[#This Row],[Costo Total Nuevo]]-Datos_Origen[[#This Row],[Costo Total Actual]])</f>
        <v>848582.17416430591</v>
      </c>
      <c r="DP42" s="158">
        <f>IF(Datos_Origen[[#This Row],[Ctpol]]-Datos_Origen[[#This Row],[CT]]&lt;=0,0,Datos_Origen[[#This Row],[Ctpol]]-Datos_Origen[[#This Row],[CT]])</f>
        <v>744099.48</v>
      </c>
      <c r="DQ42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104482.69416430587</v>
      </c>
      <c r="DR42" s="158">
        <f>ROUNDDOWN(VLOOKUP(Datos_Origen[[#This Row],[Categoria]],Competitividad_1[],7,0)*IndiceIncrementoC,-3)</f>
        <v>3644000</v>
      </c>
      <c r="DS42" s="158">
        <f>Datos_Origen[[#This Row],[CTeq]]*0.8</f>
        <v>2539610.855080226</v>
      </c>
      <c r="DT42" s="158">
        <f>Datos_Origen[[#This Row],[CTeq]]*1.2</f>
        <v>3809416.2826203383</v>
      </c>
      <c r="DU42" s="155">
        <f>IF(Datos_Origen[[#This Row],[Gpol6]]/(1+FactorPrestacionalOrdinario)&lt;SMMLV,SMMLV,Datos_Origen[[#This Row],[Gpol6]]/(1+FactorPrestacionalOrdinario))</f>
        <v>2230708.2152974503</v>
      </c>
      <c r="DV42" s="139" t="str">
        <f>IF((Datos_Origen[[#This Row],[Gpol6]]/(1+FactorPrestacionalIntegral))&lt;(13*SMMLV),"",(Datos_Origen[[#This Row],[Gpol6]]/(1+FactorPrestacionalIntegral)))</f>
        <v/>
      </c>
      <c r="DW42" s="154">
        <f>Datos_Origen[[#This Row],[G+Vpol8]]</f>
        <v>2624800</v>
      </c>
      <c r="DX42" s="154">
        <f>Datos_Origen[[#This Row],[Ctpol10]]-Datos_Origen[[#This Row],[Beneficios]]</f>
        <v>2624800</v>
      </c>
      <c r="DY42" s="154">
        <f>Datos_Origen[[#This Row],[Ctpol]]*$CM$6</f>
        <v>2624800</v>
      </c>
      <c r="DZ42" s="155">
        <f>IF(Datos_Origen[[#This Row],[Gpol66]]/(1+FactorPrestacionalOrdinario)&lt;SMMLV,SMMLV,Datos_Origen[[#This Row],[Gpol66]]/(1+FactorPrestacionalOrdinario))</f>
        <v>3346062.3229461755</v>
      </c>
      <c r="EA42" s="139" t="str">
        <f>IF((Datos_Origen[[#This Row],[Gpol66]]/(1+FactorPrestacionalIntegral))&lt;(13*SMMLV),"",(Datos_Origen[[#This Row],[Gpol66]]/(1+FactorPrestacionalIntegral)))</f>
        <v/>
      </c>
      <c r="EB42" s="154">
        <f>Datos_Origen[[#This Row],[G+Vpol88]]</f>
        <v>3937200</v>
      </c>
      <c r="EC42" s="154">
        <f>Datos_Origen[[#This Row],[Ctpol1010]]-Datos_Origen[[#This Row],[Beneficios]]</f>
        <v>3937200</v>
      </c>
      <c r="ED42" s="154">
        <f>Datos_Origen[[#This Row],[Ctpol]]*$CP$6</f>
        <v>3937200</v>
      </c>
      <c r="EE42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43" spans="2:135">
      <c r="B43" s="148"/>
      <c r="C43" s="149"/>
      <c r="D43" s="150"/>
      <c r="E43" s="151"/>
      <c r="F43" s="151"/>
      <c r="G43" s="150" t="s">
        <v>347</v>
      </c>
      <c r="H43" s="153"/>
      <c r="I43" s="152" t="s">
        <v>347</v>
      </c>
      <c r="J43" s="130" t="str">
        <f>IFERROR(VLOOKUP(Datos_Origen[[#This Row],[Cargo Tipo Valorado]],Cargos_Catalogo[[#All],[Cargo]:[Área]],2,0),"")</f>
        <v xml:space="preserve">Director de costos </v>
      </c>
      <c r="K43" s="153"/>
      <c r="L43" s="153"/>
      <c r="M43" s="153"/>
      <c r="N43" s="153"/>
      <c r="O43" s="154">
        <f>Datos_Origen[[#This Row],[Segmentación Individual]]</f>
        <v>0</v>
      </c>
      <c r="P43" s="153"/>
      <c r="Q43" s="154">
        <f>VLOOKUP(Datos_Origen[[#This Row],[Cargo Tipo Valorado]],Cargos_Catalogo[#Data],MATCH(Cargos_Catalogo[[#Headers],[Puntos]],Cargos_Catalogo[#Headers],0),FALSE)</f>
        <v>224</v>
      </c>
      <c r="R43" s="130">
        <f>VLOOKUP(Datos_Origen[[#This Row],[Puntos valoración]],Categorias_Registro[#Data],MATCH(Categorias_Registro[[#Headers],[Categoria]],Categorias_Registro[#Headers],0),FALSE)</f>
        <v>7</v>
      </c>
      <c r="S43" s="130" t="str">
        <f>VLOOKUP(Datos_Origen[[#This Row],[Cargo Tipo Valorado]],Cargos_Catalogo[#Data],MATCH(Cargos_Catalogo[[#Headers],[Nivel SHR]],Cargos_Catalogo[#Headers],0),FALSE)</f>
        <v>Soporte</v>
      </c>
      <c r="T43" s="130" t="str">
        <f>VLOOKUP(Datos_Origen[[#This Row],[Cargo Tipo Valorado]],Cargos_Catalogo[#Data],MATCH(Cargos_Catalogo[[#Headers],[Criticidad]],Cargos_Catalogo[#Headers],0),FALSE)</f>
        <v>Relevante</v>
      </c>
      <c r="U43" s="154">
        <f>VLOOKUP(Datos_Origen[[#This Row],[Puntos valoración]],Categorias_Registro[#Data],5,FALSE)</f>
        <v>217</v>
      </c>
      <c r="V43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2536900.52</v>
      </c>
      <c r="W43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43" s="154">
        <f>SUMIF($BA$5:$BJ$5,"NCS",Datos_Origen[[#This Row],[auxilio Gasolina]:[Otro Beneficio10]])+(SUMIF($BA$5:$BJ$5,"CS",Datos_Origen[[#This Row],[auxilio Gasolina]:[Otro Beneficio10]])*1.17667)</f>
        <v>0</v>
      </c>
      <c r="Y43" s="155">
        <f>Datos_Origen[[#This Row],[Básico]]+Datos_Origen[[#This Row],[Promedio de Comisiones  ]]</f>
        <v>2156000</v>
      </c>
      <c r="Z43" s="155">
        <f>Datos_Origen[[#This Row],[Básico]]+Datos_Origen[[#This Row],[Promedio de Comisiones  ]]</f>
        <v>2156000</v>
      </c>
      <c r="AA43" s="155">
        <f>Datos_Origen[[#This Row],[Garantizado]]</f>
        <v>2536900.52</v>
      </c>
      <c r="AB43" s="155">
        <f>Datos_Origen[[#This Row],[Variable]]+Datos_Origen[[#This Row],[Garantizado]]</f>
        <v>2536900.52</v>
      </c>
      <c r="AC43" s="155">
        <f>Datos_Origen[[#This Row],[Beneficios]]+Datos_Origen[[#This Row],[Variable]]+Datos_Origen[[#This Row],[Garantizado]]</f>
        <v>2536900.52</v>
      </c>
      <c r="AD43" s="156">
        <v>14.12</v>
      </c>
      <c r="AE43" s="141">
        <v>230</v>
      </c>
      <c r="AF43" s="345">
        <v>5.2199999999999998E-3</v>
      </c>
      <c r="AG43" s="155">
        <f>Datos_Origen[[#This Row],[Básico Actual]]*230/Datos_Origen[[#This Row],['# horas mes]]</f>
        <v>2156000</v>
      </c>
      <c r="AH43" s="157">
        <v>2156000</v>
      </c>
      <c r="AI43" s="158"/>
      <c r="AJ43" s="158">
        <f>(((Datos_Origen[[#This Row],[Básico]])/30)*$AJ$6)/12</f>
        <v>0</v>
      </c>
      <c r="AK43" s="158"/>
      <c r="AL43" s="143">
        <f>((Datos_Origen[[#This Row],[Básico]])/30)*$AL$6/12</f>
        <v>0</v>
      </c>
      <c r="AM43" s="158"/>
      <c r="AN43" s="158"/>
      <c r="AO43" s="158"/>
      <c r="AP43" s="158"/>
      <c r="AQ43" s="158"/>
      <c r="AR43" s="149">
        <v>0</v>
      </c>
      <c r="AS43" s="149"/>
      <c r="AT43" s="159" t="str">
        <f>IFERROR(Datos_Origen[[#This Row],[Comisiones Target]]/Datos_Origen[[#This Row],[Promedio de Comisiones  ]],"")</f>
        <v/>
      </c>
      <c r="AU43" s="160"/>
      <c r="AV43" s="143">
        <v>0</v>
      </c>
      <c r="AW43" s="160"/>
      <c r="AX43" s="143">
        <f>Datos_Origen[[#This Row],[N Salarios de la Bonificación2]]*Datos_Origen[[#This Row],[Básico]]/12</f>
        <v>0</v>
      </c>
      <c r="AY43" s="160"/>
      <c r="AZ43" s="158"/>
      <c r="BA43" s="149">
        <v>0</v>
      </c>
      <c r="BB43" s="149"/>
      <c r="BC43" s="149"/>
      <c r="BD43" s="149"/>
      <c r="BE43" s="149"/>
      <c r="BF43" s="149"/>
      <c r="BG43" s="149"/>
      <c r="BH43" s="149"/>
      <c r="BI43" s="149"/>
      <c r="BJ43" s="149"/>
      <c r="BK43" s="159">
        <f>IFERROR(Datos_Origen[[#This Row],[Variable]]/Datos_Origen[[#This Row],[CT]],"")</f>
        <v>0</v>
      </c>
      <c r="BL43" s="159">
        <f>IFERROR(Datos_Origen[[#This Row],[Beneficios]]/Datos_Origen[[#This Row],[CT]],"")</f>
        <v>0</v>
      </c>
      <c r="BM43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43" s="161">
        <f>Datos_Origen[[#This Row],[G]]/Datos_Origen[[#This Row],[Geq]]</f>
        <v>0.86115797152487794</v>
      </c>
      <c r="BO43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43" s="161">
        <f>Datos_Origen[[#This Row],[G+V]]/Datos_Origen[[#This Row],[G+Veq]]</f>
        <v>0.79977098226975329</v>
      </c>
      <c r="BQ43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43" s="161">
        <f>Datos_Origen[[#This Row],[CT]]/Datos_Origen[[#This Row],[CTeq]]</f>
        <v>0.79914622035110494</v>
      </c>
      <c r="BS43" s="139">
        <f>ROUNDUP(VLOOKUP(Datos_Origen[[#This Row],[Categoria]],Competitividad_1[#All],2,0)*IndiceIncrementoC,-3)</f>
        <v>2906000</v>
      </c>
      <c r="BT43" s="161">
        <f>Datos_Origen[[#This Row],[G]]/Datos_Origen[[#This Row],[GQ1]]</f>
        <v>0.87298710254645562</v>
      </c>
      <c r="BU43" s="155">
        <f>ROUNDUP(VLOOKUP(Datos_Origen[[#This Row],[Categoria]],Competitividad_1[#All],3,0)*IndiceIncrementoC,-3)</f>
        <v>3009000</v>
      </c>
      <c r="BV43" s="161">
        <f>Datos_Origen[[#This Row],[G+V]]/Datos_Origen[[#This Row],[G+VQ1]]</f>
        <v>0.84310419408441339</v>
      </c>
      <c r="BW43" s="155">
        <f>ROUNDUP(VLOOKUP(Datos_Origen[[#This Row],[Categoria]],Competitividad_1[#All],4,0)*IndiceIncrementoC,-3)</f>
        <v>3129000</v>
      </c>
      <c r="BX43" s="161">
        <f>Datos_Origen[[#This Row],[CT]]/Datos_Origen[[#This Row],[CTQ1]]</f>
        <v>0.81077038031319915</v>
      </c>
      <c r="BY43" s="155">
        <f>ROUNDUP(VLOOKUP(Datos_Origen[[#This Row],[Categoria]],Competitividad_1[#All],5,0)*IndiceIncrementoC,-3)</f>
        <v>3456000</v>
      </c>
      <c r="BZ43" s="161">
        <f>Datos_Origen[[#This Row],[G]]/Datos_Origen[[#This Row],[GMd]]</f>
        <v>0.73405686342592591</v>
      </c>
      <c r="CA43" s="155">
        <f>ROUNDUP(VLOOKUP(Datos_Origen[[#This Row],[Categoria]],Competitividad_1[#All],6,0)*IndiceIncrementoC,-3)</f>
        <v>3483000</v>
      </c>
      <c r="CB43" s="161">
        <f>Datos_Origen[[#This Row],[G+V]]/Datos_Origen[[#This Row],[G+VMd]]</f>
        <v>0.72836650014355442</v>
      </c>
      <c r="CC43" s="155">
        <f>ROUNDUP(VLOOKUP(Datos_Origen[[#This Row],[Categoria]],Competitividad_1[#All],7,0)*IndiceIncrementoC,-3)</f>
        <v>3645000</v>
      </c>
      <c r="CD43" s="161">
        <f>Datos_Origen[[#This Row],[CT]]/Datos_Origen[[#This Row],[CTMd]]</f>
        <v>0.69599465569272978</v>
      </c>
      <c r="CE43" s="155">
        <f>+Datos_Origen[[#This Row],[GMd]]/1.17666666667</f>
        <v>2937110.4815780818</v>
      </c>
      <c r="CF43" s="161">
        <f>+Datos_Origen[[#This Row],[Básico Actual]]/Datos_Origen[[#This Row],[Salario Basico Md]]</f>
        <v>0.73405478395269674</v>
      </c>
      <c r="CG43" s="155">
        <f>ROUNDUP(VLOOKUP(Datos_Origen[[#This Row],[Categoria]],Competitividad_1[#All],8,0)*IndiceIncrementoC,-3)</f>
        <v>4712000</v>
      </c>
      <c r="CH43" s="161">
        <f>Datos_Origen[[#This Row],[G]]/Datos_Origen[[#This Row],[GQ3]]</f>
        <v>0.53839145161290325</v>
      </c>
      <c r="CI43" s="155">
        <f>ROUNDUP(VLOOKUP(Datos_Origen[[#This Row],[Categoria]],Competitividad_1[#All],9,0)*IndiceIncrementoC,-3)</f>
        <v>4847000</v>
      </c>
      <c r="CJ43" s="161">
        <f>Datos_Origen[[#This Row],[G+V]]/Datos_Origen[[#This Row],[G+VQ3]]</f>
        <v>0.5233960222818238</v>
      </c>
      <c r="CK43" s="155">
        <f>ROUNDUP(VLOOKUP(Datos_Origen[[#This Row],[Categoria]],Competitividad_1[#All],10,0)*IndiceIncrementoC,-3)</f>
        <v>4977000</v>
      </c>
      <c r="CL43" s="161">
        <f>Datos_Origen[[#This Row],[CT]]/Datos_Origen[[#This Row],[CTQ3]]</f>
        <v>0.50972483825597747</v>
      </c>
      <c r="CM43" s="162">
        <f>IF(ROUND(Datos_Origen[[#This Row],[Salario Ordinario Pol2]],-3)&lt;SMMLV,SMMLV,ROUND(Datos_Origen[[#This Row],[Salario Ordinario Pol2]],-3))</f>
        <v>2231000</v>
      </c>
      <c r="CN43" s="155">
        <f>IF(Datos_Origen[[#This Row],[Gpol]]/(1+FactorPrestacionalOrdinario)&lt;SMMLV,SMMLV,Datos_Origen[[#This Row],[Gpol]]/(1+FactorPrestacionalOrdinario))</f>
        <v>2788385.2691218127</v>
      </c>
      <c r="CO43" s="161">
        <f>IFERROR(IF(Datos_Origen[[#This Row],[Salarios Año]]=14.12,Datos_Origen[[#This Row],[Básico]]/Datos_Origen[[#This Row],[Salario Ordinario Pol]],""),"")</f>
        <v>0.77320735548105268</v>
      </c>
      <c r="CP43" s="155">
        <f>IF(ROUND(Datos_Origen[[#This Row],[Salario Ordinario Pol22]],-3)&lt;SMMLV,SMMLV,ROUND(Datos_Origen[[#This Row],[Salario Ordinario Pol22]],-3))</f>
        <v>3346000</v>
      </c>
      <c r="CQ43" s="155" t="str">
        <f>IFERROR(ROUND(Datos_Origen[[#This Row],[Salario Integral Pol4]],-3),"")</f>
        <v/>
      </c>
      <c r="CR43" s="139" t="str">
        <f>IF((Datos_Origen[[#This Row],[Gpol]]/(1+FactorPrestacionalIntegral))&lt;(13*SMMLV),"",(Datos_Origen[[#This Row],[Gpol]]/(1+FactorPrestacionalIntegral)))</f>
        <v/>
      </c>
      <c r="CS43" s="161" t="str">
        <f>IFERROR(IF(Datos_Origen[[#This Row],[Salarios Año]]=12,Datos_Origen[[#This Row],[Básico]]/Datos_Origen[[#This Row],[Salario Integral Pol]],""),"")</f>
        <v/>
      </c>
      <c r="CT43" s="155" t="str">
        <f>IFERROR(ROUND(Datos_Origen[[#This Row],[Salario Integral Pol44]],-3),"")</f>
        <v/>
      </c>
      <c r="CU43" s="155">
        <f>Datos_Origen[[#This Row],[G+Vpol]]-Datos_Origen[[#This Row],[Variable]]</f>
        <v>3281000</v>
      </c>
      <c r="CV43" s="161">
        <f>Datos_Origen[[#This Row],[G]]/Datos_Origen[[#This Row],[Gpol]]</f>
        <v>0.77320954587016155</v>
      </c>
      <c r="CW43" s="154">
        <f>Datos_Origen[[#This Row],[Ctpol]]-Datos_Origen[[#This Row],[Beneficios]]</f>
        <v>3281000</v>
      </c>
      <c r="CX43" s="161">
        <f>Datos_Origen[[#This Row],[G+V]]/Datos_Origen[[#This Row],[G+Vpol]]</f>
        <v>0.77320954587016155</v>
      </c>
      <c r="CY43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3281000</v>
      </c>
      <c r="CZ43" s="161">
        <f>Datos_Origen[[#This Row],[CT]]/Datos_Origen[[#This Row],[Ctpol]]</f>
        <v>0.77320954587016155</v>
      </c>
      <c r="DA43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2156000</v>
      </c>
      <c r="DB43" s="158">
        <f>IF(Datos_Origen[[#This Row],[Básico]]&lt;10*SMMLV,0,Datos_Origen[[#This Row],[Base Seguridad Social Actual]]*8.5%)</f>
        <v>0</v>
      </c>
      <c r="DC43" s="158">
        <f>Datos_Origen[[#This Row],[Base Seguridad Social Actual]]*12%</f>
        <v>258720</v>
      </c>
      <c r="DD43" s="158">
        <f>Datos_Origen[[#This Row],[Base Seguridad Social Actual]]*Datos_Origen[[#This Row],[%ARL]]</f>
        <v>11254.32</v>
      </c>
      <c r="DE43" s="158">
        <f>IF(Datos_Origen[[#This Row],[Básico]]&lt;10*SMMLV,Datos_Origen[[#This Row],[Base Seguridad Social Actual]]*4%,Datos_Origen[[#This Row],[Base Seguridad Social Actual]]*9%)</f>
        <v>86240</v>
      </c>
      <c r="DF43" s="158">
        <f>Datos_Origen[[#This Row],[Salud]]+Datos_Origen[[#This Row],[Pensión]]+Datos_Origen[[#This Row],[ARL]]+Datos_Origen[[#This Row],[Parafiscales]]</f>
        <v>356214.32</v>
      </c>
      <c r="DG43" s="163">
        <f>Datos_Origen[[#This Row],[Costo Laboral Actual]]+Datos_Origen[[#This Row],[CT]]</f>
        <v>2893114.84</v>
      </c>
      <c r="DH43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2788385.2691218127</v>
      </c>
      <c r="DI43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43" s="158">
        <f>Datos_Origen[[#This Row],[Base Seguridad Social Nueva]]*12%</f>
        <v>334606.23229461751</v>
      </c>
      <c r="DK43" s="158">
        <f>Datos_Origen[[#This Row],[Base Seguridad Social Nueva]]*Datos_Origen[[#This Row],[%ARL]]</f>
        <v>14555.371104815862</v>
      </c>
      <c r="DL43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111535.4107648725</v>
      </c>
      <c r="DM43" s="158">
        <f>Datos_Origen[[#This Row],[Salud Nueva]]+Datos_Origen[[#This Row],[Pensión Nueva]]+Datos_Origen[[#This Row],[ARL nueva]]+Datos_Origen[[#This Row],[Parafiscales Nuevos]]</f>
        <v>460697.01416430587</v>
      </c>
      <c r="DN43" s="158">
        <f>Datos_Origen[[#This Row],[Costo Laboral Nuevo]]+Datos_Origen[[#This Row],[Ctpol]]</f>
        <v>3741697.0141643058</v>
      </c>
      <c r="DO43" s="158">
        <f>IF(Datos_Origen[[#This Row],[Ctpol]]-Datos_Origen[[#This Row],[CT]]&lt;=0,0,Datos_Origen[[#This Row],[Costo Total Nuevo]]-Datos_Origen[[#This Row],[Costo Total Actual]])</f>
        <v>848582.17416430591</v>
      </c>
      <c r="DP43" s="158">
        <f>IF(Datos_Origen[[#This Row],[Ctpol]]-Datos_Origen[[#This Row],[CT]]&lt;=0,0,Datos_Origen[[#This Row],[Ctpol]]-Datos_Origen[[#This Row],[CT]])</f>
        <v>744099.48</v>
      </c>
      <c r="DQ43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104482.69416430587</v>
      </c>
      <c r="DR43" s="158">
        <f>ROUNDDOWN(VLOOKUP(Datos_Origen[[#This Row],[Categoria]],Competitividad_1[],7,0)*IndiceIncrementoC,-3)</f>
        <v>3644000</v>
      </c>
      <c r="DS43" s="158">
        <f>Datos_Origen[[#This Row],[CTeq]]*0.8</f>
        <v>2539610.855080226</v>
      </c>
      <c r="DT43" s="158">
        <f>Datos_Origen[[#This Row],[CTeq]]*1.2</f>
        <v>3809416.2826203383</v>
      </c>
      <c r="DU43" s="155">
        <f>IF(Datos_Origen[[#This Row],[Gpol6]]/(1+FactorPrestacionalOrdinario)&lt;SMMLV,SMMLV,Datos_Origen[[#This Row],[Gpol6]]/(1+FactorPrestacionalOrdinario))</f>
        <v>2230708.2152974503</v>
      </c>
      <c r="DV43" s="139" t="str">
        <f>IF((Datos_Origen[[#This Row],[Gpol6]]/(1+FactorPrestacionalIntegral))&lt;(13*SMMLV),"",(Datos_Origen[[#This Row],[Gpol6]]/(1+FactorPrestacionalIntegral)))</f>
        <v/>
      </c>
      <c r="DW43" s="154">
        <f>Datos_Origen[[#This Row],[G+Vpol8]]</f>
        <v>2624800</v>
      </c>
      <c r="DX43" s="154">
        <f>Datos_Origen[[#This Row],[Ctpol10]]-Datos_Origen[[#This Row],[Beneficios]]</f>
        <v>2624800</v>
      </c>
      <c r="DY43" s="154">
        <f>Datos_Origen[[#This Row],[Ctpol]]*$CM$6</f>
        <v>2624800</v>
      </c>
      <c r="DZ43" s="155">
        <f>IF(Datos_Origen[[#This Row],[Gpol66]]/(1+FactorPrestacionalOrdinario)&lt;SMMLV,SMMLV,Datos_Origen[[#This Row],[Gpol66]]/(1+FactorPrestacionalOrdinario))</f>
        <v>3346062.3229461755</v>
      </c>
      <c r="EA43" s="139" t="str">
        <f>IF((Datos_Origen[[#This Row],[Gpol66]]/(1+FactorPrestacionalIntegral))&lt;(13*SMMLV),"",(Datos_Origen[[#This Row],[Gpol66]]/(1+FactorPrestacionalIntegral)))</f>
        <v/>
      </c>
      <c r="EB43" s="154">
        <f>Datos_Origen[[#This Row],[G+Vpol88]]</f>
        <v>3937200</v>
      </c>
      <c r="EC43" s="154">
        <f>Datos_Origen[[#This Row],[Ctpol1010]]-Datos_Origen[[#This Row],[Beneficios]]</f>
        <v>3937200</v>
      </c>
      <c r="ED43" s="154">
        <f>Datos_Origen[[#This Row],[Ctpol]]*$CP$6</f>
        <v>3937200</v>
      </c>
      <c r="EE43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44" spans="2:135">
      <c r="B44" s="132"/>
      <c r="C44" s="149"/>
      <c r="D44" s="150"/>
      <c r="E44" s="151"/>
      <c r="F44" s="151"/>
      <c r="G44" s="150" t="s">
        <v>348</v>
      </c>
      <c r="H44" s="153"/>
      <c r="I44" s="152" t="s">
        <v>348</v>
      </c>
      <c r="J44" s="130" t="str">
        <f>IFERROR(VLOOKUP(Datos_Origen[[#This Row],[Cargo Tipo Valorado]],Cargos_Catalogo[[#All],[Cargo]:[Área]],2,0),"")</f>
        <v xml:space="preserve">Coordinadora de servicio al cliente </v>
      </c>
      <c r="K44" s="153"/>
      <c r="L44" s="153"/>
      <c r="M44" s="153"/>
      <c r="N44" s="153"/>
      <c r="O44" s="154">
        <f>Datos_Origen[[#This Row],[Segmentación Individual]]</f>
        <v>0</v>
      </c>
      <c r="P44" s="153"/>
      <c r="Q44" s="154">
        <f>VLOOKUP(Datos_Origen[[#This Row],[Cargo Tipo Valorado]],Cargos_Catalogo[#Data],MATCH(Cargos_Catalogo[[#Headers],[Puntos]],Cargos_Catalogo[#Headers],0),FALSE)</f>
        <v>224</v>
      </c>
      <c r="R44" s="130">
        <f>VLOOKUP(Datos_Origen[[#This Row],[Puntos valoración]],Categorias_Registro[#Data],MATCH(Categorias_Registro[[#Headers],[Categoria]],Categorias_Registro[#Headers],0),FALSE)</f>
        <v>7</v>
      </c>
      <c r="S44" s="130" t="str">
        <f>VLOOKUP(Datos_Origen[[#This Row],[Cargo Tipo Valorado]],Cargos_Catalogo[#Data],MATCH(Cargos_Catalogo[[#Headers],[Nivel SHR]],Cargos_Catalogo[#Headers],0),FALSE)</f>
        <v>Soporte</v>
      </c>
      <c r="T44" s="130" t="str">
        <f>VLOOKUP(Datos_Origen[[#This Row],[Cargo Tipo Valorado]],Cargos_Catalogo[#Data],MATCH(Cargos_Catalogo[[#Headers],[Criticidad]],Cargos_Catalogo[#Headers],0),FALSE)</f>
        <v>Relevante</v>
      </c>
      <c r="U44" s="154">
        <f>VLOOKUP(Datos_Origen[[#This Row],[Puntos valoración]],Categorias_Registro[#Data],5,FALSE)</f>
        <v>217</v>
      </c>
      <c r="V44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44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44" s="154">
        <f>SUMIF($BA$5:$BJ$5,"NCS",Datos_Origen[[#This Row],[auxilio Gasolina]:[Otro Beneficio10]])+(SUMIF($BA$5:$BJ$5,"CS",Datos_Origen[[#This Row],[auxilio Gasolina]:[Otro Beneficio10]])*1.17667)</f>
        <v>0</v>
      </c>
      <c r="Y44" s="155">
        <f>Datos_Origen[[#This Row],[Básico]]+Datos_Origen[[#This Row],[Promedio de Comisiones  ]]</f>
        <v>2404000</v>
      </c>
      <c r="Z44" s="155">
        <f>Datos_Origen[[#This Row],[Básico]]+Datos_Origen[[#This Row],[Promedio de Comisiones  ]]</f>
        <v>2404000</v>
      </c>
      <c r="AA44" s="155">
        <f>Datos_Origen[[#This Row],[Garantizado]]</f>
        <v>2828714.68</v>
      </c>
      <c r="AB44" s="155">
        <f>Datos_Origen[[#This Row],[Variable]]+Datos_Origen[[#This Row],[Garantizado]]</f>
        <v>2828714.68</v>
      </c>
      <c r="AC44" s="155">
        <f>Datos_Origen[[#This Row],[Beneficios]]+Datos_Origen[[#This Row],[Variable]]+Datos_Origen[[#This Row],[Garantizado]]</f>
        <v>2828714.68</v>
      </c>
      <c r="AD44" s="156">
        <v>14.12</v>
      </c>
      <c r="AE44" s="141">
        <v>230</v>
      </c>
      <c r="AF44" s="345">
        <v>4.3499999999999997E-2</v>
      </c>
      <c r="AG44" s="155">
        <f>Datos_Origen[[#This Row],[Básico Actual]]*230/Datos_Origen[[#This Row],['# horas mes]]</f>
        <v>2404000</v>
      </c>
      <c r="AH44" s="157">
        <v>2404000</v>
      </c>
      <c r="AI44" s="158"/>
      <c r="AJ44" s="158">
        <f>(((Datos_Origen[[#This Row],[Básico]])/30)*$AJ$6)/12</f>
        <v>0</v>
      </c>
      <c r="AK44" s="158"/>
      <c r="AL44" s="143">
        <f>((Datos_Origen[[#This Row],[Básico]])/30)*$AL$6/12</f>
        <v>0</v>
      </c>
      <c r="AM44" s="158"/>
      <c r="AN44" s="158"/>
      <c r="AO44" s="158"/>
      <c r="AP44" s="158"/>
      <c r="AQ44" s="158"/>
      <c r="AR44" s="149">
        <v>0</v>
      </c>
      <c r="AS44" s="149"/>
      <c r="AT44" s="159" t="str">
        <f>IFERROR(Datos_Origen[[#This Row],[Comisiones Target]]/Datos_Origen[[#This Row],[Promedio de Comisiones  ]],"")</f>
        <v/>
      </c>
      <c r="AU44" s="160"/>
      <c r="AV44" s="143">
        <v>0</v>
      </c>
      <c r="AW44" s="160"/>
      <c r="AX44" s="143">
        <f>Datos_Origen[[#This Row],[N Salarios de la Bonificación2]]*Datos_Origen[[#This Row],[Básico]]/12</f>
        <v>0</v>
      </c>
      <c r="AY44" s="160"/>
      <c r="AZ44" s="158"/>
      <c r="BA44" s="149">
        <v>0</v>
      </c>
      <c r="BB44" s="149"/>
      <c r="BC44" s="149"/>
      <c r="BD44" s="149"/>
      <c r="BE44" s="149"/>
      <c r="BF44" s="149"/>
      <c r="BG44" s="149"/>
      <c r="BH44" s="149"/>
      <c r="BI44" s="149"/>
      <c r="BJ44" s="149"/>
      <c r="BK44" s="159">
        <f>IFERROR(Datos_Origen[[#This Row],[Variable]]/Datos_Origen[[#This Row],[CT]],"")</f>
        <v>0</v>
      </c>
      <c r="BL44" s="159">
        <f>IFERROR(Datos_Origen[[#This Row],[Beneficios]]/Datos_Origen[[#This Row],[CT]],"")</f>
        <v>0</v>
      </c>
      <c r="BM44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44" s="161">
        <f>Datos_Origen[[#This Row],[G]]/Datos_Origen[[#This Row],[Geq]]</f>
        <v>0.96021510368543916</v>
      </c>
      <c r="BO44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44" s="161">
        <f>Datos_Origen[[#This Row],[G+V]]/Datos_Origen[[#This Row],[G+Veq]]</f>
        <v>0.89176690230820366</v>
      </c>
      <c r="BQ44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44" s="161">
        <f>Datos_Origen[[#This Row],[CT]]/Datos_Origen[[#This Row],[CTeq]]</f>
        <v>0.89107027538221539</v>
      </c>
      <c r="BS44" s="139">
        <f>ROUNDUP(VLOOKUP(Datos_Origen[[#This Row],[Categoria]],Competitividad_1[#All],2,0)*IndiceIncrementoC,-3)</f>
        <v>2906000</v>
      </c>
      <c r="BT44" s="161">
        <f>Datos_Origen[[#This Row],[G]]/Datos_Origen[[#This Row],[GQ1]]</f>
        <v>0.9734049139710943</v>
      </c>
      <c r="BU44" s="155">
        <f>ROUNDUP(VLOOKUP(Datos_Origen[[#This Row],[Categoria]],Competitividad_1[#All],3,0)*IndiceIncrementoC,-3)</f>
        <v>3009000</v>
      </c>
      <c r="BV44" s="161">
        <f>Datos_Origen[[#This Row],[G+V]]/Datos_Origen[[#This Row],[G+VQ1]]</f>
        <v>0.94008463941508813</v>
      </c>
      <c r="BW44" s="155">
        <f>ROUNDUP(VLOOKUP(Datos_Origen[[#This Row],[Categoria]],Competitividad_1[#All],4,0)*IndiceIncrementoC,-3)</f>
        <v>3129000</v>
      </c>
      <c r="BX44" s="161">
        <f>Datos_Origen[[#This Row],[CT]]/Datos_Origen[[#This Row],[CTQ1]]</f>
        <v>0.90403153723234264</v>
      </c>
      <c r="BY44" s="155">
        <f>ROUNDUP(VLOOKUP(Datos_Origen[[#This Row],[Categoria]],Competitividad_1[#All],5,0)*IndiceIncrementoC,-3)</f>
        <v>3456000</v>
      </c>
      <c r="BZ44" s="161">
        <f>Datos_Origen[[#This Row],[G]]/Datos_Origen[[#This Row],[GMd]]</f>
        <v>0.81849383101851858</v>
      </c>
      <c r="CA44" s="155">
        <f>ROUNDUP(VLOOKUP(Datos_Origen[[#This Row],[Categoria]],Competitividad_1[#All],6,0)*IndiceIncrementoC,-3)</f>
        <v>3483000</v>
      </c>
      <c r="CB44" s="161">
        <f>Datos_Origen[[#This Row],[G+V]]/Datos_Origen[[#This Row],[G+VMd]]</f>
        <v>0.81214891759977037</v>
      </c>
      <c r="CC44" s="155">
        <f>ROUNDUP(VLOOKUP(Datos_Origen[[#This Row],[Categoria]],Competitividad_1[#All],7,0)*IndiceIncrementoC,-3)</f>
        <v>3645000</v>
      </c>
      <c r="CD44" s="161">
        <f>Datos_Origen[[#This Row],[CT]]/Datos_Origen[[#This Row],[CTMd]]</f>
        <v>0.77605341015089169</v>
      </c>
      <c r="CE44" s="155">
        <f>+Datos_Origen[[#This Row],[GMd]]/1.17666666667</f>
        <v>2937110.4815780818</v>
      </c>
      <c r="CF44" s="161">
        <f>+Datos_Origen[[#This Row],[Básico Actual]]/Datos_Origen[[#This Row],[Salario Basico Md]]</f>
        <v>0.81849151234799766</v>
      </c>
      <c r="CG44" s="155">
        <f>ROUNDUP(VLOOKUP(Datos_Origen[[#This Row],[Categoria]],Competitividad_1[#All],8,0)*IndiceIncrementoC,-3)</f>
        <v>4712000</v>
      </c>
      <c r="CH44" s="161">
        <f>Datos_Origen[[#This Row],[G]]/Datos_Origen[[#This Row],[GQ3]]</f>
        <v>0.60032145161290329</v>
      </c>
      <c r="CI44" s="155">
        <f>ROUNDUP(VLOOKUP(Datos_Origen[[#This Row],[Categoria]],Competitividad_1[#All],9,0)*IndiceIncrementoC,-3)</f>
        <v>4847000</v>
      </c>
      <c r="CJ44" s="161">
        <f>Datos_Origen[[#This Row],[G+V]]/Datos_Origen[[#This Row],[G+VQ3]]</f>
        <v>0.58360113059624519</v>
      </c>
      <c r="CK44" s="155">
        <f>ROUNDUP(VLOOKUP(Datos_Origen[[#This Row],[Categoria]],Competitividad_1[#All],10,0)*IndiceIncrementoC,-3)</f>
        <v>4977000</v>
      </c>
      <c r="CL44" s="161">
        <f>Datos_Origen[[#This Row],[CT]]/Datos_Origen[[#This Row],[CTQ3]]</f>
        <v>0.5683573799477597</v>
      </c>
      <c r="CM44" s="162">
        <f>IF(ROUND(Datos_Origen[[#This Row],[Salario Ordinario Pol2]],-3)&lt;SMMLV,SMMLV,ROUND(Datos_Origen[[#This Row],[Salario Ordinario Pol2]],-3))</f>
        <v>2231000</v>
      </c>
      <c r="CN44" s="155">
        <f>IF(Datos_Origen[[#This Row],[Gpol]]/(1+FactorPrestacionalOrdinario)&lt;SMMLV,SMMLV,Datos_Origen[[#This Row],[Gpol]]/(1+FactorPrestacionalOrdinario))</f>
        <v>2788385.2691218127</v>
      </c>
      <c r="CO44" s="161">
        <f>IFERROR(IF(Datos_Origen[[#This Row],[Salarios Año]]=14.12,Datos_Origen[[#This Row],[Básico]]/Datos_Origen[[#This Row],[Salario Ordinario Pol]],""),"")</f>
        <v>0.86214771919130362</v>
      </c>
      <c r="CP44" s="155">
        <f>IF(ROUND(Datos_Origen[[#This Row],[Salario Ordinario Pol22]],-3)&lt;SMMLV,SMMLV,ROUND(Datos_Origen[[#This Row],[Salario Ordinario Pol22]],-3))</f>
        <v>3346000</v>
      </c>
      <c r="CQ44" s="155" t="str">
        <f>IFERROR(ROUND(Datos_Origen[[#This Row],[Salario Integral Pol4]],-3),"")</f>
        <v/>
      </c>
      <c r="CR44" s="139" t="str">
        <f>IF((Datos_Origen[[#This Row],[Gpol]]/(1+FactorPrestacionalIntegral))&lt;(13*SMMLV),"",(Datos_Origen[[#This Row],[Gpol]]/(1+FactorPrestacionalIntegral)))</f>
        <v/>
      </c>
      <c r="CS44" s="161" t="str">
        <f>IFERROR(IF(Datos_Origen[[#This Row],[Salarios Año]]=12,Datos_Origen[[#This Row],[Básico]]/Datos_Origen[[#This Row],[Salario Integral Pol]],""),"")</f>
        <v/>
      </c>
      <c r="CT44" s="155" t="str">
        <f>IFERROR(ROUND(Datos_Origen[[#This Row],[Salario Integral Pol44]],-3),"")</f>
        <v/>
      </c>
      <c r="CU44" s="155">
        <f>Datos_Origen[[#This Row],[G+Vpol]]-Datos_Origen[[#This Row],[Variable]]</f>
        <v>3281000</v>
      </c>
      <c r="CV44" s="161">
        <f>Datos_Origen[[#This Row],[G]]/Datos_Origen[[#This Row],[Gpol]]</f>
        <v>0.86215016153611712</v>
      </c>
      <c r="CW44" s="154">
        <f>Datos_Origen[[#This Row],[Ctpol]]-Datos_Origen[[#This Row],[Beneficios]]</f>
        <v>3281000</v>
      </c>
      <c r="CX44" s="161">
        <f>Datos_Origen[[#This Row],[G+V]]/Datos_Origen[[#This Row],[G+Vpol]]</f>
        <v>0.86215016153611712</v>
      </c>
      <c r="CY44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3281000</v>
      </c>
      <c r="CZ44" s="161">
        <f>Datos_Origen[[#This Row],[CT]]/Datos_Origen[[#This Row],[Ctpol]]</f>
        <v>0.86215016153611712</v>
      </c>
      <c r="DA44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44" s="158">
        <f>IF(Datos_Origen[[#This Row],[Básico]]&lt;10*SMMLV,0,Datos_Origen[[#This Row],[Base Seguridad Social Actual]]*8.5%)</f>
        <v>0</v>
      </c>
      <c r="DC44" s="158">
        <f>Datos_Origen[[#This Row],[Base Seguridad Social Actual]]*12%</f>
        <v>288480</v>
      </c>
      <c r="DD44" s="158">
        <f>Datos_Origen[[#This Row],[Base Seguridad Social Actual]]*Datos_Origen[[#This Row],[%ARL]]</f>
        <v>104574</v>
      </c>
      <c r="DE44" s="158">
        <f>IF(Datos_Origen[[#This Row],[Básico]]&lt;10*SMMLV,Datos_Origen[[#This Row],[Base Seguridad Social Actual]]*4%,Datos_Origen[[#This Row],[Base Seguridad Social Actual]]*9%)</f>
        <v>96160</v>
      </c>
      <c r="DF44" s="158">
        <f>Datos_Origen[[#This Row],[Salud]]+Datos_Origen[[#This Row],[Pensión]]+Datos_Origen[[#This Row],[ARL]]+Datos_Origen[[#This Row],[Parafiscales]]</f>
        <v>489214</v>
      </c>
      <c r="DG44" s="158">
        <f>Datos_Origen[[#This Row],[Costo Laboral Actual]]+Datos_Origen[[#This Row],[CT]]</f>
        <v>3317928.68</v>
      </c>
      <c r="DH44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2788385.2691218127</v>
      </c>
      <c r="DI44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44" s="158">
        <f>Datos_Origen[[#This Row],[Base Seguridad Social Nueva]]*12%</f>
        <v>334606.23229461751</v>
      </c>
      <c r="DK44" s="158">
        <f>Datos_Origen[[#This Row],[Base Seguridad Social Nueva]]*Datos_Origen[[#This Row],[%ARL]]</f>
        <v>121294.75920679884</v>
      </c>
      <c r="DL44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111535.4107648725</v>
      </c>
      <c r="DM44" s="158">
        <f>Datos_Origen[[#This Row],[Salud Nueva]]+Datos_Origen[[#This Row],[Pensión Nueva]]+Datos_Origen[[#This Row],[ARL nueva]]+Datos_Origen[[#This Row],[Parafiscales Nuevos]]</f>
        <v>567436.40226628887</v>
      </c>
      <c r="DN44" s="158">
        <f>Datos_Origen[[#This Row],[Costo Laboral Nuevo]]+Datos_Origen[[#This Row],[Ctpol]]</f>
        <v>3848436.4022662891</v>
      </c>
      <c r="DO44" s="158">
        <f>IF(Datos_Origen[[#This Row],[Ctpol]]-Datos_Origen[[#This Row],[CT]]&lt;=0,0,Datos_Origen[[#This Row],[Costo Total Nuevo]]-Datos_Origen[[#This Row],[Costo Total Actual]])</f>
        <v>530507.72226628894</v>
      </c>
      <c r="DP44" s="158">
        <f>IF(Datos_Origen[[#This Row],[Ctpol]]-Datos_Origen[[#This Row],[CT]]&lt;=0,0,Datos_Origen[[#This Row],[Ctpol]]-Datos_Origen[[#This Row],[CT]])</f>
        <v>452285.31999999983</v>
      </c>
      <c r="DQ44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78222.402266288875</v>
      </c>
      <c r="DR44" s="158">
        <f>ROUNDDOWN(VLOOKUP(Datos_Origen[[#This Row],[Categoria]],Competitividad_1[],7,0)*IndiceIncrementoC,-3)</f>
        <v>3644000</v>
      </c>
      <c r="DS44" s="158">
        <f>Datos_Origen[[#This Row],[CTeq]]*0.8</f>
        <v>2539610.855080226</v>
      </c>
      <c r="DT44" s="158">
        <f>Datos_Origen[[#This Row],[CTeq]]*1.2</f>
        <v>3809416.2826203383</v>
      </c>
      <c r="DU44" s="155">
        <f>IF(Datos_Origen[[#This Row],[Gpol6]]/(1+FactorPrestacionalOrdinario)&lt;SMMLV,SMMLV,Datos_Origen[[#This Row],[Gpol6]]/(1+FactorPrestacionalOrdinario))</f>
        <v>2230708.2152974503</v>
      </c>
      <c r="DV44" s="139" t="str">
        <f>IF((Datos_Origen[[#This Row],[Gpol6]]/(1+FactorPrestacionalIntegral))&lt;(13*SMMLV),"",(Datos_Origen[[#This Row],[Gpol6]]/(1+FactorPrestacionalIntegral)))</f>
        <v/>
      </c>
      <c r="DW44" s="154">
        <f>Datos_Origen[[#This Row],[G+Vpol8]]</f>
        <v>2624800</v>
      </c>
      <c r="DX44" s="154">
        <f>Datos_Origen[[#This Row],[Ctpol10]]-Datos_Origen[[#This Row],[Beneficios]]</f>
        <v>2624800</v>
      </c>
      <c r="DY44" s="154">
        <f>Datos_Origen[[#This Row],[Ctpol]]*$CM$6</f>
        <v>2624800</v>
      </c>
      <c r="DZ44" s="155">
        <f>IF(Datos_Origen[[#This Row],[Gpol66]]/(1+FactorPrestacionalOrdinario)&lt;SMMLV,SMMLV,Datos_Origen[[#This Row],[Gpol66]]/(1+FactorPrestacionalOrdinario))</f>
        <v>3346062.3229461755</v>
      </c>
      <c r="EA44" s="139" t="str">
        <f>IF((Datos_Origen[[#This Row],[Gpol66]]/(1+FactorPrestacionalIntegral))&lt;(13*SMMLV),"",(Datos_Origen[[#This Row],[Gpol66]]/(1+FactorPrestacionalIntegral)))</f>
        <v/>
      </c>
      <c r="EB44" s="154">
        <f>Datos_Origen[[#This Row],[G+Vpol88]]</f>
        <v>3937200</v>
      </c>
      <c r="EC44" s="154">
        <f>Datos_Origen[[#This Row],[Ctpol1010]]-Datos_Origen[[#This Row],[Beneficios]]</f>
        <v>3937200</v>
      </c>
      <c r="ED44" s="154">
        <f>Datos_Origen[[#This Row],[Ctpol]]*$CP$6</f>
        <v>3937200</v>
      </c>
      <c r="EE44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45" spans="2:135">
      <c r="B45" s="148"/>
      <c r="C45" s="149"/>
      <c r="D45" s="150"/>
      <c r="E45" s="151"/>
      <c r="F45" s="151"/>
      <c r="G45" s="150" t="s">
        <v>349</v>
      </c>
      <c r="H45" s="153"/>
      <c r="I45" s="152" t="s">
        <v>349</v>
      </c>
      <c r="J45" s="130" t="str">
        <f>IFERROR(VLOOKUP(Datos_Origen[[#This Row],[Cargo Tipo Valorado]],Cargos_Catalogo[[#All],[Cargo]:[Área]],2,0),"")</f>
        <v>Director de Taller</v>
      </c>
      <c r="K45" s="153"/>
      <c r="L45" s="153"/>
      <c r="M45" s="153"/>
      <c r="N45" s="153"/>
      <c r="O45" s="154">
        <f>Datos_Origen[[#This Row],[Segmentación Individual]]</f>
        <v>0</v>
      </c>
      <c r="P45" s="153"/>
      <c r="Q45" s="154">
        <f>VLOOKUP(Datos_Origen[[#This Row],[Cargo Tipo Valorado]],Cargos_Catalogo[#Data],MATCH(Cargos_Catalogo[[#Headers],[Puntos]],Cargos_Catalogo[#Headers],0),FALSE)</f>
        <v>227</v>
      </c>
      <c r="R45" s="130">
        <f>VLOOKUP(Datos_Origen[[#This Row],[Puntos valoración]],Categorias_Registro[#Data],MATCH(Categorias_Registro[[#Headers],[Categoria]],Categorias_Registro[#Headers],0),FALSE)</f>
        <v>7</v>
      </c>
      <c r="S45" s="130" t="str">
        <f>VLOOKUP(Datos_Origen[[#This Row],[Cargo Tipo Valorado]],Cargos_Catalogo[#Data],MATCH(Cargos_Catalogo[[#Headers],[Nivel SHR]],Cargos_Catalogo[#Headers],0),FALSE)</f>
        <v>Soporte</v>
      </c>
      <c r="T45" s="130" t="str">
        <f>VLOOKUP(Datos_Origen[[#This Row],[Cargo Tipo Valorado]],Cargos_Catalogo[#Data],MATCH(Cargos_Catalogo[[#Headers],[Criticidad]],Cargos_Catalogo[#Headers],0),FALSE)</f>
        <v>Relevante</v>
      </c>
      <c r="U45" s="154">
        <f>VLOOKUP(Datos_Origen[[#This Row],[Puntos valoración]],Categorias_Registro[#Data],5,FALSE)</f>
        <v>217</v>
      </c>
      <c r="V45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45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45" s="154">
        <f>SUMIF($BA$5:$BJ$5,"NCS",Datos_Origen[[#This Row],[auxilio Gasolina]:[Otro Beneficio10]])+(SUMIF($BA$5:$BJ$5,"CS",Datos_Origen[[#This Row],[auxilio Gasolina]:[Otro Beneficio10]])*1.17667)</f>
        <v>0</v>
      </c>
      <c r="Y45" s="155">
        <f>Datos_Origen[[#This Row],[Básico]]+Datos_Origen[[#This Row],[Promedio de Comisiones  ]]</f>
        <v>2404000</v>
      </c>
      <c r="Z45" s="155">
        <f>Datos_Origen[[#This Row],[Básico]]+Datos_Origen[[#This Row],[Promedio de Comisiones  ]]</f>
        <v>2404000</v>
      </c>
      <c r="AA45" s="155">
        <f>Datos_Origen[[#This Row],[Garantizado]]</f>
        <v>2828714.68</v>
      </c>
      <c r="AB45" s="155">
        <f>Datos_Origen[[#This Row],[Variable]]+Datos_Origen[[#This Row],[Garantizado]]</f>
        <v>2828714.68</v>
      </c>
      <c r="AC45" s="155">
        <f>Datos_Origen[[#This Row],[Beneficios]]+Datos_Origen[[#This Row],[Variable]]+Datos_Origen[[#This Row],[Garantizado]]</f>
        <v>2828714.68</v>
      </c>
      <c r="AD45" s="156">
        <v>14.12</v>
      </c>
      <c r="AE45" s="141">
        <v>230</v>
      </c>
      <c r="AF45" s="345">
        <v>5.2199999999999998E-3</v>
      </c>
      <c r="AG45" s="155">
        <f>Datos_Origen[[#This Row],[Básico Actual]]*230/Datos_Origen[[#This Row],['# horas mes]]</f>
        <v>2404000</v>
      </c>
      <c r="AH45" s="157">
        <v>2404000</v>
      </c>
      <c r="AI45" s="158"/>
      <c r="AJ45" s="158">
        <f>(((Datos_Origen[[#This Row],[Básico]])/30)*$AJ$6)/12</f>
        <v>0</v>
      </c>
      <c r="AK45" s="158"/>
      <c r="AL45" s="143">
        <f>((Datos_Origen[[#This Row],[Básico]])/30)*$AL$6/12</f>
        <v>0</v>
      </c>
      <c r="AM45" s="158"/>
      <c r="AN45" s="158"/>
      <c r="AO45" s="158"/>
      <c r="AP45" s="158"/>
      <c r="AQ45" s="158"/>
      <c r="AR45" s="149">
        <v>0</v>
      </c>
      <c r="AS45" s="149"/>
      <c r="AT45" s="159" t="str">
        <f>IFERROR(Datos_Origen[[#This Row],[Comisiones Target]]/Datos_Origen[[#This Row],[Promedio de Comisiones  ]],"")</f>
        <v/>
      </c>
      <c r="AU45" s="160"/>
      <c r="AV45" s="143">
        <v>0</v>
      </c>
      <c r="AW45" s="160"/>
      <c r="AX45" s="143">
        <f>Datos_Origen[[#This Row],[N Salarios de la Bonificación2]]*Datos_Origen[[#This Row],[Básico]]/12</f>
        <v>0</v>
      </c>
      <c r="AY45" s="160"/>
      <c r="AZ45" s="158"/>
      <c r="BA45" s="149">
        <v>0</v>
      </c>
      <c r="BB45" s="149"/>
      <c r="BC45" s="149"/>
      <c r="BD45" s="149"/>
      <c r="BE45" s="149"/>
      <c r="BF45" s="149"/>
      <c r="BG45" s="149"/>
      <c r="BH45" s="149"/>
      <c r="BI45" s="149"/>
      <c r="BJ45" s="149"/>
      <c r="BK45" s="159">
        <f>IFERROR(Datos_Origen[[#This Row],[Variable]]/Datos_Origen[[#This Row],[CT]],"")</f>
        <v>0</v>
      </c>
      <c r="BL45" s="159">
        <f>IFERROR(Datos_Origen[[#This Row],[Beneficios]]/Datos_Origen[[#This Row],[CT]],"")</f>
        <v>0</v>
      </c>
      <c r="BM45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45" s="161">
        <f>Datos_Origen[[#This Row],[G]]/Datos_Origen[[#This Row],[Geq]]</f>
        <v>0.96021510368543916</v>
      </c>
      <c r="BO45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45" s="161">
        <f>Datos_Origen[[#This Row],[G+V]]/Datos_Origen[[#This Row],[G+Veq]]</f>
        <v>0.89176690230820366</v>
      </c>
      <c r="BQ45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45" s="161">
        <f>Datos_Origen[[#This Row],[CT]]/Datos_Origen[[#This Row],[CTeq]]</f>
        <v>0.89107027538221539</v>
      </c>
      <c r="BS45" s="139">
        <f>ROUNDUP(VLOOKUP(Datos_Origen[[#This Row],[Categoria]],Competitividad_1[#All],2,0)*IndiceIncrementoC,-3)</f>
        <v>2906000</v>
      </c>
      <c r="BT45" s="161">
        <f>Datos_Origen[[#This Row],[G]]/Datos_Origen[[#This Row],[GQ1]]</f>
        <v>0.9734049139710943</v>
      </c>
      <c r="BU45" s="155">
        <f>ROUNDUP(VLOOKUP(Datos_Origen[[#This Row],[Categoria]],Competitividad_1[#All],3,0)*IndiceIncrementoC,-3)</f>
        <v>3009000</v>
      </c>
      <c r="BV45" s="161">
        <f>Datos_Origen[[#This Row],[G+V]]/Datos_Origen[[#This Row],[G+VQ1]]</f>
        <v>0.94008463941508813</v>
      </c>
      <c r="BW45" s="155">
        <f>ROUNDUP(VLOOKUP(Datos_Origen[[#This Row],[Categoria]],Competitividad_1[#All],4,0)*IndiceIncrementoC,-3)</f>
        <v>3129000</v>
      </c>
      <c r="BX45" s="161">
        <f>Datos_Origen[[#This Row],[CT]]/Datos_Origen[[#This Row],[CTQ1]]</f>
        <v>0.90403153723234264</v>
      </c>
      <c r="BY45" s="155">
        <f>ROUNDUP(VLOOKUP(Datos_Origen[[#This Row],[Categoria]],Competitividad_1[#All],5,0)*IndiceIncrementoC,-3)</f>
        <v>3456000</v>
      </c>
      <c r="BZ45" s="161">
        <f>Datos_Origen[[#This Row],[G]]/Datos_Origen[[#This Row],[GMd]]</f>
        <v>0.81849383101851858</v>
      </c>
      <c r="CA45" s="155">
        <f>ROUNDUP(VLOOKUP(Datos_Origen[[#This Row],[Categoria]],Competitividad_1[#All],6,0)*IndiceIncrementoC,-3)</f>
        <v>3483000</v>
      </c>
      <c r="CB45" s="161">
        <f>Datos_Origen[[#This Row],[G+V]]/Datos_Origen[[#This Row],[G+VMd]]</f>
        <v>0.81214891759977037</v>
      </c>
      <c r="CC45" s="155">
        <f>ROUNDUP(VLOOKUP(Datos_Origen[[#This Row],[Categoria]],Competitividad_1[#All],7,0)*IndiceIncrementoC,-3)</f>
        <v>3645000</v>
      </c>
      <c r="CD45" s="161">
        <f>Datos_Origen[[#This Row],[CT]]/Datos_Origen[[#This Row],[CTMd]]</f>
        <v>0.77605341015089169</v>
      </c>
      <c r="CE45" s="155">
        <f>+Datos_Origen[[#This Row],[GMd]]/1.17666666667</f>
        <v>2937110.4815780818</v>
      </c>
      <c r="CF45" s="161">
        <f>+Datos_Origen[[#This Row],[Básico Actual]]/Datos_Origen[[#This Row],[Salario Basico Md]]</f>
        <v>0.81849151234799766</v>
      </c>
      <c r="CG45" s="155">
        <f>ROUNDUP(VLOOKUP(Datos_Origen[[#This Row],[Categoria]],Competitividad_1[#All],8,0)*IndiceIncrementoC,-3)</f>
        <v>4712000</v>
      </c>
      <c r="CH45" s="161">
        <f>Datos_Origen[[#This Row],[G]]/Datos_Origen[[#This Row],[GQ3]]</f>
        <v>0.60032145161290329</v>
      </c>
      <c r="CI45" s="155">
        <f>ROUNDUP(VLOOKUP(Datos_Origen[[#This Row],[Categoria]],Competitividad_1[#All],9,0)*IndiceIncrementoC,-3)</f>
        <v>4847000</v>
      </c>
      <c r="CJ45" s="161">
        <f>Datos_Origen[[#This Row],[G+V]]/Datos_Origen[[#This Row],[G+VQ3]]</f>
        <v>0.58360113059624519</v>
      </c>
      <c r="CK45" s="155">
        <f>ROUNDUP(VLOOKUP(Datos_Origen[[#This Row],[Categoria]],Competitividad_1[#All],10,0)*IndiceIncrementoC,-3)</f>
        <v>4977000</v>
      </c>
      <c r="CL45" s="161">
        <f>Datos_Origen[[#This Row],[CT]]/Datos_Origen[[#This Row],[CTQ3]]</f>
        <v>0.5683573799477597</v>
      </c>
      <c r="CM45" s="162">
        <f>IF(ROUND(Datos_Origen[[#This Row],[Salario Ordinario Pol2]],-3)&lt;SMMLV,SMMLV,ROUND(Datos_Origen[[#This Row],[Salario Ordinario Pol2]],-3))</f>
        <v>2231000</v>
      </c>
      <c r="CN45" s="155">
        <f>IF(Datos_Origen[[#This Row],[Gpol]]/(1+FactorPrestacionalOrdinario)&lt;SMMLV,SMMLV,Datos_Origen[[#This Row],[Gpol]]/(1+FactorPrestacionalOrdinario))</f>
        <v>2788385.2691218127</v>
      </c>
      <c r="CO45" s="161">
        <f>IFERROR(IF(Datos_Origen[[#This Row],[Salarios Año]]=14.12,Datos_Origen[[#This Row],[Básico]]/Datos_Origen[[#This Row],[Salario Ordinario Pol]],""),"")</f>
        <v>0.86214771919130362</v>
      </c>
      <c r="CP45" s="155">
        <f>IF(ROUND(Datos_Origen[[#This Row],[Salario Ordinario Pol22]],-3)&lt;SMMLV,SMMLV,ROUND(Datos_Origen[[#This Row],[Salario Ordinario Pol22]],-3))</f>
        <v>3346000</v>
      </c>
      <c r="CQ45" s="155" t="str">
        <f>IFERROR(ROUND(Datos_Origen[[#This Row],[Salario Integral Pol4]],-3),"")</f>
        <v/>
      </c>
      <c r="CR45" s="139" t="str">
        <f>IF((Datos_Origen[[#This Row],[Gpol]]/(1+FactorPrestacionalIntegral))&lt;(13*SMMLV),"",(Datos_Origen[[#This Row],[Gpol]]/(1+FactorPrestacionalIntegral)))</f>
        <v/>
      </c>
      <c r="CS45" s="161" t="str">
        <f>IFERROR(IF(Datos_Origen[[#This Row],[Salarios Año]]=12,Datos_Origen[[#This Row],[Básico]]/Datos_Origen[[#This Row],[Salario Integral Pol]],""),"")</f>
        <v/>
      </c>
      <c r="CT45" s="155" t="str">
        <f>IFERROR(ROUND(Datos_Origen[[#This Row],[Salario Integral Pol44]],-3),"")</f>
        <v/>
      </c>
      <c r="CU45" s="155">
        <f>Datos_Origen[[#This Row],[G+Vpol]]-Datos_Origen[[#This Row],[Variable]]</f>
        <v>3281000</v>
      </c>
      <c r="CV45" s="161">
        <f>Datos_Origen[[#This Row],[G]]/Datos_Origen[[#This Row],[Gpol]]</f>
        <v>0.86215016153611712</v>
      </c>
      <c r="CW45" s="154">
        <f>Datos_Origen[[#This Row],[Ctpol]]-Datos_Origen[[#This Row],[Beneficios]]</f>
        <v>3281000</v>
      </c>
      <c r="CX45" s="161">
        <f>Datos_Origen[[#This Row],[G+V]]/Datos_Origen[[#This Row],[G+Vpol]]</f>
        <v>0.86215016153611712</v>
      </c>
      <c r="CY45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3281000</v>
      </c>
      <c r="CZ45" s="161">
        <f>Datos_Origen[[#This Row],[CT]]/Datos_Origen[[#This Row],[Ctpol]]</f>
        <v>0.86215016153611712</v>
      </c>
      <c r="DA45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45" s="158">
        <f>IF(Datos_Origen[[#This Row],[Básico]]&lt;10*SMMLV,0,Datos_Origen[[#This Row],[Base Seguridad Social Actual]]*8.5%)</f>
        <v>0</v>
      </c>
      <c r="DC45" s="158">
        <f>Datos_Origen[[#This Row],[Base Seguridad Social Actual]]*12%</f>
        <v>288480</v>
      </c>
      <c r="DD45" s="158">
        <f>Datos_Origen[[#This Row],[Base Seguridad Social Actual]]*Datos_Origen[[#This Row],[%ARL]]</f>
        <v>12548.88</v>
      </c>
      <c r="DE45" s="158">
        <f>IF(Datos_Origen[[#This Row],[Básico]]&lt;10*SMMLV,Datos_Origen[[#This Row],[Base Seguridad Social Actual]]*4%,Datos_Origen[[#This Row],[Base Seguridad Social Actual]]*9%)</f>
        <v>96160</v>
      </c>
      <c r="DF45" s="158">
        <f>Datos_Origen[[#This Row],[Salud]]+Datos_Origen[[#This Row],[Pensión]]+Datos_Origen[[#This Row],[ARL]]+Datos_Origen[[#This Row],[Parafiscales]]</f>
        <v>397188.88</v>
      </c>
      <c r="DG45" s="158">
        <f>Datos_Origen[[#This Row],[Costo Laboral Actual]]+Datos_Origen[[#This Row],[CT]]</f>
        <v>3225903.56</v>
      </c>
      <c r="DH45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2788385.2691218127</v>
      </c>
      <c r="DI45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45" s="158">
        <f>Datos_Origen[[#This Row],[Base Seguridad Social Nueva]]*12%</f>
        <v>334606.23229461751</v>
      </c>
      <c r="DK45" s="158">
        <f>Datos_Origen[[#This Row],[Base Seguridad Social Nueva]]*Datos_Origen[[#This Row],[%ARL]]</f>
        <v>14555.371104815862</v>
      </c>
      <c r="DL45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111535.4107648725</v>
      </c>
      <c r="DM45" s="158">
        <f>Datos_Origen[[#This Row],[Salud Nueva]]+Datos_Origen[[#This Row],[Pensión Nueva]]+Datos_Origen[[#This Row],[ARL nueva]]+Datos_Origen[[#This Row],[Parafiscales Nuevos]]</f>
        <v>460697.01416430587</v>
      </c>
      <c r="DN45" s="158">
        <f>Datos_Origen[[#This Row],[Costo Laboral Nuevo]]+Datos_Origen[[#This Row],[Ctpol]]</f>
        <v>3741697.0141643058</v>
      </c>
      <c r="DO45" s="158">
        <f>IF(Datos_Origen[[#This Row],[Ctpol]]-Datos_Origen[[#This Row],[CT]]&lt;=0,0,Datos_Origen[[#This Row],[Costo Total Nuevo]]-Datos_Origen[[#This Row],[Costo Total Actual]])</f>
        <v>515793.4541643057</v>
      </c>
      <c r="DP45" s="158">
        <f>IF(Datos_Origen[[#This Row],[Ctpol]]-Datos_Origen[[#This Row],[CT]]&lt;=0,0,Datos_Origen[[#This Row],[Ctpol]]-Datos_Origen[[#This Row],[CT]])</f>
        <v>452285.31999999983</v>
      </c>
      <c r="DQ45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63508.134164305869</v>
      </c>
      <c r="DR45" s="158">
        <f>ROUNDDOWN(VLOOKUP(Datos_Origen[[#This Row],[Categoria]],Competitividad_1[],7,0)*IndiceIncrementoC,-3)</f>
        <v>3644000</v>
      </c>
      <c r="DS45" s="158">
        <f>Datos_Origen[[#This Row],[CTeq]]*0.8</f>
        <v>2539610.855080226</v>
      </c>
      <c r="DT45" s="158">
        <f>Datos_Origen[[#This Row],[CTeq]]*1.2</f>
        <v>3809416.2826203383</v>
      </c>
      <c r="DU45" s="155">
        <f>IF(Datos_Origen[[#This Row],[Gpol6]]/(1+FactorPrestacionalOrdinario)&lt;SMMLV,SMMLV,Datos_Origen[[#This Row],[Gpol6]]/(1+FactorPrestacionalOrdinario))</f>
        <v>2230708.2152974503</v>
      </c>
      <c r="DV45" s="139" t="str">
        <f>IF((Datos_Origen[[#This Row],[Gpol6]]/(1+FactorPrestacionalIntegral))&lt;(13*SMMLV),"",(Datos_Origen[[#This Row],[Gpol6]]/(1+FactorPrestacionalIntegral)))</f>
        <v/>
      </c>
      <c r="DW45" s="154">
        <f>Datos_Origen[[#This Row],[G+Vpol8]]</f>
        <v>2624800</v>
      </c>
      <c r="DX45" s="154">
        <f>Datos_Origen[[#This Row],[Ctpol10]]-Datos_Origen[[#This Row],[Beneficios]]</f>
        <v>2624800</v>
      </c>
      <c r="DY45" s="154">
        <f>Datos_Origen[[#This Row],[Ctpol]]*$CM$6</f>
        <v>2624800</v>
      </c>
      <c r="DZ45" s="155">
        <f>IF(Datos_Origen[[#This Row],[Gpol66]]/(1+FactorPrestacionalOrdinario)&lt;SMMLV,SMMLV,Datos_Origen[[#This Row],[Gpol66]]/(1+FactorPrestacionalOrdinario))</f>
        <v>3346062.3229461755</v>
      </c>
      <c r="EA45" s="139" t="str">
        <f>IF((Datos_Origen[[#This Row],[Gpol66]]/(1+FactorPrestacionalIntegral))&lt;(13*SMMLV),"",(Datos_Origen[[#This Row],[Gpol66]]/(1+FactorPrestacionalIntegral)))</f>
        <v/>
      </c>
      <c r="EB45" s="154">
        <f>Datos_Origen[[#This Row],[G+Vpol88]]</f>
        <v>3937200</v>
      </c>
      <c r="EC45" s="154">
        <f>Datos_Origen[[#This Row],[Ctpol1010]]-Datos_Origen[[#This Row],[Beneficios]]</f>
        <v>3937200</v>
      </c>
      <c r="ED45" s="154">
        <f>Datos_Origen[[#This Row],[Ctpol]]*$CP$6</f>
        <v>3937200</v>
      </c>
      <c r="EE45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46" spans="2:135">
      <c r="B46" s="148"/>
      <c r="C46" s="149"/>
      <c r="D46" s="150"/>
      <c r="E46" s="151"/>
      <c r="F46" s="151"/>
      <c r="G46" s="150" t="s">
        <v>331</v>
      </c>
      <c r="H46" s="153"/>
      <c r="I46" s="152" t="s">
        <v>331</v>
      </c>
      <c r="J46" s="130" t="str">
        <f>IFERROR(VLOOKUP(Datos_Origen[[#This Row],[Cargo Tipo Valorado]],Cargos_Catalogo[[#All],[Cargo]:[Área]],2,0),"")</f>
        <v xml:space="preserve">Coordinadora de Comercio exterior </v>
      </c>
      <c r="K46" s="153"/>
      <c r="L46" s="153"/>
      <c r="M46" s="153"/>
      <c r="N46" s="153"/>
      <c r="O46" s="154">
        <f>Datos_Origen[[#This Row],[Segmentación Individual]]</f>
        <v>0</v>
      </c>
      <c r="P46" s="153"/>
      <c r="Q46" s="154">
        <f>VLOOKUP(Datos_Origen[[#This Row],[Cargo Tipo Valorado]],Cargos_Catalogo[#Data],MATCH(Cargos_Catalogo[[#Headers],[Puntos]],Cargos_Catalogo[#Headers],0),FALSE)</f>
        <v>231</v>
      </c>
      <c r="R46" s="130">
        <f>VLOOKUP(Datos_Origen[[#This Row],[Puntos valoración]],Categorias_Registro[#Data],MATCH(Categorias_Registro[[#Headers],[Categoria]],Categorias_Registro[#Headers],0),FALSE)</f>
        <v>8</v>
      </c>
      <c r="S46" s="130" t="str">
        <f>VLOOKUP(Datos_Origen[[#This Row],[Cargo Tipo Valorado]],Cargos_Catalogo[#Data],MATCH(Cargos_Catalogo[[#Headers],[Nivel SHR]],Cargos_Catalogo[#Headers],0),FALSE)</f>
        <v>Soporte</v>
      </c>
      <c r="T46" s="130" t="str">
        <f>VLOOKUP(Datos_Origen[[#This Row],[Cargo Tipo Valorado]],Cargos_Catalogo[#Data],MATCH(Cargos_Catalogo[[#Headers],[Criticidad]],Cargos_Catalogo[#Headers],0),FALSE)</f>
        <v>Importante</v>
      </c>
      <c r="U46" s="154">
        <f>VLOOKUP(Datos_Origen[[#This Row],[Puntos valoración]],Categorias_Registro[#Data],5,FALSE)</f>
        <v>249</v>
      </c>
      <c r="V46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3765344.0000000005</v>
      </c>
      <c r="W46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46" s="154">
        <f>SUMIF($BA$5:$BJ$5,"NCS",Datos_Origen[[#This Row],[auxilio Gasolina]:[Otro Beneficio10]])+(SUMIF($BA$5:$BJ$5,"CS",Datos_Origen[[#This Row],[auxilio Gasolina]:[Otro Beneficio10]])*1.17667)</f>
        <v>0</v>
      </c>
      <c r="Y46" s="155">
        <f>Datos_Origen[[#This Row],[Básico]]+Datos_Origen[[#This Row],[Promedio de Comisiones  ]]</f>
        <v>3200000</v>
      </c>
      <c r="Z46" s="155">
        <f>Datos_Origen[[#This Row],[Básico]]+Datos_Origen[[#This Row],[Promedio de Comisiones  ]]</f>
        <v>3200000</v>
      </c>
      <c r="AA46" s="155">
        <f>Datos_Origen[[#This Row],[Garantizado]]</f>
        <v>3765344.0000000005</v>
      </c>
      <c r="AB46" s="155">
        <f>Datos_Origen[[#This Row],[Variable]]+Datos_Origen[[#This Row],[Garantizado]]</f>
        <v>3765344.0000000005</v>
      </c>
      <c r="AC46" s="155">
        <f>Datos_Origen[[#This Row],[Beneficios]]+Datos_Origen[[#This Row],[Variable]]+Datos_Origen[[#This Row],[Garantizado]]</f>
        <v>3765344.0000000005</v>
      </c>
      <c r="AD46" s="156">
        <v>14.12</v>
      </c>
      <c r="AE46" s="141">
        <v>230</v>
      </c>
      <c r="AF46" s="345">
        <v>4.3499999999999997E-2</v>
      </c>
      <c r="AG46" s="155">
        <f>Datos_Origen[[#This Row],[Básico Actual]]*230/Datos_Origen[[#This Row],['# horas mes]]</f>
        <v>3200000</v>
      </c>
      <c r="AH46" s="157">
        <v>3200000</v>
      </c>
      <c r="AI46" s="158"/>
      <c r="AJ46" s="158">
        <f>(((Datos_Origen[[#This Row],[Básico]])/30)*$AJ$6)/12</f>
        <v>0</v>
      </c>
      <c r="AK46" s="158"/>
      <c r="AL46" s="143">
        <f>((Datos_Origen[[#This Row],[Básico]])/30)*$AL$6/12</f>
        <v>0</v>
      </c>
      <c r="AM46" s="158"/>
      <c r="AN46" s="158"/>
      <c r="AO46" s="158"/>
      <c r="AP46" s="158"/>
      <c r="AQ46" s="158"/>
      <c r="AR46" s="149">
        <v>0</v>
      </c>
      <c r="AS46" s="149"/>
      <c r="AT46" s="159" t="str">
        <f>IFERROR(Datos_Origen[[#This Row],[Comisiones Target]]/Datos_Origen[[#This Row],[Promedio de Comisiones  ]],"")</f>
        <v/>
      </c>
      <c r="AU46" s="160"/>
      <c r="AV46" s="143">
        <v>0</v>
      </c>
      <c r="AW46" s="160"/>
      <c r="AX46" s="143">
        <f>Datos_Origen[[#This Row],[N Salarios de la Bonificación2]]*Datos_Origen[[#This Row],[Básico]]/12</f>
        <v>0</v>
      </c>
      <c r="AY46" s="160"/>
      <c r="AZ46" s="158"/>
      <c r="BA46" s="149">
        <v>0</v>
      </c>
      <c r="BB46" s="149"/>
      <c r="BC46" s="149"/>
      <c r="BD46" s="149"/>
      <c r="BE46" s="149"/>
      <c r="BF46" s="149"/>
      <c r="BG46" s="149"/>
      <c r="BH46" s="149"/>
      <c r="BI46" s="149"/>
      <c r="BJ46" s="149"/>
      <c r="BK46" s="159">
        <f>IFERROR(Datos_Origen[[#This Row],[Variable]]/Datos_Origen[[#This Row],[CT]],"")</f>
        <v>0</v>
      </c>
      <c r="BL46" s="159">
        <f>IFERROR(Datos_Origen[[#This Row],[Beneficios]]/Datos_Origen[[#This Row],[CT]],"")</f>
        <v>0</v>
      </c>
      <c r="BM46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3287369.2650705236</v>
      </c>
      <c r="BN46" s="161">
        <f>Datos_Origen[[#This Row],[G]]/Datos_Origen[[#This Row],[Geq]]</f>
        <v>1.145397336407604</v>
      </c>
      <c r="BO46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3528440.0086889477</v>
      </c>
      <c r="BP46" s="161">
        <f>Datos_Origen[[#This Row],[G+V]]/Datos_Origen[[#This Row],[G+Veq]]</f>
        <v>1.0671412836062582</v>
      </c>
      <c r="BQ46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3530495.5025617885</v>
      </c>
      <c r="BR46" s="161">
        <f>Datos_Origen[[#This Row],[CT]]/Datos_Origen[[#This Row],[CTeq]]</f>
        <v>1.0665199820443907</v>
      </c>
      <c r="BS46" s="139">
        <f>ROUNDUP(VLOOKUP(Datos_Origen[[#This Row],[Categoria]],Competitividad_1[#All],2,0)*IndiceIncrementoC,-3)</f>
        <v>3243000</v>
      </c>
      <c r="BT46" s="161">
        <f>Datos_Origen[[#This Row],[G]]/Datos_Origen[[#This Row],[GQ1]]</f>
        <v>1.1610681467776751</v>
      </c>
      <c r="BU46" s="155">
        <f>ROUNDUP(VLOOKUP(Datos_Origen[[#This Row],[Categoria]],Competitividad_1[#All],3,0)*IndiceIncrementoC,-3)</f>
        <v>3349000</v>
      </c>
      <c r="BV46" s="161">
        <f>Datos_Origen[[#This Row],[G+V]]/Datos_Origen[[#This Row],[G+VQ1]]</f>
        <v>1.1243189011645269</v>
      </c>
      <c r="BW46" s="155">
        <f>ROUNDUP(VLOOKUP(Datos_Origen[[#This Row],[Categoria]],Competitividad_1[#All],4,0)*IndiceIncrementoC,-3)</f>
        <v>3485000</v>
      </c>
      <c r="BX46" s="161">
        <f>Datos_Origen[[#This Row],[CT]]/Datos_Origen[[#This Row],[CTQ1]]</f>
        <v>1.0804430416068869</v>
      </c>
      <c r="BY46" s="155">
        <f>ROUNDUP(VLOOKUP(Datos_Origen[[#This Row],[Categoria]],Competitividad_1[#All],5,0)*IndiceIncrementoC,-3)</f>
        <v>4089000</v>
      </c>
      <c r="BZ46" s="161">
        <f>Datos_Origen[[#This Row],[G]]/Datos_Origen[[#This Row],[GMd]]</f>
        <v>0.92084715089263891</v>
      </c>
      <c r="CA46" s="155">
        <f>ROUNDUP(VLOOKUP(Datos_Origen[[#This Row],[Categoria]],Competitividad_1[#All],6,0)*IndiceIncrementoC,-3)</f>
        <v>4138000</v>
      </c>
      <c r="CB46" s="161">
        <f>Datos_Origen[[#This Row],[G+V]]/Datos_Origen[[#This Row],[G+VMd]]</f>
        <v>0.9099429676172065</v>
      </c>
      <c r="CC46" s="155">
        <f>ROUNDUP(VLOOKUP(Datos_Origen[[#This Row],[Categoria]],Competitividad_1[#All],7,0)*IndiceIncrementoC,-3)</f>
        <v>4329000</v>
      </c>
      <c r="CD46" s="161">
        <f>Datos_Origen[[#This Row],[CT]]/Datos_Origen[[#This Row],[CTMd]]</f>
        <v>0.86979533379533391</v>
      </c>
      <c r="CE46" s="155">
        <f>+Datos_Origen[[#This Row],[GMd]]/1.17666666667</f>
        <v>3475070.8215199006</v>
      </c>
      <c r="CF46" s="161">
        <f>+Datos_Origen[[#This Row],[Básico Actual]]/Datos_Origen[[#This Row],[Salario Basico Md]]</f>
        <v>0.92084454227048185</v>
      </c>
      <c r="CG46" s="155">
        <f>ROUNDUP(VLOOKUP(Datos_Origen[[#This Row],[Categoria]],Competitividad_1[#All],8,0)*IndiceIncrementoC,-3)</f>
        <v>5334000</v>
      </c>
      <c r="CH46" s="161">
        <f>Datos_Origen[[#This Row],[G]]/Datos_Origen[[#This Row],[GQ3]]</f>
        <v>0.70591376077990264</v>
      </c>
      <c r="CI46" s="155">
        <f>ROUNDUP(VLOOKUP(Datos_Origen[[#This Row],[Categoria]],Competitividad_1[#All],9,0)*IndiceIncrementoC,-3)</f>
        <v>5483000</v>
      </c>
      <c r="CJ46" s="161">
        <f>Datos_Origen[[#This Row],[G+V]]/Datos_Origen[[#This Row],[G+VQ3]]</f>
        <v>0.68673062192230538</v>
      </c>
      <c r="CK46" s="155">
        <f>ROUNDUP(VLOOKUP(Datos_Origen[[#This Row],[Categoria]],Competitividad_1[#All],10,0)*IndiceIncrementoC,-3)</f>
        <v>5625000</v>
      </c>
      <c r="CL46" s="161">
        <f>Datos_Origen[[#This Row],[CT]]/Datos_Origen[[#This Row],[CTQ3]]</f>
        <v>0.66939448888888897</v>
      </c>
      <c r="CM46" s="162">
        <f>IF(ROUND(Datos_Origen[[#This Row],[Salario Ordinario Pol2]],-3)&lt;SMMLV,SMMLV,ROUND(Datos_Origen[[#This Row],[Salario Ordinario Pol2]],-3))</f>
        <v>2943000</v>
      </c>
      <c r="CN46" s="155">
        <f>IF(Datos_Origen[[#This Row],[Gpol]]/(1+FactorPrestacionalOrdinario)&lt;SMMLV,SMMLV,Datos_Origen[[#This Row],[Gpol]]/(1+FactorPrestacionalOrdinario))</f>
        <v>3679036.827195467</v>
      </c>
      <c r="CO46" s="161">
        <f>IFERROR(IF(Datos_Origen[[#This Row],[Salarios Año]]=14.12,Datos_Origen[[#This Row],[Básico]]/Datos_Origen[[#This Row],[Salario Ordinario Pol]],""),"")</f>
        <v>0.86979286979286985</v>
      </c>
      <c r="CP46" s="155">
        <f>IF(ROUND(Datos_Origen[[#This Row],[Salario Ordinario Pol22]],-3)&lt;SMMLV,SMMLV,ROUND(Datos_Origen[[#This Row],[Salario Ordinario Pol22]],-3))</f>
        <v>4415000</v>
      </c>
      <c r="CQ46" s="155" t="str">
        <f>IFERROR(ROUND(Datos_Origen[[#This Row],[Salario Integral Pol4]],-3),"")</f>
        <v/>
      </c>
      <c r="CR46" s="139" t="str">
        <f>IF((Datos_Origen[[#This Row],[Gpol]]/(1+FactorPrestacionalIntegral))&lt;(13*SMMLV),"",(Datos_Origen[[#This Row],[Gpol]]/(1+FactorPrestacionalIntegral)))</f>
        <v/>
      </c>
      <c r="CS46" s="161" t="str">
        <f>IFERROR(IF(Datos_Origen[[#This Row],[Salarios Año]]=12,Datos_Origen[[#This Row],[Básico]]/Datos_Origen[[#This Row],[Salario Integral Pol]],""),"")</f>
        <v/>
      </c>
      <c r="CT46" s="155" t="str">
        <f>IFERROR(ROUND(Datos_Origen[[#This Row],[Salario Integral Pol44]],-3),"")</f>
        <v/>
      </c>
      <c r="CU46" s="155">
        <f>Datos_Origen[[#This Row],[G+Vpol]]-Datos_Origen[[#This Row],[Variable]]</f>
        <v>4329000</v>
      </c>
      <c r="CV46" s="161">
        <f>Datos_Origen[[#This Row],[G]]/Datos_Origen[[#This Row],[Gpol]]</f>
        <v>0.86979533379533391</v>
      </c>
      <c r="CW46" s="154">
        <f>Datos_Origen[[#This Row],[Ctpol]]-Datos_Origen[[#This Row],[Beneficios]]</f>
        <v>4329000</v>
      </c>
      <c r="CX46" s="161">
        <f>Datos_Origen[[#This Row],[G+V]]/Datos_Origen[[#This Row],[G+Vpol]]</f>
        <v>0.86979533379533391</v>
      </c>
      <c r="CY46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4329000</v>
      </c>
      <c r="CZ46" s="161">
        <f>Datos_Origen[[#This Row],[CT]]/Datos_Origen[[#This Row],[Ctpol]]</f>
        <v>0.86979533379533391</v>
      </c>
      <c r="DA46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3200000</v>
      </c>
      <c r="DB46" s="158">
        <f>IF(Datos_Origen[[#This Row],[Básico]]&lt;10*SMMLV,0,Datos_Origen[[#This Row],[Base Seguridad Social Actual]]*8.5%)</f>
        <v>0</v>
      </c>
      <c r="DC46" s="158">
        <f>Datos_Origen[[#This Row],[Base Seguridad Social Actual]]*12%</f>
        <v>384000</v>
      </c>
      <c r="DD46" s="158">
        <f>Datos_Origen[[#This Row],[Base Seguridad Social Actual]]*Datos_Origen[[#This Row],[%ARL]]</f>
        <v>139200</v>
      </c>
      <c r="DE46" s="158">
        <f>IF(Datos_Origen[[#This Row],[Básico]]&lt;10*SMMLV,Datos_Origen[[#This Row],[Base Seguridad Social Actual]]*4%,Datos_Origen[[#This Row],[Base Seguridad Social Actual]]*9%)</f>
        <v>128000</v>
      </c>
      <c r="DF46" s="158">
        <f>Datos_Origen[[#This Row],[Salud]]+Datos_Origen[[#This Row],[Pensión]]+Datos_Origen[[#This Row],[ARL]]+Datos_Origen[[#This Row],[Parafiscales]]</f>
        <v>651200</v>
      </c>
      <c r="DG46" s="163">
        <f>Datos_Origen[[#This Row],[Costo Laboral Actual]]+Datos_Origen[[#This Row],[CT]]</f>
        <v>4416544</v>
      </c>
      <c r="DH46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3679036.827195467</v>
      </c>
      <c r="DI46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46" s="158">
        <f>Datos_Origen[[#This Row],[Base Seguridad Social Nueva]]*12%</f>
        <v>441484.41926345602</v>
      </c>
      <c r="DK46" s="158">
        <f>Datos_Origen[[#This Row],[Base Seguridad Social Nueva]]*Datos_Origen[[#This Row],[%ARL]]</f>
        <v>160038.10198300279</v>
      </c>
      <c r="DL46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147161.47308781868</v>
      </c>
      <c r="DM46" s="158">
        <f>Datos_Origen[[#This Row],[Salud Nueva]]+Datos_Origen[[#This Row],[Pensión Nueva]]+Datos_Origen[[#This Row],[ARL nueva]]+Datos_Origen[[#This Row],[Parafiscales Nuevos]]</f>
        <v>748683.99433427758</v>
      </c>
      <c r="DN46" s="158">
        <f>Datos_Origen[[#This Row],[Costo Laboral Nuevo]]+Datos_Origen[[#This Row],[Ctpol]]</f>
        <v>5077683.9943342777</v>
      </c>
      <c r="DO46" s="158">
        <f>IF(Datos_Origen[[#This Row],[Ctpol]]-Datos_Origen[[#This Row],[CT]]&lt;=0,0,Datos_Origen[[#This Row],[Costo Total Nuevo]]-Datos_Origen[[#This Row],[Costo Total Actual]])</f>
        <v>661139.9943342777</v>
      </c>
      <c r="DP46" s="158">
        <f>IF(Datos_Origen[[#This Row],[Ctpol]]-Datos_Origen[[#This Row],[CT]]&lt;=0,0,Datos_Origen[[#This Row],[Ctpol]]-Datos_Origen[[#This Row],[CT]])</f>
        <v>563655.99999999953</v>
      </c>
      <c r="DQ46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97483.99433427758</v>
      </c>
      <c r="DR46" s="158">
        <f>ROUNDDOWN(VLOOKUP(Datos_Origen[[#This Row],[Categoria]],Competitividad_1[],7,0)*IndiceIncrementoC,-3)</f>
        <v>4328000</v>
      </c>
      <c r="DS46" s="158">
        <f>Datos_Origen[[#This Row],[CTeq]]*0.8</f>
        <v>2824396.4020494311</v>
      </c>
      <c r="DT46" s="158">
        <f>Datos_Origen[[#This Row],[CTeq]]*1.2</f>
        <v>4236594.6030741464</v>
      </c>
      <c r="DU46" s="155">
        <f>IF(Datos_Origen[[#This Row],[Gpol6]]/(1+FactorPrestacionalOrdinario)&lt;SMMLV,SMMLV,Datos_Origen[[#This Row],[Gpol6]]/(1+FactorPrestacionalOrdinario))</f>
        <v>2943229.4617563738</v>
      </c>
      <c r="DV46" s="139" t="str">
        <f>IF((Datos_Origen[[#This Row],[Gpol6]]/(1+FactorPrestacionalIntegral))&lt;(13*SMMLV),"",(Datos_Origen[[#This Row],[Gpol6]]/(1+FactorPrestacionalIntegral)))</f>
        <v/>
      </c>
      <c r="DW46" s="154">
        <f>Datos_Origen[[#This Row],[G+Vpol8]]</f>
        <v>3463200</v>
      </c>
      <c r="DX46" s="154">
        <f>Datos_Origen[[#This Row],[Ctpol10]]-Datos_Origen[[#This Row],[Beneficios]]</f>
        <v>3463200</v>
      </c>
      <c r="DY46" s="154">
        <f>Datos_Origen[[#This Row],[Ctpol]]*$CM$6</f>
        <v>3463200</v>
      </c>
      <c r="DZ46" s="155">
        <f>IF(Datos_Origen[[#This Row],[Gpol66]]/(1+FactorPrestacionalOrdinario)&lt;SMMLV,SMMLV,Datos_Origen[[#This Row],[Gpol66]]/(1+FactorPrestacionalOrdinario))</f>
        <v>4414844.1926345602</v>
      </c>
      <c r="EA46" s="139" t="str">
        <f>IF((Datos_Origen[[#This Row],[Gpol66]]/(1+FactorPrestacionalIntegral))&lt;(13*SMMLV),"",(Datos_Origen[[#This Row],[Gpol66]]/(1+FactorPrestacionalIntegral)))</f>
        <v/>
      </c>
      <c r="EB46" s="154">
        <f>Datos_Origen[[#This Row],[G+Vpol88]]</f>
        <v>5194800</v>
      </c>
      <c r="EC46" s="154">
        <f>Datos_Origen[[#This Row],[Ctpol1010]]-Datos_Origen[[#This Row],[Beneficios]]</f>
        <v>5194800</v>
      </c>
      <c r="ED46" s="154">
        <f>Datos_Origen[[#This Row],[Ctpol]]*$CP$6</f>
        <v>5194800</v>
      </c>
      <c r="EE46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47" spans="2:135">
      <c r="B47" s="132"/>
      <c r="C47" s="149"/>
      <c r="D47" s="150"/>
      <c r="E47" s="151"/>
      <c r="F47" s="151"/>
      <c r="G47" s="150" t="s">
        <v>331</v>
      </c>
      <c r="H47" s="153"/>
      <c r="I47" s="152" t="s">
        <v>331</v>
      </c>
      <c r="J47" s="130" t="str">
        <f>IFERROR(VLOOKUP(Datos_Origen[[#This Row],[Cargo Tipo Valorado]],Cargos_Catalogo[[#All],[Cargo]:[Área]],2,0),"")</f>
        <v xml:space="preserve">Coordinadora de Comercio exterior </v>
      </c>
      <c r="K47" s="153"/>
      <c r="L47" s="153"/>
      <c r="M47" s="153"/>
      <c r="N47" s="153"/>
      <c r="O47" s="154">
        <f>Datos_Origen[[#This Row],[Segmentación Individual]]</f>
        <v>0</v>
      </c>
      <c r="P47" s="153"/>
      <c r="Q47" s="154">
        <f>VLOOKUP(Datos_Origen[[#This Row],[Cargo Tipo Valorado]],Cargos_Catalogo[#Data],MATCH(Cargos_Catalogo[[#Headers],[Puntos]],Cargos_Catalogo[#Headers],0),FALSE)</f>
        <v>231</v>
      </c>
      <c r="R47" s="130">
        <f>VLOOKUP(Datos_Origen[[#This Row],[Puntos valoración]],Categorias_Registro[#Data],MATCH(Categorias_Registro[[#Headers],[Categoria]],Categorias_Registro[#Headers],0),FALSE)</f>
        <v>8</v>
      </c>
      <c r="S47" s="130" t="str">
        <f>VLOOKUP(Datos_Origen[[#This Row],[Cargo Tipo Valorado]],Cargos_Catalogo[#Data],MATCH(Cargos_Catalogo[[#Headers],[Nivel SHR]],Cargos_Catalogo[#Headers],0),FALSE)</f>
        <v>Soporte</v>
      </c>
      <c r="T47" s="130" t="str">
        <f>VLOOKUP(Datos_Origen[[#This Row],[Cargo Tipo Valorado]],Cargos_Catalogo[#Data],MATCH(Cargos_Catalogo[[#Headers],[Criticidad]],Cargos_Catalogo[#Headers],0),FALSE)</f>
        <v>Importante</v>
      </c>
      <c r="U47" s="154">
        <f>VLOOKUP(Datos_Origen[[#This Row],[Puntos valoración]],Categorias_Registro[#Data],5,FALSE)</f>
        <v>249</v>
      </c>
      <c r="V47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3765344.0000000005</v>
      </c>
      <c r="W47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47" s="154">
        <f>SUMIF($BA$5:$BJ$5,"NCS",Datos_Origen[[#This Row],[auxilio Gasolina]:[Otro Beneficio10]])+(SUMIF($BA$5:$BJ$5,"CS",Datos_Origen[[#This Row],[auxilio Gasolina]:[Otro Beneficio10]])*1.17667)</f>
        <v>0</v>
      </c>
      <c r="Y47" s="155">
        <f>Datos_Origen[[#This Row],[Básico]]+Datos_Origen[[#This Row],[Promedio de Comisiones  ]]</f>
        <v>3200000</v>
      </c>
      <c r="Z47" s="155">
        <f>Datos_Origen[[#This Row],[Básico]]+Datos_Origen[[#This Row],[Promedio de Comisiones  ]]</f>
        <v>3200000</v>
      </c>
      <c r="AA47" s="155">
        <f>Datos_Origen[[#This Row],[Garantizado]]</f>
        <v>3765344.0000000005</v>
      </c>
      <c r="AB47" s="155">
        <f>Datos_Origen[[#This Row],[Variable]]+Datos_Origen[[#This Row],[Garantizado]]</f>
        <v>3765344.0000000005</v>
      </c>
      <c r="AC47" s="155">
        <f>Datos_Origen[[#This Row],[Beneficios]]+Datos_Origen[[#This Row],[Variable]]+Datos_Origen[[#This Row],[Garantizado]]</f>
        <v>3765344.0000000005</v>
      </c>
      <c r="AD47" s="156">
        <v>14.12</v>
      </c>
      <c r="AE47" s="141">
        <v>230</v>
      </c>
      <c r="AF47" s="345">
        <v>4.3499999999999997E-2</v>
      </c>
      <c r="AG47" s="155">
        <f>Datos_Origen[[#This Row],[Básico Actual]]*230/Datos_Origen[[#This Row],['# horas mes]]</f>
        <v>3200000</v>
      </c>
      <c r="AH47" s="157">
        <v>3200000</v>
      </c>
      <c r="AI47" s="158"/>
      <c r="AJ47" s="158">
        <f>(((Datos_Origen[[#This Row],[Básico]])/30)*$AJ$6)/12</f>
        <v>0</v>
      </c>
      <c r="AK47" s="158"/>
      <c r="AL47" s="143">
        <f>((Datos_Origen[[#This Row],[Básico]])/30)*$AL$6/12</f>
        <v>0</v>
      </c>
      <c r="AM47" s="158"/>
      <c r="AN47" s="158"/>
      <c r="AO47" s="158"/>
      <c r="AP47" s="158"/>
      <c r="AQ47" s="158"/>
      <c r="AR47" s="149">
        <v>0</v>
      </c>
      <c r="AS47" s="149"/>
      <c r="AT47" s="159" t="str">
        <f>IFERROR(Datos_Origen[[#This Row],[Comisiones Target]]/Datos_Origen[[#This Row],[Promedio de Comisiones  ]],"")</f>
        <v/>
      </c>
      <c r="AU47" s="160"/>
      <c r="AV47" s="143">
        <v>0</v>
      </c>
      <c r="AW47" s="160"/>
      <c r="AX47" s="143">
        <f>Datos_Origen[[#This Row],[N Salarios de la Bonificación2]]*Datos_Origen[[#This Row],[Básico]]/12</f>
        <v>0</v>
      </c>
      <c r="AY47" s="160"/>
      <c r="AZ47" s="158"/>
      <c r="BA47" s="149">
        <v>0</v>
      </c>
      <c r="BB47" s="149"/>
      <c r="BC47" s="149"/>
      <c r="BD47" s="149"/>
      <c r="BE47" s="149"/>
      <c r="BF47" s="149"/>
      <c r="BG47" s="149"/>
      <c r="BH47" s="149"/>
      <c r="BI47" s="149"/>
      <c r="BJ47" s="149"/>
      <c r="BK47" s="159">
        <f>IFERROR(Datos_Origen[[#This Row],[Variable]]/Datos_Origen[[#This Row],[CT]],"")</f>
        <v>0</v>
      </c>
      <c r="BL47" s="159">
        <f>IFERROR(Datos_Origen[[#This Row],[Beneficios]]/Datos_Origen[[#This Row],[CT]],"")</f>
        <v>0</v>
      </c>
      <c r="BM47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3287369.2650705236</v>
      </c>
      <c r="BN47" s="161">
        <f>Datos_Origen[[#This Row],[G]]/Datos_Origen[[#This Row],[Geq]]</f>
        <v>1.145397336407604</v>
      </c>
      <c r="BO47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3528440.0086889477</v>
      </c>
      <c r="BP47" s="161">
        <f>Datos_Origen[[#This Row],[G+V]]/Datos_Origen[[#This Row],[G+Veq]]</f>
        <v>1.0671412836062582</v>
      </c>
      <c r="BQ47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3530495.5025617885</v>
      </c>
      <c r="BR47" s="161">
        <f>Datos_Origen[[#This Row],[CT]]/Datos_Origen[[#This Row],[CTeq]]</f>
        <v>1.0665199820443907</v>
      </c>
      <c r="BS47" s="139">
        <f>ROUNDUP(VLOOKUP(Datos_Origen[[#This Row],[Categoria]],Competitividad_1[#All],2,0)*IndiceIncrementoC,-3)</f>
        <v>3243000</v>
      </c>
      <c r="BT47" s="161">
        <f>Datos_Origen[[#This Row],[G]]/Datos_Origen[[#This Row],[GQ1]]</f>
        <v>1.1610681467776751</v>
      </c>
      <c r="BU47" s="155">
        <f>ROUNDUP(VLOOKUP(Datos_Origen[[#This Row],[Categoria]],Competitividad_1[#All],3,0)*IndiceIncrementoC,-3)</f>
        <v>3349000</v>
      </c>
      <c r="BV47" s="161">
        <f>Datos_Origen[[#This Row],[G+V]]/Datos_Origen[[#This Row],[G+VQ1]]</f>
        <v>1.1243189011645269</v>
      </c>
      <c r="BW47" s="155">
        <f>ROUNDUP(VLOOKUP(Datos_Origen[[#This Row],[Categoria]],Competitividad_1[#All],4,0)*IndiceIncrementoC,-3)</f>
        <v>3485000</v>
      </c>
      <c r="BX47" s="161">
        <f>Datos_Origen[[#This Row],[CT]]/Datos_Origen[[#This Row],[CTQ1]]</f>
        <v>1.0804430416068869</v>
      </c>
      <c r="BY47" s="155">
        <f>ROUNDUP(VLOOKUP(Datos_Origen[[#This Row],[Categoria]],Competitividad_1[#All],5,0)*IndiceIncrementoC,-3)</f>
        <v>4089000</v>
      </c>
      <c r="BZ47" s="161">
        <f>Datos_Origen[[#This Row],[G]]/Datos_Origen[[#This Row],[GMd]]</f>
        <v>0.92084715089263891</v>
      </c>
      <c r="CA47" s="155">
        <f>ROUNDUP(VLOOKUP(Datos_Origen[[#This Row],[Categoria]],Competitividad_1[#All],6,0)*IndiceIncrementoC,-3)</f>
        <v>4138000</v>
      </c>
      <c r="CB47" s="161">
        <f>Datos_Origen[[#This Row],[G+V]]/Datos_Origen[[#This Row],[G+VMd]]</f>
        <v>0.9099429676172065</v>
      </c>
      <c r="CC47" s="155">
        <f>ROUNDUP(VLOOKUP(Datos_Origen[[#This Row],[Categoria]],Competitividad_1[#All],7,0)*IndiceIncrementoC,-3)</f>
        <v>4329000</v>
      </c>
      <c r="CD47" s="161">
        <f>Datos_Origen[[#This Row],[CT]]/Datos_Origen[[#This Row],[CTMd]]</f>
        <v>0.86979533379533391</v>
      </c>
      <c r="CE47" s="155">
        <f>+Datos_Origen[[#This Row],[GMd]]/1.17666666667</f>
        <v>3475070.8215199006</v>
      </c>
      <c r="CF47" s="161">
        <f>+Datos_Origen[[#This Row],[Básico Actual]]/Datos_Origen[[#This Row],[Salario Basico Md]]</f>
        <v>0.92084454227048185</v>
      </c>
      <c r="CG47" s="155">
        <f>ROUNDUP(VLOOKUP(Datos_Origen[[#This Row],[Categoria]],Competitividad_1[#All],8,0)*IndiceIncrementoC,-3)</f>
        <v>5334000</v>
      </c>
      <c r="CH47" s="161">
        <f>Datos_Origen[[#This Row],[G]]/Datos_Origen[[#This Row],[GQ3]]</f>
        <v>0.70591376077990264</v>
      </c>
      <c r="CI47" s="155">
        <f>ROUNDUP(VLOOKUP(Datos_Origen[[#This Row],[Categoria]],Competitividad_1[#All],9,0)*IndiceIncrementoC,-3)</f>
        <v>5483000</v>
      </c>
      <c r="CJ47" s="161">
        <f>Datos_Origen[[#This Row],[G+V]]/Datos_Origen[[#This Row],[G+VQ3]]</f>
        <v>0.68673062192230538</v>
      </c>
      <c r="CK47" s="155">
        <f>ROUNDUP(VLOOKUP(Datos_Origen[[#This Row],[Categoria]],Competitividad_1[#All],10,0)*IndiceIncrementoC,-3)</f>
        <v>5625000</v>
      </c>
      <c r="CL47" s="161">
        <f>Datos_Origen[[#This Row],[CT]]/Datos_Origen[[#This Row],[CTQ3]]</f>
        <v>0.66939448888888897</v>
      </c>
      <c r="CM47" s="162">
        <f>IF(ROUND(Datos_Origen[[#This Row],[Salario Ordinario Pol2]],-3)&lt;SMMLV,SMMLV,ROUND(Datos_Origen[[#This Row],[Salario Ordinario Pol2]],-3))</f>
        <v>2943000</v>
      </c>
      <c r="CN47" s="155">
        <f>IF(Datos_Origen[[#This Row],[Gpol]]/(1+FactorPrestacionalOrdinario)&lt;SMMLV,SMMLV,Datos_Origen[[#This Row],[Gpol]]/(1+FactorPrestacionalOrdinario))</f>
        <v>3679036.827195467</v>
      </c>
      <c r="CO47" s="161">
        <f>IFERROR(IF(Datos_Origen[[#This Row],[Salarios Año]]=14.12,Datos_Origen[[#This Row],[Básico]]/Datos_Origen[[#This Row],[Salario Ordinario Pol]],""),"")</f>
        <v>0.86979286979286985</v>
      </c>
      <c r="CP47" s="155">
        <f>IF(ROUND(Datos_Origen[[#This Row],[Salario Ordinario Pol22]],-3)&lt;SMMLV,SMMLV,ROUND(Datos_Origen[[#This Row],[Salario Ordinario Pol22]],-3))</f>
        <v>4415000</v>
      </c>
      <c r="CQ47" s="155" t="str">
        <f>IFERROR(ROUND(Datos_Origen[[#This Row],[Salario Integral Pol4]],-3),"")</f>
        <v/>
      </c>
      <c r="CR47" s="139" t="str">
        <f>IF((Datos_Origen[[#This Row],[Gpol]]/(1+FactorPrestacionalIntegral))&lt;(13*SMMLV),"",(Datos_Origen[[#This Row],[Gpol]]/(1+FactorPrestacionalIntegral)))</f>
        <v/>
      </c>
      <c r="CS47" s="161" t="str">
        <f>IFERROR(IF(Datos_Origen[[#This Row],[Salarios Año]]=12,Datos_Origen[[#This Row],[Básico]]/Datos_Origen[[#This Row],[Salario Integral Pol]],""),"")</f>
        <v/>
      </c>
      <c r="CT47" s="155" t="str">
        <f>IFERROR(ROUND(Datos_Origen[[#This Row],[Salario Integral Pol44]],-3),"")</f>
        <v/>
      </c>
      <c r="CU47" s="155">
        <f>Datos_Origen[[#This Row],[G+Vpol]]-Datos_Origen[[#This Row],[Variable]]</f>
        <v>4329000</v>
      </c>
      <c r="CV47" s="161">
        <f>Datos_Origen[[#This Row],[G]]/Datos_Origen[[#This Row],[Gpol]]</f>
        <v>0.86979533379533391</v>
      </c>
      <c r="CW47" s="154">
        <f>Datos_Origen[[#This Row],[Ctpol]]-Datos_Origen[[#This Row],[Beneficios]]</f>
        <v>4329000</v>
      </c>
      <c r="CX47" s="161">
        <f>Datos_Origen[[#This Row],[G+V]]/Datos_Origen[[#This Row],[G+Vpol]]</f>
        <v>0.86979533379533391</v>
      </c>
      <c r="CY47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4329000</v>
      </c>
      <c r="CZ47" s="161">
        <f>Datos_Origen[[#This Row],[CT]]/Datos_Origen[[#This Row],[Ctpol]]</f>
        <v>0.86979533379533391</v>
      </c>
      <c r="DA47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3200000</v>
      </c>
      <c r="DB47" s="158">
        <f>IF(Datos_Origen[[#This Row],[Básico]]&lt;10*SMMLV,0,Datos_Origen[[#This Row],[Base Seguridad Social Actual]]*8.5%)</f>
        <v>0</v>
      </c>
      <c r="DC47" s="158">
        <f>Datos_Origen[[#This Row],[Base Seguridad Social Actual]]*12%</f>
        <v>384000</v>
      </c>
      <c r="DD47" s="158">
        <f>Datos_Origen[[#This Row],[Base Seguridad Social Actual]]*Datos_Origen[[#This Row],[%ARL]]</f>
        <v>139200</v>
      </c>
      <c r="DE47" s="158">
        <f>IF(Datos_Origen[[#This Row],[Básico]]&lt;10*SMMLV,Datos_Origen[[#This Row],[Base Seguridad Social Actual]]*4%,Datos_Origen[[#This Row],[Base Seguridad Social Actual]]*9%)</f>
        <v>128000</v>
      </c>
      <c r="DF47" s="158">
        <f>Datos_Origen[[#This Row],[Salud]]+Datos_Origen[[#This Row],[Pensión]]+Datos_Origen[[#This Row],[ARL]]+Datos_Origen[[#This Row],[Parafiscales]]</f>
        <v>651200</v>
      </c>
      <c r="DG47" s="163">
        <f>Datos_Origen[[#This Row],[Costo Laboral Actual]]+Datos_Origen[[#This Row],[CT]]</f>
        <v>4416544</v>
      </c>
      <c r="DH47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3679036.827195467</v>
      </c>
      <c r="DI47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47" s="158">
        <f>Datos_Origen[[#This Row],[Base Seguridad Social Nueva]]*12%</f>
        <v>441484.41926345602</v>
      </c>
      <c r="DK47" s="158">
        <f>Datos_Origen[[#This Row],[Base Seguridad Social Nueva]]*Datos_Origen[[#This Row],[%ARL]]</f>
        <v>160038.10198300279</v>
      </c>
      <c r="DL47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147161.47308781868</v>
      </c>
      <c r="DM47" s="158">
        <f>Datos_Origen[[#This Row],[Salud Nueva]]+Datos_Origen[[#This Row],[Pensión Nueva]]+Datos_Origen[[#This Row],[ARL nueva]]+Datos_Origen[[#This Row],[Parafiscales Nuevos]]</f>
        <v>748683.99433427758</v>
      </c>
      <c r="DN47" s="158">
        <f>Datos_Origen[[#This Row],[Costo Laboral Nuevo]]+Datos_Origen[[#This Row],[Ctpol]]</f>
        <v>5077683.9943342777</v>
      </c>
      <c r="DO47" s="158">
        <f>IF(Datos_Origen[[#This Row],[Ctpol]]-Datos_Origen[[#This Row],[CT]]&lt;=0,0,Datos_Origen[[#This Row],[Costo Total Nuevo]]-Datos_Origen[[#This Row],[Costo Total Actual]])</f>
        <v>661139.9943342777</v>
      </c>
      <c r="DP47" s="158">
        <f>IF(Datos_Origen[[#This Row],[Ctpol]]-Datos_Origen[[#This Row],[CT]]&lt;=0,0,Datos_Origen[[#This Row],[Ctpol]]-Datos_Origen[[#This Row],[CT]])</f>
        <v>563655.99999999953</v>
      </c>
      <c r="DQ47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97483.99433427758</v>
      </c>
      <c r="DR47" s="158">
        <f>ROUNDDOWN(VLOOKUP(Datos_Origen[[#This Row],[Categoria]],Competitividad_1[],7,0)*IndiceIncrementoC,-3)</f>
        <v>4328000</v>
      </c>
      <c r="DS47" s="158">
        <f>Datos_Origen[[#This Row],[CTeq]]*0.8</f>
        <v>2824396.4020494311</v>
      </c>
      <c r="DT47" s="158">
        <f>Datos_Origen[[#This Row],[CTeq]]*1.2</f>
        <v>4236594.6030741464</v>
      </c>
      <c r="DU47" s="155">
        <f>IF(Datos_Origen[[#This Row],[Gpol6]]/(1+FactorPrestacionalOrdinario)&lt;SMMLV,SMMLV,Datos_Origen[[#This Row],[Gpol6]]/(1+FactorPrestacionalOrdinario))</f>
        <v>2943229.4617563738</v>
      </c>
      <c r="DV47" s="139" t="str">
        <f>IF((Datos_Origen[[#This Row],[Gpol6]]/(1+FactorPrestacionalIntegral))&lt;(13*SMMLV),"",(Datos_Origen[[#This Row],[Gpol6]]/(1+FactorPrestacionalIntegral)))</f>
        <v/>
      </c>
      <c r="DW47" s="154">
        <f>Datos_Origen[[#This Row],[G+Vpol8]]</f>
        <v>3463200</v>
      </c>
      <c r="DX47" s="154">
        <f>Datos_Origen[[#This Row],[Ctpol10]]-Datos_Origen[[#This Row],[Beneficios]]</f>
        <v>3463200</v>
      </c>
      <c r="DY47" s="154">
        <f>Datos_Origen[[#This Row],[Ctpol]]*$CM$6</f>
        <v>3463200</v>
      </c>
      <c r="DZ47" s="155">
        <f>IF(Datos_Origen[[#This Row],[Gpol66]]/(1+FactorPrestacionalOrdinario)&lt;SMMLV,SMMLV,Datos_Origen[[#This Row],[Gpol66]]/(1+FactorPrestacionalOrdinario))</f>
        <v>4414844.1926345602</v>
      </c>
      <c r="EA47" s="139" t="str">
        <f>IF((Datos_Origen[[#This Row],[Gpol66]]/(1+FactorPrestacionalIntegral))&lt;(13*SMMLV),"",(Datos_Origen[[#This Row],[Gpol66]]/(1+FactorPrestacionalIntegral)))</f>
        <v/>
      </c>
      <c r="EB47" s="154">
        <f>Datos_Origen[[#This Row],[G+Vpol88]]</f>
        <v>5194800</v>
      </c>
      <c r="EC47" s="154">
        <f>Datos_Origen[[#This Row],[Ctpol1010]]-Datos_Origen[[#This Row],[Beneficios]]</f>
        <v>5194800</v>
      </c>
      <c r="ED47" s="154">
        <f>Datos_Origen[[#This Row],[Ctpol]]*$CP$6</f>
        <v>5194800</v>
      </c>
      <c r="EE47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48" spans="2:135">
      <c r="B48" s="132"/>
      <c r="C48" s="149"/>
      <c r="D48" s="150"/>
      <c r="E48" s="151"/>
      <c r="F48" s="151"/>
      <c r="G48" s="150" t="s">
        <v>331</v>
      </c>
      <c r="H48" s="153"/>
      <c r="I48" s="152" t="s">
        <v>331</v>
      </c>
      <c r="J48" s="130" t="str">
        <f>IFERROR(VLOOKUP(Datos_Origen[[#This Row],[Cargo Tipo Valorado]],Cargos_Catalogo[[#All],[Cargo]:[Área]],2,0),"")</f>
        <v xml:space="preserve">Coordinadora de Comercio exterior </v>
      </c>
      <c r="K48" s="153"/>
      <c r="L48" s="153"/>
      <c r="M48" s="153"/>
      <c r="N48" s="153"/>
      <c r="O48" s="154">
        <f>Datos_Origen[[#This Row],[Segmentación Individual]]</f>
        <v>0</v>
      </c>
      <c r="P48" s="153"/>
      <c r="Q48" s="154">
        <f>VLOOKUP(Datos_Origen[[#This Row],[Cargo Tipo Valorado]],Cargos_Catalogo[#Data],MATCH(Cargos_Catalogo[[#Headers],[Puntos]],Cargos_Catalogo[#Headers],0),FALSE)</f>
        <v>231</v>
      </c>
      <c r="R48" s="130">
        <f>VLOOKUP(Datos_Origen[[#This Row],[Puntos valoración]],Categorias_Registro[#Data],MATCH(Categorias_Registro[[#Headers],[Categoria]],Categorias_Registro[#Headers],0),FALSE)</f>
        <v>8</v>
      </c>
      <c r="S48" s="130" t="str">
        <f>VLOOKUP(Datos_Origen[[#This Row],[Cargo Tipo Valorado]],Cargos_Catalogo[#Data],MATCH(Cargos_Catalogo[[#Headers],[Nivel SHR]],Cargos_Catalogo[#Headers],0),FALSE)</f>
        <v>Soporte</v>
      </c>
      <c r="T48" s="130" t="str">
        <f>VLOOKUP(Datos_Origen[[#This Row],[Cargo Tipo Valorado]],Cargos_Catalogo[#Data],MATCH(Cargos_Catalogo[[#Headers],[Criticidad]],Cargos_Catalogo[#Headers],0),FALSE)</f>
        <v>Importante</v>
      </c>
      <c r="U48" s="154">
        <f>VLOOKUP(Datos_Origen[[#This Row],[Puntos valoración]],Categorias_Registro[#Data],5,FALSE)</f>
        <v>249</v>
      </c>
      <c r="V48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3765344.0000000005</v>
      </c>
      <c r="W48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48" s="154">
        <f>SUMIF($BA$5:$BJ$5,"NCS",Datos_Origen[[#This Row],[auxilio Gasolina]:[Otro Beneficio10]])+(SUMIF($BA$5:$BJ$5,"CS",Datos_Origen[[#This Row],[auxilio Gasolina]:[Otro Beneficio10]])*1.17667)</f>
        <v>0</v>
      </c>
      <c r="Y48" s="155">
        <f>Datos_Origen[[#This Row],[Básico]]+Datos_Origen[[#This Row],[Promedio de Comisiones  ]]</f>
        <v>3200000</v>
      </c>
      <c r="Z48" s="155">
        <f>Datos_Origen[[#This Row],[Básico]]+Datos_Origen[[#This Row],[Promedio de Comisiones  ]]</f>
        <v>3200000</v>
      </c>
      <c r="AA48" s="155">
        <f>Datos_Origen[[#This Row],[Garantizado]]</f>
        <v>3765344.0000000005</v>
      </c>
      <c r="AB48" s="155">
        <f>Datos_Origen[[#This Row],[Variable]]+Datos_Origen[[#This Row],[Garantizado]]</f>
        <v>3765344.0000000005</v>
      </c>
      <c r="AC48" s="155">
        <f>Datos_Origen[[#This Row],[Beneficios]]+Datos_Origen[[#This Row],[Variable]]+Datos_Origen[[#This Row],[Garantizado]]</f>
        <v>3765344.0000000005</v>
      </c>
      <c r="AD48" s="156">
        <v>14.12</v>
      </c>
      <c r="AE48" s="141">
        <v>230</v>
      </c>
      <c r="AF48" s="345">
        <v>4.3499999999999997E-2</v>
      </c>
      <c r="AG48" s="155">
        <f>Datos_Origen[[#This Row],[Básico Actual]]*230/Datos_Origen[[#This Row],['# horas mes]]</f>
        <v>3200000</v>
      </c>
      <c r="AH48" s="157">
        <v>3200000</v>
      </c>
      <c r="AI48" s="158"/>
      <c r="AJ48" s="158">
        <f>(((Datos_Origen[[#This Row],[Básico]])/30)*$AJ$6)/12</f>
        <v>0</v>
      </c>
      <c r="AK48" s="158"/>
      <c r="AL48" s="143">
        <f>((Datos_Origen[[#This Row],[Básico]])/30)*$AL$6/12</f>
        <v>0</v>
      </c>
      <c r="AM48" s="158"/>
      <c r="AN48" s="158"/>
      <c r="AO48" s="158"/>
      <c r="AP48" s="158"/>
      <c r="AQ48" s="158"/>
      <c r="AR48" s="149">
        <v>0</v>
      </c>
      <c r="AS48" s="149"/>
      <c r="AT48" s="159" t="str">
        <f>IFERROR(Datos_Origen[[#This Row],[Comisiones Target]]/Datos_Origen[[#This Row],[Promedio de Comisiones  ]],"")</f>
        <v/>
      </c>
      <c r="AU48" s="160"/>
      <c r="AV48" s="143">
        <v>0</v>
      </c>
      <c r="AW48" s="160"/>
      <c r="AX48" s="143">
        <f>Datos_Origen[[#This Row],[N Salarios de la Bonificación2]]*Datos_Origen[[#This Row],[Básico]]/12</f>
        <v>0</v>
      </c>
      <c r="AY48" s="160"/>
      <c r="AZ48" s="158"/>
      <c r="BA48" s="149">
        <v>0</v>
      </c>
      <c r="BB48" s="149"/>
      <c r="BC48" s="149"/>
      <c r="BD48" s="149"/>
      <c r="BE48" s="149"/>
      <c r="BF48" s="149"/>
      <c r="BG48" s="149"/>
      <c r="BH48" s="149"/>
      <c r="BI48" s="149"/>
      <c r="BJ48" s="149"/>
      <c r="BK48" s="159">
        <f>IFERROR(Datos_Origen[[#This Row],[Variable]]/Datos_Origen[[#This Row],[CT]],"")</f>
        <v>0</v>
      </c>
      <c r="BL48" s="159">
        <f>IFERROR(Datos_Origen[[#This Row],[Beneficios]]/Datos_Origen[[#This Row],[CT]],"")</f>
        <v>0</v>
      </c>
      <c r="BM48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3287369.2650705236</v>
      </c>
      <c r="BN48" s="161">
        <f>Datos_Origen[[#This Row],[G]]/Datos_Origen[[#This Row],[Geq]]</f>
        <v>1.145397336407604</v>
      </c>
      <c r="BO48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3528440.0086889477</v>
      </c>
      <c r="BP48" s="161">
        <f>Datos_Origen[[#This Row],[G+V]]/Datos_Origen[[#This Row],[G+Veq]]</f>
        <v>1.0671412836062582</v>
      </c>
      <c r="BQ48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3530495.5025617885</v>
      </c>
      <c r="BR48" s="161">
        <f>Datos_Origen[[#This Row],[CT]]/Datos_Origen[[#This Row],[CTeq]]</f>
        <v>1.0665199820443907</v>
      </c>
      <c r="BS48" s="139">
        <f>ROUNDUP(VLOOKUP(Datos_Origen[[#This Row],[Categoria]],Competitividad_1[#All],2,0)*IndiceIncrementoC,-3)</f>
        <v>3243000</v>
      </c>
      <c r="BT48" s="161">
        <f>Datos_Origen[[#This Row],[G]]/Datos_Origen[[#This Row],[GQ1]]</f>
        <v>1.1610681467776751</v>
      </c>
      <c r="BU48" s="155">
        <f>ROUNDUP(VLOOKUP(Datos_Origen[[#This Row],[Categoria]],Competitividad_1[#All],3,0)*IndiceIncrementoC,-3)</f>
        <v>3349000</v>
      </c>
      <c r="BV48" s="161">
        <f>Datos_Origen[[#This Row],[G+V]]/Datos_Origen[[#This Row],[G+VQ1]]</f>
        <v>1.1243189011645269</v>
      </c>
      <c r="BW48" s="155">
        <f>ROUNDUP(VLOOKUP(Datos_Origen[[#This Row],[Categoria]],Competitividad_1[#All],4,0)*IndiceIncrementoC,-3)</f>
        <v>3485000</v>
      </c>
      <c r="BX48" s="161">
        <f>Datos_Origen[[#This Row],[CT]]/Datos_Origen[[#This Row],[CTQ1]]</f>
        <v>1.0804430416068869</v>
      </c>
      <c r="BY48" s="155">
        <f>ROUNDUP(VLOOKUP(Datos_Origen[[#This Row],[Categoria]],Competitividad_1[#All],5,0)*IndiceIncrementoC,-3)</f>
        <v>4089000</v>
      </c>
      <c r="BZ48" s="161">
        <f>Datos_Origen[[#This Row],[G]]/Datos_Origen[[#This Row],[GMd]]</f>
        <v>0.92084715089263891</v>
      </c>
      <c r="CA48" s="155">
        <f>ROUNDUP(VLOOKUP(Datos_Origen[[#This Row],[Categoria]],Competitividad_1[#All],6,0)*IndiceIncrementoC,-3)</f>
        <v>4138000</v>
      </c>
      <c r="CB48" s="161">
        <f>Datos_Origen[[#This Row],[G+V]]/Datos_Origen[[#This Row],[G+VMd]]</f>
        <v>0.9099429676172065</v>
      </c>
      <c r="CC48" s="155">
        <f>ROUNDUP(VLOOKUP(Datos_Origen[[#This Row],[Categoria]],Competitividad_1[#All],7,0)*IndiceIncrementoC,-3)</f>
        <v>4329000</v>
      </c>
      <c r="CD48" s="161">
        <f>Datos_Origen[[#This Row],[CT]]/Datos_Origen[[#This Row],[CTMd]]</f>
        <v>0.86979533379533391</v>
      </c>
      <c r="CE48" s="155">
        <f>+Datos_Origen[[#This Row],[GMd]]/1.17666666667</f>
        <v>3475070.8215199006</v>
      </c>
      <c r="CF48" s="161">
        <f>+Datos_Origen[[#This Row],[Básico Actual]]/Datos_Origen[[#This Row],[Salario Basico Md]]</f>
        <v>0.92084454227048185</v>
      </c>
      <c r="CG48" s="155">
        <f>ROUNDUP(VLOOKUP(Datos_Origen[[#This Row],[Categoria]],Competitividad_1[#All],8,0)*IndiceIncrementoC,-3)</f>
        <v>5334000</v>
      </c>
      <c r="CH48" s="161">
        <f>Datos_Origen[[#This Row],[G]]/Datos_Origen[[#This Row],[GQ3]]</f>
        <v>0.70591376077990264</v>
      </c>
      <c r="CI48" s="155">
        <f>ROUNDUP(VLOOKUP(Datos_Origen[[#This Row],[Categoria]],Competitividad_1[#All],9,0)*IndiceIncrementoC,-3)</f>
        <v>5483000</v>
      </c>
      <c r="CJ48" s="161">
        <f>Datos_Origen[[#This Row],[G+V]]/Datos_Origen[[#This Row],[G+VQ3]]</f>
        <v>0.68673062192230538</v>
      </c>
      <c r="CK48" s="155">
        <f>ROUNDUP(VLOOKUP(Datos_Origen[[#This Row],[Categoria]],Competitividad_1[#All],10,0)*IndiceIncrementoC,-3)</f>
        <v>5625000</v>
      </c>
      <c r="CL48" s="161">
        <f>Datos_Origen[[#This Row],[CT]]/Datos_Origen[[#This Row],[CTQ3]]</f>
        <v>0.66939448888888897</v>
      </c>
      <c r="CM48" s="162">
        <f>IF(ROUND(Datos_Origen[[#This Row],[Salario Ordinario Pol2]],-3)&lt;SMMLV,SMMLV,ROUND(Datos_Origen[[#This Row],[Salario Ordinario Pol2]],-3))</f>
        <v>2943000</v>
      </c>
      <c r="CN48" s="155">
        <f>IF(Datos_Origen[[#This Row],[Gpol]]/(1+FactorPrestacionalOrdinario)&lt;SMMLV,SMMLV,Datos_Origen[[#This Row],[Gpol]]/(1+FactorPrestacionalOrdinario))</f>
        <v>3679036.827195467</v>
      </c>
      <c r="CO48" s="161">
        <f>IFERROR(IF(Datos_Origen[[#This Row],[Salarios Año]]=14.12,Datos_Origen[[#This Row],[Básico]]/Datos_Origen[[#This Row],[Salario Ordinario Pol]],""),"")</f>
        <v>0.86979286979286985</v>
      </c>
      <c r="CP48" s="155">
        <f>IF(ROUND(Datos_Origen[[#This Row],[Salario Ordinario Pol22]],-3)&lt;SMMLV,SMMLV,ROUND(Datos_Origen[[#This Row],[Salario Ordinario Pol22]],-3))</f>
        <v>4415000</v>
      </c>
      <c r="CQ48" s="155" t="str">
        <f>IFERROR(ROUND(Datos_Origen[[#This Row],[Salario Integral Pol4]],-3),"")</f>
        <v/>
      </c>
      <c r="CR48" s="139" t="str">
        <f>IF((Datos_Origen[[#This Row],[Gpol]]/(1+FactorPrestacionalIntegral))&lt;(13*SMMLV),"",(Datos_Origen[[#This Row],[Gpol]]/(1+FactorPrestacionalIntegral)))</f>
        <v/>
      </c>
      <c r="CS48" s="161" t="str">
        <f>IFERROR(IF(Datos_Origen[[#This Row],[Salarios Año]]=12,Datos_Origen[[#This Row],[Básico]]/Datos_Origen[[#This Row],[Salario Integral Pol]],""),"")</f>
        <v/>
      </c>
      <c r="CT48" s="155" t="str">
        <f>IFERROR(ROUND(Datos_Origen[[#This Row],[Salario Integral Pol44]],-3),"")</f>
        <v/>
      </c>
      <c r="CU48" s="155">
        <f>Datos_Origen[[#This Row],[G+Vpol]]-Datos_Origen[[#This Row],[Variable]]</f>
        <v>4329000</v>
      </c>
      <c r="CV48" s="161">
        <f>Datos_Origen[[#This Row],[G]]/Datos_Origen[[#This Row],[Gpol]]</f>
        <v>0.86979533379533391</v>
      </c>
      <c r="CW48" s="154">
        <f>Datos_Origen[[#This Row],[Ctpol]]-Datos_Origen[[#This Row],[Beneficios]]</f>
        <v>4329000</v>
      </c>
      <c r="CX48" s="161">
        <f>Datos_Origen[[#This Row],[G+V]]/Datos_Origen[[#This Row],[G+Vpol]]</f>
        <v>0.86979533379533391</v>
      </c>
      <c r="CY48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4329000</v>
      </c>
      <c r="CZ48" s="161">
        <f>Datos_Origen[[#This Row],[CT]]/Datos_Origen[[#This Row],[Ctpol]]</f>
        <v>0.86979533379533391</v>
      </c>
      <c r="DA48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3200000</v>
      </c>
      <c r="DB48" s="158">
        <f>IF(Datos_Origen[[#This Row],[Básico]]&lt;10*SMMLV,0,Datos_Origen[[#This Row],[Base Seguridad Social Actual]]*8.5%)</f>
        <v>0</v>
      </c>
      <c r="DC48" s="158">
        <f>Datos_Origen[[#This Row],[Base Seguridad Social Actual]]*12%</f>
        <v>384000</v>
      </c>
      <c r="DD48" s="158">
        <f>Datos_Origen[[#This Row],[Base Seguridad Social Actual]]*Datos_Origen[[#This Row],[%ARL]]</f>
        <v>139200</v>
      </c>
      <c r="DE48" s="158">
        <f>IF(Datos_Origen[[#This Row],[Básico]]&lt;10*SMMLV,Datos_Origen[[#This Row],[Base Seguridad Social Actual]]*4%,Datos_Origen[[#This Row],[Base Seguridad Social Actual]]*9%)</f>
        <v>128000</v>
      </c>
      <c r="DF48" s="158">
        <f>Datos_Origen[[#This Row],[Salud]]+Datos_Origen[[#This Row],[Pensión]]+Datos_Origen[[#This Row],[ARL]]+Datos_Origen[[#This Row],[Parafiscales]]</f>
        <v>651200</v>
      </c>
      <c r="DG48" s="163">
        <f>Datos_Origen[[#This Row],[Costo Laboral Actual]]+Datos_Origen[[#This Row],[CT]]</f>
        <v>4416544</v>
      </c>
      <c r="DH48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3679036.827195467</v>
      </c>
      <c r="DI48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48" s="158">
        <f>Datos_Origen[[#This Row],[Base Seguridad Social Nueva]]*12%</f>
        <v>441484.41926345602</v>
      </c>
      <c r="DK48" s="158">
        <f>Datos_Origen[[#This Row],[Base Seguridad Social Nueva]]*Datos_Origen[[#This Row],[%ARL]]</f>
        <v>160038.10198300279</v>
      </c>
      <c r="DL48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147161.47308781868</v>
      </c>
      <c r="DM48" s="158">
        <f>Datos_Origen[[#This Row],[Salud Nueva]]+Datos_Origen[[#This Row],[Pensión Nueva]]+Datos_Origen[[#This Row],[ARL nueva]]+Datos_Origen[[#This Row],[Parafiscales Nuevos]]</f>
        <v>748683.99433427758</v>
      </c>
      <c r="DN48" s="158">
        <f>Datos_Origen[[#This Row],[Costo Laboral Nuevo]]+Datos_Origen[[#This Row],[Ctpol]]</f>
        <v>5077683.9943342777</v>
      </c>
      <c r="DO48" s="158">
        <f>IF(Datos_Origen[[#This Row],[Ctpol]]-Datos_Origen[[#This Row],[CT]]&lt;=0,0,Datos_Origen[[#This Row],[Costo Total Nuevo]]-Datos_Origen[[#This Row],[Costo Total Actual]])</f>
        <v>661139.9943342777</v>
      </c>
      <c r="DP48" s="158">
        <f>IF(Datos_Origen[[#This Row],[Ctpol]]-Datos_Origen[[#This Row],[CT]]&lt;=0,0,Datos_Origen[[#This Row],[Ctpol]]-Datos_Origen[[#This Row],[CT]])</f>
        <v>563655.99999999953</v>
      </c>
      <c r="DQ48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97483.99433427758</v>
      </c>
      <c r="DR48" s="158">
        <f>ROUNDDOWN(VLOOKUP(Datos_Origen[[#This Row],[Categoria]],Competitividad_1[],7,0)*IndiceIncrementoC,-3)</f>
        <v>4328000</v>
      </c>
      <c r="DS48" s="158">
        <f>Datos_Origen[[#This Row],[CTeq]]*0.8</f>
        <v>2824396.4020494311</v>
      </c>
      <c r="DT48" s="158">
        <f>Datos_Origen[[#This Row],[CTeq]]*1.2</f>
        <v>4236594.6030741464</v>
      </c>
      <c r="DU48" s="155">
        <f>IF(Datos_Origen[[#This Row],[Gpol6]]/(1+FactorPrestacionalOrdinario)&lt;SMMLV,SMMLV,Datos_Origen[[#This Row],[Gpol6]]/(1+FactorPrestacionalOrdinario))</f>
        <v>2943229.4617563738</v>
      </c>
      <c r="DV48" s="139" t="str">
        <f>IF((Datos_Origen[[#This Row],[Gpol6]]/(1+FactorPrestacionalIntegral))&lt;(13*SMMLV),"",(Datos_Origen[[#This Row],[Gpol6]]/(1+FactorPrestacionalIntegral)))</f>
        <v/>
      </c>
      <c r="DW48" s="154">
        <f>Datos_Origen[[#This Row],[G+Vpol8]]</f>
        <v>3463200</v>
      </c>
      <c r="DX48" s="154">
        <f>Datos_Origen[[#This Row],[Ctpol10]]-Datos_Origen[[#This Row],[Beneficios]]</f>
        <v>3463200</v>
      </c>
      <c r="DY48" s="154">
        <f>Datos_Origen[[#This Row],[Ctpol]]*$CM$6</f>
        <v>3463200</v>
      </c>
      <c r="DZ48" s="155">
        <f>IF(Datos_Origen[[#This Row],[Gpol66]]/(1+FactorPrestacionalOrdinario)&lt;SMMLV,SMMLV,Datos_Origen[[#This Row],[Gpol66]]/(1+FactorPrestacionalOrdinario))</f>
        <v>4414844.1926345602</v>
      </c>
      <c r="EA48" s="139" t="str">
        <f>IF((Datos_Origen[[#This Row],[Gpol66]]/(1+FactorPrestacionalIntegral))&lt;(13*SMMLV),"",(Datos_Origen[[#This Row],[Gpol66]]/(1+FactorPrestacionalIntegral)))</f>
        <v/>
      </c>
      <c r="EB48" s="154">
        <f>Datos_Origen[[#This Row],[G+Vpol88]]</f>
        <v>5194800</v>
      </c>
      <c r="EC48" s="154">
        <f>Datos_Origen[[#This Row],[Ctpol1010]]-Datos_Origen[[#This Row],[Beneficios]]</f>
        <v>5194800</v>
      </c>
      <c r="ED48" s="154">
        <f>Datos_Origen[[#This Row],[Ctpol]]*$CP$6</f>
        <v>5194800</v>
      </c>
      <c r="EE48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49" spans="2:135">
      <c r="B49" s="148"/>
      <c r="C49" s="149"/>
      <c r="D49" s="150"/>
      <c r="E49" s="151"/>
      <c r="F49" s="151"/>
      <c r="G49" s="150" t="s">
        <v>331</v>
      </c>
      <c r="H49" s="153"/>
      <c r="I49" s="152" t="s">
        <v>331</v>
      </c>
      <c r="J49" s="130" t="str">
        <f>IFERROR(VLOOKUP(Datos_Origen[[#This Row],[Cargo Tipo Valorado]],Cargos_Catalogo[[#All],[Cargo]:[Área]],2,0),"")</f>
        <v xml:space="preserve">Coordinadora de Comercio exterior </v>
      </c>
      <c r="K49" s="153"/>
      <c r="L49" s="153"/>
      <c r="M49" s="153"/>
      <c r="N49" s="153"/>
      <c r="O49" s="154">
        <f>Datos_Origen[[#This Row],[Segmentación Individual]]</f>
        <v>0</v>
      </c>
      <c r="P49" s="153"/>
      <c r="Q49" s="154">
        <f>VLOOKUP(Datos_Origen[[#This Row],[Cargo Tipo Valorado]],Cargos_Catalogo[#Data],MATCH(Cargos_Catalogo[[#Headers],[Puntos]],Cargos_Catalogo[#Headers],0),FALSE)</f>
        <v>231</v>
      </c>
      <c r="R49" s="130">
        <f>VLOOKUP(Datos_Origen[[#This Row],[Puntos valoración]],Categorias_Registro[#Data],MATCH(Categorias_Registro[[#Headers],[Categoria]],Categorias_Registro[#Headers],0),FALSE)</f>
        <v>8</v>
      </c>
      <c r="S49" s="130" t="str">
        <f>VLOOKUP(Datos_Origen[[#This Row],[Cargo Tipo Valorado]],Cargos_Catalogo[#Data],MATCH(Cargos_Catalogo[[#Headers],[Nivel SHR]],Cargos_Catalogo[#Headers],0),FALSE)</f>
        <v>Soporte</v>
      </c>
      <c r="T49" s="130" t="str">
        <f>VLOOKUP(Datos_Origen[[#This Row],[Cargo Tipo Valorado]],Cargos_Catalogo[#Data],MATCH(Cargos_Catalogo[[#Headers],[Criticidad]],Cargos_Catalogo[#Headers],0),FALSE)</f>
        <v>Importante</v>
      </c>
      <c r="U49" s="154">
        <f>VLOOKUP(Datos_Origen[[#This Row],[Puntos valoración]],Categorias_Registro[#Data],5,FALSE)</f>
        <v>249</v>
      </c>
      <c r="V49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3765344.0000000005</v>
      </c>
      <c r="W49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49" s="154">
        <f>SUMIF($BA$5:$BJ$5,"NCS",Datos_Origen[[#This Row],[auxilio Gasolina]:[Otro Beneficio10]])+(SUMIF($BA$5:$BJ$5,"CS",Datos_Origen[[#This Row],[auxilio Gasolina]:[Otro Beneficio10]])*1.17667)</f>
        <v>0</v>
      </c>
      <c r="Y49" s="155">
        <f>Datos_Origen[[#This Row],[Básico]]+Datos_Origen[[#This Row],[Promedio de Comisiones  ]]</f>
        <v>3200000</v>
      </c>
      <c r="Z49" s="155">
        <f>Datos_Origen[[#This Row],[Básico]]+Datos_Origen[[#This Row],[Promedio de Comisiones  ]]</f>
        <v>3200000</v>
      </c>
      <c r="AA49" s="155">
        <f>Datos_Origen[[#This Row],[Garantizado]]</f>
        <v>3765344.0000000005</v>
      </c>
      <c r="AB49" s="155">
        <f>Datos_Origen[[#This Row],[Variable]]+Datos_Origen[[#This Row],[Garantizado]]</f>
        <v>3765344.0000000005</v>
      </c>
      <c r="AC49" s="155">
        <f>Datos_Origen[[#This Row],[Beneficios]]+Datos_Origen[[#This Row],[Variable]]+Datos_Origen[[#This Row],[Garantizado]]</f>
        <v>3765344.0000000005</v>
      </c>
      <c r="AD49" s="156">
        <v>14.12</v>
      </c>
      <c r="AE49" s="141">
        <v>230</v>
      </c>
      <c r="AF49" s="345">
        <v>4.3499999999999997E-2</v>
      </c>
      <c r="AG49" s="155">
        <f>Datos_Origen[[#This Row],[Básico Actual]]*230/Datos_Origen[[#This Row],['# horas mes]]</f>
        <v>3200000</v>
      </c>
      <c r="AH49" s="157">
        <v>3200000</v>
      </c>
      <c r="AI49" s="158"/>
      <c r="AJ49" s="158">
        <f>(((Datos_Origen[[#This Row],[Básico]])/30)*$AJ$6)/12</f>
        <v>0</v>
      </c>
      <c r="AK49" s="158"/>
      <c r="AL49" s="143">
        <f>((Datos_Origen[[#This Row],[Básico]])/30)*$AL$6/12</f>
        <v>0</v>
      </c>
      <c r="AM49" s="158"/>
      <c r="AN49" s="158"/>
      <c r="AO49" s="158"/>
      <c r="AP49" s="158"/>
      <c r="AQ49" s="158"/>
      <c r="AR49" s="149">
        <v>0</v>
      </c>
      <c r="AS49" s="149"/>
      <c r="AT49" s="159" t="str">
        <f>IFERROR(Datos_Origen[[#This Row],[Comisiones Target]]/Datos_Origen[[#This Row],[Promedio de Comisiones  ]],"")</f>
        <v/>
      </c>
      <c r="AU49" s="160"/>
      <c r="AV49" s="143">
        <v>0</v>
      </c>
      <c r="AW49" s="160"/>
      <c r="AX49" s="143">
        <f>Datos_Origen[[#This Row],[N Salarios de la Bonificación2]]*Datos_Origen[[#This Row],[Básico]]/12</f>
        <v>0</v>
      </c>
      <c r="AY49" s="160"/>
      <c r="AZ49" s="158"/>
      <c r="BA49" s="149">
        <v>0</v>
      </c>
      <c r="BB49" s="149"/>
      <c r="BC49" s="149"/>
      <c r="BD49" s="149"/>
      <c r="BE49" s="149"/>
      <c r="BF49" s="149"/>
      <c r="BG49" s="149"/>
      <c r="BH49" s="149"/>
      <c r="BI49" s="149"/>
      <c r="BJ49" s="149"/>
      <c r="BK49" s="159">
        <f>IFERROR(Datos_Origen[[#This Row],[Variable]]/Datos_Origen[[#This Row],[CT]],"")</f>
        <v>0</v>
      </c>
      <c r="BL49" s="159">
        <f>IFERROR(Datos_Origen[[#This Row],[Beneficios]]/Datos_Origen[[#This Row],[CT]],"")</f>
        <v>0</v>
      </c>
      <c r="BM49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3287369.2650705236</v>
      </c>
      <c r="BN49" s="161">
        <f>Datos_Origen[[#This Row],[G]]/Datos_Origen[[#This Row],[Geq]]</f>
        <v>1.145397336407604</v>
      </c>
      <c r="BO49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3528440.0086889477</v>
      </c>
      <c r="BP49" s="161">
        <f>Datos_Origen[[#This Row],[G+V]]/Datos_Origen[[#This Row],[G+Veq]]</f>
        <v>1.0671412836062582</v>
      </c>
      <c r="BQ49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3530495.5025617885</v>
      </c>
      <c r="BR49" s="161">
        <f>Datos_Origen[[#This Row],[CT]]/Datos_Origen[[#This Row],[CTeq]]</f>
        <v>1.0665199820443907</v>
      </c>
      <c r="BS49" s="139">
        <f>ROUNDUP(VLOOKUP(Datos_Origen[[#This Row],[Categoria]],Competitividad_1[#All],2,0)*IndiceIncrementoC,-3)</f>
        <v>3243000</v>
      </c>
      <c r="BT49" s="161">
        <f>Datos_Origen[[#This Row],[G]]/Datos_Origen[[#This Row],[GQ1]]</f>
        <v>1.1610681467776751</v>
      </c>
      <c r="BU49" s="155">
        <f>ROUNDUP(VLOOKUP(Datos_Origen[[#This Row],[Categoria]],Competitividad_1[#All],3,0)*IndiceIncrementoC,-3)</f>
        <v>3349000</v>
      </c>
      <c r="BV49" s="161">
        <f>Datos_Origen[[#This Row],[G+V]]/Datos_Origen[[#This Row],[G+VQ1]]</f>
        <v>1.1243189011645269</v>
      </c>
      <c r="BW49" s="155">
        <f>ROUNDUP(VLOOKUP(Datos_Origen[[#This Row],[Categoria]],Competitividad_1[#All],4,0)*IndiceIncrementoC,-3)</f>
        <v>3485000</v>
      </c>
      <c r="BX49" s="161">
        <f>Datos_Origen[[#This Row],[CT]]/Datos_Origen[[#This Row],[CTQ1]]</f>
        <v>1.0804430416068869</v>
      </c>
      <c r="BY49" s="155">
        <f>ROUNDUP(VLOOKUP(Datos_Origen[[#This Row],[Categoria]],Competitividad_1[#All],5,0)*IndiceIncrementoC,-3)</f>
        <v>4089000</v>
      </c>
      <c r="BZ49" s="161">
        <f>Datos_Origen[[#This Row],[G]]/Datos_Origen[[#This Row],[GMd]]</f>
        <v>0.92084715089263891</v>
      </c>
      <c r="CA49" s="155">
        <f>ROUNDUP(VLOOKUP(Datos_Origen[[#This Row],[Categoria]],Competitividad_1[#All],6,0)*IndiceIncrementoC,-3)</f>
        <v>4138000</v>
      </c>
      <c r="CB49" s="161">
        <f>Datos_Origen[[#This Row],[G+V]]/Datos_Origen[[#This Row],[G+VMd]]</f>
        <v>0.9099429676172065</v>
      </c>
      <c r="CC49" s="155">
        <f>ROUNDUP(VLOOKUP(Datos_Origen[[#This Row],[Categoria]],Competitividad_1[#All],7,0)*IndiceIncrementoC,-3)</f>
        <v>4329000</v>
      </c>
      <c r="CD49" s="161">
        <f>Datos_Origen[[#This Row],[CT]]/Datos_Origen[[#This Row],[CTMd]]</f>
        <v>0.86979533379533391</v>
      </c>
      <c r="CE49" s="155">
        <f>+Datos_Origen[[#This Row],[GMd]]/1.17666666667</f>
        <v>3475070.8215199006</v>
      </c>
      <c r="CF49" s="161">
        <f>+Datos_Origen[[#This Row],[Básico Actual]]/Datos_Origen[[#This Row],[Salario Basico Md]]</f>
        <v>0.92084454227048185</v>
      </c>
      <c r="CG49" s="155">
        <f>ROUNDUP(VLOOKUP(Datos_Origen[[#This Row],[Categoria]],Competitividad_1[#All],8,0)*IndiceIncrementoC,-3)</f>
        <v>5334000</v>
      </c>
      <c r="CH49" s="161">
        <f>Datos_Origen[[#This Row],[G]]/Datos_Origen[[#This Row],[GQ3]]</f>
        <v>0.70591376077990264</v>
      </c>
      <c r="CI49" s="155">
        <f>ROUNDUP(VLOOKUP(Datos_Origen[[#This Row],[Categoria]],Competitividad_1[#All],9,0)*IndiceIncrementoC,-3)</f>
        <v>5483000</v>
      </c>
      <c r="CJ49" s="161">
        <f>Datos_Origen[[#This Row],[G+V]]/Datos_Origen[[#This Row],[G+VQ3]]</f>
        <v>0.68673062192230538</v>
      </c>
      <c r="CK49" s="155">
        <f>ROUNDUP(VLOOKUP(Datos_Origen[[#This Row],[Categoria]],Competitividad_1[#All],10,0)*IndiceIncrementoC,-3)</f>
        <v>5625000</v>
      </c>
      <c r="CL49" s="161">
        <f>Datos_Origen[[#This Row],[CT]]/Datos_Origen[[#This Row],[CTQ3]]</f>
        <v>0.66939448888888897</v>
      </c>
      <c r="CM49" s="162">
        <f>IF(ROUND(Datos_Origen[[#This Row],[Salario Ordinario Pol2]],-3)&lt;SMMLV,SMMLV,ROUND(Datos_Origen[[#This Row],[Salario Ordinario Pol2]],-3))</f>
        <v>2943000</v>
      </c>
      <c r="CN49" s="155">
        <f>IF(Datos_Origen[[#This Row],[Gpol]]/(1+FactorPrestacionalOrdinario)&lt;SMMLV,SMMLV,Datos_Origen[[#This Row],[Gpol]]/(1+FactorPrestacionalOrdinario))</f>
        <v>3679036.827195467</v>
      </c>
      <c r="CO49" s="161">
        <f>IFERROR(IF(Datos_Origen[[#This Row],[Salarios Año]]=14.12,Datos_Origen[[#This Row],[Básico]]/Datos_Origen[[#This Row],[Salario Ordinario Pol]],""),"")</f>
        <v>0.86979286979286985</v>
      </c>
      <c r="CP49" s="155">
        <f>IF(ROUND(Datos_Origen[[#This Row],[Salario Ordinario Pol22]],-3)&lt;SMMLV,SMMLV,ROUND(Datos_Origen[[#This Row],[Salario Ordinario Pol22]],-3))</f>
        <v>4415000</v>
      </c>
      <c r="CQ49" s="155" t="str">
        <f>IFERROR(ROUND(Datos_Origen[[#This Row],[Salario Integral Pol4]],-3),"")</f>
        <v/>
      </c>
      <c r="CR49" s="139" t="str">
        <f>IF((Datos_Origen[[#This Row],[Gpol]]/(1+FactorPrestacionalIntegral))&lt;(13*SMMLV),"",(Datos_Origen[[#This Row],[Gpol]]/(1+FactorPrestacionalIntegral)))</f>
        <v/>
      </c>
      <c r="CS49" s="161" t="str">
        <f>IFERROR(IF(Datos_Origen[[#This Row],[Salarios Año]]=12,Datos_Origen[[#This Row],[Básico]]/Datos_Origen[[#This Row],[Salario Integral Pol]],""),"")</f>
        <v/>
      </c>
      <c r="CT49" s="155" t="str">
        <f>IFERROR(ROUND(Datos_Origen[[#This Row],[Salario Integral Pol44]],-3),"")</f>
        <v/>
      </c>
      <c r="CU49" s="155">
        <f>Datos_Origen[[#This Row],[G+Vpol]]-Datos_Origen[[#This Row],[Variable]]</f>
        <v>4329000</v>
      </c>
      <c r="CV49" s="161">
        <f>Datos_Origen[[#This Row],[G]]/Datos_Origen[[#This Row],[Gpol]]</f>
        <v>0.86979533379533391</v>
      </c>
      <c r="CW49" s="154">
        <f>Datos_Origen[[#This Row],[Ctpol]]-Datos_Origen[[#This Row],[Beneficios]]</f>
        <v>4329000</v>
      </c>
      <c r="CX49" s="161">
        <f>Datos_Origen[[#This Row],[G+V]]/Datos_Origen[[#This Row],[G+Vpol]]</f>
        <v>0.86979533379533391</v>
      </c>
      <c r="CY49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4329000</v>
      </c>
      <c r="CZ49" s="161">
        <f>Datos_Origen[[#This Row],[CT]]/Datos_Origen[[#This Row],[Ctpol]]</f>
        <v>0.86979533379533391</v>
      </c>
      <c r="DA49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3200000</v>
      </c>
      <c r="DB49" s="158">
        <f>IF(Datos_Origen[[#This Row],[Básico]]&lt;10*SMMLV,0,Datos_Origen[[#This Row],[Base Seguridad Social Actual]]*8.5%)</f>
        <v>0</v>
      </c>
      <c r="DC49" s="158">
        <f>Datos_Origen[[#This Row],[Base Seguridad Social Actual]]*12%</f>
        <v>384000</v>
      </c>
      <c r="DD49" s="158">
        <f>Datos_Origen[[#This Row],[Base Seguridad Social Actual]]*Datos_Origen[[#This Row],[%ARL]]</f>
        <v>139200</v>
      </c>
      <c r="DE49" s="158">
        <f>IF(Datos_Origen[[#This Row],[Básico]]&lt;10*SMMLV,Datos_Origen[[#This Row],[Base Seguridad Social Actual]]*4%,Datos_Origen[[#This Row],[Base Seguridad Social Actual]]*9%)</f>
        <v>128000</v>
      </c>
      <c r="DF49" s="158">
        <f>Datos_Origen[[#This Row],[Salud]]+Datos_Origen[[#This Row],[Pensión]]+Datos_Origen[[#This Row],[ARL]]+Datos_Origen[[#This Row],[Parafiscales]]</f>
        <v>651200</v>
      </c>
      <c r="DG49" s="163">
        <f>Datos_Origen[[#This Row],[Costo Laboral Actual]]+Datos_Origen[[#This Row],[CT]]</f>
        <v>4416544</v>
      </c>
      <c r="DH49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3679036.827195467</v>
      </c>
      <c r="DI49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49" s="158">
        <f>Datos_Origen[[#This Row],[Base Seguridad Social Nueva]]*12%</f>
        <v>441484.41926345602</v>
      </c>
      <c r="DK49" s="158">
        <f>Datos_Origen[[#This Row],[Base Seguridad Social Nueva]]*Datos_Origen[[#This Row],[%ARL]]</f>
        <v>160038.10198300279</v>
      </c>
      <c r="DL49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147161.47308781868</v>
      </c>
      <c r="DM49" s="158">
        <f>Datos_Origen[[#This Row],[Salud Nueva]]+Datos_Origen[[#This Row],[Pensión Nueva]]+Datos_Origen[[#This Row],[ARL nueva]]+Datos_Origen[[#This Row],[Parafiscales Nuevos]]</f>
        <v>748683.99433427758</v>
      </c>
      <c r="DN49" s="158">
        <f>Datos_Origen[[#This Row],[Costo Laboral Nuevo]]+Datos_Origen[[#This Row],[Ctpol]]</f>
        <v>5077683.9943342777</v>
      </c>
      <c r="DO49" s="158">
        <f>IF(Datos_Origen[[#This Row],[Ctpol]]-Datos_Origen[[#This Row],[CT]]&lt;=0,0,Datos_Origen[[#This Row],[Costo Total Nuevo]]-Datos_Origen[[#This Row],[Costo Total Actual]])</f>
        <v>661139.9943342777</v>
      </c>
      <c r="DP49" s="158">
        <f>IF(Datos_Origen[[#This Row],[Ctpol]]-Datos_Origen[[#This Row],[CT]]&lt;=0,0,Datos_Origen[[#This Row],[Ctpol]]-Datos_Origen[[#This Row],[CT]])</f>
        <v>563655.99999999953</v>
      </c>
      <c r="DQ49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97483.99433427758</v>
      </c>
      <c r="DR49" s="158">
        <f>ROUNDDOWN(VLOOKUP(Datos_Origen[[#This Row],[Categoria]],Competitividad_1[],7,0)*IndiceIncrementoC,-3)</f>
        <v>4328000</v>
      </c>
      <c r="DS49" s="158">
        <f>Datos_Origen[[#This Row],[CTeq]]*0.8</f>
        <v>2824396.4020494311</v>
      </c>
      <c r="DT49" s="158">
        <f>Datos_Origen[[#This Row],[CTeq]]*1.2</f>
        <v>4236594.6030741464</v>
      </c>
      <c r="DU49" s="155">
        <f>IF(Datos_Origen[[#This Row],[Gpol6]]/(1+FactorPrestacionalOrdinario)&lt;SMMLV,SMMLV,Datos_Origen[[#This Row],[Gpol6]]/(1+FactorPrestacionalOrdinario))</f>
        <v>2943229.4617563738</v>
      </c>
      <c r="DV49" s="139" t="str">
        <f>IF((Datos_Origen[[#This Row],[Gpol6]]/(1+FactorPrestacionalIntegral))&lt;(13*SMMLV),"",(Datos_Origen[[#This Row],[Gpol6]]/(1+FactorPrestacionalIntegral)))</f>
        <v/>
      </c>
      <c r="DW49" s="154">
        <f>Datos_Origen[[#This Row],[G+Vpol8]]</f>
        <v>3463200</v>
      </c>
      <c r="DX49" s="154">
        <f>Datos_Origen[[#This Row],[Ctpol10]]-Datos_Origen[[#This Row],[Beneficios]]</f>
        <v>3463200</v>
      </c>
      <c r="DY49" s="154">
        <f>Datos_Origen[[#This Row],[Ctpol]]*$CM$6</f>
        <v>3463200</v>
      </c>
      <c r="DZ49" s="155">
        <f>IF(Datos_Origen[[#This Row],[Gpol66]]/(1+FactorPrestacionalOrdinario)&lt;SMMLV,SMMLV,Datos_Origen[[#This Row],[Gpol66]]/(1+FactorPrestacionalOrdinario))</f>
        <v>4414844.1926345602</v>
      </c>
      <c r="EA49" s="139" t="str">
        <f>IF((Datos_Origen[[#This Row],[Gpol66]]/(1+FactorPrestacionalIntegral))&lt;(13*SMMLV),"",(Datos_Origen[[#This Row],[Gpol66]]/(1+FactorPrestacionalIntegral)))</f>
        <v/>
      </c>
      <c r="EB49" s="154">
        <f>Datos_Origen[[#This Row],[G+Vpol88]]</f>
        <v>5194800</v>
      </c>
      <c r="EC49" s="154">
        <f>Datos_Origen[[#This Row],[Ctpol1010]]-Datos_Origen[[#This Row],[Beneficios]]</f>
        <v>5194800</v>
      </c>
      <c r="ED49" s="154">
        <f>Datos_Origen[[#This Row],[Ctpol]]*$CP$6</f>
        <v>5194800</v>
      </c>
      <c r="EE49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50" spans="2:135">
      <c r="B50" s="148"/>
      <c r="C50" s="149"/>
      <c r="D50" s="150"/>
      <c r="E50" s="151"/>
      <c r="F50" s="151"/>
      <c r="G50" s="150" t="s">
        <v>331</v>
      </c>
      <c r="H50" s="153"/>
      <c r="I50" s="152" t="s">
        <v>331</v>
      </c>
      <c r="J50" s="130" t="str">
        <f>IFERROR(VLOOKUP(Datos_Origen[[#This Row],[Cargo Tipo Valorado]],Cargos_Catalogo[[#All],[Cargo]:[Área]],2,0),"")</f>
        <v xml:space="preserve">Coordinadora de Comercio exterior </v>
      </c>
      <c r="K50" s="153"/>
      <c r="L50" s="153"/>
      <c r="M50" s="153"/>
      <c r="N50" s="153"/>
      <c r="O50" s="154">
        <f>Datos_Origen[[#This Row],[Segmentación Individual]]</f>
        <v>0</v>
      </c>
      <c r="P50" s="153"/>
      <c r="Q50" s="154">
        <f>VLOOKUP(Datos_Origen[[#This Row],[Cargo Tipo Valorado]],Cargos_Catalogo[#Data],MATCH(Cargos_Catalogo[[#Headers],[Puntos]],Cargos_Catalogo[#Headers],0),FALSE)</f>
        <v>231</v>
      </c>
      <c r="R50" s="130">
        <f>VLOOKUP(Datos_Origen[[#This Row],[Puntos valoración]],Categorias_Registro[#Data],MATCH(Categorias_Registro[[#Headers],[Categoria]],Categorias_Registro[#Headers],0),FALSE)</f>
        <v>8</v>
      </c>
      <c r="S50" s="130" t="str">
        <f>VLOOKUP(Datos_Origen[[#This Row],[Cargo Tipo Valorado]],Cargos_Catalogo[#Data],MATCH(Cargos_Catalogo[[#Headers],[Nivel SHR]],Cargos_Catalogo[#Headers],0),FALSE)</f>
        <v>Soporte</v>
      </c>
      <c r="T50" s="130" t="str">
        <f>VLOOKUP(Datos_Origen[[#This Row],[Cargo Tipo Valorado]],Cargos_Catalogo[#Data],MATCH(Cargos_Catalogo[[#Headers],[Criticidad]],Cargos_Catalogo[#Headers],0),FALSE)</f>
        <v>Importante</v>
      </c>
      <c r="U50" s="154">
        <f>VLOOKUP(Datos_Origen[[#This Row],[Puntos valoración]],Categorias_Registro[#Data],5,FALSE)</f>
        <v>249</v>
      </c>
      <c r="V50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3765344.0000000005</v>
      </c>
      <c r="W50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50" s="154">
        <f>SUMIF($BA$5:$BJ$5,"NCS",Datos_Origen[[#This Row],[auxilio Gasolina]:[Otro Beneficio10]])+(SUMIF($BA$5:$BJ$5,"CS",Datos_Origen[[#This Row],[auxilio Gasolina]:[Otro Beneficio10]])*1.17667)</f>
        <v>0</v>
      </c>
      <c r="Y50" s="155">
        <f>Datos_Origen[[#This Row],[Básico]]+Datos_Origen[[#This Row],[Promedio de Comisiones  ]]</f>
        <v>3200000</v>
      </c>
      <c r="Z50" s="155">
        <f>Datos_Origen[[#This Row],[Básico]]+Datos_Origen[[#This Row],[Promedio de Comisiones  ]]</f>
        <v>3200000</v>
      </c>
      <c r="AA50" s="155">
        <f>Datos_Origen[[#This Row],[Garantizado]]</f>
        <v>3765344.0000000005</v>
      </c>
      <c r="AB50" s="155">
        <f>Datos_Origen[[#This Row],[Variable]]+Datos_Origen[[#This Row],[Garantizado]]</f>
        <v>3765344.0000000005</v>
      </c>
      <c r="AC50" s="155">
        <f>Datos_Origen[[#This Row],[Beneficios]]+Datos_Origen[[#This Row],[Variable]]+Datos_Origen[[#This Row],[Garantizado]]</f>
        <v>3765344.0000000005</v>
      </c>
      <c r="AD50" s="156">
        <v>14.12</v>
      </c>
      <c r="AE50" s="141">
        <v>230</v>
      </c>
      <c r="AF50" s="345">
        <v>4.3499999999999997E-2</v>
      </c>
      <c r="AG50" s="155">
        <f>Datos_Origen[[#This Row],[Básico Actual]]*230/Datos_Origen[[#This Row],['# horas mes]]</f>
        <v>3200000</v>
      </c>
      <c r="AH50" s="157">
        <v>3200000</v>
      </c>
      <c r="AI50" s="158"/>
      <c r="AJ50" s="158">
        <f>(((Datos_Origen[[#This Row],[Básico]])/30)*$AJ$6)/12</f>
        <v>0</v>
      </c>
      <c r="AK50" s="158"/>
      <c r="AL50" s="143">
        <f>((Datos_Origen[[#This Row],[Básico]])/30)*$AL$6/12</f>
        <v>0</v>
      </c>
      <c r="AM50" s="158"/>
      <c r="AN50" s="158"/>
      <c r="AO50" s="158"/>
      <c r="AP50" s="158"/>
      <c r="AQ50" s="158"/>
      <c r="AR50" s="149">
        <v>0</v>
      </c>
      <c r="AS50" s="149"/>
      <c r="AT50" s="159" t="str">
        <f>IFERROR(Datos_Origen[[#This Row],[Comisiones Target]]/Datos_Origen[[#This Row],[Promedio de Comisiones  ]],"")</f>
        <v/>
      </c>
      <c r="AU50" s="160"/>
      <c r="AV50" s="143">
        <v>0</v>
      </c>
      <c r="AW50" s="160"/>
      <c r="AX50" s="143">
        <f>Datos_Origen[[#This Row],[N Salarios de la Bonificación2]]*Datos_Origen[[#This Row],[Básico]]/12</f>
        <v>0</v>
      </c>
      <c r="AY50" s="160"/>
      <c r="AZ50" s="158"/>
      <c r="BA50" s="149">
        <v>0</v>
      </c>
      <c r="BB50" s="149"/>
      <c r="BC50" s="149"/>
      <c r="BD50" s="149"/>
      <c r="BE50" s="149"/>
      <c r="BF50" s="149"/>
      <c r="BG50" s="149"/>
      <c r="BH50" s="149"/>
      <c r="BI50" s="149"/>
      <c r="BJ50" s="149"/>
      <c r="BK50" s="159">
        <f>IFERROR(Datos_Origen[[#This Row],[Variable]]/Datos_Origen[[#This Row],[CT]],"")</f>
        <v>0</v>
      </c>
      <c r="BL50" s="159">
        <f>IFERROR(Datos_Origen[[#This Row],[Beneficios]]/Datos_Origen[[#This Row],[CT]],"")</f>
        <v>0</v>
      </c>
      <c r="BM50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3287369.2650705236</v>
      </c>
      <c r="BN50" s="161">
        <f>Datos_Origen[[#This Row],[G]]/Datos_Origen[[#This Row],[Geq]]</f>
        <v>1.145397336407604</v>
      </c>
      <c r="BO50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3528440.0086889477</v>
      </c>
      <c r="BP50" s="161">
        <f>Datos_Origen[[#This Row],[G+V]]/Datos_Origen[[#This Row],[G+Veq]]</f>
        <v>1.0671412836062582</v>
      </c>
      <c r="BQ50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3530495.5025617885</v>
      </c>
      <c r="BR50" s="161">
        <f>Datos_Origen[[#This Row],[CT]]/Datos_Origen[[#This Row],[CTeq]]</f>
        <v>1.0665199820443907</v>
      </c>
      <c r="BS50" s="139">
        <f>ROUNDUP(VLOOKUP(Datos_Origen[[#This Row],[Categoria]],Competitividad_1[#All],2,0)*IndiceIncrementoC,-3)</f>
        <v>3243000</v>
      </c>
      <c r="BT50" s="161">
        <f>Datos_Origen[[#This Row],[G]]/Datos_Origen[[#This Row],[GQ1]]</f>
        <v>1.1610681467776751</v>
      </c>
      <c r="BU50" s="155">
        <f>ROUNDUP(VLOOKUP(Datos_Origen[[#This Row],[Categoria]],Competitividad_1[#All],3,0)*IndiceIncrementoC,-3)</f>
        <v>3349000</v>
      </c>
      <c r="BV50" s="161">
        <f>Datos_Origen[[#This Row],[G+V]]/Datos_Origen[[#This Row],[G+VQ1]]</f>
        <v>1.1243189011645269</v>
      </c>
      <c r="BW50" s="155">
        <f>ROUNDUP(VLOOKUP(Datos_Origen[[#This Row],[Categoria]],Competitividad_1[#All],4,0)*IndiceIncrementoC,-3)</f>
        <v>3485000</v>
      </c>
      <c r="BX50" s="161">
        <f>Datos_Origen[[#This Row],[CT]]/Datos_Origen[[#This Row],[CTQ1]]</f>
        <v>1.0804430416068869</v>
      </c>
      <c r="BY50" s="155">
        <f>ROUNDUP(VLOOKUP(Datos_Origen[[#This Row],[Categoria]],Competitividad_1[#All],5,0)*IndiceIncrementoC,-3)</f>
        <v>4089000</v>
      </c>
      <c r="BZ50" s="161">
        <f>Datos_Origen[[#This Row],[G]]/Datos_Origen[[#This Row],[GMd]]</f>
        <v>0.92084715089263891</v>
      </c>
      <c r="CA50" s="155">
        <f>ROUNDUP(VLOOKUP(Datos_Origen[[#This Row],[Categoria]],Competitividad_1[#All],6,0)*IndiceIncrementoC,-3)</f>
        <v>4138000</v>
      </c>
      <c r="CB50" s="161">
        <f>Datos_Origen[[#This Row],[G+V]]/Datos_Origen[[#This Row],[G+VMd]]</f>
        <v>0.9099429676172065</v>
      </c>
      <c r="CC50" s="155">
        <f>ROUNDUP(VLOOKUP(Datos_Origen[[#This Row],[Categoria]],Competitividad_1[#All],7,0)*IndiceIncrementoC,-3)</f>
        <v>4329000</v>
      </c>
      <c r="CD50" s="161">
        <f>Datos_Origen[[#This Row],[CT]]/Datos_Origen[[#This Row],[CTMd]]</f>
        <v>0.86979533379533391</v>
      </c>
      <c r="CE50" s="155">
        <f>+Datos_Origen[[#This Row],[GMd]]/1.17666666667</f>
        <v>3475070.8215199006</v>
      </c>
      <c r="CF50" s="161">
        <f>+Datos_Origen[[#This Row],[Básico Actual]]/Datos_Origen[[#This Row],[Salario Basico Md]]</f>
        <v>0.92084454227048185</v>
      </c>
      <c r="CG50" s="155">
        <f>ROUNDUP(VLOOKUP(Datos_Origen[[#This Row],[Categoria]],Competitividad_1[#All],8,0)*IndiceIncrementoC,-3)</f>
        <v>5334000</v>
      </c>
      <c r="CH50" s="161">
        <f>Datos_Origen[[#This Row],[G]]/Datos_Origen[[#This Row],[GQ3]]</f>
        <v>0.70591376077990264</v>
      </c>
      <c r="CI50" s="155">
        <f>ROUNDUP(VLOOKUP(Datos_Origen[[#This Row],[Categoria]],Competitividad_1[#All],9,0)*IndiceIncrementoC,-3)</f>
        <v>5483000</v>
      </c>
      <c r="CJ50" s="161">
        <f>Datos_Origen[[#This Row],[G+V]]/Datos_Origen[[#This Row],[G+VQ3]]</f>
        <v>0.68673062192230538</v>
      </c>
      <c r="CK50" s="155">
        <f>ROUNDUP(VLOOKUP(Datos_Origen[[#This Row],[Categoria]],Competitividad_1[#All],10,0)*IndiceIncrementoC,-3)</f>
        <v>5625000</v>
      </c>
      <c r="CL50" s="161">
        <f>Datos_Origen[[#This Row],[CT]]/Datos_Origen[[#This Row],[CTQ3]]</f>
        <v>0.66939448888888897</v>
      </c>
      <c r="CM50" s="162">
        <f>IF(ROUND(Datos_Origen[[#This Row],[Salario Ordinario Pol2]],-3)&lt;SMMLV,SMMLV,ROUND(Datos_Origen[[#This Row],[Salario Ordinario Pol2]],-3))</f>
        <v>2943000</v>
      </c>
      <c r="CN50" s="155">
        <f>IF(Datos_Origen[[#This Row],[Gpol]]/(1+FactorPrestacionalOrdinario)&lt;SMMLV,SMMLV,Datos_Origen[[#This Row],[Gpol]]/(1+FactorPrestacionalOrdinario))</f>
        <v>3679036.827195467</v>
      </c>
      <c r="CO50" s="161">
        <f>IFERROR(IF(Datos_Origen[[#This Row],[Salarios Año]]=14.12,Datos_Origen[[#This Row],[Básico]]/Datos_Origen[[#This Row],[Salario Ordinario Pol]],""),"")</f>
        <v>0.86979286979286985</v>
      </c>
      <c r="CP50" s="155">
        <f>IF(ROUND(Datos_Origen[[#This Row],[Salario Ordinario Pol22]],-3)&lt;SMMLV,SMMLV,ROUND(Datos_Origen[[#This Row],[Salario Ordinario Pol22]],-3))</f>
        <v>4415000</v>
      </c>
      <c r="CQ50" s="155" t="str">
        <f>IFERROR(ROUND(Datos_Origen[[#This Row],[Salario Integral Pol4]],-3),"")</f>
        <v/>
      </c>
      <c r="CR50" s="139" t="str">
        <f>IF((Datos_Origen[[#This Row],[Gpol]]/(1+FactorPrestacionalIntegral))&lt;(13*SMMLV),"",(Datos_Origen[[#This Row],[Gpol]]/(1+FactorPrestacionalIntegral)))</f>
        <v/>
      </c>
      <c r="CS50" s="161" t="str">
        <f>IFERROR(IF(Datos_Origen[[#This Row],[Salarios Año]]=12,Datos_Origen[[#This Row],[Básico]]/Datos_Origen[[#This Row],[Salario Integral Pol]],""),"")</f>
        <v/>
      </c>
      <c r="CT50" s="155" t="str">
        <f>IFERROR(ROUND(Datos_Origen[[#This Row],[Salario Integral Pol44]],-3),"")</f>
        <v/>
      </c>
      <c r="CU50" s="155">
        <f>Datos_Origen[[#This Row],[G+Vpol]]-Datos_Origen[[#This Row],[Variable]]</f>
        <v>4329000</v>
      </c>
      <c r="CV50" s="161">
        <f>Datos_Origen[[#This Row],[G]]/Datos_Origen[[#This Row],[Gpol]]</f>
        <v>0.86979533379533391</v>
      </c>
      <c r="CW50" s="154">
        <f>Datos_Origen[[#This Row],[Ctpol]]-Datos_Origen[[#This Row],[Beneficios]]</f>
        <v>4329000</v>
      </c>
      <c r="CX50" s="161">
        <f>Datos_Origen[[#This Row],[G+V]]/Datos_Origen[[#This Row],[G+Vpol]]</f>
        <v>0.86979533379533391</v>
      </c>
      <c r="CY50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4329000</v>
      </c>
      <c r="CZ50" s="161">
        <f>Datos_Origen[[#This Row],[CT]]/Datos_Origen[[#This Row],[Ctpol]]</f>
        <v>0.86979533379533391</v>
      </c>
      <c r="DA50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3200000</v>
      </c>
      <c r="DB50" s="158">
        <f>IF(Datos_Origen[[#This Row],[Básico]]&lt;10*SMMLV,0,Datos_Origen[[#This Row],[Base Seguridad Social Actual]]*8.5%)</f>
        <v>0</v>
      </c>
      <c r="DC50" s="158">
        <f>Datos_Origen[[#This Row],[Base Seguridad Social Actual]]*12%</f>
        <v>384000</v>
      </c>
      <c r="DD50" s="158">
        <f>Datos_Origen[[#This Row],[Base Seguridad Social Actual]]*Datos_Origen[[#This Row],[%ARL]]</f>
        <v>139200</v>
      </c>
      <c r="DE50" s="158">
        <f>IF(Datos_Origen[[#This Row],[Básico]]&lt;10*SMMLV,Datos_Origen[[#This Row],[Base Seguridad Social Actual]]*4%,Datos_Origen[[#This Row],[Base Seguridad Social Actual]]*9%)</f>
        <v>128000</v>
      </c>
      <c r="DF50" s="158">
        <f>Datos_Origen[[#This Row],[Salud]]+Datos_Origen[[#This Row],[Pensión]]+Datos_Origen[[#This Row],[ARL]]+Datos_Origen[[#This Row],[Parafiscales]]</f>
        <v>651200</v>
      </c>
      <c r="DG50" s="163">
        <f>Datos_Origen[[#This Row],[Costo Laboral Actual]]+Datos_Origen[[#This Row],[CT]]</f>
        <v>4416544</v>
      </c>
      <c r="DH50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3679036.827195467</v>
      </c>
      <c r="DI50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50" s="158">
        <f>Datos_Origen[[#This Row],[Base Seguridad Social Nueva]]*12%</f>
        <v>441484.41926345602</v>
      </c>
      <c r="DK50" s="158">
        <f>Datos_Origen[[#This Row],[Base Seguridad Social Nueva]]*Datos_Origen[[#This Row],[%ARL]]</f>
        <v>160038.10198300279</v>
      </c>
      <c r="DL50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147161.47308781868</v>
      </c>
      <c r="DM50" s="158">
        <f>Datos_Origen[[#This Row],[Salud Nueva]]+Datos_Origen[[#This Row],[Pensión Nueva]]+Datos_Origen[[#This Row],[ARL nueva]]+Datos_Origen[[#This Row],[Parafiscales Nuevos]]</f>
        <v>748683.99433427758</v>
      </c>
      <c r="DN50" s="158">
        <f>Datos_Origen[[#This Row],[Costo Laboral Nuevo]]+Datos_Origen[[#This Row],[Ctpol]]</f>
        <v>5077683.9943342777</v>
      </c>
      <c r="DO50" s="158">
        <f>IF(Datos_Origen[[#This Row],[Ctpol]]-Datos_Origen[[#This Row],[CT]]&lt;=0,0,Datos_Origen[[#This Row],[Costo Total Nuevo]]-Datos_Origen[[#This Row],[Costo Total Actual]])</f>
        <v>661139.9943342777</v>
      </c>
      <c r="DP50" s="158">
        <f>IF(Datos_Origen[[#This Row],[Ctpol]]-Datos_Origen[[#This Row],[CT]]&lt;=0,0,Datos_Origen[[#This Row],[Ctpol]]-Datos_Origen[[#This Row],[CT]])</f>
        <v>563655.99999999953</v>
      </c>
      <c r="DQ50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97483.99433427758</v>
      </c>
      <c r="DR50" s="158">
        <f>ROUNDDOWN(VLOOKUP(Datos_Origen[[#This Row],[Categoria]],Competitividad_1[],7,0)*IndiceIncrementoC,-3)</f>
        <v>4328000</v>
      </c>
      <c r="DS50" s="158">
        <f>Datos_Origen[[#This Row],[CTeq]]*0.8</f>
        <v>2824396.4020494311</v>
      </c>
      <c r="DT50" s="158">
        <f>Datos_Origen[[#This Row],[CTeq]]*1.2</f>
        <v>4236594.6030741464</v>
      </c>
      <c r="DU50" s="155">
        <f>IF(Datos_Origen[[#This Row],[Gpol6]]/(1+FactorPrestacionalOrdinario)&lt;SMMLV,SMMLV,Datos_Origen[[#This Row],[Gpol6]]/(1+FactorPrestacionalOrdinario))</f>
        <v>2943229.4617563738</v>
      </c>
      <c r="DV50" s="139" t="str">
        <f>IF((Datos_Origen[[#This Row],[Gpol6]]/(1+FactorPrestacionalIntegral))&lt;(13*SMMLV),"",(Datos_Origen[[#This Row],[Gpol6]]/(1+FactorPrestacionalIntegral)))</f>
        <v/>
      </c>
      <c r="DW50" s="154">
        <f>Datos_Origen[[#This Row],[G+Vpol8]]</f>
        <v>3463200</v>
      </c>
      <c r="DX50" s="154">
        <f>Datos_Origen[[#This Row],[Ctpol10]]-Datos_Origen[[#This Row],[Beneficios]]</f>
        <v>3463200</v>
      </c>
      <c r="DY50" s="154">
        <f>Datos_Origen[[#This Row],[Ctpol]]*$CM$6</f>
        <v>3463200</v>
      </c>
      <c r="DZ50" s="155">
        <f>IF(Datos_Origen[[#This Row],[Gpol66]]/(1+FactorPrestacionalOrdinario)&lt;SMMLV,SMMLV,Datos_Origen[[#This Row],[Gpol66]]/(1+FactorPrestacionalOrdinario))</f>
        <v>4414844.1926345602</v>
      </c>
      <c r="EA50" s="139" t="str">
        <f>IF((Datos_Origen[[#This Row],[Gpol66]]/(1+FactorPrestacionalIntegral))&lt;(13*SMMLV),"",(Datos_Origen[[#This Row],[Gpol66]]/(1+FactorPrestacionalIntegral)))</f>
        <v/>
      </c>
      <c r="EB50" s="154">
        <f>Datos_Origen[[#This Row],[G+Vpol88]]</f>
        <v>5194800</v>
      </c>
      <c r="EC50" s="154">
        <f>Datos_Origen[[#This Row],[Ctpol1010]]-Datos_Origen[[#This Row],[Beneficios]]</f>
        <v>5194800</v>
      </c>
      <c r="ED50" s="154">
        <f>Datos_Origen[[#This Row],[Ctpol]]*$CP$6</f>
        <v>5194800</v>
      </c>
      <c r="EE50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51" spans="2:135">
      <c r="B51" s="148"/>
      <c r="C51" s="149"/>
      <c r="D51" s="150"/>
      <c r="E51" s="151"/>
      <c r="F51" s="151"/>
      <c r="G51" s="150" t="s">
        <v>331</v>
      </c>
      <c r="H51" s="153"/>
      <c r="I51" s="152" t="s">
        <v>331</v>
      </c>
      <c r="J51" s="130" t="str">
        <f>IFERROR(VLOOKUP(Datos_Origen[[#This Row],[Cargo Tipo Valorado]],Cargos_Catalogo[[#All],[Cargo]:[Área]],2,0),"")</f>
        <v xml:space="preserve">Coordinadora de Comercio exterior </v>
      </c>
      <c r="K51" s="153"/>
      <c r="L51" s="153"/>
      <c r="M51" s="153"/>
      <c r="N51" s="153"/>
      <c r="O51" s="154">
        <f>Datos_Origen[[#This Row],[Segmentación Individual]]</f>
        <v>0</v>
      </c>
      <c r="P51" s="153"/>
      <c r="Q51" s="154">
        <f>VLOOKUP(Datos_Origen[[#This Row],[Cargo Tipo Valorado]],Cargos_Catalogo[#Data],MATCH(Cargos_Catalogo[[#Headers],[Puntos]],Cargos_Catalogo[#Headers],0),FALSE)</f>
        <v>231</v>
      </c>
      <c r="R51" s="130">
        <f>VLOOKUP(Datos_Origen[[#This Row],[Puntos valoración]],Categorias_Registro[#Data],MATCH(Categorias_Registro[[#Headers],[Categoria]],Categorias_Registro[#Headers],0),FALSE)</f>
        <v>8</v>
      </c>
      <c r="S51" s="130" t="str">
        <f>VLOOKUP(Datos_Origen[[#This Row],[Cargo Tipo Valorado]],Cargos_Catalogo[#Data],MATCH(Cargos_Catalogo[[#Headers],[Nivel SHR]],Cargos_Catalogo[#Headers],0),FALSE)</f>
        <v>Soporte</v>
      </c>
      <c r="T51" s="130" t="str">
        <f>VLOOKUP(Datos_Origen[[#This Row],[Cargo Tipo Valorado]],Cargos_Catalogo[#Data],MATCH(Cargos_Catalogo[[#Headers],[Criticidad]],Cargos_Catalogo[#Headers],0),FALSE)</f>
        <v>Importante</v>
      </c>
      <c r="U51" s="154">
        <f>VLOOKUP(Datos_Origen[[#This Row],[Puntos valoración]],Categorias_Registro[#Data],5,FALSE)</f>
        <v>249</v>
      </c>
      <c r="V51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3765344.0000000005</v>
      </c>
      <c r="W51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51" s="154">
        <f>SUMIF($BA$5:$BJ$5,"NCS",Datos_Origen[[#This Row],[auxilio Gasolina]:[Otro Beneficio10]])+(SUMIF($BA$5:$BJ$5,"CS",Datos_Origen[[#This Row],[auxilio Gasolina]:[Otro Beneficio10]])*1.17667)</f>
        <v>0</v>
      </c>
      <c r="Y51" s="155">
        <f>Datos_Origen[[#This Row],[Básico]]+Datos_Origen[[#This Row],[Promedio de Comisiones  ]]</f>
        <v>3200000</v>
      </c>
      <c r="Z51" s="155">
        <f>Datos_Origen[[#This Row],[Básico]]+Datos_Origen[[#This Row],[Promedio de Comisiones  ]]</f>
        <v>3200000</v>
      </c>
      <c r="AA51" s="155">
        <f>Datos_Origen[[#This Row],[Garantizado]]</f>
        <v>3765344.0000000005</v>
      </c>
      <c r="AB51" s="155">
        <f>Datos_Origen[[#This Row],[Variable]]+Datos_Origen[[#This Row],[Garantizado]]</f>
        <v>3765344.0000000005</v>
      </c>
      <c r="AC51" s="155">
        <f>Datos_Origen[[#This Row],[Beneficios]]+Datos_Origen[[#This Row],[Variable]]+Datos_Origen[[#This Row],[Garantizado]]</f>
        <v>3765344.0000000005</v>
      </c>
      <c r="AD51" s="156">
        <v>14.12</v>
      </c>
      <c r="AE51" s="141">
        <v>230</v>
      </c>
      <c r="AF51" s="345">
        <v>4.3499999999999997E-2</v>
      </c>
      <c r="AG51" s="155">
        <f>Datos_Origen[[#This Row],[Básico Actual]]*230/Datos_Origen[[#This Row],['# horas mes]]</f>
        <v>3200000</v>
      </c>
      <c r="AH51" s="157">
        <v>3200000</v>
      </c>
      <c r="AI51" s="158"/>
      <c r="AJ51" s="158">
        <f>(((Datos_Origen[[#This Row],[Básico]])/30)*$AJ$6)/12</f>
        <v>0</v>
      </c>
      <c r="AK51" s="158"/>
      <c r="AL51" s="143">
        <f>((Datos_Origen[[#This Row],[Básico]])/30)*$AL$6/12</f>
        <v>0</v>
      </c>
      <c r="AM51" s="158"/>
      <c r="AN51" s="158"/>
      <c r="AO51" s="158"/>
      <c r="AP51" s="158"/>
      <c r="AQ51" s="158"/>
      <c r="AR51" s="149">
        <v>0</v>
      </c>
      <c r="AS51" s="149"/>
      <c r="AT51" s="159" t="str">
        <f>IFERROR(Datos_Origen[[#This Row],[Comisiones Target]]/Datos_Origen[[#This Row],[Promedio de Comisiones  ]],"")</f>
        <v/>
      </c>
      <c r="AU51" s="160"/>
      <c r="AV51" s="143">
        <v>0</v>
      </c>
      <c r="AW51" s="160"/>
      <c r="AX51" s="143">
        <f>Datos_Origen[[#This Row],[N Salarios de la Bonificación2]]*Datos_Origen[[#This Row],[Básico]]/12</f>
        <v>0</v>
      </c>
      <c r="AY51" s="160"/>
      <c r="AZ51" s="158"/>
      <c r="BA51" s="149">
        <v>0</v>
      </c>
      <c r="BB51" s="149"/>
      <c r="BC51" s="149"/>
      <c r="BD51" s="149"/>
      <c r="BE51" s="149"/>
      <c r="BF51" s="149"/>
      <c r="BG51" s="149"/>
      <c r="BH51" s="149"/>
      <c r="BI51" s="149"/>
      <c r="BJ51" s="149"/>
      <c r="BK51" s="159">
        <f>IFERROR(Datos_Origen[[#This Row],[Variable]]/Datos_Origen[[#This Row],[CT]],"")</f>
        <v>0</v>
      </c>
      <c r="BL51" s="159">
        <f>IFERROR(Datos_Origen[[#This Row],[Beneficios]]/Datos_Origen[[#This Row],[CT]],"")</f>
        <v>0</v>
      </c>
      <c r="BM51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3287369.2650705236</v>
      </c>
      <c r="BN51" s="161">
        <f>Datos_Origen[[#This Row],[G]]/Datos_Origen[[#This Row],[Geq]]</f>
        <v>1.145397336407604</v>
      </c>
      <c r="BO51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3528440.0086889477</v>
      </c>
      <c r="BP51" s="161">
        <f>Datos_Origen[[#This Row],[G+V]]/Datos_Origen[[#This Row],[G+Veq]]</f>
        <v>1.0671412836062582</v>
      </c>
      <c r="BQ51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3530495.5025617885</v>
      </c>
      <c r="BR51" s="161">
        <f>Datos_Origen[[#This Row],[CT]]/Datos_Origen[[#This Row],[CTeq]]</f>
        <v>1.0665199820443907</v>
      </c>
      <c r="BS51" s="139">
        <f>ROUNDUP(VLOOKUP(Datos_Origen[[#This Row],[Categoria]],Competitividad_1[#All],2,0)*IndiceIncrementoC,-3)</f>
        <v>3243000</v>
      </c>
      <c r="BT51" s="161">
        <f>Datos_Origen[[#This Row],[G]]/Datos_Origen[[#This Row],[GQ1]]</f>
        <v>1.1610681467776751</v>
      </c>
      <c r="BU51" s="155">
        <f>ROUNDUP(VLOOKUP(Datos_Origen[[#This Row],[Categoria]],Competitividad_1[#All],3,0)*IndiceIncrementoC,-3)</f>
        <v>3349000</v>
      </c>
      <c r="BV51" s="161">
        <f>Datos_Origen[[#This Row],[G+V]]/Datos_Origen[[#This Row],[G+VQ1]]</f>
        <v>1.1243189011645269</v>
      </c>
      <c r="BW51" s="155">
        <f>ROUNDUP(VLOOKUP(Datos_Origen[[#This Row],[Categoria]],Competitividad_1[#All],4,0)*IndiceIncrementoC,-3)</f>
        <v>3485000</v>
      </c>
      <c r="BX51" s="161">
        <f>Datos_Origen[[#This Row],[CT]]/Datos_Origen[[#This Row],[CTQ1]]</f>
        <v>1.0804430416068869</v>
      </c>
      <c r="BY51" s="155">
        <f>ROUNDUP(VLOOKUP(Datos_Origen[[#This Row],[Categoria]],Competitividad_1[#All],5,0)*IndiceIncrementoC,-3)</f>
        <v>4089000</v>
      </c>
      <c r="BZ51" s="161">
        <f>Datos_Origen[[#This Row],[G]]/Datos_Origen[[#This Row],[GMd]]</f>
        <v>0.92084715089263891</v>
      </c>
      <c r="CA51" s="155">
        <f>ROUNDUP(VLOOKUP(Datos_Origen[[#This Row],[Categoria]],Competitividad_1[#All],6,0)*IndiceIncrementoC,-3)</f>
        <v>4138000</v>
      </c>
      <c r="CB51" s="161">
        <f>Datos_Origen[[#This Row],[G+V]]/Datos_Origen[[#This Row],[G+VMd]]</f>
        <v>0.9099429676172065</v>
      </c>
      <c r="CC51" s="155">
        <f>ROUNDUP(VLOOKUP(Datos_Origen[[#This Row],[Categoria]],Competitividad_1[#All],7,0)*IndiceIncrementoC,-3)</f>
        <v>4329000</v>
      </c>
      <c r="CD51" s="161">
        <f>Datos_Origen[[#This Row],[CT]]/Datos_Origen[[#This Row],[CTMd]]</f>
        <v>0.86979533379533391</v>
      </c>
      <c r="CE51" s="155">
        <f>+Datos_Origen[[#This Row],[GMd]]/1.17666666667</f>
        <v>3475070.8215199006</v>
      </c>
      <c r="CF51" s="161">
        <f>+Datos_Origen[[#This Row],[Básico Actual]]/Datos_Origen[[#This Row],[Salario Basico Md]]</f>
        <v>0.92084454227048185</v>
      </c>
      <c r="CG51" s="155">
        <f>ROUNDUP(VLOOKUP(Datos_Origen[[#This Row],[Categoria]],Competitividad_1[#All],8,0)*IndiceIncrementoC,-3)</f>
        <v>5334000</v>
      </c>
      <c r="CH51" s="161">
        <f>Datos_Origen[[#This Row],[G]]/Datos_Origen[[#This Row],[GQ3]]</f>
        <v>0.70591376077990264</v>
      </c>
      <c r="CI51" s="155">
        <f>ROUNDUP(VLOOKUP(Datos_Origen[[#This Row],[Categoria]],Competitividad_1[#All],9,0)*IndiceIncrementoC,-3)</f>
        <v>5483000</v>
      </c>
      <c r="CJ51" s="161">
        <f>Datos_Origen[[#This Row],[G+V]]/Datos_Origen[[#This Row],[G+VQ3]]</f>
        <v>0.68673062192230538</v>
      </c>
      <c r="CK51" s="155">
        <f>ROUNDUP(VLOOKUP(Datos_Origen[[#This Row],[Categoria]],Competitividad_1[#All],10,0)*IndiceIncrementoC,-3)</f>
        <v>5625000</v>
      </c>
      <c r="CL51" s="161">
        <f>Datos_Origen[[#This Row],[CT]]/Datos_Origen[[#This Row],[CTQ3]]</f>
        <v>0.66939448888888897</v>
      </c>
      <c r="CM51" s="162">
        <f>IF(ROUND(Datos_Origen[[#This Row],[Salario Ordinario Pol2]],-3)&lt;SMMLV,SMMLV,ROUND(Datos_Origen[[#This Row],[Salario Ordinario Pol2]],-3))</f>
        <v>2943000</v>
      </c>
      <c r="CN51" s="155">
        <f>IF(Datos_Origen[[#This Row],[Gpol]]/(1+FactorPrestacionalOrdinario)&lt;SMMLV,SMMLV,Datos_Origen[[#This Row],[Gpol]]/(1+FactorPrestacionalOrdinario))</f>
        <v>3679036.827195467</v>
      </c>
      <c r="CO51" s="161">
        <f>IFERROR(IF(Datos_Origen[[#This Row],[Salarios Año]]=14.12,Datos_Origen[[#This Row],[Básico]]/Datos_Origen[[#This Row],[Salario Ordinario Pol]],""),"")</f>
        <v>0.86979286979286985</v>
      </c>
      <c r="CP51" s="155">
        <f>IF(ROUND(Datos_Origen[[#This Row],[Salario Ordinario Pol22]],-3)&lt;SMMLV,SMMLV,ROUND(Datos_Origen[[#This Row],[Salario Ordinario Pol22]],-3))</f>
        <v>4415000</v>
      </c>
      <c r="CQ51" s="155" t="str">
        <f>IFERROR(ROUND(Datos_Origen[[#This Row],[Salario Integral Pol4]],-3),"")</f>
        <v/>
      </c>
      <c r="CR51" s="139" t="str">
        <f>IF((Datos_Origen[[#This Row],[Gpol]]/(1+FactorPrestacionalIntegral))&lt;(13*SMMLV),"",(Datos_Origen[[#This Row],[Gpol]]/(1+FactorPrestacionalIntegral)))</f>
        <v/>
      </c>
      <c r="CS51" s="161" t="str">
        <f>IFERROR(IF(Datos_Origen[[#This Row],[Salarios Año]]=12,Datos_Origen[[#This Row],[Básico]]/Datos_Origen[[#This Row],[Salario Integral Pol]],""),"")</f>
        <v/>
      </c>
      <c r="CT51" s="155" t="str">
        <f>IFERROR(ROUND(Datos_Origen[[#This Row],[Salario Integral Pol44]],-3),"")</f>
        <v/>
      </c>
      <c r="CU51" s="155">
        <f>Datos_Origen[[#This Row],[G+Vpol]]-Datos_Origen[[#This Row],[Variable]]</f>
        <v>4329000</v>
      </c>
      <c r="CV51" s="161">
        <f>Datos_Origen[[#This Row],[G]]/Datos_Origen[[#This Row],[Gpol]]</f>
        <v>0.86979533379533391</v>
      </c>
      <c r="CW51" s="154">
        <f>Datos_Origen[[#This Row],[Ctpol]]-Datos_Origen[[#This Row],[Beneficios]]</f>
        <v>4329000</v>
      </c>
      <c r="CX51" s="161">
        <f>Datos_Origen[[#This Row],[G+V]]/Datos_Origen[[#This Row],[G+Vpol]]</f>
        <v>0.86979533379533391</v>
      </c>
      <c r="CY51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4329000</v>
      </c>
      <c r="CZ51" s="161">
        <f>Datos_Origen[[#This Row],[CT]]/Datos_Origen[[#This Row],[Ctpol]]</f>
        <v>0.86979533379533391</v>
      </c>
      <c r="DA51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3200000</v>
      </c>
      <c r="DB51" s="158">
        <f>IF(Datos_Origen[[#This Row],[Básico]]&lt;10*SMMLV,0,Datos_Origen[[#This Row],[Base Seguridad Social Actual]]*8.5%)</f>
        <v>0</v>
      </c>
      <c r="DC51" s="158">
        <f>Datos_Origen[[#This Row],[Base Seguridad Social Actual]]*12%</f>
        <v>384000</v>
      </c>
      <c r="DD51" s="158">
        <f>Datos_Origen[[#This Row],[Base Seguridad Social Actual]]*Datos_Origen[[#This Row],[%ARL]]</f>
        <v>139200</v>
      </c>
      <c r="DE51" s="158">
        <f>IF(Datos_Origen[[#This Row],[Básico]]&lt;10*SMMLV,Datos_Origen[[#This Row],[Base Seguridad Social Actual]]*4%,Datos_Origen[[#This Row],[Base Seguridad Social Actual]]*9%)</f>
        <v>128000</v>
      </c>
      <c r="DF51" s="158">
        <f>Datos_Origen[[#This Row],[Salud]]+Datos_Origen[[#This Row],[Pensión]]+Datos_Origen[[#This Row],[ARL]]+Datos_Origen[[#This Row],[Parafiscales]]</f>
        <v>651200</v>
      </c>
      <c r="DG51" s="163">
        <f>Datos_Origen[[#This Row],[Costo Laboral Actual]]+Datos_Origen[[#This Row],[CT]]</f>
        <v>4416544</v>
      </c>
      <c r="DH51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3679036.827195467</v>
      </c>
      <c r="DI51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51" s="158">
        <f>Datos_Origen[[#This Row],[Base Seguridad Social Nueva]]*12%</f>
        <v>441484.41926345602</v>
      </c>
      <c r="DK51" s="158">
        <f>Datos_Origen[[#This Row],[Base Seguridad Social Nueva]]*Datos_Origen[[#This Row],[%ARL]]</f>
        <v>160038.10198300279</v>
      </c>
      <c r="DL51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147161.47308781868</v>
      </c>
      <c r="DM51" s="158">
        <f>Datos_Origen[[#This Row],[Salud Nueva]]+Datos_Origen[[#This Row],[Pensión Nueva]]+Datos_Origen[[#This Row],[ARL nueva]]+Datos_Origen[[#This Row],[Parafiscales Nuevos]]</f>
        <v>748683.99433427758</v>
      </c>
      <c r="DN51" s="158">
        <f>Datos_Origen[[#This Row],[Costo Laboral Nuevo]]+Datos_Origen[[#This Row],[Ctpol]]</f>
        <v>5077683.9943342777</v>
      </c>
      <c r="DO51" s="158">
        <f>IF(Datos_Origen[[#This Row],[Ctpol]]-Datos_Origen[[#This Row],[CT]]&lt;=0,0,Datos_Origen[[#This Row],[Costo Total Nuevo]]-Datos_Origen[[#This Row],[Costo Total Actual]])</f>
        <v>661139.9943342777</v>
      </c>
      <c r="DP51" s="158">
        <f>IF(Datos_Origen[[#This Row],[Ctpol]]-Datos_Origen[[#This Row],[CT]]&lt;=0,0,Datos_Origen[[#This Row],[Ctpol]]-Datos_Origen[[#This Row],[CT]])</f>
        <v>563655.99999999953</v>
      </c>
      <c r="DQ51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97483.99433427758</v>
      </c>
      <c r="DR51" s="158">
        <f>ROUNDDOWN(VLOOKUP(Datos_Origen[[#This Row],[Categoria]],Competitividad_1[],7,0)*IndiceIncrementoC,-3)</f>
        <v>4328000</v>
      </c>
      <c r="DS51" s="158">
        <f>Datos_Origen[[#This Row],[CTeq]]*0.8</f>
        <v>2824396.4020494311</v>
      </c>
      <c r="DT51" s="158">
        <f>Datos_Origen[[#This Row],[CTeq]]*1.2</f>
        <v>4236594.6030741464</v>
      </c>
      <c r="DU51" s="155">
        <f>IF(Datos_Origen[[#This Row],[Gpol6]]/(1+FactorPrestacionalOrdinario)&lt;SMMLV,SMMLV,Datos_Origen[[#This Row],[Gpol6]]/(1+FactorPrestacionalOrdinario))</f>
        <v>2943229.4617563738</v>
      </c>
      <c r="DV51" s="139" t="str">
        <f>IF((Datos_Origen[[#This Row],[Gpol6]]/(1+FactorPrestacionalIntegral))&lt;(13*SMMLV),"",(Datos_Origen[[#This Row],[Gpol6]]/(1+FactorPrestacionalIntegral)))</f>
        <v/>
      </c>
      <c r="DW51" s="154">
        <f>Datos_Origen[[#This Row],[G+Vpol8]]</f>
        <v>3463200</v>
      </c>
      <c r="DX51" s="154">
        <f>Datos_Origen[[#This Row],[Ctpol10]]-Datos_Origen[[#This Row],[Beneficios]]</f>
        <v>3463200</v>
      </c>
      <c r="DY51" s="154">
        <f>Datos_Origen[[#This Row],[Ctpol]]*$CM$6</f>
        <v>3463200</v>
      </c>
      <c r="DZ51" s="155">
        <f>IF(Datos_Origen[[#This Row],[Gpol66]]/(1+FactorPrestacionalOrdinario)&lt;SMMLV,SMMLV,Datos_Origen[[#This Row],[Gpol66]]/(1+FactorPrestacionalOrdinario))</f>
        <v>4414844.1926345602</v>
      </c>
      <c r="EA51" s="139" t="str">
        <f>IF((Datos_Origen[[#This Row],[Gpol66]]/(1+FactorPrestacionalIntegral))&lt;(13*SMMLV),"",(Datos_Origen[[#This Row],[Gpol66]]/(1+FactorPrestacionalIntegral)))</f>
        <v/>
      </c>
      <c r="EB51" s="154">
        <f>Datos_Origen[[#This Row],[G+Vpol88]]</f>
        <v>5194800</v>
      </c>
      <c r="EC51" s="154">
        <f>Datos_Origen[[#This Row],[Ctpol1010]]-Datos_Origen[[#This Row],[Beneficios]]</f>
        <v>5194800</v>
      </c>
      <c r="ED51" s="154">
        <f>Datos_Origen[[#This Row],[Ctpol]]*$CP$6</f>
        <v>5194800</v>
      </c>
      <c r="EE51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52" spans="2:135">
      <c r="B52" s="148"/>
      <c r="C52" s="149"/>
      <c r="D52" s="150"/>
      <c r="E52" s="151"/>
      <c r="F52" s="151"/>
      <c r="G52" s="150" t="s">
        <v>331</v>
      </c>
      <c r="H52" s="153"/>
      <c r="I52" s="152" t="s">
        <v>331</v>
      </c>
      <c r="J52" s="130" t="str">
        <f>IFERROR(VLOOKUP(Datos_Origen[[#This Row],[Cargo Tipo Valorado]],Cargos_Catalogo[[#All],[Cargo]:[Área]],2,0),"")</f>
        <v xml:space="preserve">Coordinadora de Comercio exterior </v>
      </c>
      <c r="K52" s="153"/>
      <c r="L52" s="153"/>
      <c r="M52" s="153"/>
      <c r="N52" s="153"/>
      <c r="O52" s="154">
        <f>Datos_Origen[[#This Row],[Segmentación Individual]]</f>
        <v>0</v>
      </c>
      <c r="P52" s="153"/>
      <c r="Q52" s="154">
        <f>VLOOKUP(Datos_Origen[[#This Row],[Cargo Tipo Valorado]],Cargos_Catalogo[#Data],MATCH(Cargos_Catalogo[[#Headers],[Puntos]],Cargos_Catalogo[#Headers],0),FALSE)</f>
        <v>231</v>
      </c>
      <c r="R52" s="130">
        <f>VLOOKUP(Datos_Origen[[#This Row],[Puntos valoración]],Categorias_Registro[#Data],MATCH(Categorias_Registro[[#Headers],[Categoria]],Categorias_Registro[#Headers],0),FALSE)</f>
        <v>8</v>
      </c>
      <c r="S52" s="130" t="str">
        <f>VLOOKUP(Datos_Origen[[#This Row],[Cargo Tipo Valorado]],Cargos_Catalogo[#Data],MATCH(Cargos_Catalogo[[#Headers],[Nivel SHR]],Cargos_Catalogo[#Headers],0),FALSE)</f>
        <v>Soporte</v>
      </c>
      <c r="T52" s="130" t="str">
        <f>VLOOKUP(Datos_Origen[[#This Row],[Cargo Tipo Valorado]],Cargos_Catalogo[#Data],MATCH(Cargos_Catalogo[[#Headers],[Criticidad]],Cargos_Catalogo[#Headers],0),FALSE)</f>
        <v>Importante</v>
      </c>
      <c r="U52" s="154">
        <f>VLOOKUP(Datos_Origen[[#This Row],[Puntos valoración]],Categorias_Registro[#Data],5,FALSE)</f>
        <v>249</v>
      </c>
      <c r="V52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3765344.0000000005</v>
      </c>
      <c r="W52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52" s="154">
        <f>SUMIF($BA$5:$BJ$5,"NCS",Datos_Origen[[#This Row],[auxilio Gasolina]:[Otro Beneficio10]])+(SUMIF($BA$5:$BJ$5,"CS",Datos_Origen[[#This Row],[auxilio Gasolina]:[Otro Beneficio10]])*1.17667)</f>
        <v>0</v>
      </c>
      <c r="Y52" s="155">
        <f>Datos_Origen[[#This Row],[Básico]]+Datos_Origen[[#This Row],[Promedio de Comisiones  ]]</f>
        <v>3200000</v>
      </c>
      <c r="Z52" s="155">
        <f>Datos_Origen[[#This Row],[Básico]]+Datos_Origen[[#This Row],[Promedio de Comisiones  ]]</f>
        <v>3200000</v>
      </c>
      <c r="AA52" s="155">
        <f>Datos_Origen[[#This Row],[Garantizado]]</f>
        <v>3765344.0000000005</v>
      </c>
      <c r="AB52" s="155">
        <f>Datos_Origen[[#This Row],[Variable]]+Datos_Origen[[#This Row],[Garantizado]]</f>
        <v>3765344.0000000005</v>
      </c>
      <c r="AC52" s="155">
        <f>Datos_Origen[[#This Row],[Beneficios]]+Datos_Origen[[#This Row],[Variable]]+Datos_Origen[[#This Row],[Garantizado]]</f>
        <v>3765344.0000000005</v>
      </c>
      <c r="AD52" s="156">
        <v>14.12</v>
      </c>
      <c r="AE52" s="141">
        <v>230</v>
      </c>
      <c r="AF52" s="345">
        <v>4.3499999999999997E-2</v>
      </c>
      <c r="AG52" s="155">
        <f>Datos_Origen[[#This Row],[Básico Actual]]*230/Datos_Origen[[#This Row],['# horas mes]]</f>
        <v>3200000</v>
      </c>
      <c r="AH52" s="157">
        <v>3200000</v>
      </c>
      <c r="AI52" s="158"/>
      <c r="AJ52" s="158">
        <f>(((Datos_Origen[[#This Row],[Básico]])/30)*$AJ$6)/12</f>
        <v>0</v>
      </c>
      <c r="AK52" s="158"/>
      <c r="AL52" s="143">
        <f>((Datos_Origen[[#This Row],[Básico]])/30)*$AL$6/12</f>
        <v>0</v>
      </c>
      <c r="AM52" s="158"/>
      <c r="AN52" s="158"/>
      <c r="AO52" s="158"/>
      <c r="AP52" s="158"/>
      <c r="AQ52" s="158"/>
      <c r="AR52" s="149">
        <v>0</v>
      </c>
      <c r="AS52" s="149"/>
      <c r="AT52" s="159" t="str">
        <f>IFERROR(Datos_Origen[[#This Row],[Comisiones Target]]/Datos_Origen[[#This Row],[Promedio de Comisiones  ]],"")</f>
        <v/>
      </c>
      <c r="AU52" s="160"/>
      <c r="AV52" s="143">
        <v>0</v>
      </c>
      <c r="AW52" s="160"/>
      <c r="AX52" s="143">
        <f>Datos_Origen[[#This Row],[N Salarios de la Bonificación2]]*Datos_Origen[[#This Row],[Básico]]/12</f>
        <v>0</v>
      </c>
      <c r="AY52" s="160"/>
      <c r="AZ52" s="158"/>
      <c r="BA52" s="149">
        <v>0</v>
      </c>
      <c r="BB52" s="149"/>
      <c r="BC52" s="149"/>
      <c r="BD52" s="149"/>
      <c r="BE52" s="149"/>
      <c r="BF52" s="149"/>
      <c r="BG52" s="149"/>
      <c r="BH52" s="149"/>
      <c r="BI52" s="149"/>
      <c r="BJ52" s="149"/>
      <c r="BK52" s="159">
        <f>IFERROR(Datos_Origen[[#This Row],[Variable]]/Datos_Origen[[#This Row],[CT]],"")</f>
        <v>0</v>
      </c>
      <c r="BL52" s="159">
        <f>IFERROR(Datos_Origen[[#This Row],[Beneficios]]/Datos_Origen[[#This Row],[CT]],"")</f>
        <v>0</v>
      </c>
      <c r="BM52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3287369.2650705236</v>
      </c>
      <c r="BN52" s="161">
        <f>Datos_Origen[[#This Row],[G]]/Datos_Origen[[#This Row],[Geq]]</f>
        <v>1.145397336407604</v>
      </c>
      <c r="BO52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3528440.0086889477</v>
      </c>
      <c r="BP52" s="161">
        <f>Datos_Origen[[#This Row],[G+V]]/Datos_Origen[[#This Row],[G+Veq]]</f>
        <v>1.0671412836062582</v>
      </c>
      <c r="BQ52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3530495.5025617885</v>
      </c>
      <c r="BR52" s="161">
        <f>Datos_Origen[[#This Row],[CT]]/Datos_Origen[[#This Row],[CTeq]]</f>
        <v>1.0665199820443907</v>
      </c>
      <c r="BS52" s="139">
        <f>ROUNDUP(VLOOKUP(Datos_Origen[[#This Row],[Categoria]],Competitividad_1[#All],2,0)*IndiceIncrementoC,-3)</f>
        <v>3243000</v>
      </c>
      <c r="BT52" s="161">
        <f>Datos_Origen[[#This Row],[G]]/Datos_Origen[[#This Row],[GQ1]]</f>
        <v>1.1610681467776751</v>
      </c>
      <c r="BU52" s="155">
        <f>ROUNDUP(VLOOKUP(Datos_Origen[[#This Row],[Categoria]],Competitividad_1[#All],3,0)*IndiceIncrementoC,-3)</f>
        <v>3349000</v>
      </c>
      <c r="BV52" s="161">
        <f>Datos_Origen[[#This Row],[G+V]]/Datos_Origen[[#This Row],[G+VQ1]]</f>
        <v>1.1243189011645269</v>
      </c>
      <c r="BW52" s="155">
        <f>ROUNDUP(VLOOKUP(Datos_Origen[[#This Row],[Categoria]],Competitividad_1[#All],4,0)*IndiceIncrementoC,-3)</f>
        <v>3485000</v>
      </c>
      <c r="BX52" s="161">
        <f>Datos_Origen[[#This Row],[CT]]/Datos_Origen[[#This Row],[CTQ1]]</f>
        <v>1.0804430416068869</v>
      </c>
      <c r="BY52" s="155">
        <f>ROUNDUP(VLOOKUP(Datos_Origen[[#This Row],[Categoria]],Competitividad_1[#All],5,0)*IndiceIncrementoC,-3)</f>
        <v>4089000</v>
      </c>
      <c r="BZ52" s="161">
        <f>Datos_Origen[[#This Row],[G]]/Datos_Origen[[#This Row],[GMd]]</f>
        <v>0.92084715089263891</v>
      </c>
      <c r="CA52" s="155">
        <f>ROUNDUP(VLOOKUP(Datos_Origen[[#This Row],[Categoria]],Competitividad_1[#All],6,0)*IndiceIncrementoC,-3)</f>
        <v>4138000</v>
      </c>
      <c r="CB52" s="161">
        <f>Datos_Origen[[#This Row],[G+V]]/Datos_Origen[[#This Row],[G+VMd]]</f>
        <v>0.9099429676172065</v>
      </c>
      <c r="CC52" s="155">
        <f>ROUNDUP(VLOOKUP(Datos_Origen[[#This Row],[Categoria]],Competitividad_1[#All],7,0)*IndiceIncrementoC,-3)</f>
        <v>4329000</v>
      </c>
      <c r="CD52" s="161">
        <f>Datos_Origen[[#This Row],[CT]]/Datos_Origen[[#This Row],[CTMd]]</f>
        <v>0.86979533379533391</v>
      </c>
      <c r="CE52" s="155">
        <f>+Datos_Origen[[#This Row],[GMd]]/1.17666666667</f>
        <v>3475070.8215199006</v>
      </c>
      <c r="CF52" s="161">
        <f>+Datos_Origen[[#This Row],[Básico Actual]]/Datos_Origen[[#This Row],[Salario Basico Md]]</f>
        <v>0.92084454227048185</v>
      </c>
      <c r="CG52" s="155">
        <f>ROUNDUP(VLOOKUP(Datos_Origen[[#This Row],[Categoria]],Competitividad_1[#All],8,0)*IndiceIncrementoC,-3)</f>
        <v>5334000</v>
      </c>
      <c r="CH52" s="161">
        <f>Datos_Origen[[#This Row],[G]]/Datos_Origen[[#This Row],[GQ3]]</f>
        <v>0.70591376077990264</v>
      </c>
      <c r="CI52" s="155">
        <f>ROUNDUP(VLOOKUP(Datos_Origen[[#This Row],[Categoria]],Competitividad_1[#All],9,0)*IndiceIncrementoC,-3)</f>
        <v>5483000</v>
      </c>
      <c r="CJ52" s="161">
        <f>Datos_Origen[[#This Row],[G+V]]/Datos_Origen[[#This Row],[G+VQ3]]</f>
        <v>0.68673062192230538</v>
      </c>
      <c r="CK52" s="155">
        <f>ROUNDUP(VLOOKUP(Datos_Origen[[#This Row],[Categoria]],Competitividad_1[#All],10,0)*IndiceIncrementoC,-3)</f>
        <v>5625000</v>
      </c>
      <c r="CL52" s="161">
        <f>Datos_Origen[[#This Row],[CT]]/Datos_Origen[[#This Row],[CTQ3]]</f>
        <v>0.66939448888888897</v>
      </c>
      <c r="CM52" s="162">
        <f>IF(ROUND(Datos_Origen[[#This Row],[Salario Ordinario Pol2]],-3)&lt;SMMLV,SMMLV,ROUND(Datos_Origen[[#This Row],[Salario Ordinario Pol2]],-3))</f>
        <v>2943000</v>
      </c>
      <c r="CN52" s="155">
        <f>IF(Datos_Origen[[#This Row],[Gpol]]/(1+FactorPrestacionalOrdinario)&lt;SMMLV,SMMLV,Datos_Origen[[#This Row],[Gpol]]/(1+FactorPrestacionalOrdinario))</f>
        <v>3679036.827195467</v>
      </c>
      <c r="CO52" s="161">
        <f>IFERROR(IF(Datos_Origen[[#This Row],[Salarios Año]]=14.12,Datos_Origen[[#This Row],[Básico]]/Datos_Origen[[#This Row],[Salario Ordinario Pol]],""),"")</f>
        <v>0.86979286979286985</v>
      </c>
      <c r="CP52" s="155">
        <f>IF(ROUND(Datos_Origen[[#This Row],[Salario Ordinario Pol22]],-3)&lt;SMMLV,SMMLV,ROUND(Datos_Origen[[#This Row],[Salario Ordinario Pol22]],-3))</f>
        <v>4415000</v>
      </c>
      <c r="CQ52" s="155" t="str">
        <f>IFERROR(ROUND(Datos_Origen[[#This Row],[Salario Integral Pol4]],-3),"")</f>
        <v/>
      </c>
      <c r="CR52" s="139" t="str">
        <f>IF((Datos_Origen[[#This Row],[Gpol]]/(1+FactorPrestacionalIntegral))&lt;(13*SMMLV),"",(Datos_Origen[[#This Row],[Gpol]]/(1+FactorPrestacionalIntegral)))</f>
        <v/>
      </c>
      <c r="CS52" s="161" t="str">
        <f>IFERROR(IF(Datos_Origen[[#This Row],[Salarios Año]]=12,Datos_Origen[[#This Row],[Básico]]/Datos_Origen[[#This Row],[Salario Integral Pol]],""),"")</f>
        <v/>
      </c>
      <c r="CT52" s="155" t="str">
        <f>IFERROR(ROUND(Datos_Origen[[#This Row],[Salario Integral Pol44]],-3),"")</f>
        <v/>
      </c>
      <c r="CU52" s="155">
        <f>Datos_Origen[[#This Row],[G+Vpol]]-Datos_Origen[[#This Row],[Variable]]</f>
        <v>4329000</v>
      </c>
      <c r="CV52" s="161">
        <f>Datos_Origen[[#This Row],[G]]/Datos_Origen[[#This Row],[Gpol]]</f>
        <v>0.86979533379533391</v>
      </c>
      <c r="CW52" s="154">
        <f>Datos_Origen[[#This Row],[Ctpol]]-Datos_Origen[[#This Row],[Beneficios]]</f>
        <v>4329000</v>
      </c>
      <c r="CX52" s="161">
        <f>Datos_Origen[[#This Row],[G+V]]/Datos_Origen[[#This Row],[G+Vpol]]</f>
        <v>0.86979533379533391</v>
      </c>
      <c r="CY52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4329000</v>
      </c>
      <c r="CZ52" s="161">
        <f>Datos_Origen[[#This Row],[CT]]/Datos_Origen[[#This Row],[Ctpol]]</f>
        <v>0.86979533379533391</v>
      </c>
      <c r="DA52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3200000</v>
      </c>
      <c r="DB52" s="158">
        <f>IF(Datos_Origen[[#This Row],[Básico]]&lt;10*SMMLV,0,Datos_Origen[[#This Row],[Base Seguridad Social Actual]]*8.5%)</f>
        <v>0</v>
      </c>
      <c r="DC52" s="158">
        <f>Datos_Origen[[#This Row],[Base Seguridad Social Actual]]*12%</f>
        <v>384000</v>
      </c>
      <c r="DD52" s="158">
        <f>Datos_Origen[[#This Row],[Base Seguridad Social Actual]]*Datos_Origen[[#This Row],[%ARL]]</f>
        <v>139200</v>
      </c>
      <c r="DE52" s="158">
        <f>IF(Datos_Origen[[#This Row],[Básico]]&lt;10*SMMLV,Datos_Origen[[#This Row],[Base Seguridad Social Actual]]*4%,Datos_Origen[[#This Row],[Base Seguridad Social Actual]]*9%)</f>
        <v>128000</v>
      </c>
      <c r="DF52" s="158">
        <f>Datos_Origen[[#This Row],[Salud]]+Datos_Origen[[#This Row],[Pensión]]+Datos_Origen[[#This Row],[ARL]]+Datos_Origen[[#This Row],[Parafiscales]]</f>
        <v>651200</v>
      </c>
      <c r="DG52" s="163">
        <f>Datos_Origen[[#This Row],[Costo Laboral Actual]]+Datos_Origen[[#This Row],[CT]]</f>
        <v>4416544</v>
      </c>
      <c r="DH52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3679036.827195467</v>
      </c>
      <c r="DI52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52" s="158">
        <f>Datos_Origen[[#This Row],[Base Seguridad Social Nueva]]*12%</f>
        <v>441484.41926345602</v>
      </c>
      <c r="DK52" s="158">
        <f>Datos_Origen[[#This Row],[Base Seguridad Social Nueva]]*Datos_Origen[[#This Row],[%ARL]]</f>
        <v>160038.10198300279</v>
      </c>
      <c r="DL52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147161.47308781868</v>
      </c>
      <c r="DM52" s="158">
        <f>Datos_Origen[[#This Row],[Salud Nueva]]+Datos_Origen[[#This Row],[Pensión Nueva]]+Datos_Origen[[#This Row],[ARL nueva]]+Datos_Origen[[#This Row],[Parafiscales Nuevos]]</f>
        <v>748683.99433427758</v>
      </c>
      <c r="DN52" s="158">
        <f>Datos_Origen[[#This Row],[Costo Laboral Nuevo]]+Datos_Origen[[#This Row],[Ctpol]]</f>
        <v>5077683.9943342777</v>
      </c>
      <c r="DO52" s="158">
        <f>IF(Datos_Origen[[#This Row],[Ctpol]]-Datos_Origen[[#This Row],[CT]]&lt;=0,0,Datos_Origen[[#This Row],[Costo Total Nuevo]]-Datos_Origen[[#This Row],[Costo Total Actual]])</f>
        <v>661139.9943342777</v>
      </c>
      <c r="DP52" s="158">
        <f>IF(Datos_Origen[[#This Row],[Ctpol]]-Datos_Origen[[#This Row],[CT]]&lt;=0,0,Datos_Origen[[#This Row],[Ctpol]]-Datos_Origen[[#This Row],[CT]])</f>
        <v>563655.99999999953</v>
      </c>
      <c r="DQ52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97483.99433427758</v>
      </c>
      <c r="DR52" s="158">
        <f>ROUNDDOWN(VLOOKUP(Datos_Origen[[#This Row],[Categoria]],Competitividad_1[],7,0)*IndiceIncrementoC,-3)</f>
        <v>4328000</v>
      </c>
      <c r="DS52" s="158">
        <f>Datos_Origen[[#This Row],[CTeq]]*0.8</f>
        <v>2824396.4020494311</v>
      </c>
      <c r="DT52" s="158">
        <f>Datos_Origen[[#This Row],[CTeq]]*1.2</f>
        <v>4236594.6030741464</v>
      </c>
      <c r="DU52" s="155">
        <f>IF(Datos_Origen[[#This Row],[Gpol6]]/(1+FactorPrestacionalOrdinario)&lt;SMMLV,SMMLV,Datos_Origen[[#This Row],[Gpol6]]/(1+FactorPrestacionalOrdinario))</f>
        <v>2943229.4617563738</v>
      </c>
      <c r="DV52" s="139" t="str">
        <f>IF((Datos_Origen[[#This Row],[Gpol6]]/(1+FactorPrestacionalIntegral))&lt;(13*SMMLV),"",(Datos_Origen[[#This Row],[Gpol6]]/(1+FactorPrestacionalIntegral)))</f>
        <v/>
      </c>
      <c r="DW52" s="154">
        <f>Datos_Origen[[#This Row],[G+Vpol8]]</f>
        <v>3463200</v>
      </c>
      <c r="DX52" s="154">
        <f>Datos_Origen[[#This Row],[Ctpol10]]-Datos_Origen[[#This Row],[Beneficios]]</f>
        <v>3463200</v>
      </c>
      <c r="DY52" s="154">
        <f>Datos_Origen[[#This Row],[Ctpol]]*$CM$6</f>
        <v>3463200</v>
      </c>
      <c r="DZ52" s="155">
        <f>IF(Datos_Origen[[#This Row],[Gpol66]]/(1+FactorPrestacionalOrdinario)&lt;SMMLV,SMMLV,Datos_Origen[[#This Row],[Gpol66]]/(1+FactorPrestacionalOrdinario))</f>
        <v>4414844.1926345602</v>
      </c>
      <c r="EA52" s="139" t="str">
        <f>IF((Datos_Origen[[#This Row],[Gpol66]]/(1+FactorPrestacionalIntegral))&lt;(13*SMMLV),"",(Datos_Origen[[#This Row],[Gpol66]]/(1+FactorPrestacionalIntegral)))</f>
        <v/>
      </c>
      <c r="EB52" s="154">
        <f>Datos_Origen[[#This Row],[G+Vpol88]]</f>
        <v>5194800</v>
      </c>
      <c r="EC52" s="154">
        <f>Datos_Origen[[#This Row],[Ctpol1010]]-Datos_Origen[[#This Row],[Beneficios]]</f>
        <v>5194800</v>
      </c>
      <c r="ED52" s="154">
        <f>Datos_Origen[[#This Row],[Ctpol]]*$CP$6</f>
        <v>5194800</v>
      </c>
      <c r="EE52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53" spans="2:135">
      <c r="B53" s="148"/>
      <c r="C53" s="149"/>
      <c r="D53" s="150"/>
      <c r="E53" s="151"/>
      <c r="F53" s="151"/>
      <c r="G53" s="150" t="s">
        <v>328</v>
      </c>
      <c r="H53" s="153"/>
      <c r="I53" s="152" t="s">
        <v>328</v>
      </c>
      <c r="J53" s="130" t="str">
        <f>IFERROR(VLOOKUP(Datos_Origen[[#This Row],[Cargo Tipo Valorado]],Cargos_Catalogo[[#All],[Cargo]:[Área]],2,0),"")</f>
        <v xml:space="preserve">Jefe de compras </v>
      </c>
      <c r="K53" s="153"/>
      <c r="L53" s="153"/>
      <c r="M53" s="153"/>
      <c r="N53" s="153"/>
      <c r="O53" s="154">
        <f>Datos_Origen[[#This Row],[Segmentación Individual]]</f>
        <v>0</v>
      </c>
      <c r="P53" s="153"/>
      <c r="Q53" s="154">
        <f>VLOOKUP(Datos_Origen[[#This Row],[Cargo Tipo Valorado]],Cargos_Catalogo[#Data],MATCH(Cargos_Catalogo[[#Headers],[Puntos]],Cargos_Catalogo[#Headers],0),FALSE)</f>
        <v>236</v>
      </c>
      <c r="R53" s="130">
        <f>VLOOKUP(Datos_Origen[[#This Row],[Puntos valoración]],Categorias_Registro[#Data],MATCH(Categorias_Registro[[#Headers],[Categoria]],Categorias_Registro[#Headers],0),FALSE)</f>
        <v>8</v>
      </c>
      <c r="S53" s="130" t="str">
        <f>VLOOKUP(Datos_Origen[[#This Row],[Cargo Tipo Valorado]],Cargos_Catalogo[#Data],MATCH(Cargos_Catalogo[[#Headers],[Nivel SHR]],Cargos_Catalogo[#Headers],0),FALSE)</f>
        <v>Soporte</v>
      </c>
      <c r="T53" s="130" t="str">
        <f>VLOOKUP(Datos_Origen[[#This Row],[Cargo Tipo Valorado]],Cargos_Catalogo[#Data],MATCH(Cargos_Catalogo[[#Headers],[Criticidad]],Cargos_Catalogo[#Headers],0),FALSE)</f>
        <v>Relevante</v>
      </c>
      <c r="U53" s="154">
        <f>VLOOKUP(Datos_Origen[[#This Row],[Puntos valoración]],Categorias_Registro[#Data],5,FALSE)</f>
        <v>249</v>
      </c>
      <c r="V53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53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53" s="154">
        <f>SUMIF($BA$5:$BJ$5,"NCS",Datos_Origen[[#This Row],[auxilio Gasolina]:[Otro Beneficio10]])+(SUMIF($BA$5:$BJ$5,"CS",Datos_Origen[[#This Row],[auxilio Gasolina]:[Otro Beneficio10]])*1.17667)</f>
        <v>0</v>
      </c>
      <c r="Y53" s="155">
        <f>Datos_Origen[[#This Row],[Básico]]+Datos_Origen[[#This Row],[Promedio de Comisiones  ]]</f>
        <v>2404000</v>
      </c>
      <c r="Z53" s="155">
        <f>Datos_Origen[[#This Row],[Básico]]+Datos_Origen[[#This Row],[Promedio de Comisiones  ]]</f>
        <v>2404000</v>
      </c>
      <c r="AA53" s="155">
        <f>Datos_Origen[[#This Row],[Garantizado]]</f>
        <v>2828714.68</v>
      </c>
      <c r="AB53" s="155">
        <f>Datos_Origen[[#This Row],[Variable]]+Datos_Origen[[#This Row],[Garantizado]]</f>
        <v>2828714.68</v>
      </c>
      <c r="AC53" s="155">
        <f>Datos_Origen[[#This Row],[Beneficios]]+Datos_Origen[[#This Row],[Variable]]+Datos_Origen[[#This Row],[Garantizado]]</f>
        <v>2828714.68</v>
      </c>
      <c r="AD53" s="156">
        <v>14.12</v>
      </c>
      <c r="AE53" s="141">
        <v>230</v>
      </c>
      <c r="AF53" s="345">
        <v>5.2199999999999998E-3</v>
      </c>
      <c r="AG53" s="155">
        <f>Datos_Origen[[#This Row],[Básico Actual]]*230/Datos_Origen[[#This Row],['# horas mes]]</f>
        <v>2404000</v>
      </c>
      <c r="AH53" s="157">
        <v>2404000</v>
      </c>
      <c r="AI53" s="158"/>
      <c r="AJ53" s="158">
        <f>(((Datos_Origen[[#This Row],[Básico]])/30)*$AJ$6)/12</f>
        <v>0</v>
      </c>
      <c r="AK53" s="158"/>
      <c r="AL53" s="143">
        <f>((Datos_Origen[[#This Row],[Básico]])/30)*$AL$6/12</f>
        <v>0</v>
      </c>
      <c r="AM53" s="158"/>
      <c r="AN53" s="158"/>
      <c r="AO53" s="158"/>
      <c r="AP53" s="158"/>
      <c r="AQ53" s="158"/>
      <c r="AR53" s="149">
        <v>0</v>
      </c>
      <c r="AS53" s="149"/>
      <c r="AT53" s="159" t="str">
        <f>IFERROR(Datos_Origen[[#This Row],[Comisiones Target]]/Datos_Origen[[#This Row],[Promedio de Comisiones  ]],"")</f>
        <v/>
      </c>
      <c r="AU53" s="160"/>
      <c r="AV53" s="143">
        <v>0</v>
      </c>
      <c r="AW53" s="160"/>
      <c r="AX53" s="143">
        <f>Datos_Origen[[#This Row],[N Salarios de la Bonificación2]]*Datos_Origen[[#This Row],[Básico]]/12</f>
        <v>0</v>
      </c>
      <c r="AY53" s="160"/>
      <c r="AZ53" s="158"/>
      <c r="BA53" s="149">
        <v>0</v>
      </c>
      <c r="BB53" s="149"/>
      <c r="BC53" s="149"/>
      <c r="BD53" s="149"/>
      <c r="BE53" s="149"/>
      <c r="BF53" s="149"/>
      <c r="BG53" s="149"/>
      <c r="BH53" s="149"/>
      <c r="BI53" s="149"/>
      <c r="BJ53" s="149"/>
      <c r="BK53" s="159">
        <f>IFERROR(Datos_Origen[[#This Row],[Variable]]/Datos_Origen[[#This Row],[CT]],"")</f>
        <v>0</v>
      </c>
      <c r="BL53" s="159">
        <f>IFERROR(Datos_Origen[[#This Row],[Beneficios]]/Datos_Origen[[#This Row],[CT]],"")</f>
        <v>0</v>
      </c>
      <c r="BM53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3287369.2650705236</v>
      </c>
      <c r="BN53" s="161">
        <f>Datos_Origen[[#This Row],[G]]/Datos_Origen[[#This Row],[Geq]]</f>
        <v>0.86047974897621249</v>
      </c>
      <c r="BO53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3528440.0086889477</v>
      </c>
      <c r="BP53" s="161">
        <f>Datos_Origen[[#This Row],[G+V]]/Datos_Origen[[#This Row],[G+Veq]]</f>
        <v>0.80168988930920138</v>
      </c>
      <c r="BQ53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3530495.5025617885</v>
      </c>
      <c r="BR53" s="161">
        <f>Datos_Origen[[#This Row],[CT]]/Datos_Origen[[#This Row],[CTeq]]</f>
        <v>0.80122313651084842</v>
      </c>
      <c r="BS53" s="139">
        <f>ROUNDUP(VLOOKUP(Datos_Origen[[#This Row],[Categoria]],Competitividad_1[#All],2,0)*IndiceIncrementoC,-3)</f>
        <v>3243000</v>
      </c>
      <c r="BT53" s="161">
        <f>Datos_Origen[[#This Row],[G]]/Datos_Origen[[#This Row],[GQ1]]</f>
        <v>0.8722524452667284</v>
      </c>
      <c r="BU53" s="155">
        <f>ROUNDUP(VLOOKUP(Datos_Origen[[#This Row],[Categoria]],Competitividad_1[#All],3,0)*IndiceIncrementoC,-3)</f>
        <v>3349000</v>
      </c>
      <c r="BV53" s="161">
        <f>Datos_Origen[[#This Row],[G+V]]/Datos_Origen[[#This Row],[G+VQ1]]</f>
        <v>0.84464457449985075</v>
      </c>
      <c r="BW53" s="155">
        <f>ROUNDUP(VLOOKUP(Datos_Origen[[#This Row],[Categoria]],Competitividad_1[#All],4,0)*IndiceIncrementoC,-3)</f>
        <v>3485000</v>
      </c>
      <c r="BX53" s="161">
        <f>Datos_Origen[[#This Row],[CT]]/Datos_Origen[[#This Row],[CTQ1]]</f>
        <v>0.81168283500717364</v>
      </c>
      <c r="BY53" s="155">
        <f>ROUNDUP(VLOOKUP(Datos_Origen[[#This Row],[Categoria]],Competitividad_1[#All],5,0)*IndiceIncrementoC,-3)</f>
        <v>4089000</v>
      </c>
      <c r="BZ53" s="161">
        <f>Datos_Origen[[#This Row],[G]]/Datos_Origen[[#This Row],[GMd]]</f>
        <v>0.69178642210809493</v>
      </c>
      <c r="CA53" s="155">
        <f>ROUNDUP(VLOOKUP(Datos_Origen[[#This Row],[Categoria]],Competitividad_1[#All],6,0)*IndiceIncrementoC,-3)</f>
        <v>4138000</v>
      </c>
      <c r="CB53" s="161">
        <f>Datos_Origen[[#This Row],[G+V]]/Datos_Origen[[#This Row],[G+VMd]]</f>
        <v>0.68359465442242628</v>
      </c>
      <c r="CC53" s="155">
        <f>ROUNDUP(VLOOKUP(Datos_Origen[[#This Row],[Categoria]],Competitividad_1[#All],7,0)*IndiceIncrementoC,-3)</f>
        <v>4329000</v>
      </c>
      <c r="CD53" s="161">
        <f>Datos_Origen[[#This Row],[CT]]/Datos_Origen[[#This Row],[CTMd]]</f>
        <v>0.65343374451374459</v>
      </c>
      <c r="CE53" s="155">
        <f>+Datos_Origen[[#This Row],[GMd]]/1.17666666667</f>
        <v>3475070.8215199006</v>
      </c>
      <c r="CF53" s="161">
        <f>+Datos_Origen[[#This Row],[Básico Actual]]/Datos_Origen[[#This Row],[Salario Basico Md]]</f>
        <v>0.69178446238069946</v>
      </c>
      <c r="CG53" s="155">
        <f>ROUNDUP(VLOOKUP(Datos_Origen[[#This Row],[Categoria]],Competitividad_1[#All],8,0)*IndiceIncrementoC,-3)</f>
        <v>5334000</v>
      </c>
      <c r="CH53" s="161">
        <f>Datos_Origen[[#This Row],[G]]/Datos_Origen[[#This Row],[GQ3]]</f>
        <v>0.53031771278590178</v>
      </c>
      <c r="CI53" s="155">
        <f>ROUNDUP(VLOOKUP(Datos_Origen[[#This Row],[Categoria]],Competitividad_1[#All],9,0)*IndiceIncrementoC,-3)</f>
        <v>5483000</v>
      </c>
      <c r="CJ53" s="161">
        <f>Datos_Origen[[#This Row],[G+V]]/Datos_Origen[[#This Row],[G+VQ3]]</f>
        <v>0.51590637971913189</v>
      </c>
      <c r="CK53" s="155">
        <f>ROUNDUP(VLOOKUP(Datos_Origen[[#This Row],[Categoria]],Competitividad_1[#All],10,0)*IndiceIncrementoC,-3)</f>
        <v>5625000</v>
      </c>
      <c r="CL53" s="161">
        <f>Datos_Origen[[#This Row],[CT]]/Datos_Origen[[#This Row],[CTQ3]]</f>
        <v>0.50288260977777777</v>
      </c>
      <c r="CM53" s="162">
        <f>IF(ROUND(Datos_Origen[[#This Row],[Salario Ordinario Pol2]],-3)&lt;SMMLV,SMMLV,ROUND(Datos_Origen[[#This Row],[Salario Ordinario Pol2]],-3))</f>
        <v>2649000</v>
      </c>
      <c r="CN53" s="155">
        <f>IF(Datos_Origen[[#This Row],[Gpol]]/(1+FactorPrestacionalOrdinario)&lt;SMMLV,SMMLV,Datos_Origen[[#This Row],[Gpol]]/(1+FactorPrestacionalOrdinario))</f>
        <v>3311048.1586402263</v>
      </c>
      <c r="CO53" s="161">
        <f>IFERROR(IF(Datos_Origen[[#This Row],[Salarios Año]]=14.12,Datos_Origen[[#This Row],[Básico]]/Datos_Origen[[#This Row],[Salario Ordinario Pol]],""),"")</f>
        <v>0.72605407255304588</v>
      </c>
      <c r="CP53" s="155">
        <f>IF(ROUND(Datos_Origen[[#This Row],[Salario Ordinario Pol22]],-3)&lt;SMMLV,SMMLV,ROUND(Datos_Origen[[#This Row],[Salario Ordinario Pol22]],-3))</f>
        <v>3973000</v>
      </c>
      <c r="CQ53" s="155" t="str">
        <f>IFERROR(ROUND(Datos_Origen[[#This Row],[Salario Integral Pol4]],-3),"")</f>
        <v/>
      </c>
      <c r="CR53" s="139" t="str">
        <f>IF((Datos_Origen[[#This Row],[Gpol]]/(1+FactorPrestacionalIntegral))&lt;(13*SMMLV),"",(Datos_Origen[[#This Row],[Gpol]]/(1+FactorPrestacionalIntegral)))</f>
        <v/>
      </c>
      <c r="CS53" s="161" t="str">
        <f>IFERROR(IF(Datos_Origen[[#This Row],[Salarios Año]]=12,Datos_Origen[[#This Row],[Básico]]/Datos_Origen[[#This Row],[Salario Integral Pol]],""),"")</f>
        <v/>
      </c>
      <c r="CT53" s="155" t="str">
        <f>IFERROR(ROUND(Datos_Origen[[#This Row],[Salario Integral Pol44]],-3),"")</f>
        <v/>
      </c>
      <c r="CU53" s="155">
        <f>Datos_Origen[[#This Row],[G+Vpol]]-Datos_Origen[[#This Row],[Variable]]</f>
        <v>3896000</v>
      </c>
      <c r="CV53" s="161">
        <f>Datos_Origen[[#This Row],[G]]/Datos_Origen[[#This Row],[Gpol]]</f>
        <v>0.72605612936344976</v>
      </c>
      <c r="CW53" s="154">
        <f>Datos_Origen[[#This Row],[Ctpol]]-Datos_Origen[[#This Row],[Beneficios]]</f>
        <v>3896000</v>
      </c>
      <c r="CX53" s="161">
        <f>Datos_Origen[[#This Row],[G+V]]/Datos_Origen[[#This Row],[G+Vpol]]</f>
        <v>0.72605612936344976</v>
      </c>
      <c r="CY53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3896000</v>
      </c>
      <c r="CZ53" s="161">
        <f>Datos_Origen[[#This Row],[CT]]/Datos_Origen[[#This Row],[Ctpol]]</f>
        <v>0.72605612936344976</v>
      </c>
      <c r="DA53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53" s="158">
        <f>IF(Datos_Origen[[#This Row],[Básico]]&lt;10*SMMLV,0,Datos_Origen[[#This Row],[Base Seguridad Social Actual]]*8.5%)</f>
        <v>0</v>
      </c>
      <c r="DC53" s="158">
        <f>Datos_Origen[[#This Row],[Base Seguridad Social Actual]]*12%</f>
        <v>288480</v>
      </c>
      <c r="DD53" s="158">
        <f>Datos_Origen[[#This Row],[Base Seguridad Social Actual]]*Datos_Origen[[#This Row],[%ARL]]</f>
        <v>12548.88</v>
      </c>
      <c r="DE53" s="158">
        <f>IF(Datos_Origen[[#This Row],[Básico]]&lt;10*SMMLV,Datos_Origen[[#This Row],[Base Seguridad Social Actual]]*4%,Datos_Origen[[#This Row],[Base Seguridad Social Actual]]*9%)</f>
        <v>96160</v>
      </c>
      <c r="DF53" s="158">
        <f>Datos_Origen[[#This Row],[Salud]]+Datos_Origen[[#This Row],[Pensión]]+Datos_Origen[[#This Row],[ARL]]+Datos_Origen[[#This Row],[Parafiscales]]</f>
        <v>397188.88</v>
      </c>
      <c r="DG53" s="158">
        <f>Datos_Origen[[#This Row],[Costo Laboral Actual]]+Datos_Origen[[#This Row],[CT]]</f>
        <v>3225903.56</v>
      </c>
      <c r="DH53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3311048.1586402263</v>
      </c>
      <c r="DI53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53" s="158">
        <f>Datos_Origen[[#This Row],[Base Seguridad Social Nueva]]*12%</f>
        <v>397325.77903682715</v>
      </c>
      <c r="DK53" s="158">
        <f>Datos_Origen[[#This Row],[Base Seguridad Social Nueva]]*Datos_Origen[[#This Row],[%ARL]]</f>
        <v>17283.671388101982</v>
      </c>
      <c r="DL53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132441.92634560907</v>
      </c>
      <c r="DM53" s="158">
        <f>Datos_Origen[[#This Row],[Salud Nueva]]+Datos_Origen[[#This Row],[Pensión Nueva]]+Datos_Origen[[#This Row],[ARL nueva]]+Datos_Origen[[#This Row],[Parafiscales Nuevos]]</f>
        <v>547051.37677053828</v>
      </c>
      <c r="DN53" s="158">
        <f>Datos_Origen[[#This Row],[Costo Laboral Nuevo]]+Datos_Origen[[#This Row],[Ctpol]]</f>
        <v>4443051.3767705383</v>
      </c>
      <c r="DO53" s="158">
        <f>IF(Datos_Origen[[#This Row],[Ctpol]]-Datos_Origen[[#This Row],[CT]]&lt;=0,0,Datos_Origen[[#This Row],[Costo Total Nuevo]]-Datos_Origen[[#This Row],[Costo Total Actual]])</f>
        <v>1217147.8167705382</v>
      </c>
      <c r="DP53" s="158">
        <f>IF(Datos_Origen[[#This Row],[Ctpol]]-Datos_Origen[[#This Row],[CT]]&lt;=0,0,Datos_Origen[[#This Row],[Ctpol]]-Datos_Origen[[#This Row],[CT]])</f>
        <v>1067285.3199999998</v>
      </c>
      <c r="DQ53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149862.49677053827</v>
      </c>
      <c r="DR53" s="158">
        <f>ROUNDDOWN(VLOOKUP(Datos_Origen[[#This Row],[Categoria]],Competitividad_1[],7,0)*IndiceIncrementoC,-3)</f>
        <v>4328000</v>
      </c>
      <c r="DS53" s="158">
        <f>Datos_Origen[[#This Row],[CTeq]]*0.8</f>
        <v>2824396.4020494311</v>
      </c>
      <c r="DT53" s="158">
        <f>Datos_Origen[[#This Row],[CTeq]]*1.2</f>
        <v>4236594.6030741464</v>
      </c>
      <c r="DU53" s="155">
        <f>IF(Datos_Origen[[#This Row],[Gpol6]]/(1+FactorPrestacionalOrdinario)&lt;SMMLV,SMMLV,Datos_Origen[[#This Row],[Gpol6]]/(1+FactorPrestacionalOrdinario))</f>
        <v>2648838.5269121812</v>
      </c>
      <c r="DV53" s="139" t="str">
        <f>IF((Datos_Origen[[#This Row],[Gpol6]]/(1+FactorPrestacionalIntegral))&lt;(13*SMMLV),"",(Datos_Origen[[#This Row],[Gpol6]]/(1+FactorPrestacionalIntegral)))</f>
        <v/>
      </c>
      <c r="DW53" s="154">
        <f>Datos_Origen[[#This Row],[G+Vpol8]]</f>
        <v>3116800</v>
      </c>
      <c r="DX53" s="154">
        <f>Datos_Origen[[#This Row],[Ctpol10]]-Datos_Origen[[#This Row],[Beneficios]]</f>
        <v>3116800</v>
      </c>
      <c r="DY53" s="154">
        <f>Datos_Origen[[#This Row],[Ctpol]]*$CM$6</f>
        <v>3116800</v>
      </c>
      <c r="DZ53" s="155">
        <f>IF(Datos_Origen[[#This Row],[Gpol66]]/(1+FactorPrestacionalOrdinario)&lt;SMMLV,SMMLV,Datos_Origen[[#This Row],[Gpol66]]/(1+FactorPrestacionalOrdinario))</f>
        <v>3973257.7903682715</v>
      </c>
      <c r="EA53" s="139" t="str">
        <f>IF((Datos_Origen[[#This Row],[Gpol66]]/(1+FactorPrestacionalIntegral))&lt;(13*SMMLV),"",(Datos_Origen[[#This Row],[Gpol66]]/(1+FactorPrestacionalIntegral)))</f>
        <v/>
      </c>
      <c r="EB53" s="154">
        <f>Datos_Origen[[#This Row],[G+Vpol88]]</f>
        <v>4675200</v>
      </c>
      <c r="EC53" s="154">
        <f>Datos_Origen[[#This Row],[Ctpol1010]]-Datos_Origen[[#This Row],[Beneficios]]</f>
        <v>4675200</v>
      </c>
      <c r="ED53" s="154">
        <f>Datos_Origen[[#This Row],[Ctpol]]*$CP$6</f>
        <v>4675200</v>
      </c>
      <c r="EE53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54" spans="2:135">
      <c r="B54" s="148"/>
      <c r="C54" s="149"/>
      <c r="D54" s="150"/>
      <c r="E54" s="151"/>
      <c r="F54" s="151"/>
      <c r="G54" s="150" t="s">
        <v>328</v>
      </c>
      <c r="H54" s="153"/>
      <c r="I54" s="152" t="s">
        <v>328</v>
      </c>
      <c r="J54" s="130" t="str">
        <f>IFERROR(VLOOKUP(Datos_Origen[[#This Row],[Cargo Tipo Valorado]],Cargos_Catalogo[[#All],[Cargo]:[Área]],2,0),"")</f>
        <v xml:space="preserve">Jefe de compras </v>
      </c>
      <c r="K54" s="153"/>
      <c r="L54" s="153"/>
      <c r="M54" s="153"/>
      <c r="N54" s="153"/>
      <c r="O54" s="154">
        <f>Datos_Origen[[#This Row],[Segmentación Individual]]</f>
        <v>0</v>
      </c>
      <c r="P54" s="153"/>
      <c r="Q54" s="154">
        <f>VLOOKUP(Datos_Origen[[#This Row],[Cargo Tipo Valorado]],Cargos_Catalogo[#Data],MATCH(Cargos_Catalogo[[#Headers],[Puntos]],Cargos_Catalogo[#Headers],0),FALSE)</f>
        <v>236</v>
      </c>
      <c r="R54" s="130">
        <f>VLOOKUP(Datos_Origen[[#This Row],[Puntos valoración]],Categorias_Registro[#Data],MATCH(Categorias_Registro[[#Headers],[Categoria]],Categorias_Registro[#Headers],0),FALSE)</f>
        <v>8</v>
      </c>
      <c r="S54" s="130" t="str">
        <f>VLOOKUP(Datos_Origen[[#This Row],[Cargo Tipo Valorado]],Cargos_Catalogo[#Data],MATCH(Cargos_Catalogo[[#Headers],[Nivel SHR]],Cargos_Catalogo[#Headers],0),FALSE)</f>
        <v>Soporte</v>
      </c>
      <c r="T54" s="130" t="str">
        <f>VLOOKUP(Datos_Origen[[#This Row],[Cargo Tipo Valorado]],Cargos_Catalogo[#Data],MATCH(Cargos_Catalogo[[#Headers],[Criticidad]],Cargos_Catalogo[#Headers],0),FALSE)</f>
        <v>Relevante</v>
      </c>
      <c r="U54" s="154">
        <f>VLOOKUP(Datos_Origen[[#This Row],[Puntos valoración]],Categorias_Registro[#Data],5,FALSE)</f>
        <v>249</v>
      </c>
      <c r="V54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54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54" s="154">
        <f>SUMIF($BA$5:$BJ$5,"NCS",Datos_Origen[[#This Row],[auxilio Gasolina]:[Otro Beneficio10]])+(SUMIF($BA$5:$BJ$5,"CS",Datos_Origen[[#This Row],[auxilio Gasolina]:[Otro Beneficio10]])*1.17667)</f>
        <v>0</v>
      </c>
      <c r="Y54" s="155">
        <f>Datos_Origen[[#This Row],[Básico]]+Datos_Origen[[#This Row],[Promedio de Comisiones  ]]</f>
        <v>2404000</v>
      </c>
      <c r="Z54" s="155">
        <f>Datos_Origen[[#This Row],[Básico]]+Datos_Origen[[#This Row],[Promedio de Comisiones  ]]</f>
        <v>2404000</v>
      </c>
      <c r="AA54" s="155">
        <f>Datos_Origen[[#This Row],[Garantizado]]</f>
        <v>2828714.68</v>
      </c>
      <c r="AB54" s="155">
        <f>Datos_Origen[[#This Row],[Variable]]+Datos_Origen[[#This Row],[Garantizado]]</f>
        <v>2828714.68</v>
      </c>
      <c r="AC54" s="155">
        <f>Datos_Origen[[#This Row],[Beneficios]]+Datos_Origen[[#This Row],[Variable]]+Datos_Origen[[#This Row],[Garantizado]]</f>
        <v>2828714.68</v>
      </c>
      <c r="AD54" s="156">
        <v>14.12</v>
      </c>
      <c r="AE54" s="141">
        <v>230</v>
      </c>
      <c r="AF54" s="345">
        <v>5.2199999999999998E-3</v>
      </c>
      <c r="AG54" s="155">
        <f>Datos_Origen[[#This Row],[Básico Actual]]*230/Datos_Origen[[#This Row],['# horas mes]]</f>
        <v>2404000</v>
      </c>
      <c r="AH54" s="157">
        <v>2404000</v>
      </c>
      <c r="AI54" s="158"/>
      <c r="AJ54" s="158">
        <f>(((Datos_Origen[[#This Row],[Básico]])/30)*$AJ$6)/12</f>
        <v>0</v>
      </c>
      <c r="AK54" s="158"/>
      <c r="AL54" s="143">
        <f>((Datos_Origen[[#This Row],[Básico]])/30)*$AL$6/12</f>
        <v>0</v>
      </c>
      <c r="AM54" s="158"/>
      <c r="AN54" s="158"/>
      <c r="AO54" s="158"/>
      <c r="AP54" s="158"/>
      <c r="AQ54" s="158"/>
      <c r="AR54" s="149">
        <v>0</v>
      </c>
      <c r="AS54" s="149"/>
      <c r="AT54" s="159" t="str">
        <f>IFERROR(Datos_Origen[[#This Row],[Comisiones Target]]/Datos_Origen[[#This Row],[Promedio de Comisiones  ]],"")</f>
        <v/>
      </c>
      <c r="AU54" s="160"/>
      <c r="AV54" s="143">
        <v>0</v>
      </c>
      <c r="AW54" s="160"/>
      <c r="AX54" s="143">
        <f>Datos_Origen[[#This Row],[N Salarios de la Bonificación2]]*Datos_Origen[[#This Row],[Básico]]/12</f>
        <v>0</v>
      </c>
      <c r="AY54" s="160"/>
      <c r="AZ54" s="158"/>
      <c r="BA54" s="149">
        <v>0</v>
      </c>
      <c r="BB54" s="149"/>
      <c r="BC54" s="149"/>
      <c r="BD54" s="149"/>
      <c r="BE54" s="149"/>
      <c r="BF54" s="149"/>
      <c r="BG54" s="149"/>
      <c r="BH54" s="149"/>
      <c r="BI54" s="149"/>
      <c r="BJ54" s="149"/>
      <c r="BK54" s="159">
        <f>IFERROR(Datos_Origen[[#This Row],[Variable]]/Datos_Origen[[#This Row],[CT]],"")</f>
        <v>0</v>
      </c>
      <c r="BL54" s="159">
        <f>IFERROR(Datos_Origen[[#This Row],[Beneficios]]/Datos_Origen[[#This Row],[CT]],"")</f>
        <v>0</v>
      </c>
      <c r="BM54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3287369.2650705236</v>
      </c>
      <c r="BN54" s="161">
        <f>Datos_Origen[[#This Row],[G]]/Datos_Origen[[#This Row],[Geq]]</f>
        <v>0.86047974897621249</v>
      </c>
      <c r="BO54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3528440.0086889477</v>
      </c>
      <c r="BP54" s="161">
        <f>Datos_Origen[[#This Row],[G+V]]/Datos_Origen[[#This Row],[G+Veq]]</f>
        <v>0.80168988930920138</v>
      </c>
      <c r="BQ54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3530495.5025617885</v>
      </c>
      <c r="BR54" s="161">
        <f>Datos_Origen[[#This Row],[CT]]/Datos_Origen[[#This Row],[CTeq]]</f>
        <v>0.80122313651084842</v>
      </c>
      <c r="BS54" s="139">
        <f>ROUNDUP(VLOOKUP(Datos_Origen[[#This Row],[Categoria]],Competitividad_1[#All],2,0)*IndiceIncrementoC,-3)</f>
        <v>3243000</v>
      </c>
      <c r="BT54" s="161">
        <f>Datos_Origen[[#This Row],[G]]/Datos_Origen[[#This Row],[GQ1]]</f>
        <v>0.8722524452667284</v>
      </c>
      <c r="BU54" s="155">
        <f>ROUNDUP(VLOOKUP(Datos_Origen[[#This Row],[Categoria]],Competitividad_1[#All],3,0)*IndiceIncrementoC,-3)</f>
        <v>3349000</v>
      </c>
      <c r="BV54" s="161">
        <f>Datos_Origen[[#This Row],[G+V]]/Datos_Origen[[#This Row],[G+VQ1]]</f>
        <v>0.84464457449985075</v>
      </c>
      <c r="BW54" s="155">
        <f>ROUNDUP(VLOOKUP(Datos_Origen[[#This Row],[Categoria]],Competitividad_1[#All],4,0)*IndiceIncrementoC,-3)</f>
        <v>3485000</v>
      </c>
      <c r="BX54" s="161">
        <f>Datos_Origen[[#This Row],[CT]]/Datos_Origen[[#This Row],[CTQ1]]</f>
        <v>0.81168283500717364</v>
      </c>
      <c r="BY54" s="155">
        <f>ROUNDUP(VLOOKUP(Datos_Origen[[#This Row],[Categoria]],Competitividad_1[#All],5,0)*IndiceIncrementoC,-3)</f>
        <v>4089000</v>
      </c>
      <c r="BZ54" s="161">
        <f>Datos_Origen[[#This Row],[G]]/Datos_Origen[[#This Row],[GMd]]</f>
        <v>0.69178642210809493</v>
      </c>
      <c r="CA54" s="155">
        <f>ROUNDUP(VLOOKUP(Datos_Origen[[#This Row],[Categoria]],Competitividad_1[#All],6,0)*IndiceIncrementoC,-3)</f>
        <v>4138000</v>
      </c>
      <c r="CB54" s="161">
        <f>Datos_Origen[[#This Row],[G+V]]/Datos_Origen[[#This Row],[G+VMd]]</f>
        <v>0.68359465442242628</v>
      </c>
      <c r="CC54" s="155">
        <f>ROUNDUP(VLOOKUP(Datos_Origen[[#This Row],[Categoria]],Competitividad_1[#All],7,0)*IndiceIncrementoC,-3)</f>
        <v>4329000</v>
      </c>
      <c r="CD54" s="161">
        <f>Datos_Origen[[#This Row],[CT]]/Datos_Origen[[#This Row],[CTMd]]</f>
        <v>0.65343374451374459</v>
      </c>
      <c r="CE54" s="155">
        <f>+Datos_Origen[[#This Row],[GMd]]/1.17666666667</f>
        <v>3475070.8215199006</v>
      </c>
      <c r="CF54" s="161">
        <f>+Datos_Origen[[#This Row],[Básico Actual]]/Datos_Origen[[#This Row],[Salario Basico Md]]</f>
        <v>0.69178446238069946</v>
      </c>
      <c r="CG54" s="155">
        <f>ROUNDUP(VLOOKUP(Datos_Origen[[#This Row],[Categoria]],Competitividad_1[#All],8,0)*IndiceIncrementoC,-3)</f>
        <v>5334000</v>
      </c>
      <c r="CH54" s="161">
        <f>Datos_Origen[[#This Row],[G]]/Datos_Origen[[#This Row],[GQ3]]</f>
        <v>0.53031771278590178</v>
      </c>
      <c r="CI54" s="155">
        <f>ROUNDUP(VLOOKUP(Datos_Origen[[#This Row],[Categoria]],Competitividad_1[#All],9,0)*IndiceIncrementoC,-3)</f>
        <v>5483000</v>
      </c>
      <c r="CJ54" s="161">
        <f>Datos_Origen[[#This Row],[G+V]]/Datos_Origen[[#This Row],[G+VQ3]]</f>
        <v>0.51590637971913189</v>
      </c>
      <c r="CK54" s="155">
        <f>ROUNDUP(VLOOKUP(Datos_Origen[[#This Row],[Categoria]],Competitividad_1[#All],10,0)*IndiceIncrementoC,-3)</f>
        <v>5625000</v>
      </c>
      <c r="CL54" s="161">
        <f>Datos_Origen[[#This Row],[CT]]/Datos_Origen[[#This Row],[CTQ3]]</f>
        <v>0.50288260977777777</v>
      </c>
      <c r="CM54" s="162">
        <f>IF(ROUND(Datos_Origen[[#This Row],[Salario Ordinario Pol2]],-3)&lt;SMMLV,SMMLV,ROUND(Datos_Origen[[#This Row],[Salario Ordinario Pol2]],-3))</f>
        <v>2649000</v>
      </c>
      <c r="CN54" s="155">
        <f>IF(Datos_Origen[[#This Row],[Gpol]]/(1+FactorPrestacionalOrdinario)&lt;SMMLV,SMMLV,Datos_Origen[[#This Row],[Gpol]]/(1+FactorPrestacionalOrdinario))</f>
        <v>3311048.1586402263</v>
      </c>
      <c r="CO54" s="161">
        <f>IFERROR(IF(Datos_Origen[[#This Row],[Salarios Año]]=14.12,Datos_Origen[[#This Row],[Básico]]/Datos_Origen[[#This Row],[Salario Ordinario Pol]],""),"")</f>
        <v>0.72605407255304588</v>
      </c>
      <c r="CP54" s="155">
        <f>IF(ROUND(Datos_Origen[[#This Row],[Salario Ordinario Pol22]],-3)&lt;SMMLV,SMMLV,ROUND(Datos_Origen[[#This Row],[Salario Ordinario Pol22]],-3))</f>
        <v>3973000</v>
      </c>
      <c r="CQ54" s="155" t="str">
        <f>IFERROR(ROUND(Datos_Origen[[#This Row],[Salario Integral Pol4]],-3),"")</f>
        <v/>
      </c>
      <c r="CR54" s="139" t="str">
        <f>IF((Datos_Origen[[#This Row],[Gpol]]/(1+FactorPrestacionalIntegral))&lt;(13*SMMLV),"",(Datos_Origen[[#This Row],[Gpol]]/(1+FactorPrestacionalIntegral)))</f>
        <v/>
      </c>
      <c r="CS54" s="161" t="str">
        <f>IFERROR(IF(Datos_Origen[[#This Row],[Salarios Año]]=12,Datos_Origen[[#This Row],[Básico]]/Datos_Origen[[#This Row],[Salario Integral Pol]],""),"")</f>
        <v/>
      </c>
      <c r="CT54" s="155" t="str">
        <f>IFERROR(ROUND(Datos_Origen[[#This Row],[Salario Integral Pol44]],-3),"")</f>
        <v/>
      </c>
      <c r="CU54" s="155">
        <f>Datos_Origen[[#This Row],[G+Vpol]]-Datos_Origen[[#This Row],[Variable]]</f>
        <v>3896000</v>
      </c>
      <c r="CV54" s="161">
        <f>Datos_Origen[[#This Row],[G]]/Datos_Origen[[#This Row],[Gpol]]</f>
        <v>0.72605612936344976</v>
      </c>
      <c r="CW54" s="154">
        <f>Datos_Origen[[#This Row],[Ctpol]]-Datos_Origen[[#This Row],[Beneficios]]</f>
        <v>3896000</v>
      </c>
      <c r="CX54" s="161">
        <f>Datos_Origen[[#This Row],[G+V]]/Datos_Origen[[#This Row],[G+Vpol]]</f>
        <v>0.72605612936344976</v>
      </c>
      <c r="CY54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3896000</v>
      </c>
      <c r="CZ54" s="161">
        <f>Datos_Origen[[#This Row],[CT]]/Datos_Origen[[#This Row],[Ctpol]]</f>
        <v>0.72605612936344976</v>
      </c>
      <c r="DA54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54" s="158">
        <f>IF(Datos_Origen[[#This Row],[Básico]]&lt;10*SMMLV,0,Datos_Origen[[#This Row],[Base Seguridad Social Actual]]*8.5%)</f>
        <v>0</v>
      </c>
      <c r="DC54" s="158">
        <f>Datos_Origen[[#This Row],[Base Seguridad Social Actual]]*12%</f>
        <v>288480</v>
      </c>
      <c r="DD54" s="158">
        <f>Datos_Origen[[#This Row],[Base Seguridad Social Actual]]*Datos_Origen[[#This Row],[%ARL]]</f>
        <v>12548.88</v>
      </c>
      <c r="DE54" s="158">
        <f>IF(Datos_Origen[[#This Row],[Básico]]&lt;10*SMMLV,Datos_Origen[[#This Row],[Base Seguridad Social Actual]]*4%,Datos_Origen[[#This Row],[Base Seguridad Social Actual]]*9%)</f>
        <v>96160</v>
      </c>
      <c r="DF54" s="158">
        <f>Datos_Origen[[#This Row],[Salud]]+Datos_Origen[[#This Row],[Pensión]]+Datos_Origen[[#This Row],[ARL]]+Datos_Origen[[#This Row],[Parafiscales]]</f>
        <v>397188.88</v>
      </c>
      <c r="DG54" s="158">
        <f>Datos_Origen[[#This Row],[Costo Laboral Actual]]+Datos_Origen[[#This Row],[CT]]</f>
        <v>3225903.56</v>
      </c>
      <c r="DH54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3311048.1586402263</v>
      </c>
      <c r="DI54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54" s="158">
        <f>Datos_Origen[[#This Row],[Base Seguridad Social Nueva]]*12%</f>
        <v>397325.77903682715</v>
      </c>
      <c r="DK54" s="158">
        <f>Datos_Origen[[#This Row],[Base Seguridad Social Nueva]]*Datos_Origen[[#This Row],[%ARL]]</f>
        <v>17283.671388101982</v>
      </c>
      <c r="DL54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132441.92634560907</v>
      </c>
      <c r="DM54" s="158">
        <f>Datos_Origen[[#This Row],[Salud Nueva]]+Datos_Origen[[#This Row],[Pensión Nueva]]+Datos_Origen[[#This Row],[ARL nueva]]+Datos_Origen[[#This Row],[Parafiscales Nuevos]]</f>
        <v>547051.37677053828</v>
      </c>
      <c r="DN54" s="158">
        <f>Datos_Origen[[#This Row],[Costo Laboral Nuevo]]+Datos_Origen[[#This Row],[Ctpol]]</f>
        <v>4443051.3767705383</v>
      </c>
      <c r="DO54" s="158">
        <f>IF(Datos_Origen[[#This Row],[Ctpol]]-Datos_Origen[[#This Row],[CT]]&lt;=0,0,Datos_Origen[[#This Row],[Costo Total Nuevo]]-Datos_Origen[[#This Row],[Costo Total Actual]])</f>
        <v>1217147.8167705382</v>
      </c>
      <c r="DP54" s="158">
        <f>IF(Datos_Origen[[#This Row],[Ctpol]]-Datos_Origen[[#This Row],[CT]]&lt;=0,0,Datos_Origen[[#This Row],[Ctpol]]-Datos_Origen[[#This Row],[CT]])</f>
        <v>1067285.3199999998</v>
      </c>
      <c r="DQ54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149862.49677053827</v>
      </c>
      <c r="DR54" s="158">
        <f>ROUNDDOWN(VLOOKUP(Datos_Origen[[#This Row],[Categoria]],Competitividad_1[],7,0)*IndiceIncrementoC,-3)</f>
        <v>4328000</v>
      </c>
      <c r="DS54" s="158">
        <f>Datos_Origen[[#This Row],[CTeq]]*0.8</f>
        <v>2824396.4020494311</v>
      </c>
      <c r="DT54" s="158">
        <f>Datos_Origen[[#This Row],[CTeq]]*1.2</f>
        <v>4236594.6030741464</v>
      </c>
      <c r="DU54" s="155">
        <f>IF(Datos_Origen[[#This Row],[Gpol6]]/(1+FactorPrestacionalOrdinario)&lt;SMMLV,SMMLV,Datos_Origen[[#This Row],[Gpol6]]/(1+FactorPrestacionalOrdinario))</f>
        <v>2648838.5269121812</v>
      </c>
      <c r="DV54" s="139" t="str">
        <f>IF((Datos_Origen[[#This Row],[Gpol6]]/(1+FactorPrestacionalIntegral))&lt;(13*SMMLV),"",(Datos_Origen[[#This Row],[Gpol6]]/(1+FactorPrestacionalIntegral)))</f>
        <v/>
      </c>
      <c r="DW54" s="154">
        <f>Datos_Origen[[#This Row],[G+Vpol8]]</f>
        <v>3116800</v>
      </c>
      <c r="DX54" s="154">
        <f>Datos_Origen[[#This Row],[Ctpol10]]-Datos_Origen[[#This Row],[Beneficios]]</f>
        <v>3116800</v>
      </c>
      <c r="DY54" s="154">
        <f>Datos_Origen[[#This Row],[Ctpol]]*$CM$6</f>
        <v>3116800</v>
      </c>
      <c r="DZ54" s="155">
        <f>IF(Datos_Origen[[#This Row],[Gpol66]]/(1+FactorPrestacionalOrdinario)&lt;SMMLV,SMMLV,Datos_Origen[[#This Row],[Gpol66]]/(1+FactorPrestacionalOrdinario))</f>
        <v>3973257.7903682715</v>
      </c>
      <c r="EA54" s="139" t="str">
        <f>IF((Datos_Origen[[#This Row],[Gpol66]]/(1+FactorPrestacionalIntegral))&lt;(13*SMMLV),"",(Datos_Origen[[#This Row],[Gpol66]]/(1+FactorPrestacionalIntegral)))</f>
        <v/>
      </c>
      <c r="EB54" s="154">
        <f>Datos_Origen[[#This Row],[G+Vpol88]]</f>
        <v>4675200</v>
      </c>
      <c r="EC54" s="154">
        <f>Datos_Origen[[#This Row],[Ctpol1010]]-Datos_Origen[[#This Row],[Beneficios]]</f>
        <v>4675200</v>
      </c>
      <c r="ED54" s="154">
        <f>Datos_Origen[[#This Row],[Ctpol]]*$CP$6</f>
        <v>4675200</v>
      </c>
      <c r="EE54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55" spans="2:135">
      <c r="B55" s="148"/>
      <c r="C55" s="149"/>
      <c r="D55" s="150"/>
      <c r="E55" s="151"/>
      <c r="F55" s="151"/>
      <c r="G55" s="150" t="s">
        <v>332</v>
      </c>
      <c r="H55" s="153"/>
      <c r="I55" s="152" t="s">
        <v>332</v>
      </c>
      <c r="J55" s="130" t="str">
        <f>IFERROR(VLOOKUP(Datos_Origen[[#This Row],[Cargo Tipo Valorado]],Cargos_Catalogo[[#All],[Cargo]:[Área]],2,0),"")</f>
        <v>Directora de diseño y desarrollo</v>
      </c>
      <c r="K55" s="153"/>
      <c r="L55" s="153"/>
      <c r="M55" s="153"/>
      <c r="N55" s="153"/>
      <c r="O55" s="154">
        <f>Datos_Origen[[#This Row],[Segmentación Individual]]</f>
        <v>0</v>
      </c>
      <c r="P55" s="153"/>
      <c r="Q55" s="154">
        <f>VLOOKUP(Datos_Origen[[#This Row],[Cargo Tipo Valorado]],Cargos_Catalogo[#Data],MATCH(Cargos_Catalogo[[#Headers],[Puntos]],Cargos_Catalogo[#Headers],0),FALSE)</f>
        <v>236</v>
      </c>
      <c r="R55" s="130">
        <f>VLOOKUP(Datos_Origen[[#This Row],[Puntos valoración]],Categorias_Registro[#Data],MATCH(Categorias_Registro[[#Headers],[Categoria]],Categorias_Registro[#Headers],0),FALSE)</f>
        <v>8</v>
      </c>
      <c r="S55" s="130" t="str">
        <f>VLOOKUP(Datos_Origen[[#This Row],[Cargo Tipo Valorado]],Cargos_Catalogo[#Data],MATCH(Cargos_Catalogo[[#Headers],[Nivel SHR]],Cargos_Catalogo[#Headers],0),FALSE)</f>
        <v>Soporte</v>
      </c>
      <c r="T55" s="130" t="str">
        <f>VLOOKUP(Datos_Origen[[#This Row],[Cargo Tipo Valorado]],Cargos_Catalogo[#Data],MATCH(Cargos_Catalogo[[#Headers],[Criticidad]],Cargos_Catalogo[#Headers],0),FALSE)</f>
        <v>Relevante</v>
      </c>
      <c r="U55" s="154">
        <f>VLOOKUP(Datos_Origen[[#This Row],[Puntos valoración]],Categorias_Registro[#Data],5,FALSE)</f>
        <v>249</v>
      </c>
      <c r="V55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55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55" s="154">
        <f>SUMIF($BA$5:$BJ$5,"NCS",Datos_Origen[[#This Row],[auxilio Gasolina]:[Otro Beneficio10]])+(SUMIF($BA$5:$BJ$5,"CS",Datos_Origen[[#This Row],[auxilio Gasolina]:[Otro Beneficio10]])*1.17667)</f>
        <v>0</v>
      </c>
      <c r="Y55" s="155">
        <f>Datos_Origen[[#This Row],[Básico]]+Datos_Origen[[#This Row],[Promedio de Comisiones  ]]</f>
        <v>2404000</v>
      </c>
      <c r="Z55" s="155">
        <f>Datos_Origen[[#This Row],[Básico]]+Datos_Origen[[#This Row],[Promedio de Comisiones  ]]</f>
        <v>2404000</v>
      </c>
      <c r="AA55" s="155">
        <f>Datos_Origen[[#This Row],[Garantizado]]</f>
        <v>2828714.68</v>
      </c>
      <c r="AB55" s="155">
        <f>Datos_Origen[[#This Row],[Variable]]+Datos_Origen[[#This Row],[Garantizado]]</f>
        <v>2828714.68</v>
      </c>
      <c r="AC55" s="155">
        <f>Datos_Origen[[#This Row],[Beneficios]]+Datos_Origen[[#This Row],[Variable]]+Datos_Origen[[#This Row],[Garantizado]]</f>
        <v>2828714.68</v>
      </c>
      <c r="AD55" s="156">
        <v>14.12</v>
      </c>
      <c r="AE55" s="141">
        <v>230</v>
      </c>
      <c r="AF55" s="345">
        <v>5.2199999999999998E-3</v>
      </c>
      <c r="AG55" s="155">
        <f>Datos_Origen[[#This Row],[Básico Actual]]*230/Datos_Origen[[#This Row],['# horas mes]]</f>
        <v>2404000</v>
      </c>
      <c r="AH55" s="157">
        <v>2404000</v>
      </c>
      <c r="AI55" s="158"/>
      <c r="AJ55" s="158">
        <f>(((Datos_Origen[[#This Row],[Básico]])/30)*$AJ$6)/12</f>
        <v>0</v>
      </c>
      <c r="AK55" s="158"/>
      <c r="AL55" s="143">
        <f>((Datos_Origen[[#This Row],[Básico]])/30)*$AL$6/12</f>
        <v>0</v>
      </c>
      <c r="AM55" s="158"/>
      <c r="AN55" s="158"/>
      <c r="AO55" s="158"/>
      <c r="AP55" s="158"/>
      <c r="AQ55" s="158"/>
      <c r="AR55" s="149">
        <v>0</v>
      </c>
      <c r="AS55" s="149"/>
      <c r="AT55" s="159" t="str">
        <f>IFERROR(Datos_Origen[[#This Row],[Comisiones Target]]/Datos_Origen[[#This Row],[Promedio de Comisiones  ]],"")</f>
        <v/>
      </c>
      <c r="AU55" s="160"/>
      <c r="AV55" s="143">
        <v>0</v>
      </c>
      <c r="AW55" s="160"/>
      <c r="AX55" s="143">
        <f>Datos_Origen[[#This Row],[N Salarios de la Bonificación2]]*Datos_Origen[[#This Row],[Básico]]/12</f>
        <v>0</v>
      </c>
      <c r="AY55" s="160"/>
      <c r="AZ55" s="158"/>
      <c r="BA55" s="149">
        <v>0</v>
      </c>
      <c r="BB55" s="149"/>
      <c r="BC55" s="149"/>
      <c r="BD55" s="149"/>
      <c r="BE55" s="149"/>
      <c r="BF55" s="149"/>
      <c r="BG55" s="149"/>
      <c r="BH55" s="149"/>
      <c r="BI55" s="149"/>
      <c r="BJ55" s="149"/>
      <c r="BK55" s="159">
        <f>IFERROR(Datos_Origen[[#This Row],[Variable]]/Datos_Origen[[#This Row],[CT]],"")</f>
        <v>0</v>
      </c>
      <c r="BL55" s="159">
        <f>IFERROR(Datos_Origen[[#This Row],[Beneficios]]/Datos_Origen[[#This Row],[CT]],"")</f>
        <v>0</v>
      </c>
      <c r="BM55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3287369.2650705236</v>
      </c>
      <c r="BN55" s="161">
        <f>Datos_Origen[[#This Row],[G]]/Datos_Origen[[#This Row],[Geq]]</f>
        <v>0.86047974897621249</v>
      </c>
      <c r="BO55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3528440.0086889477</v>
      </c>
      <c r="BP55" s="161">
        <f>Datos_Origen[[#This Row],[G+V]]/Datos_Origen[[#This Row],[G+Veq]]</f>
        <v>0.80168988930920138</v>
      </c>
      <c r="BQ55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3530495.5025617885</v>
      </c>
      <c r="BR55" s="161">
        <f>Datos_Origen[[#This Row],[CT]]/Datos_Origen[[#This Row],[CTeq]]</f>
        <v>0.80122313651084842</v>
      </c>
      <c r="BS55" s="139">
        <f>ROUNDUP(VLOOKUP(Datos_Origen[[#This Row],[Categoria]],Competitividad_1[#All],2,0)*IndiceIncrementoC,-3)</f>
        <v>3243000</v>
      </c>
      <c r="BT55" s="161">
        <f>Datos_Origen[[#This Row],[G]]/Datos_Origen[[#This Row],[GQ1]]</f>
        <v>0.8722524452667284</v>
      </c>
      <c r="BU55" s="155">
        <f>ROUNDUP(VLOOKUP(Datos_Origen[[#This Row],[Categoria]],Competitividad_1[#All],3,0)*IndiceIncrementoC,-3)</f>
        <v>3349000</v>
      </c>
      <c r="BV55" s="161">
        <f>Datos_Origen[[#This Row],[G+V]]/Datos_Origen[[#This Row],[G+VQ1]]</f>
        <v>0.84464457449985075</v>
      </c>
      <c r="BW55" s="155">
        <f>ROUNDUP(VLOOKUP(Datos_Origen[[#This Row],[Categoria]],Competitividad_1[#All],4,0)*IndiceIncrementoC,-3)</f>
        <v>3485000</v>
      </c>
      <c r="BX55" s="161">
        <f>Datos_Origen[[#This Row],[CT]]/Datos_Origen[[#This Row],[CTQ1]]</f>
        <v>0.81168283500717364</v>
      </c>
      <c r="BY55" s="155">
        <f>ROUNDUP(VLOOKUP(Datos_Origen[[#This Row],[Categoria]],Competitividad_1[#All],5,0)*IndiceIncrementoC,-3)</f>
        <v>4089000</v>
      </c>
      <c r="BZ55" s="161">
        <f>Datos_Origen[[#This Row],[G]]/Datos_Origen[[#This Row],[GMd]]</f>
        <v>0.69178642210809493</v>
      </c>
      <c r="CA55" s="155">
        <f>ROUNDUP(VLOOKUP(Datos_Origen[[#This Row],[Categoria]],Competitividad_1[#All],6,0)*IndiceIncrementoC,-3)</f>
        <v>4138000</v>
      </c>
      <c r="CB55" s="161">
        <f>Datos_Origen[[#This Row],[G+V]]/Datos_Origen[[#This Row],[G+VMd]]</f>
        <v>0.68359465442242628</v>
      </c>
      <c r="CC55" s="155">
        <f>ROUNDUP(VLOOKUP(Datos_Origen[[#This Row],[Categoria]],Competitividad_1[#All],7,0)*IndiceIncrementoC,-3)</f>
        <v>4329000</v>
      </c>
      <c r="CD55" s="161">
        <f>Datos_Origen[[#This Row],[CT]]/Datos_Origen[[#This Row],[CTMd]]</f>
        <v>0.65343374451374459</v>
      </c>
      <c r="CE55" s="155">
        <f>+Datos_Origen[[#This Row],[GMd]]/1.17666666667</f>
        <v>3475070.8215199006</v>
      </c>
      <c r="CF55" s="161">
        <f>+Datos_Origen[[#This Row],[Básico Actual]]/Datos_Origen[[#This Row],[Salario Basico Md]]</f>
        <v>0.69178446238069946</v>
      </c>
      <c r="CG55" s="155">
        <f>ROUNDUP(VLOOKUP(Datos_Origen[[#This Row],[Categoria]],Competitividad_1[#All],8,0)*IndiceIncrementoC,-3)</f>
        <v>5334000</v>
      </c>
      <c r="CH55" s="161">
        <f>Datos_Origen[[#This Row],[G]]/Datos_Origen[[#This Row],[GQ3]]</f>
        <v>0.53031771278590178</v>
      </c>
      <c r="CI55" s="155">
        <f>ROUNDUP(VLOOKUP(Datos_Origen[[#This Row],[Categoria]],Competitividad_1[#All],9,0)*IndiceIncrementoC,-3)</f>
        <v>5483000</v>
      </c>
      <c r="CJ55" s="161">
        <f>Datos_Origen[[#This Row],[G+V]]/Datos_Origen[[#This Row],[G+VQ3]]</f>
        <v>0.51590637971913189</v>
      </c>
      <c r="CK55" s="155">
        <f>ROUNDUP(VLOOKUP(Datos_Origen[[#This Row],[Categoria]],Competitividad_1[#All],10,0)*IndiceIncrementoC,-3)</f>
        <v>5625000</v>
      </c>
      <c r="CL55" s="161">
        <f>Datos_Origen[[#This Row],[CT]]/Datos_Origen[[#This Row],[CTQ3]]</f>
        <v>0.50288260977777777</v>
      </c>
      <c r="CM55" s="162">
        <f>IF(ROUND(Datos_Origen[[#This Row],[Salario Ordinario Pol2]],-3)&lt;SMMLV,SMMLV,ROUND(Datos_Origen[[#This Row],[Salario Ordinario Pol2]],-3))</f>
        <v>2649000</v>
      </c>
      <c r="CN55" s="155">
        <f>IF(Datos_Origen[[#This Row],[Gpol]]/(1+FactorPrestacionalOrdinario)&lt;SMMLV,SMMLV,Datos_Origen[[#This Row],[Gpol]]/(1+FactorPrestacionalOrdinario))</f>
        <v>3311048.1586402263</v>
      </c>
      <c r="CO55" s="161">
        <f>IFERROR(IF(Datos_Origen[[#This Row],[Salarios Año]]=14.12,Datos_Origen[[#This Row],[Básico]]/Datos_Origen[[#This Row],[Salario Ordinario Pol]],""),"")</f>
        <v>0.72605407255304588</v>
      </c>
      <c r="CP55" s="155">
        <f>IF(ROUND(Datos_Origen[[#This Row],[Salario Ordinario Pol22]],-3)&lt;SMMLV,SMMLV,ROUND(Datos_Origen[[#This Row],[Salario Ordinario Pol22]],-3))</f>
        <v>3973000</v>
      </c>
      <c r="CQ55" s="155" t="str">
        <f>IFERROR(ROUND(Datos_Origen[[#This Row],[Salario Integral Pol4]],-3),"")</f>
        <v/>
      </c>
      <c r="CR55" s="139" t="str">
        <f>IF((Datos_Origen[[#This Row],[Gpol]]/(1+FactorPrestacionalIntegral))&lt;(13*SMMLV),"",(Datos_Origen[[#This Row],[Gpol]]/(1+FactorPrestacionalIntegral)))</f>
        <v/>
      </c>
      <c r="CS55" s="161" t="str">
        <f>IFERROR(IF(Datos_Origen[[#This Row],[Salarios Año]]=12,Datos_Origen[[#This Row],[Básico]]/Datos_Origen[[#This Row],[Salario Integral Pol]],""),"")</f>
        <v/>
      </c>
      <c r="CT55" s="155" t="str">
        <f>IFERROR(ROUND(Datos_Origen[[#This Row],[Salario Integral Pol44]],-3),"")</f>
        <v/>
      </c>
      <c r="CU55" s="155">
        <f>Datos_Origen[[#This Row],[G+Vpol]]-Datos_Origen[[#This Row],[Variable]]</f>
        <v>3896000</v>
      </c>
      <c r="CV55" s="161">
        <f>Datos_Origen[[#This Row],[G]]/Datos_Origen[[#This Row],[Gpol]]</f>
        <v>0.72605612936344976</v>
      </c>
      <c r="CW55" s="154">
        <f>Datos_Origen[[#This Row],[Ctpol]]-Datos_Origen[[#This Row],[Beneficios]]</f>
        <v>3896000</v>
      </c>
      <c r="CX55" s="161">
        <f>Datos_Origen[[#This Row],[G+V]]/Datos_Origen[[#This Row],[G+Vpol]]</f>
        <v>0.72605612936344976</v>
      </c>
      <c r="CY55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3896000</v>
      </c>
      <c r="CZ55" s="161">
        <f>Datos_Origen[[#This Row],[CT]]/Datos_Origen[[#This Row],[Ctpol]]</f>
        <v>0.72605612936344976</v>
      </c>
      <c r="DA55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55" s="158">
        <f>IF(Datos_Origen[[#This Row],[Básico]]&lt;10*SMMLV,0,Datos_Origen[[#This Row],[Base Seguridad Social Actual]]*8.5%)</f>
        <v>0</v>
      </c>
      <c r="DC55" s="158">
        <f>Datos_Origen[[#This Row],[Base Seguridad Social Actual]]*12%</f>
        <v>288480</v>
      </c>
      <c r="DD55" s="158">
        <f>Datos_Origen[[#This Row],[Base Seguridad Social Actual]]*Datos_Origen[[#This Row],[%ARL]]</f>
        <v>12548.88</v>
      </c>
      <c r="DE55" s="158">
        <f>IF(Datos_Origen[[#This Row],[Básico]]&lt;10*SMMLV,Datos_Origen[[#This Row],[Base Seguridad Social Actual]]*4%,Datos_Origen[[#This Row],[Base Seguridad Social Actual]]*9%)</f>
        <v>96160</v>
      </c>
      <c r="DF55" s="158">
        <f>Datos_Origen[[#This Row],[Salud]]+Datos_Origen[[#This Row],[Pensión]]+Datos_Origen[[#This Row],[ARL]]+Datos_Origen[[#This Row],[Parafiscales]]</f>
        <v>397188.88</v>
      </c>
      <c r="DG55" s="158">
        <f>Datos_Origen[[#This Row],[Costo Laboral Actual]]+Datos_Origen[[#This Row],[CT]]</f>
        <v>3225903.56</v>
      </c>
      <c r="DH55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3311048.1586402263</v>
      </c>
      <c r="DI55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55" s="158">
        <f>Datos_Origen[[#This Row],[Base Seguridad Social Nueva]]*12%</f>
        <v>397325.77903682715</v>
      </c>
      <c r="DK55" s="158">
        <f>Datos_Origen[[#This Row],[Base Seguridad Social Nueva]]*Datos_Origen[[#This Row],[%ARL]]</f>
        <v>17283.671388101982</v>
      </c>
      <c r="DL55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132441.92634560907</v>
      </c>
      <c r="DM55" s="158">
        <f>Datos_Origen[[#This Row],[Salud Nueva]]+Datos_Origen[[#This Row],[Pensión Nueva]]+Datos_Origen[[#This Row],[ARL nueva]]+Datos_Origen[[#This Row],[Parafiscales Nuevos]]</f>
        <v>547051.37677053828</v>
      </c>
      <c r="DN55" s="158">
        <f>Datos_Origen[[#This Row],[Costo Laboral Nuevo]]+Datos_Origen[[#This Row],[Ctpol]]</f>
        <v>4443051.3767705383</v>
      </c>
      <c r="DO55" s="158">
        <f>IF(Datos_Origen[[#This Row],[Ctpol]]-Datos_Origen[[#This Row],[CT]]&lt;=0,0,Datos_Origen[[#This Row],[Costo Total Nuevo]]-Datos_Origen[[#This Row],[Costo Total Actual]])</f>
        <v>1217147.8167705382</v>
      </c>
      <c r="DP55" s="158">
        <f>IF(Datos_Origen[[#This Row],[Ctpol]]-Datos_Origen[[#This Row],[CT]]&lt;=0,0,Datos_Origen[[#This Row],[Ctpol]]-Datos_Origen[[#This Row],[CT]])</f>
        <v>1067285.3199999998</v>
      </c>
      <c r="DQ55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149862.49677053827</v>
      </c>
      <c r="DR55" s="158">
        <f>ROUNDDOWN(VLOOKUP(Datos_Origen[[#This Row],[Categoria]],Competitividad_1[],7,0)*IndiceIncrementoC,-3)</f>
        <v>4328000</v>
      </c>
      <c r="DS55" s="158">
        <f>Datos_Origen[[#This Row],[CTeq]]*0.8</f>
        <v>2824396.4020494311</v>
      </c>
      <c r="DT55" s="158">
        <f>Datos_Origen[[#This Row],[CTeq]]*1.2</f>
        <v>4236594.6030741464</v>
      </c>
      <c r="DU55" s="155">
        <f>IF(Datos_Origen[[#This Row],[Gpol6]]/(1+FactorPrestacionalOrdinario)&lt;SMMLV,SMMLV,Datos_Origen[[#This Row],[Gpol6]]/(1+FactorPrestacionalOrdinario))</f>
        <v>2648838.5269121812</v>
      </c>
      <c r="DV55" s="139" t="str">
        <f>IF((Datos_Origen[[#This Row],[Gpol6]]/(1+FactorPrestacionalIntegral))&lt;(13*SMMLV),"",(Datos_Origen[[#This Row],[Gpol6]]/(1+FactorPrestacionalIntegral)))</f>
        <v/>
      </c>
      <c r="DW55" s="154">
        <f>Datos_Origen[[#This Row],[G+Vpol8]]</f>
        <v>3116800</v>
      </c>
      <c r="DX55" s="154">
        <f>Datos_Origen[[#This Row],[Ctpol10]]-Datos_Origen[[#This Row],[Beneficios]]</f>
        <v>3116800</v>
      </c>
      <c r="DY55" s="154">
        <f>Datos_Origen[[#This Row],[Ctpol]]*$CM$6</f>
        <v>3116800</v>
      </c>
      <c r="DZ55" s="155">
        <f>IF(Datos_Origen[[#This Row],[Gpol66]]/(1+FactorPrestacionalOrdinario)&lt;SMMLV,SMMLV,Datos_Origen[[#This Row],[Gpol66]]/(1+FactorPrestacionalOrdinario))</f>
        <v>3973257.7903682715</v>
      </c>
      <c r="EA55" s="139" t="str">
        <f>IF((Datos_Origen[[#This Row],[Gpol66]]/(1+FactorPrestacionalIntegral))&lt;(13*SMMLV),"",(Datos_Origen[[#This Row],[Gpol66]]/(1+FactorPrestacionalIntegral)))</f>
        <v/>
      </c>
      <c r="EB55" s="154">
        <f>Datos_Origen[[#This Row],[G+Vpol88]]</f>
        <v>4675200</v>
      </c>
      <c r="EC55" s="154">
        <f>Datos_Origen[[#This Row],[Ctpol1010]]-Datos_Origen[[#This Row],[Beneficios]]</f>
        <v>4675200</v>
      </c>
      <c r="ED55" s="154">
        <f>Datos_Origen[[#This Row],[Ctpol]]*$CP$6</f>
        <v>4675200</v>
      </c>
      <c r="EE55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56" spans="2:135">
      <c r="B56" s="132"/>
      <c r="C56" s="149"/>
      <c r="D56" s="150"/>
      <c r="E56" s="151"/>
      <c r="F56" s="151"/>
      <c r="G56" s="150" t="s">
        <v>332</v>
      </c>
      <c r="H56" s="153"/>
      <c r="I56" s="152" t="s">
        <v>332</v>
      </c>
      <c r="J56" s="130" t="str">
        <f>IFERROR(VLOOKUP(Datos_Origen[[#This Row],[Cargo Tipo Valorado]],Cargos_Catalogo[[#All],[Cargo]:[Área]],2,0),"")</f>
        <v>Directora de diseño y desarrollo</v>
      </c>
      <c r="K56" s="153"/>
      <c r="L56" s="153"/>
      <c r="M56" s="153"/>
      <c r="N56" s="153"/>
      <c r="O56" s="154">
        <f>Datos_Origen[[#This Row],[Segmentación Individual]]</f>
        <v>0</v>
      </c>
      <c r="P56" s="153"/>
      <c r="Q56" s="154">
        <f>VLOOKUP(Datos_Origen[[#This Row],[Cargo Tipo Valorado]],Cargos_Catalogo[#Data],MATCH(Cargos_Catalogo[[#Headers],[Puntos]],Cargos_Catalogo[#Headers],0),FALSE)</f>
        <v>236</v>
      </c>
      <c r="R56" s="130">
        <f>VLOOKUP(Datos_Origen[[#This Row],[Puntos valoración]],Categorias_Registro[#Data],MATCH(Categorias_Registro[[#Headers],[Categoria]],Categorias_Registro[#Headers],0),FALSE)</f>
        <v>8</v>
      </c>
      <c r="S56" s="130" t="str">
        <f>VLOOKUP(Datos_Origen[[#This Row],[Cargo Tipo Valorado]],Cargos_Catalogo[#Data],MATCH(Cargos_Catalogo[[#Headers],[Nivel SHR]],Cargos_Catalogo[#Headers],0),FALSE)</f>
        <v>Soporte</v>
      </c>
      <c r="T56" s="130" t="str">
        <f>VLOOKUP(Datos_Origen[[#This Row],[Cargo Tipo Valorado]],Cargos_Catalogo[#Data],MATCH(Cargos_Catalogo[[#Headers],[Criticidad]],Cargos_Catalogo[#Headers],0),FALSE)</f>
        <v>Relevante</v>
      </c>
      <c r="U56" s="154">
        <f>VLOOKUP(Datos_Origen[[#This Row],[Puntos valoración]],Categorias_Registro[#Data],5,FALSE)</f>
        <v>249</v>
      </c>
      <c r="V56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56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56" s="154">
        <f>SUMIF($BA$5:$BJ$5,"NCS",Datos_Origen[[#This Row],[auxilio Gasolina]:[Otro Beneficio10]])+(SUMIF($BA$5:$BJ$5,"CS",Datos_Origen[[#This Row],[auxilio Gasolina]:[Otro Beneficio10]])*1.17667)</f>
        <v>0</v>
      </c>
      <c r="Y56" s="155">
        <f>Datos_Origen[[#This Row],[Básico]]+Datos_Origen[[#This Row],[Promedio de Comisiones  ]]</f>
        <v>2404000</v>
      </c>
      <c r="Z56" s="155">
        <f>Datos_Origen[[#This Row],[Básico]]+Datos_Origen[[#This Row],[Promedio de Comisiones  ]]</f>
        <v>2404000</v>
      </c>
      <c r="AA56" s="155">
        <f>Datos_Origen[[#This Row],[Garantizado]]</f>
        <v>2828714.68</v>
      </c>
      <c r="AB56" s="155">
        <f>Datos_Origen[[#This Row],[Variable]]+Datos_Origen[[#This Row],[Garantizado]]</f>
        <v>2828714.68</v>
      </c>
      <c r="AC56" s="155">
        <f>Datos_Origen[[#This Row],[Beneficios]]+Datos_Origen[[#This Row],[Variable]]+Datos_Origen[[#This Row],[Garantizado]]</f>
        <v>2828714.68</v>
      </c>
      <c r="AD56" s="156">
        <v>14.12</v>
      </c>
      <c r="AE56" s="141">
        <v>230</v>
      </c>
      <c r="AF56" s="345">
        <v>5.2199999999999998E-3</v>
      </c>
      <c r="AG56" s="155">
        <f>Datos_Origen[[#This Row],[Básico Actual]]*230/Datos_Origen[[#This Row],['# horas mes]]</f>
        <v>2404000</v>
      </c>
      <c r="AH56" s="157">
        <v>2404000</v>
      </c>
      <c r="AI56" s="158"/>
      <c r="AJ56" s="158">
        <f>(((Datos_Origen[[#This Row],[Básico]])/30)*$AJ$6)/12</f>
        <v>0</v>
      </c>
      <c r="AK56" s="158"/>
      <c r="AL56" s="143">
        <f>((Datos_Origen[[#This Row],[Básico]])/30)*$AL$6/12</f>
        <v>0</v>
      </c>
      <c r="AM56" s="158"/>
      <c r="AN56" s="158"/>
      <c r="AO56" s="158"/>
      <c r="AP56" s="158"/>
      <c r="AQ56" s="158"/>
      <c r="AR56" s="149">
        <v>0</v>
      </c>
      <c r="AS56" s="149"/>
      <c r="AT56" s="159" t="str">
        <f>IFERROR(Datos_Origen[[#This Row],[Comisiones Target]]/Datos_Origen[[#This Row],[Promedio de Comisiones  ]],"")</f>
        <v/>
      </c>
      <c r="AU56" s="160"/>
      <c r="AV56" s="143">
        <v>0</v>
      </c>
      <c r="AW56" s="160"/>
      <c r="AX56" s="143">
        <f>Datos_Origen[[#This Row],[N Salarios de la Bonificación2]]*Datos_Origen[[#This Row],[Básico]]/12</f>
        <v>0</v>
      </c>
      <c r="AY56" s="160"/>
      <c r="AZ56" s="158"/>
      <c r="BA56" s="149">
        <v>0</v>
      </c>
      <c r="BB56" s="149"/>
      <c r="BC56" s="149"/>
      <c r="BD56" s="149"/>
      <c r="BE56" s="149"/>
      <c r="BF56" s="149"/>
      <c r="BG56" s="149"/>
      <c r="BH56" s="149"/>
      <c r="BI56" s="149"/>
      <c r="BJ56" s="149"/>
      <c r="BK56" s="159">
        <f>IFERROR(Datos_Origen[[#This Row],[Variable]]/Datos_Origen[[#This Row],[CT]],"")</f>
        <v>0</v>
      </c>
      <c r="BL56" s="159">
        <f>IFERROR(Datos_Origen[[#This Row],[Beneficios]]/Datos_Origen[[#This Row],[CT]],"")</f>
        <v>0</v>
      </c>
      <c r="BM56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3287369.2650705236</v>
      </c>
      <c r="BN56" s="161">
        <f>Datos_Origen[[#This Row],[G]]/Datos_Origen[[#This Row],[Geq]]</f>
        <v>0.86047974897621249</v>
      </c>
      <c r="BO56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3528440.0086889477</v>
      </c>
      <c r="BP56" s="161">
        <f>Datos_Origen[[#This Row],[G+V]]/Datos_Origen[[#This Row],[G+Veq]]</f>
        <v>0.80168988930920138</v>
      </c>
      <c r="BQ56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3530495.5025617885</v>
      </c>
      <c r="BR56" s="161">
        <f>Datos_Origen[[#This Row],[CT]]/Datos_Origen[[#This Row],[CTeq]]</f>
        <v>0.80122313651084842</v>
      </c>
      <c r="BS56" s="139">
        <f>ROUNDUP(VLOOKUP(Datos_Origen[[#This Row],[Categoria]],Competitividad_1[#All],2,0)*IndiceIncrementoC,-3)</f>
        <v>3243000</v>
      </c>
      <c r="BT56" s="161">
        <f>Datos_Origen[[#This Row],[G]]/Datos_Origen[[#This Row],[GQ1]]</f>
        <v>0.8722524452667284</v>
      </c>
      <c r="BU56" s="155">
        <f>ROUNDUP(VLOOKUP(Datos_Origen[[#This Row],[Categoria]],Competitividad_1[#All],3,0)*IndiceIncrementoC,-3)</f>
        <v>3349000</v>
      </c>
      <c r="BV56" s="161">
        <f>Datos_Origen[[#This Row],[G+V]]/Datos_Origen[[#This Row],[G+VQ1]]</f>
        <v>0.84464457449985075</v>
      </c>
      <c r="BW56" s="155">
        <f>ROUNDUP(VLOOKUP(Datos_Origen[[#This Row],[Categoria]],Competitividad_1[#All],4,0)*IndiceIncrementoC,-3)</f>
        <v>3485000</v>
      </c>
      <c r="BX56" s="161">
        <f>Datos_Origen[[#This Row],[CT]]/Datos_Origen[[#This Row],[CTQ1]]</f>
        <v>0.81168283500717364</v>
      </c>
      <c r="BY56" s="155">
        <f>ROUNDUP(VLOOKUP(Datos_Origen[[#This Row],[Categoria]],Competitividad_1[#All],5,0)*IndiceIncrementoC,-3)</f>
        <v>4089000</v>
      </c>
      <c r="BZ56" s="161">
        <f>Datos_Origen[[#This Row],[G]]/Datos_Origen[[#This Row],[GMd]]</f>
        <v>0.69178642210809493</v>
      </c>
      <c r="CA56" s="155">
        <f>ROUNDUP(VLOOKUP(Datos_Origen[[#This Row],[Categoria]],Competitividad_1[#All],6,0)*IndiceIncrementoC,-3)</f>
        <v>4138000</v>
      </c>
      <c r="CB56" s="161">
        <f>Datos_Origen[[#This Row],[G+V]]/Datos_Origen[[#This Row],[G+VMd]]</f>
        <v>0.68359465442242628</v>
      </c>
      <c r="CC56" s="155">
        <f>ROUNDUP(VLOOKUP(Datos_Origen[[#This Row],[Categoria]],Competitividad_1[#All],7,0)*IndiceIncrementoC,-3)</f>
        <v>4329000</v>
      </c>
      <c r="CD56" s="161">
        <f>Datos_Origen[[#This Row],[CT]]/Datos_Origen[[#This Row],[CTMd]]</f>
        <v>0.65343374451374459</v>
      </c>
      <c r="CE56" s="155">
        <f>+Datos_Origen[[#This Row],[GMd]]/1.17666666667</f>
        <v>3475070.8215199006</v>
      </c>
      <c r="CF56" s="161">
        <f>+Datos_Origen[[#This Row],[Básico Actual]]/Datos_Origen[[#This Row],[Salario Basico Md]]</f>
        <v>0.69178446238069946</v>
      </c>
      <c r="CG56" s="155">
        <f>ROUNDUP(VLOOKUP(Datos_Origen[[#This Row],[Categoria]],Competitividad_1[#All],8,0)*IndiceIncrementoC,-3)</f>
        <v>5334000</v>
      </c>
      <c r="CH56" s="161">
        <f>Datos_Origen[[#This Row],[G]]/Datos_Origen[[#This Row],[GQ3]]</f>
        <v>0.53031771278590178</v>
      </c>
      <c r="CI56" s="155">
        <f>ROUNDUP(VLOOKUP(Datos_Origen[[#This Row],[Categoria]],Competitividad_1[#All],9,0)*IndiceIncrementoC,-3)</f>
        <v>5483000</v>
      </c>
      <c r="CJ56" s="161">
        <f>Datos_Origen[[#This Row],[G+V]]/Datos_Origen[[#This Row],[G+VQ3]]</f>
        <v>0.51590637971913189</v>
      </c>
      <c r="CK56" s="155">
        <f>ROUNDUP(VLOOKUP(Datos_Origen[[#This Row],[Categoria]],Competitividad_1[#All],10,0)*IndiceIncrementoC,-3)</f>
        <v>5625000</v>
      </c>
      <c r="CL56" s="161">
        <f>Datos_Origen[[#This Row],[CT]]/Datos_Origen[[#This Row],[CTQ3]]</f>
        <v>0.50288260977777777</v>
      </c>
      <c r="CM56" s="162">
        <f>IF(ROUND(Datos_Origen[[#This Row],[Salario Ordinario Pol2]],-3)&lt;SMMLV,SMMLV,ROUND(Datos_Origen[[#This Row],[Salario Ordinario Pol2]],-3))</f>
        <v>2649000</v>
      </c>
      <c r="CN56" s="155">
        <f>IF(Datos_Origen[[#This Row],[Gpol]]/(1+FactorPrestacionalOrdinario)&lt;SMMLV,SMMLV,Datos_Origen[[#This Row],[Gpol]]/(1+FactorPrestacionalOrdinario))</f>
        <v>3311048.1586402263</v>
      </c>
      <c r="CO56" s="161">
        <f>IFERROR(IF(Datos_Origen[[#This Row],[Salarios Año]]=14.12,Datos_Origen[[#This Row],[Básico]]/Datos_Origen[[#This Row],[Salario Ordinario Pol]],""),"")</f>
        <v>0.72605407255304588</v>
      </c>
      <c r="CP56" s="155">
        <f>IF(ROUND(Datos_Origen[[#This Row],[Salario Ordinario Pol22]],-3)&lt;SMMLV,SMMLV,ROUND(Datos_Origen[[#This Row],[Salario Ordinario Pol22]],-3))</f>
        <v>3973000</v>
      </c>
      <c r="CQ56" s="155" t="str">
        <f>IFERROR(ROUND(Datos_Origen[[#This Row],[Salario Integral Pol4]],-3),"")</f>
        <v/>
      </c>
      <c r="CR56" s="139" t="str">
        <f>IF((Datos_Origen[[#This Row],[Gpol]]/(1+FactorPrestacionalIntegral))&lt;(13*SMMLV),"",(Datos_Origen[[#This Row],[Gpol]]/(1+FactorPrestacionalIntegral)))</f>
        <v/>
      </c>
      <c r="CS56" s="161" t="str">
        <f>IFERROR(IF(Datos_Origen[[#This Row],[Salarios Año]]=12,Datos_Origen[[#This Row],[Básico]]/Datos_Origen[[#This Row],[Salario Integral Pol]],""),"")</f>
        <v/>
      </c>
      <c r="CT56" s="155" t="str">
        <f>IFERROR(ROUND(Datos_Origen[[#This Row],[Salario Integral Pol44]],-3),"")</f>
        <v/>
      </c>
      <c r="CU56" s="155">
        <f>Datos_Origen[[#This Row],[G+Vpol]]-Datos_Origen[[#This Row],[Variable]]</f>
        <v>3896000</v>
      </c>
      <c r="CV56" s="161">
        <f>Datos_Origen[[#This Row],[G]]/Datos_Origen[[#This Row],[Gpol]]</f>
        <v>0.72605612936344976</v>
      </c>
      <c r="CW56" s="154">
        <f>Datos_Origen[[#This Row],[Ctpol]]-Datos_Origen[[#This Row],[Beneficios]]</f>
        <v>3896000</v>
      </c>
      <c r="CX56" s="161">
        <f>Datos_Origen[[#This Row],[G+V]]/Datos_Origen[[#This Row],[G+Vpol]]</f>
        <v>0.72605612936344976</v>
      </c>
      <c r="CY56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3896000</v>
      </c>
      <c r="CZ56" s="161">
        <f>Datos_Origen[[#This Row],[CT]]/Datos_Origen[[#This Row],[Ctpol]]</f>
        <v>0.72605612936344976</v>
      </c>
      <c r="DA56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56" s="158">
        <f>IF(Datos_Origen[[#This Row],[Básico]]&lt;10*SMMLV,0,Datos_Origen[[#This Row],[Base Seguridad Social Actual]]*8.5%)</f>
        <v>0</v>
      </c>
      <c r="DC56" s="158">
        <f>Datos_Origen[[#This Row],[Base Seguridad Social Actual]]*12%</f>
        <v>288480</v>
      </c>
      <c r="DD56" s="158">
        <f>Datos_Origen[[#This Row],[Base Seguridad Social Actual]]*Datos_Origen[[#This Row],[%ARL]]</f>
        <v>12548.88</v>
      </c>
      <c r="DE56" s="158">
        <f>IF(Datos_Origen[[#This Row],[Básico]]&lt;10*SMMLV,Datos_Origen[[#This Row],[Base Seguridad Social Actual]]*4%,Datos_Origen[[#This Row],[Base Seguridad Social Actual]]*9%)</f>
        <v>96160</v>
      </c>
      <c r="DF56" s="158">
        <f>Datos_Origen[[#This Row],[Salud]]+Datos_Origen[[#This Row],[Pensión]]+Datos_Origen[[#This Row],[ARL]]+Datos_Origen[[#This Row],[Parafiscales]]</f>
        <v>397188.88</v>
      </c>
      <c r="DG56" s="158">
        <f>Datos_Origen[[#This Row],[Costo Laboral Actual]]+Datos_Origen[[#This Row],[CT]]</f>
        <v>3225903.56</v>
      </c>
      <c r="DH56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3311048.1586402263</v>
      </c>
      <c r="DI56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56" s="158">
        <f>Datos_Origen[[#This Row],[Base Seguridad Social Nueva]]*12%</f>
        <v>397325.77903682715</v>
      </c>
      <c r="DK56" s="158">
        <f>Datos_Origen[[#This Row],[Base Seguridad Social Nueva]]*Datos_Origen[[#This Row],[%ARL]]</f>
        <v>17283.671388101982</v>
      </c>
      <c r="DL56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132441.92634560907</v>
      </c>
      <c r="DM56" s="158">
        <f>Datos_Origen[[#This Row],[Salud Nueva]]+Datos_Origen[[#This Row],[Pensión Nueva]]+Datos_Origen[[#This Row],[ARL nueva]]+Datos_Origen[[#This Row],[Parafiscales Nuevos]]</f>
        <v>547051.37677053828</v>
      </c>
      <c r="DN56" s="158">
        <f>Datos_Origen[[#This Row],[Costo Laboral Nuevo]]+Datos_Origen[[#This Row],[Ctpol]]</f>
        <v>4443051.3767705383</v>
      </c>
      <c r="DO56" s="158">
        <f>IF(Datos_Origen[[#This Row],[Ctpol]]-Datos_Origen[[#This Row],[CT]]&lt;=0,0,Datos_Origen[[#This Row],[Costo Total Nuevo]]-Datos_Origen[[#This Row],[Costo Total Actual]])</f>
        <v>1217147.8167705382</v>
      </c>
      <c r="DP56" s="158">
        <f>IF(Datos_Origen[[#This Row],[Ctpol]]-Datos_Origen[[#This Row],[CT]]&lt;=0,0,Datos_Origen[[#This Row],[Ctpol]]-Datos_Origen[[#This Row],[CT]])</f>
        <v>1067285.3199999998</v>
      </c>
      <c r="DQ56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149862.49677053827</v>
      </c>
      <c r="DR56" s="158">
        <f>ROUNDDOWN(VLOOKUP(Datos_Origen[[#This Row],[Categoria]],Competitividad_1[],7,0)*IndiceIncrementoC,-3)</f>
        <v>4328000</v>
      </c>
      <c r="DS56" s="158">
        <f>Datos_Origen[[#This Row],[CTeq]]*0.8</f>
        <v>2824396.4020494311</v>
      </c>
      <c r="DT56" s="158">
        <f>Datos_Origen[[#This Row],[CTeq]]*1.2</f>
        <v>4236594.6030741464</v>
      </c>
      <c r="DU56" s="155">
        <f>IF(Datos_Origen[[#This Row],[Gpol6]]/(1+FactorPrestacionalOrdinario)&lt;SMMLV,SMMLV,Datos_Origen[[#This Row],[Gpol6]]/(1+FactorPrestacionalOrdinario))</f>
        <v>2648838.5269121812</v>
      </c>
      <c r="DV56" s="139" t="str">
        <f>IF((Datos_Origen[[#This Row],[Gpol6]]/(1+FactorPrestacionalIntegral))&lt;(13*SMMLV),"",(Datos_Origen[[#This Row],[Gpol6]]/(1+FactorPrestacionalIntegral)))</f>
        <v/>
      </c>
      <c r="DW56" s="154">
        <f>Datos_Origen[[#This Row],[G+Vpol8]]</f>
        <v>3116800</v>
      </c>
      <c r="DX56" s="154">
        <f>Datos_Origen[[#This Row],[Ctpol10]]-Datos_Origen[[#This Row],[Beneficios]]</f>
        <v>3116800</v>
      </c>
      <c r="DY56" s="154">
        <f>Datos_Origen[[#This Row],[Ctpol]]*$CM$6</f>
        <v>3116800</v>
      </c>
      <c r="DZ56" s="155">
        <f>IF(Datos_Origen[[#This Row],[Gpol66]]/(1+FactorPrestacionalOrdinario)&lt;SMMLV,SMMLV,Datos_Origen[[#This Row],[Gpol66]]/(1+FactorPrestacionalOrdinario))</f>
        <v>3973257.7903682715</v>
      </c>
      <c r="EA56" s="139" t="str">
        <f>IF((Datos_Origen[[#This Row],[Gpol66]]/(1+FactorPrestacionalIntegral))&lt;(13*SMMLV),"",(Datos_Origen[[#This Row],[Gpol66]]/(1+FactorPrestacionalIntegral)))</f>
        <v/>
      </c>
      <c r="EB56" s="154">
        <f>Datos_Origen[[#This Row],[G+Vpol88]]</f>
        <v>4675200</v>
      </c>
      <c r="EC56" s="154">
        <f>Datos_Origen[[#This Row],[Ctpol1010]]-Datos_Origen[[#This Row],[Beneficios]]</f>
        <v>4675200</v>
      </c>
      <c r="ED56" s="154">
        <f>Datos_Origen[[#This Row],[Ctpol]]*$CP$6</f>
        <v>4675200</v>
      </c>
      <c r="EE56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57" spans="2:135">
      <c r="B57" s="392"/>
      <c r="C57" s="149"/>
      <c r="D57" s="150"/>
      <c r="E57" s="151"/>
      <c r="F57" s="151"/>
      <c r="G57" s="150" t="s">
        <v>333</v>
      </c>
      <c r="H57" s="153"/>
      <c r="I57" s="152" t="s">
        <v>333</v>
      </c>
      <c r="J57" s="130" t="str">
        <f>IFERROR(VLOOKUP(Datos_Origen[[#This Row],[Cargo Tipo Valorado]],Cargos_Catalogo[[#All],[Cargo]:[Área]],2,0),"")</f>
        <v/>
      </c>
      <c r="K57" s="153"/>
      <c r="L57" s="153"/>
      <c r="M57" s="153"/>
      <c r="N57" s="153"/>
      <c r="O57" s="154">
        <f>Datos_Origen[[#This Row],[Segmentación Individual]]</f>
        <v>0</v>
      </c>
      <c r="P57" s="153"/>
      <c r="Q57" s="154">
        <f>VLOOKUP(Datos_Origen[[#This Row],[Cargo Tipo Valorado]],Cargos_Catalogo[#Data],MATCH(Cargos_Catalogo[[#Headers],[Puntos]],Cargos_Catalogo[#Headers],0),FALSE)</f>
        <v>246</v>
      </c>
      <c r="R57" s="130">
        <f>VLOOKUP(Datos_Origen[[#This Row],[Puntos valoración]],Categorias_Registro[#Data],MATCH(Categorias_Registro[[#Headers],[Categoria]],Categorias_Registro[#Headers],0),FALSE)</f>
        <v>8</v>
      </c>
      <c r="S57" s="130" t="str">
        <f>VLOOKUP(Datos_Origen[[#This Row],[Cargo Tipo Valorado]],Cargos_Catalogo[#Data],MATCH(Cargos_Catalogo[[#Headers],[Nivel SHR]],Cargos_Catalogo[#Headers],0),FALSE)</f>
        <v>Soporte</v>
      </c>
      <c r="T57" s="130" t="str">
        <f>VLOOKUP(Datos_Origen[[#This Row],[Cargo Tipo Valorado]],Cargos_Catalogo[#Data],MATCH(Cargos_Catalogo[[#Headers],[Criticidad]],Cargos_Catalogo[#Headers],0),FALSE)</f>
        <v>Relevante</v>
      </c>
      <c r="U57" s="154">
        <f>VLOOKUP(Datos_Origen[[#This Row],[Puntos valoración]],Categorias_Registro[#Data],5,FALSE)</f>
        <v>249</v>
      </c>
      <c r="V57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3061695.3400000003</v>
      </c>
      <c r="W57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57" s="154">
        <f>SUMIF($BA$5:$BJ$5,"NCS",Datos_Origen[[#This Row],[auxilio Gasolina]:[Otro Beneficio10]])+(SUMIF($BA$5:$BJ$5,"CS",Datos_Origen[[#This Row],[auxilio Gasolina]:[Otro Beneficio10]])*1.17667)</f>
        <v>0</v>
      </c>
      <c r="Y57" s="155">
        <f>Datos_Origen[[#This Row],[Básico]]+Datos_Origen[[#This Row],[Promedio de Comisiones  ]]</f>
        <v>2602000</v>
      </c>
      <c r="Z57" s="155">
        <f>Datos_Origen[[#This Row],[Básico]]+Datos_Origen[[#This Row],[Promedio de Comisiones  ]]</f>
        <v>2602000</v>
      </c>
      <c r="AA57" s="155">
        <f>Datos_Origen[[#This Row],[Garantizado]]</f>
        <v>3061695.3400000003</v>
      </c>
      <c r="AB57" s="155">
        <f>Datos_Origen[[#This Row],[Variable]]+Datos_Origen[[#This Row],[Garantizado]]</f>
        <v>3061695.3400000003</v>
      </c>
      <c r="AC57" s="155">
        <f>Datos_Origen[[#This Row],[Beneficios]]+Datos_Origen[[#This Row],[Variable]]+Datos_Origen[[#This Row],[Garantizado]]</f>
        <v>3061695.3400000003</v>
      </c>
      <c r="AD57" s="156">
        <v>14.12</v>
      </c>
      <c r="AE57" s="141">
        <v>230</v>
      </c>
      <c r="AF57" s="345">
        <v>4.3499999999999997E-2</v>
      </c>
      <c r="AG57" s="155">
        <f>Datos_Origen[[#This Row],[Básico Actual]]*230/Datos_Origen[[#This Row],['# horas mes]]</f>
        <v>2602000</v>
      </c>
      <c r="AH57" s="157">
        <v>2602000</v>
      </c>
      <c r="AI57" s="158"/>
      <c r="AJ57" s="158">
        <f>(((Datos_Origen[[#This Row],[Básico]])/30)*$AJ$6)/12</f>
        <v>0</v>
      </c>
      <c r="AK57" s="158"/>
      <c r="AL57" s="143">
        <f>((Datos_Origen[[#This Row],[Básico]])/30)*$AL$6/12</f>
        <v>0</v>
      </c>
      <c r="AM57" s="158"/>
      <c r="AN57" s="158"/>
      <c r="AO57" s="158"/>
      <c r="AP57" s="158"/>
      <c r="AQ57" s="158"/>
      <c r="AR57" s="149">
        <v>0</v>
      </c>
      <c r="AS57" s="149"/>
      <c r="AT57" s="159" t="str">
        <f>IFERROR(Datos_Origen[[#This Row],[Comisiones Target]]/Datos_Origen[[#This Row],[Promedio de Comisiones  ]],"")</f>
        <v/>
      </c>
      <c r="AU57" s="160"/>
      <c r="AV57" s="143">
        <v>0</v>
      </c>
      <c r="AW57" s="160"/>
      <c r="AX57" s="143">
        <f>Datos_Origen[[#This Row],[N Salarios de la Bonificación2]]*Datos_Origen[[#This Row],[Básico]]/12</f>
        <v>0</v>
      </c>
      <c r="AY57" s="160"/>
      <c r="AZ57" s="158"/>
      <c r="BA57" s="149">
        <v>0</v>
      </c>
      <c r="BB57" s="149"/>
      <c r="BC57" s="149"/>
      <c r="BD57" s="149"/>
      <c r="BE57" s="149"/>
      <c r="BF57" s="149"/>
      <c r="BG57" s="149"/>
      <c r="BH57" s="149"/>
      <c r="BI57" s="149"/>
      <c r="BJ57" s="149"/>
      <c r="BK57" s="159">
        <f>IFERROR(Datos_Origen[[#This Row],[Variable]]/Datos_Origen[[#This Row],[CT]],"")</f>
        <v>0</v>
      </c>
      <c r="BL57" s="159">
        <f>IFERROR(Datos_Origen[[#This Row],[Beneficios]]/Datos_Origen[[#This Row],[CT]],"")</f>
        <v>0</v>
      </c>
      <c r="BM57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3287369.2650705236</v>
      </c>
      <c r="BN57" s="161">
        <f>Datos_Origen[[#This Row],[G]]/Datos_Origen[[#This Row],[Geq]]</f>
        <v>0.93135120916643299</v>
      </c>
      <c r="BO57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3528440.0086889477</v>
      </c>
      <c r="BP57" s="161">
        <f>Datos_Origen[[#This Row],[G+V]]/Datos_Origen[[#This Row],[G+Veq]]</f>
        <v>0.8677192562323387</v>
      </c>
      <c r="BQ57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3530495.5025617885</v>
      </c>
      <c r="BR57" s="161">
        <f>Datos_Origen[[#This Row],[CT]]/Datos_Origen[[#This Row],[CTeq]]</f>
        <v>0.86721406039984505</v>
      </c>
      <c r="BS57" s="139">
        <f>ROUNDUP(VLOOKUP(Datos_Origen[[#This Row],[Categoria]],Competitividad_1[#All],2,0)*IndiceIncrementoC,-3)</f>
        <v>3243000</v>
      </c>
      <c r="BT57" s="161">
        <f>Datos_Origen[[#This Row],[G]]/Datos_Origen[[#This Row],[GQ1]]</f>
        <v>0.94409353684859709</v>
      </c>
      <c r="BU57" s="155">
        <f>ROUNDUP(VLOOKUP(Datos_Origen[[#This Row],[Categoria]],Competitividad_1[#All],3,0)*IndiceIncrementoC,-3)</f>
        <v>3349000</v>
      </c>
      <c r="BV57" s="161">
        <f>Datos_Origen[[#This Row],[G+V]]/Datos_Origen[[#This Row],[G+VQ1]]</f>
        <v>0.91421180650940592</v>
      </c>
      <c r="BW57" s="155">
        <f>ROUNDUP(VLOOKUP(Datos_Origen[[#This Row],[Categoria]],Competitividad_1[#All],4,0)*IndiceIncrementoC,-3)</f>
        <v>3485000</v>
      </c>
      <c r="BX57" s="161">
        <f>Datos_Origen[[#This Row],[CT]]/Datos_Origen[[#This Row],[CTQ1]]</f>
        <v>0.87853524820659978</v>
      </c>
      <c r="BY57" s="155">
        <f>ROUNDUP(VLOOKUP(Datos_Origen[[#This Row],[Categoria]],Competitividad_1[#All],5,0)*IndiceIncrementoC,-3)</f>
        <v>4089000</v>
      </c>
      <c r="BZ57" s="161">
        <f>Datos_Origen[[#This Row],[G]]/Datos_Origen[[#This Row],[GMd]]</f>
        <v>0.74876383956957704</v>
      </c>
      <c r="CA57" s="155">
        <f>ROUNDUP(VLOOKUP(Datos_Origen[[#This Row],[Categoria]],Competitividad_1[#All],6,0)*IndiceIncrementoC,-3)</f>
        <v>4138000</v>
      </c>
      <c r="CB57" s="161">
        <f>Datos_Origen[[#This Row],[G+V]]/Datos_Origen[[#This Row],[G+VMd]]</f>
        <v>0.73989737554374102</v>
      </c>
      <c r="CC57" s="155">
        <f>ROUNDUP(VLOOKUP(Datos_Origen[[#This Row],[Categoria]],Competitividad_1[#All],7,0)*IndiceIncrementoC,-3)</f>
        <v>4329000</v>
      </c>
      <c r="CD57" s="161">
        <f>Datos_Origen[[#This Row],[CT]]/Datos_Origen[[#This Row],[CTMd]]</f>
        <v>0.70725233079233085</v>
      </c>
      <c r="CE57" s="155">
        <f>+Datos_Origen[[#This Row],[GMd]]/1.17666666667</f>
        <v>3475070.8215199006</v>
      </c>
      <c r="CF57" s="161">
        <f>+Datos_Origen[[#This Row],[Básico Actual]]/Datos_Origen[[#This Row],[Salario Basico Md]]</f>
        <v>0.74876171843368555</v>
      </c>
      <c r="CG57" s="155">
        <f>ROUNDUP(VLOOKUP(Datos_Origen[[#This Row],[Categoria]],Competitividad_1[#All],8,0)*IndiceIncrementoC,-3)</f>
        <v>5334000</v>
      </c>
      <c r="CH57" s="161">
        <f>Datos_Origen[[#This Row],[G]]/Datos_Origen[[#This Row],[GQ3]]</f>
        <v>0.57399612673415834</v>
      </c>
      <c r="CI57" s="155">
        <f>ROUNDUP(VLOOKUP(Datos_Origen[[#This Row],[Categoria]],Competitividad_1[#All],9,0)*IndiceIncrementoC,-3)</f>
        <v>5483000</v>
      </c>
      <c r="CJ57" s="161">
        <f>Datos_Origen[[#This Row],[G+V]]/Datos_Origen[[#This Row],[G+VQ3]]</f>
        <v>0.55839783695057454</v>
      </c>
      <c r="CK57" s="155">
        <f>ROUNDUP(VLOOKUP(Datos_Origen[[#This Row],[Categoria]],Competitividad_1[#All],10,0)*IndiceIncrementoC,-3)</f>
        <v>5625000</v>
      </c>
      <c r="CL57" s="161">
        <f>Datos_Origen[[#This Row],[CT]]/Datos_Origen[[#This Row],[CTQ3]]</f>
        <v>0.54430139377777786</v>
      </c>
      <c r="CM57" s="162">
        <f>IF(ROUND(Datos_Origen[[#This Row],[Salario Ordinario Pol2]],-3)&lt;SMMLV,SMMLV,ROUND(Datos_Origen[[#This Row],[Salario Ordinario Pol2]],-3))</f>
        <v>2649000</v>
      </c>
      <c r="CN57" s="155">
        <f>IF(Datos_Origen[[#This Row],[Gpol]]/(1+FactorPrestacionalOrdinario)&lt;SMMLV,SMMLV,Datos_Origen[[#This Row],[Gpol]]/(1+FactorPrestacionalOrdinario))</f>
        <v>3311048.1586402263</v>
      </c>
      <c r="CO57" s="161">
        <f>IFERROR(IF(Datos_Origen[[#This Row],[Salarios Año]]=14.12,Datos_Origen[[#This Row],[Básico]]/Datos_Origen[[#This Row],[Salario Ordinario Pol]],""),"")</f>
        <v>0.78585386721423689</v>
      </c>
      <c r="CP57" s="155">
        <f>IF(ROUND(Datos_Origen[[#This Row],[Salario Ordinario Pol22]],-3)&lt;SMMLV,SMMLV,ROUND(Datos_Origen[[#This Row],[Salario Ordinario Pol22]],-3))</f>
        <v>3973000</v>
      </c>
      <c r="CQ57" s="155" t="str">
        <f>IFERROR(ROUND(Datos_Origen[[#This Row],[Salario Integral Pol4]],-3),"")</f>
        <v/>
      </c>
      <c r="CR57" s="139" t="str">
        <f>IF((Datos_Origen[[#This Row],[Gpol]]/(1+FactorPrestacionalIntegral))&lt;(13*SMMLV),"",(Datos_Origen[[#This Row],[Gpol]]/(1+FactorPrestacionalIntegral)))</f>
        <v/>
      </c>
      <c r="CS57" s="161" t="str">
        <f>IFERROR(IF(Datos_Origen[[#This Row],[Salarios Año]]=12,Datos_Origen[[#This Row],[Básico]]/Datos_Origen[[#This Row],[Salario Integral Pol]],""),"")</f>
        <v/>
      </c>
      <c r="CT57" s="155" t="str">
        <f>IFERROR(ROUND(Datos_Origen[[#This Row],[Salario Integral Pol44]],-3),"")</f>
        <v/>
      </c>
      <c r="CU57" s="155">
        <f>Datos_Origen[[#This Row],[G+Vpol]]-Datos_Origen[[#This Row],[Variable]]</f>
        <v>3896000</v>
      </c>
      <c r="CV57" s="161">
        <f>Datos_Origen[[#This Row],[G]]/Datos_Origen[[#This Row],[Gpol]]</f>
        <v>0.78585609342915819</v>
      </c>
      <c r="CW57" s="154">
        <f>Datos_Origen[[#This Row],[Ctpol]]-Datos_Origen[[#This Row],[Beneficios]]</f>
        <v>3896000</v>
      </c>
      <c r="CX57" s="161">
        <f>Datos_Origen[[#This Row],[G+V]]/Datos_Origen[[#This Row],[G+Vpol]]</f>
        <v>0.78585609342915819</v>
      </c>
      <c r="CY57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3896000</v>
      </c>
      <c r="CZ57" s="161">
        <f>Datos_Origen[[#This Row],[CT]]/Datos_Origen[[#This Row],[Ctpol]]</f>
        <v>0.78585609342915819</v>
      </c>
      <c r="DA57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2602000</v>
      </c>
      <c r="DB57" s="158">
        <f>IF(Datos_Origen[[#This Row],[Básico]]&lt;10*SMMLV,0,Datos_Origen[[#This Row],[Base Seguridad Social Actual]]*8.5%)</f>
        <v>0</v>
      </c>
      <c r="DC57" s="158">
        <f>Datos_Origen[[#This Row],[Base Seguridad Social Actual]]*12%</f>
        <v>312240</v>
      </c>
      <c r="DD57" s="158">
        <f>Datos_Origen[[#This Row],[Base Seguridad Social Actual]]*Datos_Origen[[#This Row],[%ARL]]</f>
        <v>113186.99999999999</v>
      </c>
      <c r="DE57" s="158">
        <f>IF(Datos_Origen[[#This Row],[Básico]]&lt;10*SMMLV,Datos_Origen[[#This Row],[Base Seguridad Social Actual]]*4%,Datos_Origen[[#This Row],[Base Seguridad Social Actual]]*9%)</f>
        <v>104080</v>
      </c>
      <c r="DF57" s="158">
        <f>Datos_Origen[[#This Row],[Salud]]+Datos_Origen[[#This Row],[Pensión]]+Datos_Origen[[#This Row],[ARL]]+Datos_Origen[[#This Row],[Parafiscales]]</f>
        <v>529507</v>
      </c>
      <c r="DG57" s="158">
        <f>Datos_Origen[[#This Row],[Costo Laboral Actual]]+Datos_Origen[[#This Row],[CT]]</f>
        <v>3591202.3400000003</v>
      </c>
      <c r="DH57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3311048.1586402263</v>
      </c>
      <c r="DI57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57" s="158">
        <f>Datos_Origen[[#This Row],[Base Seguridad Social Nueva]]*12%</f>
        <v>397325.77903682715</v>
      </c>
      <c r="DK57" s="158">
        <f>Datos_Origen[[#This Row],[Base Seguridad Social Nueva]]*Datos_Origen[[#This Row],[%ARL]]</f>
        <v>144030.59490084983</v>
      </c>
      <c r="DL57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132441.92634560907</v>
      </c>
      <c r="DM57" s="158">
        <f>Datos_Origen[[#This Row],[Salud Nueva]]+Datos_Origen[[#This Row],[Pensión Nueva]]+Datos_Origen[[#This Row],[ARL nueva]]+Datos_Origen[[#This Row],[Parafiscales Nuevos]]</f>
        <v>673798.30028328602</v>
      </c>
      <c r="DN57" s="158">
        <f>Datos_Origen[[#This Row],[Costo Laboral Nuevo]]+Datos_Origen[[#This Row],[Ctpol]]</f>
        <v>4569798.3002832858</v>
      </c>
      <c r="DO57" s="158">
        <f>IF(Datos_Origen[[#This Row],[Ctpol]]-Datos_Origen[[#This Row],[CT]]&lt;=0,0,Datos_Origen[[#This Row],[Costo Total Nuevo]]-Datos_Origen[[#This Row],[Costo Total Actual]])</f>
        <v>978595.96028328547</v>
      </c>
      <c r="DP57" s="158">
        <f>IF(Datos_Origen[[#This Row],[Ctpol]]-Datos_Origen[[#This Row],[CT]]&lt;=0,0,Datos_Origen[[#This Row],[Ctpol]]-Datos_Origen[[#This Row],[CT]])</f>
        <v>834304.65999999968</v>
      </c>
      <c r="DQ57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144291.30028328602</v>
      </c>
      <c r="DR57" s="158">
        <f>ROUNDDOWN(VLOOKUP(Datos_Origen[[#This Row],[Categoria]],Competitividad_1[],7,0)*IndiceIncrementoC,-3)</f>
        <v>4328000</v>
      </c>
      <c r="DS57" s="158">
        <f>Datos_Origen[[#This Row],[CTeq]]*0.8</f>
        <v>2824396.4020494311</v>
      </c>
      <c r="DT57" s="158">
        <f>Datos_Origen[[#This Row],[CTeq]]*1.2</f>
        <v>4236594.6030741464</v>
      </c>
      <c r="DU57" s="155">
        <f>IF(Datos_Origen[[#This Row],[Gpol6]]/(1+FactorPrestacionalOrdinario)&lt;SMMLV,SMMLV,Datos_Origen[[#This Row],[Gpol6]]/(1+FactorPrestacionalOrdinario))</f>
        <v>2648838.5269121812</v>
      </c>
      <c r="DV57" s="139" t="str">
        <f>IF((Datos_Origen[[#This Row],[Gpol6]]/(1+FactorPrestacionalIntegral))&lt;(13*SMMLV),"",(Datos_Origen[[#This Row],[Gpol6]]/(1+FactorPrestacionalIntegral)))</f>
        <v/>
      </c>
      <c r="DW57" s="154">
        <f>Datos_Origen[[#This Row],[G+Vpol8]]</f>
        <v>3116800</v>
      </c>
      <c r="DX57" s="154">
        <f>Datos_Origen[[#This Row],[Ctpol10]]-Datos_Origen[[#This Row],[Beneficios]]</f>
        <v>3116800</v>
      </c>
      <c r="DY57" s="154">
        <f>Datos_Origen[[#This Row],[Ctpol]]*$CM$6</f>
        <v>3116800</v>
      </c>
      <c r="DZ57" s="155">
        <f>IF(Datos_Origen[[#This Row],[Gpol66]]/(1+FactorPrestacionalOrdinario)&lt;SMMLV,SMMLV,Datos_Origen[[#This Row],[Gpol66]]/(1+FactorPrestacionalOrdinario))</f>
        <v>3973257.7903682715</v>
      </c>
      <c r="EA57" s="139" t="str">
        <f>IF((Datos_Origen[[#This Row],[Gpol66]]/(1+FactorPrestacionalIntegral))&lt;(13*SMMLV),"",(Datos_Origen[[#This Row],[Gpol66]]/(1+FactorPrestacionalIntegral)))</f>
        <v/>
      </c>
      <c r="EB57" s="154">
        <f>Datos_Origen[[#This Row],[G+Vpol88]]</f>
        <v>4675200</v>
      </c>
      <c r="EC57" s="154">
        <f>Datos_Origen[[#This Row],[Ctpol1010]]-Datos_Origen[[#This Row],[Beneficios]]</f>
        <v>4675200</v>
      </c>
      <c r="ED57" s="154">
        <f>Datos_Origen[[#This Row],[Ctpol]]*$CP$6</f>
        <v>4675200</v>
      </c>
      <c r="EE57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58" spans="2:135">
      <c r="B58" s="392"/>
      <c r="C58" s="149"/>
      <c r="D58" s="150"/>
      <c r="E58" s="151"/>
      <c r="F58" s="151"/>
      <c r="G58" s="150" t="s">
        <v>531</v>
      </c>
      <c r="H58" s="153"/>
      <c r="I58" s="152" t="s">
        <v>330</v>
      </c>
      <c r="J58" s="130" t="str">
        <f>IFERROR(VLOOKUP(Datos_Origen[[#This Row],[Cargo Tipo Valorado]],Cargos_Catalogo[[#All],[Cargo]:[Área]],2,0),"")</f>
        <v>Jefe de mejora continua</v>
      </c>
      <c r="K58" s="153"/>
      <c r="L58" s="153"/>
      <c r="M58" s="153"/>
      <c r="N58" s="153"/>
      <c r="O58" s="154">
        <f>Datos_Origen[[#This Row],[Segmentación Individual]]</f>
        <v>0</v>
      </c>
      <c r="P58" s="153"/>
      <c r="Q58" s="154">
        <f>VLOOKUP(Datos_Origen[[#This Row],[Cargo Tipo Valorado]],Cargos_Catalogo[#Data],MATCH(Cargos_Catalogo[[#Headers],[Puntos]],Cargos_Catalogo[#Headers],0),FALSE)</f>
        <v>246</v>
      </c>
      <c r="R58" s="130">
        <f>VLOOKUP(Datos_Origen[[#This Row],[Puntos valoración]],Categorias_Registro[#Data],MATCH(Categorias_Registro[[#Headers],[Categoria]],Categorias_Registro[#Headers],0),FALSE)</f>
        <v>8</v>
      </c>
      <c r="S58" s="130" t="str">
        <f>VLOOKUP(Datos_Origen[[#This Row],[Cargo Tipo Valorado]],Cargos_Catalogo[#Data],MATCH(Cargos_Catalogo[[#Headers],[Nivel SHR]],Cargos_Catalogo[#Headers],0),FALSE)</f>
        <v>Soporte</v>
      </c>
      <c r="T58" s="130" t="str">
        <f>VLOOKUP(Datos_Origen[[#This Row],[Cargo Tipo Valorado]],Cargos_Catalogo[#Data],MATCH(Cargos_Catalogo[[#Headers],[Criticidad]],Cargos_Catalogo[#Headers],0),FALSE)</f>
        <v>Relevante</v>
      </c>
      <c r="U58" s="154">
        <f>VLOOKUP(Datos_Origen[[#This Row],[Puntos valoración]],Categorias_Registro[#Data],5,FALSE)</f>
        <v>249</v>
      </c>
      <c r="V58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58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58" s="154">
        <f>SUMIF($BA$5:$BJ$5,"NCS",Datos_Origen[[#This Row],[auxilio Gasolina]:[Otro Beneficio10]])+(SUMIF($BA$5:$BJ$5,"CS",Datos_Origen[[#This Row],[auxilio Gasolina]:[Otro Beneficio10]])*1.17667)</f>
        <v>0</v>
      </c>
      <c r="Y58" s="155">
        <f>Datos_Origen[[#This Row],[Básico]]+Datos_Origen[[#This Row],[Promedio de Comisiones  ]]</f>
        <v>2404000</v>
      </c>
      <c r="Z58" s="155">
        <f>Datos_Origen[[#This Row],[Básico]]+Datos_Origen[[#This Row],[Promedio de Comisiones  ]]</f>
        <v>2404000</v>
      </c>
      <c r="AA58" s="155">
        <f>Datos_Origen[[#This Row],[Garantizado]]</f>
        <v>2828714.68</v>
      </c>
      <c r="AB58" s="155">
        <f>Datos_Origen[[#This Row],[Variable]]+Datos_Origen[[#This Row],[Garantizado]]</f>
        <v>2828714.68</v>
      </c>
      <c r="AC58" s="155">
        <f>Datos_Origen[[#This Row],[Beneficios]]+Datos_Origen[[#This Row],[Variable]]+Datos_Origen[[#This Row],[Garantizado]]</f>
        <v>2828714.68</v>
      </c>
      <c r="AD58" s="156">
        <v>14.12</v>
      </c>
      <c r="AE58" s="141">
        <v>230</v>
      </c>
      <c r="AF58" s="345">
        <v>5.2199999999999998E-3</v>
      </c>
      <c r="AG58" s="155">
        <f>Datos_Origen[[#This Row],[Básico Actual]]*230/Datos_Origen[[#This Row],['# horas mes]]</f>
        <v>2404000</v>
      </c>
      <c r="AH58" s="157">
        <v>2404000</v>
      </c>
      <c r="AI58" s="158"/>
      <c r="AJ58" s="158">
        <f>(((Datos_Origen[[#This Row],[Básico]])/30)*$AJ$6)/12</f>
        <v>0</v>
      </c>
      <c r="AK58" s="158"/>
      <c r="AL58" s="143">
        <f>((Datos_Origen[[#This Row],[Básico]])/30)*$AL$6/12</f>
        <v>0</v>
      </c>
      <c r="AM58" s="158"/>
      <c r="AN58" s="158"/>
      <c r="AO58" s="158"/>
      <c r="AP58" s="158"/>
      <c r="AQ58" s="158"/>
      <c r="AR58" s="149">
        <v>0</v>
      </c>
      <c r="AS58" s="149"/>
      <c r="AT58" s="159" t="str">
        <f>IFERROR(Datos_Origen[[#This Row],[Comisiones Target]]/Datos_Origen[[#This Row],[Promedio de Comisiones  ]],"")</f>
        <v/>
      </c>
      <c r="AU58" s="160"/>
      <c r="AV58" s="143">
        <v>0</v>
      </c>
      <c r="AW58" s="160"/>
      <c r="AX58" s="143">
        <f>Datos_Origen[[#This Row],[N Salarios de la Bonificación2]]*Datos_Origen[[#This Row],[Básico]]/12</f>
        <v>0</v>
      </c>
      <c r="AY58" s="160"/>
      <c r="AZ58" s="158"/>
      <c r="BA58" s="149">
        <v>0</v>
      </c>
      <c r="BB58" s="149"/>
      <c r="BC58" s="149"/>
      <c r="BD58" s="149"/>
      <c r="BE58" s="149"/>
      <c r="BF58" s="149"/>
      <c r="BG58" s="149"/>
      <c r="BH58" s="149"/>
      <c r="BI58" s="149"/>
      <c r="BJ58" s="149"/>
      <c r="BK58" s="159">
        <f>IFERROR(Datos_Origen[[#This Row],[Variable]]/Datos_Origen[[#This Row],[CT]],"")</f>
        <v>0</v>
      </c>
      <c r="BL58" s="159">
        <f>IFERROR(Datos_Origen[[#This Row],[Beneficios]]/Datos_Origen[[#This Row],[CT]],"")</f>
        <v>0</v>
      </c>
      <c r="BM58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3287369.2650705236</v>
      </c>
      <c r="BN58" s="161">
        <f>Datos_Origen[[#This Row],[G]]/Datos_Origen[[#This Row],[Geq]]</f>
        <v>0.86047974897621249</v>
      </c>
      <c r="BO58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3528440.0086889477</v>
      </c>
      <c r="BP58" s="161">
        <f>Datos_Origen[[#This Row],[G+V]]/Datos_Origen[[#This Row],[G+Veq]]</f>
        <v>0.80168988930920138</v>
      </c>
      <c r="BQ58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3530495.5025617885</v>
      </c>
      <c r="BR58" s="161">
        <f>Datos_Origen[[#This Row],[CT]]/Datos_Origen[[#This Row],[CTeq]]</f>
        <v>0.80122313651084842</v>
      </c>
      <c r="BS58" s="139">
        <f>ROUNDUP(VLOOKUP(Datos_Origen[[#This Row],[Categoria]],Competitividad_1[#All],2,0)*IndiceIncrementoC,-3)</f>
        <v>3243000</v>
      </c>
      <c r="BT58" s="161">
        <f>Datos_Origen[[#This Row],[G]]/Datos_Origen[[#This Row],[GQ1]]</f>
        <v>0.8722524452667284</v>
      </c>
      <c r="BU58" s="155">
        <f>ROUNDUP(VLOOKUP(Datos_Origen[[#This Row],[Categoria]],Competitividad_1[#All],3,0)*IndiceIncrementoC,-3)</f>
        <v>3349000</v>
      </c>
      <c r="BV58" s="161">
        <f>Datos_Origen[[#This Row],[G+V]]/Datos_Origen[[#This Row],[G+VQ1]]</f>
        <v>0.84464457449985075</v>
      </c>
      <c r="BW58" s="155">
        <f>ROUNDUP(VLOOKUP(Datos_Origen[[#This Row],[Categoria]],Competitividad_1[#All],4,0)*IndiceIncrementoC,-3)</f>
        <v>3485000</v>
      </c>
      <c r="BX58" s="161">
        <f>Datos_Origen[[#This Row],[CT]]/Datos_Origen[[#This Row],[CTQ1]]</f>
        <v>0.81168283500717364</v>
      </c>
      <c r="BY58" s="155">
        <f>ROUNDUP(VLOOKUP(Datos_Origen[[#This Row],[Categoria]],Competitividad_1[#All],5,0)*IndiceIncrementoC,-3)</f>
        <v>4089000</v>
      </c>
      <c r="BZ58" s="161">
        <f>Datos_Origen[[#This Row],[G]]/Datos_Origen[[#This Row],[GMd]]</f>
        <v>0.69178642210809493</v>
      </c>
      <c r="CA58" s="155">
        <f>ROUNDUP(VLOOKUP(Datos_Origen[[#This Row],[Categoria]],Competitividad_1[#All],6,0)*IndiceIncrementoC,-3)</f>
        <v>4138000</v>
      </c>
      <c r="CB58" s="161">
        <f>Datos_Origen[[#This Row],[G+V]]/Datos_Origen[[#This Row],[G+VMd]]</f>
        <v>0.68359465442242628</v>
      </c>
      <c r="CC58" s="155">
        <f>ROUNDUP(VLOOKUP(Datos_Origen[[#This Row],[Categoria]],Competitividad_1[#All],7,0)*IndiceIncrementoC,-3)</f>
        <v>4329000</v>
      </c>
      <c r="CD58" s="161">
        <f>Datos_Origen[[#This Row],[CT]]/Datos_Origen[[#This Row],[CTMd]]</f>
        <v>0.65343374451374459</v>
      </c>
      <c r="CE58" s="155">
        <f>+Datos_Origen[[#This Row],[GMd]]/1.17666666667</f>
        <v>3475070.8215199006</v>
      </c>
      <c r="CF58" s="161">
        <f>+Datos_Origen[[#This Row],[Básico Actual]]/Datos_Origen[[#This Row],[Salario Basico Md]]</f>
        <v>0.69178446238069946</v>
      </c>
      <c r="CG58" s="155">
        <f>ROUNDUP(VLOOKUP(Datos_Origen[[#This Row],[Categoria]],Competitividad_1[#All],8,0)*IndiceIncrementoC,-3)</f>
        <v>5334000</v>
      </c>
      <c r="CH58" s="161">
        <f>Datos_Origen[[#This Row],[G]]/Datos_Origen[[#This Row],[GQ3]]</f>
        <v>0.53031771278590178</v>
      </c>
      <c r="CI58" s="155">
        <f>ROUNDUP(VLOOKUP(Datos_Origen[[#This Row],[Categoria]],Competitividad_1[#All],9,0)*IndiceIncrementoC,-3)</f>
        <v>5483000</v>
      </c>
      <c r="CJ58" s="161">
        <f>Datos_Origen[[#This Row],[G+V]]/Datos_Origen[[#This Row],[G+VQ3]]</f>
        <v>0.51590637971913189</v>
      </c>
      <c r="CK58" s="155">
        <f>ROUNDUP(VLOOKUP(Datos_Origen[[#This Row],[Categoria]],Competitividad_1[#All],10,0)*IndiceIncrementoC,-3)</f>
        <v>5625000</v>
      </c>
      <c r="CL58" s="161">
        <f>Datos_Origen[[#This Row],[CT]]/Datos_Origen[[#This Row],[CTQ3]]</f>
        <v>0.50288260977777777</v>
      </c>
      <c r="CM58" s="162">
        <f>IF(ROUND(Datos_Origen[[#This Row],[Salario Ordinario Pol2]],-3)&lt;SMMLV,SMMLV,ROUND(Datos_Origen[[#This Row],[Salario Ordinario Pol2]],-3))</f>
        <v>2649000</v>
      </c>
      <c r="CN58" s="155">
        <f>IF(Datos_Origen[[#This Row],[Gpol]]/(1+FactorPrestacionalOrdinario)&lt;SMMLV,SMMLV,Datos_Origen[[#This Row],[Gpol]]/(1+FactorPrestacionalOrdinario))</f>
        <v>3311048.1586402263</v>
      </c>
      <c r="CO58" s="161">
        <f>IFERROR(IF(Datos_Origen[[#This Row],[Salarios Año]]=14.12,Datos_Origen[[#This Row],[Básico]]/Datos_Origen[[#This Row],[Salario Ordinario Pol]],""),"")</f>
        <v>0.72605407255304588</v>
      </c>
      <c r="CP58" s="155">
        <f>IF(ROUND(Datos_Origen[[#This Row],[Salario Ordinario Pol22]],-3)&lt;SMMLV,SMMLV,ROUND(Datos_Origen[[#This Row],[Salario Ordinario Pol22]],-3))</f>
        <v>3973000</v>
      </c>
      <c r="CQ58" s="155" t="str">
        <f>IFERROR(ROUND(Datos_Origen[[#This Row],[Salario Integral Pol4]],-3),"")</f>
        <v/>
      </c>
      <c r="CR58" s="139" t="str">
        <f>IF((Datos_Origen[[#This Row],[Gpol]]/(1+FactorPrestacionalIntegral))&lt;(13*SMMLV),"",(Datos_Origen[[#This Row],[Gpol]]/(1+FactorPrestacionalIntegral)))</f>
        <v/>
      </c>
      <c r="CS58" s="161" t="str">
        <f>IFERROR(IF(Datos_Origen[[#This Row],[Salarios Año]]=12,Datos_Origen[[#This Row],[Básico]]/Datos_Origen[[#This Row],[Salario Integral Pol]],""),"")</f>
        <v/>
      </c>
      <c r="CT58" s="155" t="str">
        <f>IFERROR(ROUND(Datos_Origen[[#This Row],[Salario Integral Pol44]],-3),"")</f>
        <v/>
      </c>
      <c r="CU58" s="155">
        <f>Datos_Origen[[#This Row],[G+Vpol]]-Datos_Origen[[#This Row],[Variable]]</f>
        <v>3896000</v>
      </c>
      <c r="CV58" s="161">
        <f>Datos_Origen[[#This Row],[G]]/Datos_Origen[[#This Row],[Gpol]]</f>
        <v>0.72605612936344976</v>
      </c>
      <c r="CW58" s="154">
        <f>Datos_Origen[[#This Row],[Ctpol]]-Datos_Origen[[#This Row],[Beneficios]]</f>
        <v>3896000</v>
      </c>
      <c r="CX58" s="161">
        <f>Datos_Origen[[#This Row],[G+V]]/Datos_Origen[[#This Row],[G+Vpol]]</f>
        <v>0.72605612936344976</v>
      </c>
      <c r="CY58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3896000</v>
      </c>
      <c r="CZ58" s="161">
        <f>Datos_Origen[[#This Row],[CT]]/Datos_Origen[[#This Row],[Ctpol]]</f>
        <v>0.72605612936344976</v>
      </c>
      <c r="DA58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58" s="158">
        <f>IF(Datos_Origen[[#This Row],[Básico]]&lt;10*SMMLV,0,Datos_Origen[[#This Row],[Base Seguridad Social Actual]]*8.5%)</f>
        <v>0</v>
      </c>
      <c r="DC58" s="158">
        <f>Datos_Origen[[#This Row],[Base Seguridad Social Actual]]*12%</f>
        <v>288480</v>
      </c>
      <c r="DD58" s="158">
        <f>Datos_Origen[[#This Row],[Base Seguridad Social Actual]]*Datos_Origen[[#This Row],[%ARL]]</f>
        <v>12548.88</v>
      </c>
      <c r="DE58" s="158">
        <f>IF(Datos_Origen[[#This Row],[Básico]]&lt;10*SMMLV,Datos_Origen[[#This Row],[Base Seguridad Social Actual]]*4%,Datos_Origen[[#This Row],[Base Seguridad Social Actual]]*9%)</f>
        <v>96160</v>
      </c>
      <c r="DF58" s="158">
        <f>Datos_Origen[[#This Row],[Salud]]+Datos_Origen[[#This Row],[Pensión]]+Datos_Origen[[#This Row],[ARL]]+Datos_Origen[[#This Row],[Parafiscales]]</f>
        <v>397188.88</v>
      </c>
      <c r="DG58" s="163">
        <f>Datos_Origen[[#This Row],[Costo Laboral Actual]]+Datos_Origen[[#This Row],[CT]]</f>
        <v>3225903.56</v>
      </c>
      <c r="DH58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3311048.1586402263</v>
      </c>
      <c r="DI58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58" s="158">
        <f>Datos_Origen[[#This Row],[Base Seguridad Social Nueva]]*12%</f>
        <v>397325.77903682715</v>
      </c>
      <c r="DK58" s="158">
        <f>Datos_Origen[[#This Row],[Base Seguridad Social Nueva]]*Datos_Origen[[#This Row],[%ARL]]</f>
        <v>17283.671388101982</v>
      </c>
      <c r="DL58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132441.92634560907</v>
      </c>
      <c r="DM58" s="158">
        <f>Datos_Origen[[#This Row],[Salud Nueva]]+Datos_Origen[[#This Row],[Pensión Nueva]]+Datos_Origen[[#This Row],[ARL nueva]]+Datos_Origen[[#This Row],[Parafiscales Nuevos]]</f>
        <v>547051.37677053828</v>
      </c>
      <c r="DN58" s="158">
        <f>Datos_Origen[[#This Row],[Costo Laboral Nuevo]]+Datos_Origen[[#This Row],[Ctpol]]</f>
        <v>4443051.3767705383</v>
      </c>
      <c r="DO58" s="158">
        <f>IF(Datos_Origen[[#This Row],[Ctpol]]-Datos_Origen[[#This Row],[CT]]&lt;=0,0,Datos_Origen[[#This Row],[Costo Total Nuevo]]-Datos_Origen[[#This Row],[Costo Total Actual]])</f>
        <v>1217147.8167705382</v>
      </c>
      <c r="DP58" s="158">
        <f>IF(Datos_Origen[[#This Row],[Ctpol]]-Datos_Origen[[#This Row],[CT]]&lt;=0,0,Datos_Origen[[#This Row],[Ctpol]]-Datos_Origen[[#This Row],[CT]])</f>
        <v>1067285.3199999998</v>
      </c>
      <c r="DQ58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149862.49677053827</v>
      </c>
      <c r="DR58" s="158">
        <f>ROUNDDOWN(VLOOKUP(Datos_Origen[[#This Row],[Categoria]],Competitividad_1[],7,0)*IndiceIncrementoC,-3)</f>
        <v>4328000</v>
      </c>
      <c r="DS58" s="158">
        <f>Datos_Origen[[#This Row],[CTeq]]*0.8</f>
        <v>2824396.4020494311</v>
      </c>
      <c r="DT58" s="158">
        <f>Datos_Origen[[#This Row],[CTeq]]*1.2</f>
        <v>4236594.6030741464</v>
      </c>
      <c r="DU58" s="155">
        <f>IF(Datos_Origen[[#This Row],[Gpol6]]/(1+FactorPrestacionalOrdinario)&lt;SMMLV,SMMLV,Datos_Origen[[#This Row],[Gpol6]]/(1+FactorPrestacionalOrdinario))</f>
        <v>2648838.5269121812</v>
      </c>
      <c r="DV58" s="139" t="str">
        <f>IF((Datos_Origen[[#This Row],[Gpol6]]/(1+FactorPrestacionalIntegral))&lt;(13*SMMLV),"",(Datos_Origen[[#This Row],[Gpol6]]/(1+FactorPrestacionalIntegral)))</f>
        <v/>
      </c>
      <c r="DW58" s="154">
        <f>Datos_Origen[[#This Row],[G+Vpol8]]</f>
        <v>3116800</v>
      </c>
      <c r="DX58" s="154">
        <f>Datos_Origen[[#This Row],[Ctpol10]]-Datos_Origen[[#This Row],[Beneficios]]</f>
        <v>3116800</v>
      </c>
      <c r="DY58" s="154">
        <f>Datos_Origen[[#This Row],[Ctpol]]*$CM$6</f>
        <v>3116800</v>
      </c>
      <c r="DZ58" s="155">
        <f>IF(Datos_Origen[[#This Row],[Gpol66]]/(1+FactorPrestacionalOrdinario)&lt;SMMLV,SMMLV,Datos_Origen[[#This Row],[Gpol66]]/(1+FactorPrestacionalOrdinario))</f>
        <v>3973257.7903682715</v>
      </c>
      <c r="EA58" s="139" t="str">
        <f>IF((Datos_Origen[[#This Row],[Gpol66]]/(1+FactorPrestacionalIntegral))&lt;(13*SMMLV),"",(Datos_Origen[[#This Row],[Gpol66]]/(1+FactorPrestacionalIntegral)))</f>
        <v/>
      </c>
      <c r="EB58" s="154">
        <f>Datos_Origen[[#This Row],[G+Vpol88]]</f>
        <v>4675200</v>
      </c>
      <c r="EC58" s="154">
        <f>Datos_Origen[[#This Row],[Ctpol1010]]-Datos_Origen[[#This Row],[Beneficios]]</f>
        <v>4675200</v>
      </c>
      <c r="ED58" s="154">
        <f>Datos_Origen[[#This Row],[Ctpol]]*$CP$6</f>
        <v>4675200</v>
      </c>
      <c r="EE58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59" spans="2:135">
      <c r="B59" s="148"/>
      <c r="C59" s="149"/>
      <c r="D59" s="150"/>
      <c r="E59" s="151"/>
      <c r="F59" s="151"/>
      <c r="G59" s="150" t="s">
        <v>334</v>
      </c>
      <c r="H59" s="153"/>
      <c r="I59" s="152" t="s">
        <v>334</v>
      </c>
      <c r="J59" s="130" t="str">
        <f>IFERROR(VLOOKUP(Datos_Origen[[#This Row],[Cargo Tipo Valorado]],Cargos_Catalogo[[#All],[Cargo]:[Área]],2,0),"")</f>
        <v xml:space="preserve">Jefe de calidad </v>
      </c>
      <c r="K59" s="153"/>
      <c r="L59" s="153"/>
      <c r="M59" s="153"/>
      <c r="N59" s="153"/>
      <c r="O59" s="154">
        <f>Datos_Origen[[#This Row],[Segmentación Individual]]</f>
        <v>0</v>
      </c>
      <c r="P59" s="153"/>
      <c r="Q59" s="154">
        <f>VLOOKUP(Datos_Origen[[#This Row],[Cargo Tipo Valorado]],Cargos_Catalogo[#Data],MATCH(Cargos_Catalogo[[#Headers],[Puntos]],Cargos_Catalogo[#Headers],0),FALSE)</f>
        <v>248</v>
      </c>
      <c r="R59" s="130">
        <f>VLOOKUP(Datos_Origen[[#This Row],[Puntos valoración]],Categorias_Registro[#Data],MATCH(Categorias_Registro[[#Headers],[Categoria]],Categorias_Registro[#Headers],0),FALSE)</f>
        <v>8</v>
      </c>
      <c r="S59" s="130" t="str">
        <f>VLOOKUP(Datos_Origen[[#This Row],[Cargo Tipo Valorado]],Cargos_Catalogo[#Data],MATCH(Cargos_Catalogo[[#Headers],[Nivel SHR]],Cargos_Catalogo[#Headers],0),FALSE)</f>
        <v>Soporte</v>
      </c>
      <c r="T59" s="130" t="str">
        <f>VLOOKUP(Datos_Origen[[#This Row],[Cargo Tipo Valorado]],Cargos_Catalogo[#Data],MATCH(Cargos_Catalogo[[#Headers],[Criticidad]],Cargos_Catalogo[#Headers],0),FALSE)</f>
        <v>Relevante</v>
      </c>
      <c r="U59" s="154">
        <f>VLOOKUP(Datos_Origen[[#This Row],[Puntos valoración]],Categorias_Registro[#Data],5,FALSE)</f>
        <v>249</v>
      </c>
      <c r="V59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59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59" s="154">
        <f>SUMIF($BA$5:$BJ$5,"NCS",Datos_Origen[[#This Row],[auxilio Gasolina]:[Otro Beneficio10]])+(SUMIF($BA$5:$BJ$5,"CS",Datos_Origen[[#This Row],[auxilio Gasolina]:[Otro Beneficio10]])*1.17667)</f>
        <v>0</v>
      </c>
      <c r="Y59" s="155">
        <f>Datos_Origen[[#This Row],[Básico]]+Datos_Origen[[#This Row],[Promedio de Comisiones  ]]</f>
        <v>2404000</v>
      </c>
      <c r="Z59" s="155">
        <f>Datos_Origen[[#This Row],[Básico]]+Datos_Origen[[#This Row],[Promedio de Comisiones  ]]</f>
        <v>2404000</v>
      </c>
      <c r="AA59" s="155">
        <f>Datos_Origen[[#This Row],[Garantizado]]</f>
        <v>2828714.68</v>
      </c>
      <c r="AB59" s="155">
        <f>Datos_Origen[[#This Row],[Variable]]+Datos_Origen[[#This Row],[Garantizado]]</f>
        <v>2828714.68</v>
      </c>
      <c r="AC59" s="155">
        <f>Datos_Origen[[#This Row],[Beneficios]]+Datos_Origen[[#This Row],[Variable]]+Datos_Origen[[#This Row],[Garantizado]]</f>
        <v>2828714.68</v>
      </c>
      <c r="AD59" s="156">
        <v>14.12</v>
      </c>
      <c r="AE59" s="141">
        <v>230</v>
      </c>
      <c r="AF59" s="345">
        <v>4.3499999999999997E-2</v>
      </c>
      <c r="AG59" s="155">
        <f>Datos_Origen[[#This Row],[Básico Actual]]*230/Datos_Origen[[#This Row],['# horas mes]]</f>
        <v>2404000</v>
      </c>
      <c r="AH59" s="157">
        <v>2404000</v>
      </c>
      <c r="AI59" s="158"/>
      <c r="AJ59" s="158">
        <f>(((Datos_Origen[[#This Row],[Básico]])/30)*$AJ$6)/12</f>
        <v>0</v>
      </c>
      <c r="AK59" s="158"/>
      <c r="AL59" s="143">
        <f>((Datos_Origen[[#This Row],[Básico]])/30)*$AL$6/12</f>
        <v>0</v>
      </c>
      <c r="AM59" s="158"/>
      <c r="AN59" s="158"/>
      <c r="AO59" s="158"/>
      <c r="AP59" s="158"/>
      <c r="AQ59" s="158"/>
      <c r="AR59" s="149">
        <v>0</v>
      </c>
      <c r="AS59" s="149"/>
      <c r="AT59" s="159" t="str">
        <f>IFERROR(Datos_Origen[[#This Row],[Comisiones Target]]/Datos_Origen[[#This Row],[Promedio de Comisiones  ]],"")</f>
        <v/>
      </c>
      <c r="AU59" s="160"/>
      <c r="AV59" s="143">
        <v>0</v>
      </c>
      <c r="AW59" s="160"/>
      <c r="AX59" s="143">
        <f>Datos_Origen[[#This Row],[N Salarios de la Bonificación2]]*Datos_Origen[[#This Row],[Básico]]/12</f>
        <v>0</v>
      </c>
      <c r="AY59" s="160"/>
      <c r="AZ59" s="158"/>
      <c r="BA59" s="149">
        <v>0</v>
      </c>
      <c r="BB59" s="149"/>
      <c r="BC59" s="149"/>
      <c r="BD59" s="149"/>
      <c r="BE59" s="149"/>
      <c r="BF59" s="149"/>
      <c r="BG59" s="149"/>
      <c r="BH59" s="149"/>
      <c r="BI59" s="149"/>
      <c r="BJ59" s="149"/>
      <c r="BK59" s="159">
        <f>IFERROR(Datos_Origen[[#This Row],[Variable]]/Datos_Origen[[#This Row],[CT]],"")</f>
        <v>0</v>
      </c>
      <c r="BL59" s="159">
        <f>IFERROR(Datos_Origen[[#This Row],[Beneficios]]/Datos_Origen[[#This Row],[CT]],"")</f>
        <v>0</v>
      </c>
      <c r="BM59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3287369.2650705236</v>
      </c>
      <c r="BN59" s="161">
        <f>Datos_Origen[[#This Row],[G]]/Datos_Origen[[#This Row],[Geq]]</f>
        <v>0.86047974897621249</v>
      </c>
      <c r="BO59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3528440.0086889477</v>
      </c>
      <c r="BP59" s="161">
        <f>Datos_Origen[[#This Row],[G+V]]/Datos_Origen[[#This Row],[G+Veq]]</f>
        <v>0.80168988930920138</v>
      </c>
      <c r="BQ59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3530495.5025617885</v>
      </c>
      <c r="BR59" s="161">
        <f>Datos_Origen[[#This Row],[CT]]/Datos_Origen[[#This Row],[CTeq]]</f>
        <v>0.80122313651084842</v>
      </c>
      <c r="BS59" s="139">
        <f>ROUNDUP(VLOOKUP(Datos_Origen[[#This Row],[Categoria]],Competitividad_1[#All],2,0)*IndiceIncrementoC,-3)</f>
        <v>3243000</v>
      </c>
      <c r="BT59" s="161">
        <f>Datos_Origen[[#This Row],[G]]/Datos_Origen[[#This Row],[GQ1]]</f>
        <v>0.8722524452667284</v>
      </c>
      <c r="BU59" s="155">
        <f>ROUNDUP(VLOOKUP(Datos_Origen[[#This Row],[Categoria]],Competitividad_1[#All],3,0)*IndiceIncrementoC,-3)</f>
        <v>3349000</v>
      </c>
      <c r="BV59" s="161">
        <f>Datos_Origen[[#This Row],[G+V]]/Datos_Origen[[#This Row],[G+VQ1]]</f>
        <v>0.84464457449985075</v>
      </c>
      <c r="BW59" s="155">
        <f>ROUNDUP(VLOOKUP(Datos_Origen[[#This Row],[Categoria]],Competitividad_1[#All],4,0)*IndiceIncrementoC,-3)</f>
        <v>3485000</v>
      </c>
      <c r="BX59" s="161">
        <f>Datos_Origen[[#This Row],[CT]]/Datos_Origen[[#This Row],[CTQ1]]</f>
        <v>0.81168283500717364</v>
      </c>
      <c r="BY59" s="155">
        <f>ROUNDUP(VLOOKUP(Datos_Origen[[#This Row],[Categoria]],Competitividad_1[#All],5,0)*IndiceIncrementoC,-3)</f>
        <v>4089000</v>
      </c>
      <c r="BZ59" s="161">
        <f>Datos_Origen[[#This Row],[G]]/Datos_Origen[[#This Row],[GMd]]</f>
        <v>0.69178642210809493</v>
      </c>
      <c r="CA59" s="155">
        <f>ROUNDUP(VLOOKUP(Datos_Origen[[#This Row],[Categoria]],Competitividad_1[#All],6,0)*IndiceIncrementoC,-3)</f>
        <v>4138000</v>
      </c>
      <c r="CB59" s="161">
        <f>Datos_Origen[[#This Row],[G+V]]/Datos_Origen[[#This Row],[G+VMd]]</f>
        <v>0.68359465442242628</v>
      </c>
      <c r="CC59" s="155">
        <f>ROUNDUP(VLOOKUP(Datos_Origen[[#This Row],[Categoria]],Competitividad_1[#All],7,0)*IndiceIncrementoC,-3)</f>
        <v>4329000</v>
      </c>
      <c r="CD59" s="161">
        <f>Datos_Origen[[#This Row],[CT]]/Datos_Origen[[#This Row],[CTMd]]</f>
        <v>0.65343374451374459</v>
      </c>
      <c r="CE59" s="155">
        <f>+Datos_Origen[[#This Row],[GMd]]/1.17666666667</f>
        <v>3475070.8215199006</v>
      </c>
      <c r="CF59" s="161">
        <f>+Datos_Origen[[#This Row],[Básico Actual]]/Datos_Origen[[#This Row],[Salario Basico Md]]</f>
        <v>0.69178446238069946</v>
      </c>
      <c r="CG59" s="155">
        <f>ROUNDUP(VLOOKUP(Datos_Origen[[#This Row],[Categoria]],Competitividad_1[#All],8,0)*IndiceIncrementoC,-3)</f>
        <v>5334000</v>
      </c>
      <c r="CH59" s="161">
        <f>Datos_Origen[[#This Row],[G]]/Datos_Origen[[#This Row],[GQ3]]</f>
        <v>0.53031771278590178</v>
      </c>
      <c r="CI59" s="155">
        <f>ROUNDUP(VLOOKUP(Datos_Origen[[#This Row],[Categoria]],Competitividad_1[#All],9,0)*IndiceIncrementoC,-3)</f>
        <v>5483000</v>
      </c>
      <c r="CJ59" s="161">
        <f>Datos_Origen[[#This Row],[G+V]]/Datos_Origen[[#This Row],[G+VQ3]]</f>
        <v>0.51590637971913189</v>
      </c>
      <c r="CK59" s="155">
        <f>ROUNDUP(VLOOKUP(Datos_Origen[[#This Row],[Categoria]],Competitividad_1[#All],10,0)*IndiceIncrementoC,-3)</f>
        <v>5625000</v>
      </c>
      <c r="CL59" s="161">
        <f>Datos_Origen[[#This Row],[CT]]/Datos_Origen[[#This Row],[CTQ3]]</f>
        <v>0.50288260977777777</v>
      </c>
      <c r="CM59" s="162">
        <f>IF(ROUND(Datos_Origen[[#This Row],[Salario Ordinario Pol2]],-3)&lt;SMMLV,SMMLV,ROUND(Datos_Origen[[#This Row],[Salario Ordinario Pol2]],-3))</f>
        <v>2649000</v>
      </c>
      <c r="CN59" s="155">
        <f>IF(Datos_Origen[[#This Row],[Gpol]]/(1+FactorPrestacionalOrdinario)&lt;SMMLV,SMMLV,Datos_Origen[[#This Row],[Gpol]]/(1+FactorPrestacionalOrdinario))</f>
        <v>3311048.1586402263</v>
      </c>
      <c r="CO59" s="161">
        <f>IFERROR(IF(Datos_Origen[[#This Row],[Salarios Año]]=14.12,Datos_Origen[[#This Row],[Básico]]/Datos_Origen[[#This Row],[Salario Ordinario Pol]],""),"")</f>
        <v>0.72605407255304588</v>
      </c>
      <c r="CP59" s="155">
        <f>IF(ROUND(Datos_Origen[[#This Row],[Salario Ordinario Pol22]],-3)&lt;SMMLV,SMMLV,ROUND(Datos_Origen[[#This Row],[Salario Ordinario Pol22]],-3))</f>
        <v>3973000</v>
      </c>
      <c r="CQ59" s="155" t="str">
        <f>IFERROR(ROUND(Datos_Origen[[#This Row],[Salario Integral Pol4]],-3),"")</f>
        <v/>
      </c>
      <c r="CR59" s="139" t="str">
        <f>IF((Datos_Origen[[#This Row],[Gpol]]/(1+FactorPrestacionalIntegral))&lt;(13*SMMLV),"",(Datos_Origen[[#This Row],[Gpol]]/(1+FactorPrestacionalIntegral)))</f>
        <v/>
      </c>
      <c r="CS59" s="161" t="str">
        <f>IFERROR(IF(Datos_Origen[[#This Row],[Salarios Año]]=12,Datos_Origen[[#This Row],[Básico]]/Datos_Origen[[#This Row],[Salario Integral Pol]],""),"")</f>
        <v/>
      </c>
      <c r="CT59" s="155" t="str">
        <f>IFERROR(ROUND(Datos_Origen[[#This Row],[Salario Integral Pol44]],-3),"")</f>
        <v/>
      </c>
      <c r="CU59" s="155">
        <f>Datos_Origen[[#This Row],[G+Vpol]]-Datos_Origen[[#This Row],[Variable]]</f>
        <v>3896000</v>
      </c>
      <c r="CV59" s="161">
        <f>Datos_Origen[[#This Row],[G]]/Datos_Origen[[#This Row],[Gpol]]</f>
        <v>0.72605612936344976</v>
      </c>
      <c r="CW59" s="154">
        <f>Datos_Origen[[#This Row],[Ctpol]]-Datos_Origen[[#This Row],[Beneficios]]</f>
        <v>3896000</v>
      </c>
      <c r="CX59" s="161">
        <f>Datos_Origen[[#This Row],[G+V]]/Datos_Origen[[#This Row],[G+Vpol]]</f>
        <v>0.72605612936344976</v>
      </c>
      <c r="CY59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3896000</v>
      </c>
      <c r="CZ59" s="161">
        <f>Datos_Origen[[#This Row],[CT]]/Datos_Origen[[#This Row],[Ctpol]]</f>
        <v>0.72605612936344976</v>
      </c>
      <c r="DA59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59" s="158">
        <f>IF(Datos_Origen[[#This Row],[Básico]]&lt;10*SMMLV,0,Datos_Origen[[#This Row],[Base Seguridad Social Actual]]*8.5%)</f>
        <v>0</v>
      </c>
      <c r="DC59" s="158">
        <f>Datos_Origen[[#This Row],[Base Seguridad Social Actual]]*12%</f>
        <v>288480</v>
      </c>
      <c r="DD59" s="158">
        <f>Datos_Origen[[#This Row],[Base Seguridad Social Actual]]*Datos_Origen[[#This Row],[%ARL]]</f>
        <v>104574</v>
      </c>
      <c r="DE59" s="158">
        <f>IF(Datos_Origen[[#This Row],[Básico]]&lt;10*SMMLV,Datos_Origen[[#This Row],[Base Seguridad Social Actual]]*4%,Datos_Origen[[#This Row],[Base Seguridad Social Actual]]*9%)</f>
        <v>96160</v>
      </c>
      <c r="DF59" s="158">
        <f>Datos_Origen[[#This Row],[Salud]]+Datos_Origen[[#This Row],[Pensión]]+Datos_Origen[[#This Row],[ARL]]+Datos_Origen[[#This Row],[Parafiscales]]</f>
        <v>489214</v>
      </c>
      <c r="DG59" s="158">
        <f>Datos_Origen[[#This Row],[Costo Laboral Actual]]+Datos_Origen[[#This Row],[CT]]</f>
        <v>3317928.68</v>
      </c>
      <c r="DH59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3311048.1586402263</v>
      </c>
      <c r="DI59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59" s="158">
        <f>Datos_Origen[[#This Row],[Base Seguridad Social Nueva]]*12%</f>
        <v>397325.77903682715</v>
      </c>
      <c r="DK59" s="158">
        <f>Datos_Origen[[#This Row],[Base Seguridad Social Nueva]]*Datos_Origen[[#This Row],[%ARL]]</f>
        <v>144030.59490084983</v>
      </c>
      <c r="DL59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132441.92634560907</v>
      </c>
      <c r="DM59" s="158">
        <f>Datos_Origen[[#This Row],[Salud Nueva]]+Datos_Origen[[#This Row],[Pensión Nueva]]+Datos_Origen[[#This Row],[ARL nueva]]+Datos_Origen[[#This Row],[Parafiscales Nuevos]]</f>
        <v>673798.30028328602</v>
      </c>
      <c r="DN59" s="158">
        <f>Datos_Origen[[#This Row],[Costo Laboral Nuevo]]+Datos_Origen[[#This Row],[Ctpol]]</f>
        <v>4569798.3002832858</v>
      </c>
      <c r="DO59" s="158">
        <f>IF(Datos_Origen[[#This Row],[Ctpol]]-Datos_Origen[[#This Row],[CT]]&lt;=0,0,Datos_Origen[[#This Row],[Costo Total Nuevo]]-Datos_Origen[[#This Row],[Costo Total Actual]])</f>
        <v>1251869.6202832856</v>
      </c>
      <c r="DP59" s="158">
        <f>IF(Datos_Origen[[#This Row],[Ctpol]]-Datos_Origen[[#This Row],[CT]]&lt;=0,0,Datos_Origen[[#This Row],[Ctpol]]-Datos_Origen[[#This Row],[CT]])</f>
        <v>1067285.3199999998</v>
      </c>
      <c r="DQ59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184584.30028328602</v>
      </c>
      <c r="DR59" s="158">
        <f>ROUNDDOWN(VLOOKUP(Datos_Origen[[#This Row],[Categoria]],Competitividad_1[],7,0)*IndiceIncrementoC,-3)</f>
        <v>4328000</v>
      </c>
      <c r="DS59" s="158">
        <f>Datos_Origen[[#This Row],[CTeq]]*0.8</f>
        <v>2824396.4020494311</v>
      </c>
      <c r="DT59" s="158">
        <f>Datos_Origen[[#This Row],[CTeq]]*1.2</f>
        <v>4236594.6030741464</v>
      </c>
      <c r="DU59" s="155">
        <f>IF(Datos_Origen[[#This Row],[Gpol6]]/(1+FactorPrestacionalOrdinario)&lt;SMMLV,SMMLV,Datos_Origen[[#This Row],[Gpol6]]/(1+FactorPrestacionalOrdinario))</f>
        <v>2648838.5269121812</v>
      </c>
      <c r="DV59" s="139" t="str">
        <f>IF((Datos_Origen[[#This Row],[Gpol6]]/(1+FactorPrestacionalIntegral))&lt;(13*SMMLV),"",(Datos_Origen[[#This Row],[Gpol6]]/(1+FactorPrestacionalIntegral)))</f>
        <v/>
      </c>
      <c r="DW59" s="154">
        <f>Datos_Origen[[#This Row],[G+Vpol8]]</f>
        <v>3116800</v>
      </c>
      <c r="DX59" s="154">
        <f>Datos_Origen[[#This Row],[Ctpol10]]-Datos_Origen[[#This Row],[Beneficios]]</f>
        <v>3116800</v>
      </c>
      <c r="DY59" s="154">
        <f>Datos_Origen[[#This Row],[Ctpol]]*$CM$6</f>
        <v>3116800</v>
      </c>
      <c r="DZ59" s="155">
        <f>IF(Datos_Origen[[#This Row],[Gpol66]]/(1+FactorPrestacionalOrdinario)&lt;SMMLV,SMMLV,Datos_Origen[[#This Row],[Gpol66]]/(1+FactorPrestacionalOrdinario))</f>
        <v>3973257.7903682715</v>
      </c>
      <c r="EA59" s="139" t="str">
        <f>IF((Datos_Origen[[#This Row],[Gpol66]]/(1+FactorPrestacionalIntegral))&lt;(13*SMMLV),"",(Datos_Origen[[#This Row],[Gpol66]]/(1+FactorPrestacionalIntegral)))</f>
        <v/>
      </c>
      <c r="EB59" s="154">
        <f>Datos_Origen[[#This Row],[G+Vpol88]]</f>
        <v>4675200</v>
      </c>
      <c r="EC59" s="154">
        <f>Datos_Origen[[#This Row],[Ctpol1010]]-Datos_Origen[[#This Row],[Beneficios]]</f>
        <v>4675200</v>
      </c>
      <c r="ED59" s="154">
        <f>Datos_Origen[[#This Row],[Ctpol]]*$CP$6</f>
        <v>4675200</v>
      </c>
      <c r="EE59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60" spans="2:135">
      <c r="B60" s="148"/>
      <c r="C60" s="149"/>
      <c r="D60" s="150"/>
      <c r="E60" s="151"/>
      <c r="F60" s="151"/>
      <c r="G60" s="150" t="s">
        <v>335</v>
      </c>
      <c r="H60" s="153"/>
      <c r="I60" s="152" t="s">
        <v>335</v>
      </c>
      <c r="J60" s="130" t="str">
        <f>IFERROR(VLOOKUP(Datos_Origen[[#This Row],[Cargo Tipo Valorado]],Cargos_Catalogo[[#All],[Cargo]:[Área]],2,0),"")</f>
        <v xml:space="preserve">Coordinador de mantenimiento </v>
      </c>
      <c r="K60" s="153"/>
      <c r="L60" s="153"/>
      <c r="M60" s="153"/>
      <c r="N60" s="153"/>
      <c r="O60" s="154">
        <f>Datos_Origen[[#This Row],[Segmentación Individual]]</f>
        <v>0</v>
      </c>
      <c r="P60" s="153"/>
      <c r="Q60" s="154">
        <f>VLOOKUP(Datos_Origen[[#This Row],[Cargo Tipo Valorado]],Cargos_Catalogo[#Data],MATCH(Cargos_Catalogo[[#Headers],[Puntos]],Cargos_Catalogo[#Headers],0),FALSE)</f>
        <v>262</v>
      </c>
      <c r="R60" s="130">
        <f>VLOOKUP(Datos_Origen[[#This Row],[Puntos valoración]],Categorias_Registro[#Data],MATCH(Categorias_Registro[[#Headers],[Categoria]],Categorias_Registro[#Headers],0),FALSE)</f>
        <v>8</v>
      </c>
      <c r="S60" s="130" t="str">
        <f>VLOOKUP(Datos_Origen[[#This Row],[Cargo Tipo Valorado]],Cargos_Catalogo[#Data],MATCH(Cargos_Catalogo[[#Headers],[Nivel SHR]],Cargos_Catalogo[#Headers],0),FALSE)</f>
        <v>Soporte</v>
      </c>
      <c r="T60" s="130" t="str">
        <f>VLOOKUP(Datos_Origen[[#This Row],[Cargo Tipo Valorado]],Cargos_Catalogo[#Data],MATCH(Cargos_Catalogo[[#Headers],[Criticidad]],Cargos_Catalogo[#Headers],0),FALSE)</f>
        <v>Relevante</v>
      </c>
      <c r="U60" s="154">
        <f>VLOOKUP(Datos_Origen[[#This Row],[Puntos valoración]],Categorias_Registro[#Data],5,FALSE)</f>
        <v>249</v>
      </c>
      <c r="V60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60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60" s="154">
        <f>SUMIF($BA$5:$BJ$5,"NCS",Datos_Origen[[#This Row],[auxilio Gasolina]:[Otro Beneficio10]])+(SUMIF($BA$5:$BJ$5,"CS",Datos_Origen[[#This Row],[auxilio Gasolina]:[Otro Beneficio10]])*1.17667)</f>
        <v>0</v>
      </c>
      <c r="Y60" s="155">
        <f>Datos_Origen[[#This Row],[Básico]]+Datos_Origen[[#This Row],[Promedio de Comisiones  ]]</f>
        <v>2404000</v>
      </c>
      <c r="Z60" s="155">
        <f>Datos_Origen[[#This Row],[Básico]]+Datos_Origen[[#This Row],[Promedio de Comisiones  ]]</f>
        <v>2404000</v>
      </c>
      <c r="AA60" s="155">
        <f>Datos_Origen[[#This Row],[Garantizado]]</f>
        <v>2828714.68</v>
      </c>
      <c r="AB60" s="155">
        <f>Datos_Origen[[#This Row],[Variable]]+Datos_Origen[[#This Row],[Garantizado]]</f>
        <v>2828714.68</v>
      </c>
      <c r="AC60" s="155">
        <f>Datos_Origen[[#This Row],[Beneficios]]+Datos_Origen[[#This Row],[Variable]]+Datos_Origen[[#This Row],[Garantizado]]</f>
        <v>2828714.68</v>
      </c>
      <c r="AD60" s="156">
        <v>14.12</v>
      </c>
      <c r="AE60" s="141">
        <v>230</v>
      </c>
      <c r="AF60" s="345">
        <v>4.3499999999999997E-2</v>
      </c>
      <c r="AG60" s="155">
        <f>Datos_Origen[[#This Row],[Básico Actual]]*230/Datos_Origen[[#This Row],['# horas mes]]</f>
        <v>2404000</v>
      </c>
      <c r="AH60" s="157">
        <v>2404000</v>
      </c>
      <c r="AI60" s="158"/>
      <c r="AJ60" s="158">
        <f>(((Datos_Origen[[#This Row],[Básico]])/30)*$AJ$6)/12</f>
        <v>0</v>
      </c>
      <c r="AK60" s="158"/>
      <c r="AL60" s="143">
        <f>((Datos_Origen[[#This Row],[Básico]])/30)*$AL$6/12</f>
        <v>0</v>
      </c>
      <c r="AM60" s="158"/>
      <c r="AN60" s="158"/>
      <c r="AO60" s="158"/>
      <c r="AP60" s="158"/>
      <c r="AQ60" s="158"/>
      <c r="AR60" s="149">
        <v>0</v>
      </c>
      <c r="AS60" s="149"/>
      <c r="AT60" s="159" t="str">
        <f>IFERROR(Datos_Origen[[#This Row],[Comisiones Target]]/Datos_Origen[[#This Row],[Promedio de Comisiones  ]],"")</f>
        <v/>
      </c>
      <c r="AU60" s="160"/>
      <c r="AV60" s="143">
        <v>0</v>
      </c>
      <c r="AW60" s="160"/>
      <c r="AX60" s="143">
        <f>Datos_Origen[[#This Row],[N Salarios de la Bonificación2]]*Datos_Origen[[#This Row],[Básico]]/12</f>
        <v>0</v>
      </c>
      <c r="AY60" s="160"/>
      <c r="AZ60" s="158"/>
      <c r="BA60" s="149">
        <v>0</v>
      </c>
      <c r="BB60" s="149"/>
      <c r="BC60" s="149"/>
      <c r="BD60" s="149"/>
      <c r="BE60" s="149"/>
      <c r="BF60" s="149"/>
      <c r="BG60" s="149"/>
      <c r="BH60" s="149"/>
      <c r="BI60" s="149"/>
      <c r="BJ60" s="149"/>
      <c r="BK60" s="159">
        <f>IFERROR(Datos_Origen[[#This Row],[Variable]]/Datos_Origen[[#This Row],[CT]],"")</f>
        <v>0</v>
      </c>
      <c r="BL60" s="159">
        <f>IFERROR(Datos_Origen[[#This Row],[Beneficios]]/Datos_Origen[[#This Row],[CT]],"")</f>
        <v>0</v>
      </c>
      <c r="BM60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3287369.2650705236</v>
      </c>
      <c r="BN60" s="161">
        <f>Datos_Origen[[#This Row],[G]]/Datos_Origen[[#This Row],[Geq]]</f>
        <v>0.86047974897621249</v>
      </c>
      <c r="BO60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3528440.0086889477</v>
      </c>
      <c r="BP60" s="161">
        <f>Datos_Origen[[#This Row],[G+V]]/Datos_Origen[[#This Row],[G+Veq]]</f>
        <v>0.80168988930920138</v>
      </c>
      <c r="BQ60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3530495.5025617885</v>
      </c>
      <c r="BR60" s="161">
        <f>Datos_Origen[[#This Row],[CT]]/Datos_Origen[[#This Row],[CTeq]]</f>
        <v>0.80122313651084842</v>
      </c>
      <c r="BS60" s="139">
        <f>ROUNDUP(VLOOKUP(Datos_Origen[[#This Row],[Categoria]],Competitividad_1[#All],2,0)*IndiceIncrementoC,-3)</f>
        <v>3243000</v>
      </c>
      <c r="BT60" s="161">
        <f>Datos_Origen[[#This Row],[G]]/Datos_Origen[[#This Row],[GQ1]]</f>
        <v>0.8722524452667284</v>
      </c>
      <c r="BU60" s="155">
        <f>ROUNDUP(VLOOKUP(Datos_Origen[[#This Row],[Categoria]],Competitividad_1[#All],3,0)*IndiceIncrementoC,-3)</f>
        <v>3349000</v>
      </c>
      <c r="BV60" s="161">
        <f>Datos_Origen[[#This Row],[G+V]]/Datos_Origen[[#This Row],[G+VQ1]]</f>
        <v>0.84464457449985075</v>
      </c>
      <c r="BW60" s="155">
        <f>ROUNDUP(VLOOKUP(Datos_Origen[[#This Row],[Categoria]],Competitividad_1[#All],4,0)*IndiceIncrementoC,-3)</f>
        <v>3485000</v>
      </c>
      <c r="BX60" s="161">
        <f>Datos_Origen[[#This Row],[CT]]/Datos_Origen[[#This Row],[CTQ1]]</f>
        <v>0.81168283500717364</v>
      </c>
      <c r="BY60" s="155">
        <f>ROUNDUP(VLOOKUP(Datos_Origen[[#This Row],[Categoria]],Competitividad_1[#All],5,0)*IndiceIncrementoC,-3)</f>
        <v>4089000</v>
      </c>
      <c r="BZ60" s="161">
        <f>Datos_Origen[[#This Row],[G]]/Datos_Origen[[#This Row],[GMd]]</f>
        <v>0.69178642210809493</v>
      </c>
      <c r="CA60" s="155">
        <f>ROUNDUP(VLOOKUP(Datos_Origen[[#This Row],[Categoria]],Competitividad_1[#All],6,0)*IndiceIncrementoC,-3)</f>
        <v>4138000</v>
      </c>
      <c r="CB60" s="161">
        <f>Datos_Origen[[#This Row],[G+V]]/Datos_Origen[[#This Row],[G+VMd]]</f>
        <v>0.68359465442242628</v>
      </c>
      <c r="CC60" s="155">
        <f>ROUNDUP(VLOOKUP(Datos_Origen[[#This Row],[Categoria]],Competitividad_1[#All],7,0)*IndiceIncrementoC,-3)</f>
        <v>4329000</v>
      </c>
      <c r="CD60" s="161">
        <f>Datos_Origen[[#This Row],[CT]]/Datos_Origen[[#This Row],[CTMd]]</f>
        <v>0.65343374451374459</v>
      </c>
      <c r="CE60" s="155">
        <f>+Datos_Origen[[#This Row],[GMd]]/1.17666666667</f>
        <v>3475070.8215199006</v>
      </c>
      <c r="CF60" s="161">
        <f>+Datos_Origen[[#This Row],[Básico Actual]]/Datos_Origen[[#This Row],[Salario Basico Md]]</f>
        <v>0.69178446238069946</v>
      </c>
      <c r="CG60" s="155">
        <f>ROUNDUP(VLOOKUP(Datos_Origen[[#This Row],[Categoria]],Competitividad_1[#All],8,0)*IndiceIncrementoC,-3)</f>
        <v>5334000</v>
      </c>
      <c r="CH60" s="161">
        <f>Datos_Origen[[#This Row],[G]]/Datos_Origen[[#This Row],[GQ3]]</f>
        <v>0.53031771278590178</v>
      </c>
      <c r="CI60" s="155">
        <f>ROUNDUP(VLOOKUP(Datos_Origen[[#This Row],[Categoria]],Competitividad_1[#All],9,0)*IndiceIncrementoC,-3)</f>
        <v>5483000</v>
      </c>
      <c r="CJ60" s="161">
        <f>Datos_Origen[[#This Row],[G+V]]/Datos_Origen[[#This Row],[G+VQ3]]</f>
        <v>0.51590637971913189</v>
      </c>
      <c r="CK60" s="155">
        <f>ROUNDUP(VLOOKUP(Datos_Origen[[#This Row],[Categoria]],Competitividad_1[#All],10,0)*IndiceIncrementoC,-3)</f>
        <v>5625000</v>
      </c>
      <c r="CL60" s="161">
        <f>Datos_Origen[[#This Row],[CT]]/Datos_Origen[[#This Row],[CTQ3]]</f>
        <v>0.50288260977777777</v>
      </c>
      <c r="CM60" s="162">
        <f>IF(ROUND(Datos_Origen[[#This Row],[Salario Ordinario Pol2]],-3)&lt;SMMLV,SMMLV,ROUND(Datos_Origen[[#This Row],[Salario Ordinario Pol2]],-3))</f>
        <v>2649000</v>
      </c>
      <c r="CN60" s="155">
        <f>IF(Datos_Origen[[#This Row],[Gpol]]/(1+FactorPrestacionalOrdinario)&lt;SMMLV,SMMLV,Datos_Origen[[#This Row],[Gpol]]/(1+FactorPrestacionalOrdinario))</f>
        <v>3311048.1586402263</v>
      </c>
      <c r="CO60" s="161">
        <f>IFERROR(IF(Datos_Origen[[#This Row],[Salarios Año]]=14.12,Datos_Origen[[#This Row],[Básico]]/Datos_Origen[[#This Row],[Salario Ordinario Pol]],""),"")</f>
        <v>0.72605407255304588</v>
      </c>
      <c r="CP60" s="155">
        <f>IF(ROUND(Datos_Origen[[#This Row],[Salario Ordinario Pol22]],-3)&lt;SMMLV,SMMLV,ROUND(Datos_Origen[[#This Row],[Salario Ordinario Pol22]],-3))</f>
        <v>3973000</v>
      </c>
      <c r="CQ60" s="155" t="str">
        <f>IFERROR(ROUND(Datos_Origen[[#This Row],[Salario Integral Pol4]],-3),"")</f>
        <v/>
      </c>
      <c r="CR60" s="139" t="str">
        <f>IF((Datos_Origen[[#This Row],[Gpol]]/(1+FactorPrestacionalIntegral))&lt;(13*SMMLV),"",(Datos_Origen[[#This Row],[Gpol]]/(1+FactorPrestacionalIntegral)))</f>
        <v/>
      </c>
      <c r="CS60" s="161" t="str">
        <f>IFERROR(IF(Datos_Origen[[#This Row],[Salarios Año]]=12,Datos_Origen[[#This Row],[Básico]]/Datos_Origen[[#This Row],[Salario Integral Pol]],""),"")</f>
        <v/>
      </c>
      <c r="CT60" s="155" t="str">
        <f>IFERROR(ROUND(Datos_Origen[[#This Row],[Salario Integral Pol44]],-3),"")</f>
        <v/>
      </c>
      <c r="CU60" s="155">
        <f>Datos_Origen[[#This Row],[G+Vpol]]-Datos_Origen[[#This Row],[Variable]]</f>
        <v>3896000</v>
      </c>
      <c r="CV60" s="161">
        <f>Datos_Origen[[#This Row],[G]]/Datos_Origen[[#This Row],[Gpol]]</f>
        <v>0.72605612936344976</v>
      </c>
      <c r="CW60" s="154">
        <f>Datos_Origen[[#This Row],[Ctpol]]-Datos_Origen[[#This Row],[Beneficios]]</f>
        <v>3896000</v>
      </c>
      <c r="CX60" s="161">
        <f>Datos_Origen[[#This Row],[G+V]]/Datos_Origen[[#This Row],[G+Vpol]]</f>
        <v>0.72605612936344976</v>
      </c>
      <c r="CY60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3896000</v>
      </c>
      <c r="CZ60" s="161">
        <f>Datos_Origen[[#This Row],[CT]]/Datos_Origen[[#This Row],[Ctpol]]</f>
        <v>0.72605612936344976</v>
      </c>
      <c r="DA60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60" s="158">
        <f>IF(Datos_Origen[[#This Row],[Básico]]&lt;10*SMMLV,0,Datos_Origen[[#This Row],[Base Seguridad Social Actual]]*8.5%)</f>
        <v>0</v>
      </c>
      <c r="DC60" s="158">
        <f>Datos_Origen[[#This Row],[Base Seguridad Social Actual]]*12%</f>
        <v>288480</v>
      </c>
      <c r="DD60" s="158">
        <f>Datos_Origen[[#This Row],[Base Seguridad Social Actual]]*Datos_Origen[[#This Row],[%ARL]]</f>
        <v>104574</v>
      </c>
      <c r="DE60" s="158">
        <f>IF(Datos_Origen[[#This Row],[Básico]]&lt;10*SMMLV,Datos_Origen[[#This Row],[Base Seguridad Social Actual]]*4%,Datos_Origen[[#This Row],[Base Seguridad Social Actual]]*9%)</f>
        <v>96160</v>
      </c>
      <c r="DF60" s="158">
        <f>Datos_Origen[[#This Row],[Salud]]+Datos_Origen[[#This Row],[Pensión]]+Datos_Origen[[#This Row],[ARL]]+Datos_Origen[[#This Row],[Parafiscales]]</f>
        <v>489214</v>
      </c>
      <c r="DG60" s="158">
        <f>Datos_Origen[[#This Row],[Costo Laboral Actual]]+Datos_Origen[[#This Row],[CT]]</f>
        <v>3317928.68</v>
      </c>
      <c r="DH60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3311048.1586402263</v>
      </c>
      <c r="DI60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60" s="158">
        <f>Datos_Origen[[#This Row],[Base Seguridad Social Nueva]]*12%</f>
        <v>397325.77903682715</v>
      </c>
      <c r="DK60" s="158">
        <f>Datos_Origen[[#This Row],[Base Seguridad Social Nueva]]*Datos_Origen[[#This Row],[%ARL]]</f>
        <v>144030.59490084983</v>
      </c>
      <c r="DL60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132441.92634560907</v>
      </c>
      <c r="DM60" s="158">
        <f>Datos_Origen[[#This Row],[Salud Nueva]]+Datos_Origen[[#This Row],[Pensión Nueva]]+Datos_Origen[[#This Row],[ARL nueva]]+Datos_Origen[[#This Row],[Parafiscales Nuevos]]</f>
        <v>673798.30028328602</v>
      </c>
      <c r="DN60" s="158">
        <f>Datos_Origen[[#This Row],[Costo Laboral Nuevo]]+Datos_Origen[[#This Row],[Ctpol]]</f>
        <v>4569798.3002832858</v>
      </c>
      <c r="DO60" s="158">
        <f>IF(Datos_Origen[[#This Row],[Ctpol]]-Datos_Origen[[#This Row],[CT]]&lt;=0,0,Datos_Origen[[#This Row],[Costo Total Nuevo]]-Datos_Origen[[#This Row],[Costo Total Actual]])</f>
        <v>1251869.6202832856</v>
      </c>
      <c r="DP60" s="158">
        <f>IF(Datos_Origen[[#This Row],[Ctpol]]-Datos_Origen[[#This Row],[CT]]&lt;=0,0,Datos_Origen[[#This Row],[Ctpol]]-Datos_Origen[[#This Row],[CT]])</f>
        <v>1067285.3199999998</v>
      </c>
      <c r="DQ60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184584.30028328602</v>
      </c>
      <c r="DR60" s="158">
        <f>ROUNDDOWN(VLOOKUP(Datos_Origen[[#This Row],[Categoria]],Competitividad_1[],7,0)*IndiceIncrementoC,-3)</f>
        <v>4328000</v>
      </c>
      <c r="DS60" s="158">
        <f>Datos_Origen[[#This Row],[CTeq]]*0.8</f>
        <v>2824396.4020494311</v>
      </c>
      <c r="DT60" s="158">
        <f>Datos_Origen[[#This Row],[CTeq]]*1.2</f>
        <v>4236594.6030741464</v>
      </c>
      <c r="DU60" s="155">
        <f>IF(Datos_Origen[[#This Row],[Gpol6]]/(1+FactorPrestacionalOrdinario)&lt;SMMLV,SMMLV,Datos_Origen[[#This Row],[Gpol6]]/(1+FactorPrestacionalOrdinario))</f>
        <v>2648838.5269121812</v>
      </c>
      <c r="DV60" s="139" t="str">
        <f>IF((Datos_Origen[[#This Row],[Gpol6]]/(1+FactorPrestacionalIntegral))&lt;(13*SMMLV),"",(Datos_Origen[[#This Row],[Gpol6]]/(1+FactorPrestacionalIntegral)))</f>
        <v/>
      </c>
      <c r="DW60" s="154">
        <f>Datos_Origen[[#This Row],[G+Vpol8]]</f>
        <v>3116800</v>
      </c>
      <c r="DX60" s="154">
        <f>Datos_Origen[[#This Row],[Ctpol10]]-Datos_Origen[[#This Row],[Beneficios]]</f>
        <v>3116800</v>
      </c>
      <c r="DY60" s="154">
        <f>Datos_Origen[[#This Row],[Ctpol]]*$CM$6</f>
        <v>3116800</v>
      </c>
      <c r="DZ60" s="155">
        <f>IF(Datos_Origen[[#This Row],[Gpol66]]/(1+FactorPrestacionalOrdinario)&lt;SMMLV,SMMLV,Datos_Origen[[#This Row],[Gpol66]]/(1+FactorPrestacionalOrdinario))</f>
        <v>3973257.7903682715</v>
      </c>
      <c r="EA60" s="139" t="str">
        <f>IF((Datos_Origen[[#This Row],[Gpol66]]/(1+FactorPrestacionalIntegral))&lt;(13*SMMLV),"",(Datos_Origen[[#This Row],[Gpol66]]/(1+FactorPrestacionalIntegral)))</f>
        <v/>
      </c>
      <c r="EB60" s="154">
        <f>Datos_Origen[[#This Row],[G+Vpol88]]</f>
        <v>4675200</v>
      </c>
      <c r="EC60" s="154">
        <f>Datos_Origen[[#This Row],[Ctpol1010]]-Datos_Origen[[#This Row],[Beneficios]]</f>
        <v>4675200</v>
      </c>
      <c r="ED60" s="154">
        <f>Datos_Origen[[#This Row],[Ctpol]]*$CP$6</f>
        <v>4675200</v>
      </c>
      <c r="EE60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61" spans="2:135">
      <c r="B61" s="148"/>
      <c r="C61" s="149"/>
      <c r="D61" s="150"/>
      <c r="E61" s="151"/>
      <c r="F61" s="151"/>
      <c r="G61" s="150" t="s">
        <v>335</v>
      </c>
      <c r="H61" s="153"/>
      <c r="I61" s="152" t="s">
        <v>335</v>
      </c>
      <c r="J61" s="130" t="str">
        <f>IFERROR(VLOOKUP(Datos_Origen[[#This Row],[Cargo Tipo Valorado]],Cargos_Catalogo[[#All],[Cargo]:[Área]],2,0),"")</f>
        <v xml:space="preserve">Coordinador de mantenimiento </v>
      </c>
      <c r="K61" s="153"/>
      <c r="L61" s="153"/>
      <c r="M61" s="153"/>
      <c r="N61" s="153"/>
      <c r="O61" s="154">
        <f>Datos_Origen[[#This Row],[Segmentación Individual]]</f>
        <v>0</v>
      </c>
      <c r="P61" s="153"/>
      <c r="Q61" s="154">
        <f>VLOOKUP(Datos_Origen[[#This Row],[Cargo Tipo Valorado]],Cargos_Catalogo[#Data],MATCH(Cargos_Catalogo[[#Headers],[Puntos]],Cargos_Catalogo[#Headers],0),FALSE)</f>
        <v>262</v>
      </c>
      <c r="R61" s="130">
        <f>VLOOKUP(Datos_Origen[[#This Row],[Puntos valoración]],Categorias_Registro[#Data],MATCH(Categorias_Registro[[#Headers],[Categoria]],Categorias_Registro[#Headers],0),FALSE)</f>
        <v>8</v>
      </c>
      <c r="S61" s="130" t="str">
        <f>VLOOKUP(Datos_Origen[[#This Row],[Cargo Tipo Valorado]],Cargos_Catalogo[#Data],MATCH(Cargos_Catalogo[[#Headers],[Nivel SHR]],Cargos_Catalogo[#Headers],0),FALSE)</f>
        <v>Soporte</v>
      </c>
      <c r="T61" s="130" t="str">
        <f>VLOOKUP(Datos_Origen[[#This Row],[Cargo Tipo Valorado]],Cargos_Catalogo[#Data],MATCH(Cargos_Catalogo[[#Headers],[Criticidad]],Cargos_Catalogo[#Headers],0),FALSE)</f>
        <v>Relevante</v>
      </c>
      <c r="U61" s="154">
        <f>VLOOKUP(Datos_Origen[[#This Row],[Puntos valoración]],Categorias_Registro[#Data],5,FALSE)</f>
        <v>249</v>
      </c>
      <c r="V61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61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61" s="154">
        <f>SUMIF($BA$5:$BJ$5,"NCS",Datos_Origen[[#This Row],[auxilio Gasolina]:[Otro Beneficio10]])+(SUMIF($BA$5:$BJ$5,"CS",Datos_Origen[[#This Row],[auxilio Gasolina]:[Otro Beneficio10]])*1.17667)</f>
        <v>0</v>
      </c>
      <c r="Y61" s="155">
        <f>Datos_Origen[[#This Row],[Básico]]+Datos_Origen[[#This Row],[Promedio de Comisiones  ]]</f>
        <v>2404000</v>
      </c>
      <c r="Z61" s="155">
        <f>Datos_Origen[[#This Row],[Básico]]+Datos_Origen[[#This Row],[Promedio de Comisiones  ]]</f>
        <v>2404000</v>
      </c>
      <c r="AA61" s="155">
        <f>Datos_Origen[[#This Row],[Garantizado]]</f>
        <v>2828714.68</v>
      </c>
      <c r="AB61" s="155">
        <f>Datos_Origen[[#This Row],[Variable]]+Datos_Origen[[#This Row],[Garantizado]]</f>
        <v>2828714.68</v>
      </c>
      <c r="AC61" s="155">
        <f>Datos_Origen[[#This Row],[Beneficios]]+Datos_Origen[[#This Row],[Variable]]+Datos_Origen[[#This Row],[Garantizado]]</f>
        <v>2828714.68</v>
      </c>
      <c r="AD61" s="156">
        <v>14.12</v>
      </c>
      <c r="AE61" s="141">
        <v>230</v>
      </c>
      <c r="AF61" s="345">
        <v>4.3499999999999997E-2</v>
      </c>
      <c r="AG61" s="155">
        <f>Datos_Origen[[#This Row],[Básico Actual]]*230/Datos_Origen[[#This Row],['# horas mes]]</f>
        <v>2404000</v>
      </c>
      <c r="AH61" s="157">
        <v>2404000</v>
      </c>
      <c r="AI61" s="158"/>
      <c r="AJ61" s="158">
        <f>(((Datos_Origen[[#This Row],[Básico]])/30)*$AJ$6)/12</f>
        <v>0</v>
      </c>
      <c r="AK61" s="158"/>
      <c r="AL61" s="143">
        <f>((Datos_Origen[[#This Row],[Básico]])/30)*$AL$6/12</f>
        <v>0</v>
      </c>
      <c r="AM61" s="158"/>
      <c r="AN61" s="158"/>
      <c r="AO61" s="158"/>
      <c r="AP61" s="158"/>
      <c r="AQ61" s="158"/>
      <c r="AR61" s="149">
        <v>0</v>
      </c>
      <c r="AS61" s="149"/>
      <c r="AT61" s="159" t="str">
        <f>IFERROR(Datos_Origen[[#This Row],[Comisiones Target]]/Datos_Origen[[#This Row],[Promedio de Comisiones  ]],"")</f>
        <v/>
      </c>
      <c r="AU61" s="160"/>
      <c r="AV61" s="143">
        <v>0</v>
      </c>
      <c r="AW61" s="160"/>
      <c r="AX61" s="143">
        <f>Datos_Origen[[#This Row],[N Salarios de la Bonificación2]]*Datos_Origen[[#This Row],[Básico]]/12</f>
        <v>0</v>
      </c>
      <c r="AY61" s="160"/>
      <c r="AZ61" s="158"/>
      <c r="BA61" s="149">
        <v>0</v>
      </c>
      <c r="BB61" s="149"/>
      <c r="BC61" s="149"/>
      <c r="BD61" s="149"/>
      <c r="BE61" s="149"/>
      <c r="BF61" s="149"/>
      <c r="BG61" s="149"/>
      <c r="BH61" s="149"/>
      <c r="BI61" s="149"/>
      <c r="BJ61" s="149"/>
      <c r="BK61" s="159">
        <f>IFERROR(Datos_Origen[[#This Row],[Variable]]/Datos_Origen[[#This Row],[CT]],"")</f>
        <v>0</v>
      </c>
      <c r="BL61" s="159">
        <f>IFERROR(Datos_Origen[[#This Row],[Beneficios]]/Datos_Origen[[#This Row],[CT]],"")</f>
        <v>0</v>
      </c>
      <c r="BM61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3287369.2650705236</v>
      </c>
      <c r="BN61" s="161">
        <f>Datos_Origen[[#This Row],[G]]/Datos_Origen[[#This Row],[Geq]]</f>
        <v>0.86047974897621249</v>
      </c>
      <c r="BO61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3528440.0086889477</v>
      </c>
      <c r="BP61" s="161">
        <f>Datos_Origen[[#This Row],[G+V]]/Datos_Origen[[#This Row],[G+Veq]]</f>
        <v>0.80168988930920138</v>
      </c>
      <c r="BQ61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3530495.5025617885</v>
      </c>
      <c r="BR61" s="161">
        <f>Datos_Origen[[#This Row],[CT]]/Datos_Origen[[#This Row],[CTeq]]</f>
        <v>0.80122313651084842</v>
      </c>
      <c r="BS61" s="139">
        <f>ROUNDUP(VLOOKUP(Datos_Origen[[#This Row],[Categoria]],Competitividad_1[#All],2,0)*IndiceIncrementoC,-3)</f>
        <v>3243000</v>
      </c>
      <c r="BT61" s="161">
        <f>Datos_Origen[[#This Row],[G]]/Datos_Origen[[#This Row],[GQ1]]</f>
        <v>0.8722524452667284</v>
      </c>
      <c r="BU61" s="155">
        <f>ROUNDUP(VLOOKUP(Datos_Origen[[#This Row],[Categoria]],Competitividad_1[#All],3,0)*IndiceIncrementoC,-3)</f>
        <v>3349000</v>
      </c>
      <c r="BV61" s="161">
        <f>Datos_Origen[[#This Row],[G+V]]/Datos_Origen[[#This Row],[G+VQ1]]</f>
        <v>0.84464457449985075</v>
      </c>
      <c r="BW61" s="155">
        <f>ROUNDUP(VLOOKUP(Datos_Origen[[#This Row],[Categoria]],Competitividad_1[#All],4,0)*IndiceIncrementoC,-3)</f>
        <v>3485000</v>
      </c>
      <c r="BX61" s="161">
        <f>Datos_Origen[[#This Row],[CT]]/Datos_Origen[[#This Row],[CTQ1]]</f>
        <v>0.81168283500717364</v>
      </c>
      <c r="BY61" s="155">
        <f>ROUNDUP(VLOOKUP(Datos_Origen[[#This Row],[Categoria]],Competitividad_1[#All],5,0)*IndiceIncrementoC,-3)</f>
        <v>4089000</v>
      </c>
      <c r="BZ61" s="161">
        <f>Datos_Origen[[#This Row],[G]]/Datos_Origen[[#This Row],[GMd]]</f>
        <v>0.69178642210809493</v>
      </c>
      <c r="CA61" s="155">
        <f>ROUNDUP(VLOOKUP(Datos_Origen[[#This Row],[Categoria]],Competitividad_1[#All],6,0)*IndiceIncrementoC,-3)</f>
        <v>4138000</v>
      </c>
      <c r="CB61" s="161">
        <f>Datos_Origen[[#This Row],[G+V]]/Datos_Origen[[#This Row],[G+VMd]]</f>
        <v>0.68359465442242628</v>
      </c>
      <c r="CC61" s="155">
        <f>ROUNDUP(VLOOKUP(Datos_Origen[[#This Row],[Categoria]],Competitividad_1[#All],7,0)*IndiceIncrementoC,-3)</f>
        <v>4329000</v>
      </c>
      <c r="CD61" s="161">
        <f>Datos_Origen[[#This Row],[CT]]/Datos_Origen[[#This Row],[CTMd]]</f>
        <v>0.65343374451374459</v>
      </c>
      <c r="CE61" s="155">
        <f>+Datos_Origen[[#This Row],[GMd]]/1.17666666667</f>
        <v>3475070.8215199006</v>
      </c>
      <c r="CF61" s="161">
        <f>+Datos_Origen[[#This Row],[Básico Actual]]/Datos_Origen[[#This Row],[Salario Basico Md]]</f>
        <v>0.69178446238069946</v>
      </c>
      <c r="CG61" s="155">
        <f>ROUNDUP(VLOOKUP(Datos_Origen[[#This Row],[Categoria]],Competitividad_1[#All],8,0)*IndiceIncrementoC,-3)</f>
        <v>5334000</v>
      </c>
      <c r="CH61" s="161">
        <f>Datos_Origen[[#This Row],[G]]/Datos_Origen[[#This Row],[GQ3]]</f>
        <v>0.53031771278590178</v>
      </c>
      <c r="CI61" s="155">
        <f>ROUNDUP(VLOOKUP(Datos_Origen[[#This Row],[Categoria]],Competitividad_1[#All],9,0)*IndiceIncrementoC,-3)</f>
        <v>5483000</v>
      </c>
      <c r="CJ61" s="161">
        <f>Datos_Origen[[#This Row],[G+V]]/Datos_Origen[[#This Row],[G+VQ3]]</f>
        <v>0.51590637971913189</v>
      </c>
      <c r="CK61" s="155">
        <f>ROUNDUP(VLOOKUP(Datos_Origen[[#This Row],[Categoria]],Competitividad_1[#All],10,0)*IndiceIncrementoC,-3)</f>
        <v>5625000</v>
      </c>
      <c r="CL61" s="161">
        <f>Datos_Origen[[#This Row],[CT]]/Datos_Origen[[#This Row],[CTQ3]]</f>
        <v>0.50288260977777777</v>
      </c>
      <c r="CM61" s="162">
        <f>IF(ROUND(Datos_Origen[[#This Row],[Salario Ordinario Pol2]],-3)&lt;SMMLV,SMMLV,ROUND(Datos_Origen[[#This Row],[Salario Ordinario Pol2]],-3))</f>
        <v>2649000</v>
      </c>
      <c r="CN61" s="155">
        <f>IF(Datos_Origen[[#This Row],[Gpol]]/(1+FactorPrestacionalOrdinario)&lt;SMMLV,SMMLV,Datos_Origen[[#This Row],[Gpol]]/(1+FactorPrestacionalOrdinario))</f>
        <v>3311048.1586402263</v>
      </c>
      <c r="CO61" s="161">
        <f>IFERROR(IF(Datos_Origen[[#This Row],[Salarios Año]]=14.12,Datos_Origen[[#This Row],[Básico]]/Datos_Origen[[#This Row],[Salario Ordinario Pol]],""),"")</f>
        <v>0.72605407255304588</v>
      </c>
      <c r="CP61" s="155">
        <f>IF(ROUND(Datos_Origen[[#This Row],[Salario Ordinario Pol22]],-3)&lt;SMMLV,SMMLV,ROUND(Datos_Origen[[#This Row],[Salario Ordinario Pol22]],-3))</f>
        <v>3973000</v>
      </c>
      <c r="CQ61" s="155" t="str">
        <f>IFERROR(ROUND(Datos_Origen[[#This Row],[Salario Integral Pol4]],-3),"")</f>
        <v/>
      </c>
      <c r="CR61" s="139" t="str">
        <f>IF((Datos_Origen[[#This Row],[Gpol]]/(1+FactorPrestacionalIntegral))&lt;(13*SMMLV),"",(Datos_Origen[[#This Row],[Gpol]]/(1+FactorPrestacionalIntegral)))</f>
        <v/>
      </c>
      <c r="CS61" s="161" t="str">
        <f>IFERROR(IF(Datos_Origen[[#This Row],[Salarios Año]]=12,Datos_Origen[[#This Row],[Básico]]/Datos_Origen[[#This Row],[Salario Integral Pol]],""),"")</f>
        <v/>
      </c>
      <c r="CT61" s="155" t="str">
        <f>IFERROR(ROUND(Datos_Origen[[#This Row],[Salario Integral Pol44]],-3),"")</f>
        <v/>
      </c>
      <c r="CU61" s="155">
        <f>Datos_Origen[[#This Row],[G+Vpol]]-Datos_Origen[[#This Row],[Variable]]</f>
        <v>3896000</v>
      </c>
      <c r="CV61" s="161">
        <f>Datos_Origen[[#This Row],[G]]/Datos_Origen[[#This Row],[Gpol]]</f>
        <v>0.72605612936344976</v>
      </c>
      <c r="CW61" s="154">
        <f>Datos_Origen[[#This Row],[Ctpol]]-Datos_Origen[[#This Row],[Beneficios]]</f>
        <v>3896000</v>
      </c>
      <c r="CX61" s="161">
        <f>Datos_Origen[[#This Row],[G+V]]/Datos_Origen[[#This Row],[G+Vpol]]</f>
        <v>0.72605612936344976</v>
      </c>
      <c r="CY61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3896000</v>
      </c>
      <c r="CZ61" s="161">
        <f>Datos_Origen[[#This Row],[CT]]/Datos_Origen[[#This Row],[Ctpol]]</f>
        <v>0.72605612936344976</v>
      </c>
      <c r="DA61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61" s="158">
        <f>IF(Datos_Origen[[#This Row],[Básico]]&lt;10*SMMLV,0,Datos_Origen[[#This Row],[Base Seguridad Social Actual]]*8.5%)</f>
        <v>0</v>
      </c>
      <c r="DC61" s="158">
        <f>Datos_Origen[[#This Row],[Base Seguridad Social Actual]]*12%</f>
        <v>288480</v>
      </c>
      <c r="DD61" s="158">
        <f>Datos_Origen[[#This Row],[Base Seguridad Social Actual]]*Datos_Origen[[#This Row],[%ARL]]</f>
        <v>104574</v>
      </c>
      <c r="DE61" s="158">
        <f>IF(Datos_Origen[[#This Row],[Básico]]&lt;10*SMMLV,Datos_Origen[[#This Row],[Base Seguridad Social Actual]]*4%,Datos_Origen[[#This Row],[Base Seguridad Social Actual]]*9%)</f>
        <v>96160</v>
      </c>
      <c r="DF61" s="158">
        <f>Datos_Origen[[#This Row],[Salud]]+Datos_Origen[[#This Row],[Pensión]]+Datos_Origen[[#This Row],[ARL]]+Datos_Origen[[#This Row],[Parafiscales]]</f>
        <v>489214</v>
      </c>
      <c r="DG61" s="158">
        <f>Datos_Origen[[#This Row],[Costo Laboral Actual]]+Datos_Origen[[#This Row],[CT]]</f>
        <v>3317928.68</v>
      </c>
      <c r="DH61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3311048.1586402263</v>
      </c>
      <c r="DI61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61" s="158">
        <f>Datos_Origen[[#This Row],[Base Seguridad Social Nueva]]*12%</f>
        <v>397325.77903682715</v>
      </c>
      <c r="DK61" s="158">
        <f>Datos_Origen[[#This Row],[Base Seguridad Social Nueva]]*Datos_Origen[[#This Row],[%ARL]]</f>
        <v>144030.59490084983</v>
      </c>
      <c r="DL61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132441.92634560907</v>
      </c>
      <c r="DM61" s="158">
        <f>Datos_Origen[[#This Row],[Salud Nueva]]+Datos_Origen[[#This Row],[Pensión Nueva]]+Datos_Origen[[#This Row],[ARL nueva]]+Datos_Origen[[#This Row],[Parafiscales Nuevos]]</f>
        <v>673798.30028328602</v>
      </c>
      <c r="DN61" s="158">
        <f>Datos_Origen[[#This Row],[Costo Laboral Nuevo]]+Datos_Origen[[#This Row],[Ctpol]]</f>
        <v>4569798.3002832858</v>
      </c>
      <c r="DO61" s="158">
        <f>IF(Datos_Origen[[#This Row],[Ctpol]]-Datos_Origen[[#This Row],[CT]]&lt;=0,0,Datos_Origen[[#This Row],[Costo Total Nuevo]]-Datos_Origen[[#This Row],[Costo Total Actual]])</f>
        <v>1251869.6202832856</v>
      </c>
      <c r="DP61" s="158">
        <f>IF(Datos_Origen[[#This Row],[Ctpol]]-Datos_Origen[[#This Row],[CT]]&lt;=0,0,Datos_Origen[[#This Row],[Ctpol]]-Datos_Origen[[#This Row],[CT]])</f>
        <v>1067285.3199999998</v>
      </c>
      <c r="DQ61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184584.30028328602</v>
      </c>
      <c r="DR61" s="158">
        <f>ROUNDDOWN(VLOOKUP(Datos_Origen[[#This Row],[Categoria]],Competitividad_1[],7,0)*IndiceIncrementoC,-3)</f>
        <v>4328000</v>
      </c>
      <c r="DS61" s="158">
        <f>Datos_Origen[[#This Row],[CTeq]]*0.8</f>
        <v>2824396.4020494311</v>
      </c>
      <c r="DT61" s="158">
        <f>Datos_Origen[[#This Row],[CTeq]]*1.2</f>
        <v>4236594.6030741464</v>
      </c>
      <c r="DU61" s="155">
        <f>IF(Datos_Origen[[#This Row],[Gpol6]]/(1+FactorPrestacionalOrdinario)&lt;SMMLV,SMMLV,Datos_Origen[[#This Row],[Gpol6]]/(1+FactorPrestacionalOrdinario))</f>
        <v>2648838.5269121812</v>
      </c>
      <c r="DV61" s="139" t="str">
        <f>IF((Datos_Origen[[#This Row],[Gpol6]]/(1+FactorPrestacionalIntegral))&lt;(13*SMMLV),"",(Datos_Origen[[#This Row],[Gpol6]]/(1+FactorPrestacionalIntegral)))</f>
        <v/>
      </c>
      <c r="DW61" s="154">
        <f>Datos_Origen[[#This Row],[G+Vpol8]]</f>
        <v>3116800</v>
      </c>
      <c r="DX61" s="154">
        <f>Datos_Origen[[#This Row],[Ctpol10]]-Datos_Origen[[#This Row],[Beneficios]]</f>
        <v>3116800</v>
      </c>
      <c r="DY61" s="154">
        <f>Datos_Origen[[#This Row],[Ctpol]]*$CM$6</f>
        <v>3116800</v>
      </c>
      <c r="DZ61" s="155">
        <f>IF(Datos_Origen[[#This Row],[Gpol66]]/(1+FactorPrestacionalOrdinario)&lt;SMMLV,SMMLV,Datos_Origen[[#This Row],[Gpol66]]/(1+FactorPrestacionalOrdinario))</f>
        <v>3973257.7903682715</v>
      </c>
      <c r="EA61" s="139" t="str">
        <f>IF((Datos_Origen[[#This Row],[Gpol66]]/(1+FactorPrestacionalIntegral))&lt;(13*SMMLV),"",(Datos_Origen[[#This Row],[Gpol66]]/(1+FactorPrestacionalIntegral)))</f>
        <v/>
      </c>
      <c r="EB61" s="154">
        <f>Datos_Origen[[#This Row],[G+Vpol88]]</f>
        <v>4675200</v>
      </c>
      <c r="EC61" s="154">
        <f>Datos_Origen[[#This Row],[Ctpol1010]]-Datos_Origen[[#This Row],[Beneficios]]</f>
        <v>4675200</v>
      </c>
      <c r="ED61" s="154">
        <f>Datos_Origen[[#This Row],[Ctpol]]*$CP$6</f>
        <v>4675200</v>
      </c>
      <c r="EE61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62" spans="2:135">
      <c r="B62" s="148"/>
      <c r="C62" s="149"/>
      <c r="D62" s="150"/>
      <c r="E62" s="151"/>
      <c r="F62" s="151"/>
      <c r="G62" s="150" t="s">
        <v>335</v>
      </c>
      <c r="H62" s="153"/>
      <c r="I62" s="152" t="s">
        <v>335</v>
      </c>
      <c r="J62" s="130" t="str">
        <f>IFERROR(VLOOKUP(Datos_Origen[[#This Row],[Cargo Tipo Valorado]],Cargos_Catalogo[[#All],[Cargo]:[Área]],2,0),"")</f>
        <v xml:space="preserve">Coordinador de mantenimiento </v>
      </c>
      <c r="K62" s="153"/>
      <c r="L62" s="153"/>
      <c r="M62" s="153"/>
      <c r="N62" s="153"/>
      <c r="O62" s="154">
        <f>Datos_Origen[[#This Row],[Segmentación Individual]]</f>
        <v>0</v>
      </c>
      <c r="P62" s="153"/>
      <c r="Q62" s="154">
        <f>VLOOKUP(Datos_Origen[[#This Row],[Cargo Tipo Valorado]],Cargos_Catalogo[#Data],MATCH(Cargos_Catalogo[[#Headers],[Puntos]],Cargos_Catalogo[#Headers],0),FALSE)</f>
        <v>262</v>
      </c>
      <c r="R62" s="130">
        <f>VLOOKUP(Datos_Origen[[#This Row],[Puntos valoración]],Categorias_Registro[#Data],MATCH(Categorias_Registro[[#Headers],[Categoria]],Categorias_Registro[#Headers],0),FALSE)</f>
        <v>8</v>
      </c>
      <c r="S62" s="130" t="str">
        <f>VLOOKUP(Datos_Origen[[#This Row],[Cargo Tipo Valorado]],Cargos_Catalogo[#Data],MATCH(Cargos_Catalogo[[#Headers],[Nivel SHR]],Cargos_Catalogo[#Headers],0),FALSE)</f>
        <v>Soporte</v>
      </c>
      <c r="T62" s="130" t="str">
        <f>VLOOKUP(Datos_Origen[[#This Row],[Cargo Tipo Valorado]],Cargos_Catalogo[#Data],MATCH(Cargos_Catalogo[[#Headers],[Criticidad]],Cargos_Catalogo[#Headers],0),FALSE)</f>
        <v>Relevante</v>
      </c>
      <c r="U62" s="154">
        <f>VLOOKUP(Datos_Origen[[#This Row],[Puntos valoración]],Categorias_Registro[#Data],5,FALSE)</f>
        <v>249</v>
      </c>
      <c r="V62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62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62" s="154">
        <f>SUMIF($BA$5:$BJ$5,"NCS",Datos_Origen[[#This Row],[auxilio Gasolina]:[Otro Beneficio10]])+(SUMIF($BA$5:$BJ$5,"CS",Datos_Origen[[#This Row],[auxilio Gasolina]:[Otro Beneficio10]])*1.17667)</f>
        <v>0</v>
      </c>
      <c r="Y62" s="155">
        <f>Datos_Origen[[#This Row],[Básico]]+Datos_Origen[[#This Row],[Promedio de Comisiones  ]]</f>
        <v>2404000</v>
      </c>
      <c r="Z62" s="155">
        <f>Datos_Origen[[#This Row],[Básico]]+Datos_Origen[[#This Row],[Promedio de Comisiones  ]]</f>
        <v>2404000</v>
      </c>
      <c r="AA62" s="155">
        <f>Datos_Origen[[#This Row],[Garantizado]]</f>
        <v>2828714.68</v>
      </c>
      <c r="AB62" s="155">
        <f>Datos_Origen[[#This Row],[Variable]]+Datos_Origen[[#This Row],[Garantizado]]</f>
        <v>2828714.68</v>
      </c>
      <c r="AC62" s="155">
        <f>Datos_Origen[[#This Row],[Beneficios]]+Datos_Origen[[#This Row],[Variable]]+Datos_Origen[[#This Row],[Garantizado]]</f>
        <v>2828714.68</v>
      </c>
      <c r="AD62" s="156">
        <v>14.12</v>
      </c>
      <c r="AE62" s="141">
        <v>230</v>
      </c>
      <c r="AF62" s="345">
        <v>4.3499999999999997E-2</v>
      </c>
      <c r="AG62" s="155">
        <f>Datos_Origen[[#This Row],[Básico Actual]]*230/Datos_Origen[[#This Row],['# horas mes]]</f>
        <v>2404000</v>
      </c>
      <c r="AH62" s="157">
        <v>2404000</v>
      </c>
      <c r="AI62" s="158"/>
      <c r="AJ62" s="158">
        <f>(((Datos_Origen[[#This Row],[Básico]])/30)*$AJ$6)/12</f>
        <v>0</v>
      </c>
      <c r="AK62" s="158"/>
      <c r="AL62" s="143">
        <f>((Datos_Origen[[#This Row],[Básico]])/30)*$AL$6/12</f>
        <v>0</v>
      </c>
      <c r="AM62" s="158"/>
      <c r="AN62" s="158"/>
      <c r="AO62" s="158"/>
      <c r="AP62" s="158"/>
      <c r="AQ62" s="158"/>
      <c r="AR62" s="149">
        <v>0</v>
      </c>
      <c r="AS62" s="149"/>
      <c r="AT62" s="159" t="str">
        <f>IFERROR(Datos_Origen[[#This Row],[Comisiones Target]]/Datos_Origen[[#This Row],[Promedio de Comisiones  ]],"")</f>
        <v/>
      </c>
      <c r="AU62" s="160"/>
      <c r="AV62" s="143">
        <v>0</v>
      </c>
      <c r="AW62" s="160"/>
      <c r="AX62" s="143">
        <f>Datos_Origen[[#This Row],[N Salarios de la Bonificación2]]*Datos_Origen[[#This Row],[Básico]]/12</f>
        <v>0</v>
      </c>
      <c r="AY62" s="160"/>
      <c r="AZ62" s="158"/>
      <c r="BA62" s="149">
        <v>0</v>
      </c>
      <c r="BB62" s="149"/>
      <c r="BC62" s="149"/>
      <c r="BD62" s="149"/>
      <c r="BE62" s="149"/>
      <c r="BF62" s="149"/>
      <c r="BG62" s="149"/>
      <c r="BH62" s="149"/>
      <c r="BI62" s="149"/>
      <c r="BJ62" s="149"/>
      <c r="BK62" s="159">
        <f>IFERROR(Datos_Origen[[#This Row],[Variable]]/Datos_Origen[[#This Row],[CT]],"")</f>
        <v>0</v>
      </c>
      <c r="BL62" s="159">
        <f>IFERROR(Datos_Origen[[#This Row],[Beneficios]]/Datos_Origen[[#This Row],[CT]],"")</f>
        <v>0</v>
      </c>
      <c r="BM62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3287369.2650705236</v>
      </c>
      <c r="BN62" s="161">
        <f>Datos_Origen[[#This Row],[G]]/Datos_Origen[[#This Row],[Geq]]</f>
        <v>0.86047974897621249</v>
      </c>
      <c r="BO62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3528440.0086889477</v>
      </c>
      <c r="BP62" s="161">
        <f>Datos_Origen[[#This Row],[G+V]]/Datos_Origen[[#This Row],[G+Veq]]</f>
        <v>0.80168988930920138</v>
      </c>
      <c r="BQ62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3530495.5025617885</v>
      </c>
      <c r="BR62" s="161">
        <f>Datos_Origen[[#This Row],[CT]]/Datos_Origen[[#This Row],[CTeq]]</f>
        <v>0.80122313651084842</v>
      </c>
      <c r="BS62" s="139">
        <f>ROUNDUP(VLOOKUP(Datos_Origen[[#This Row],[Categoria]],Competitividad_1[#All],2,0)*IndiceIncrementoC,-3)</f>
        <v>3243000</v>
      </c>
      <c r="BT62" s="161">
        <f>Datos_Origen[[#This Row],[G]]/Datos_Origen[[#This Row],[GQ1]]</f>
        <v>0.8722524452667284</v>
      </c>
      <c r="BU62" s="155">
        <f>ROUNDUP(VLOOKUP(Datos_Origen[[#This Row],[Categoria]],Competitividad_1[#All],3,0)*IndiceIncrementoC,-3)</f>
        <v>3349000</v>
      </c>
      <c r="BV62" s="161">
        <f>Datos_Origen[[#This Row],[G+V]]/Datos_Origen[[#This Row],[G+VQ1]]</f>
        <v>0.84464457449985075</v>
      </c>
      <c r="BW62" s="155">
        <f>ROUNDUP(VLOOKUP(Datos_Origen[[#This Row],[Categoria]],Competitividad_1[#All],4,0)*IndiceIncrementoC,-3)</f>
        <v>3485000</v>
      </c>
      <c r="BX62" s="161">
        <f>Datos_Origen[[#This Row],[CT]]/Datos_Origen[[#This Row],[CTQ1]]</f>
        <v>0.81168283500717364</v>
      </c>
      <c r="BY62" s="155">
        <f>ROUNDUP(VLOOKUP(Datos_Origen[[#This Row],[Categoria]],Competitividad_1[#All],5,0)*IndiceIncrementoC,-3)</f>
        <v>4089000</v>
      </c>
      <c r="BZ62" s="161">
        <f>Datos_Origen[[#This Row],[G]]/Datos_Origen[[#This Row],[GMd]]</f>
        <v>0.69178642210809493</v>
      </c>
      <c r="CA62" s="155">
        <f>ROUNDUP(VLOOKUP(Datos_Origen[[#This Row],[Categoria]],Competitividad_1[#All],6,0)*IndiceIncrementoC,-3)</f>
        <v>4138000</v>
      </c>
      <c r="CB62" s="161">
        <f>Datos_Origen[[#This Row],[G+V]]/Datos_Origen[[#This Row],[G+VMd]]</f>
        <v>0.68359465442242628</v>
      </c>
      <c r="CC62" s="155">
        <f>ROUNDUP(VLOOKUP(Datos_Origen[[#This Row],[Categoria]],Competitividad_1[#All],7,0)*IndiceIncrementoC,-3)</f>
        <v>4329000</v>
      </c>
      <c r="CD62" s="161">
        <f>Datos_Origen[[#This Row],[CT]]/Datos_Origen[[#This Row],[CTMd]]</f>
        <v>0.65343374451374459</v>
      </c>
      <c r="CE62" s="155">
        <f>+Datos_Origen[[#This Row],[GMd]]/1.17666666667</f>
        <v>3475070.8215199006</v>
      </c>
      <c r="CF62" s="161">
        <f>+Datos_Origen[[#This Row],[Básico Actual]]/Datos_Origen[[#This Row],[Salario Basico Md]]</f>
        <v>0.69178446238069946</v>
      </c>
      <c r="CG62" s="155">
        <f>ROUNDUP(VLOOKUP(Datos_Origen[[#This Row],[Categoria]],Competitividad_1[#All],8,0)*IndiceIncrementoC,-3)</f>
        <v>5334000</v>
      </c>
      <c r="CH62" s="161">
        <f>Datos_Origen[[#This Row],[G]]/Datos_Origen[[#This Row],[GQ3]]</f>
        <v>0.53031771278590178</v>
      </c>
      <c r="CI62" s="155">
        <f>ROUNDUP(VLOOKUP(Datos_Origen[[#This Row],[Categoria]],Competitividad_1[#All],9,0)*IndiceIncrementoC,-3)</f>
        <v>5483000</v>
      </c>
      <c r="CJ62" s="161">
        <f>Datos_Origen[[#This Row],[G+V]]/Datos_Origen[[#This Row],[G+VQ3]]</f>
        <v>0.51590637971913189</v>
      </c>
      <c r="CK62" s="155">
        <f>ROUNDUP(VLOOKUP(Datos_Origen[[#This Row],[Categoria]],Competitividad_1[#All],10,0)*IndiceIncrementoC,-3)</f>
        <v>5625000</v>
      </c>
      <c r="CL62" s="161">
        <f>Datos_Origen[[#This Row],[CT]]/Datos_Origen[[#This Row],[CTQ3]]</f>
        <v>0.50288260977777777</v>
      </c>
      <c r="CM62" s="162">
        <f>IF(ROUND(Datos_Origen[[#This Row],[Salario Ordinario Pol2]],-3)&lt;SMMLV,SMMLV,ROUND(Datos_Origen[[#This Row],[Salario Ordinario Pol2]],-3))</f>
        <v>2649000</v>
      </c>
      <c r="CN62" s="155">
        <f>IF(Datos_Origen[[#This Row],[Gpol]]/(1+FactorPrestacionalOrdinario)&lt;SMMLV,SMMLV,Datos_Origen[[#This Row],[Gpol]]/(1+FactorPrestacionalOrdinario))</f>
        <v>3311048.1586402263</v>
      </c>
      <c r="CO62" s="161">
        <f>IFERROR(IF(Datos_Origen[[#This Row],[Salarios Año]]=14.12,Datos_Origen[[#This Row],[Básico]]/Datos_Origen[[#This Row],[Salario Ordinario Pol]],""),"")</f>
        <v>0.72605407255304588</v>
      </c>
      <c r="CP62" s="155">
        <f>IF(ROUND(Datos_Origen[[#This Row],[Salario Ordinario Pol22]],-3)&lt;SMMLV,SMMLV,ROUND(Datos_Origen[[#This Row],[Salario Ordinario Pol22]],-3))</f>
        <v>3973000</v>
      </c>
      <c r="CQ62" s="155" t="str">
        <f>IFERROR(ROUND(Datos_Origen[[#This Row],[Salario Integral Pol4]],-3),"")</f>
        <v/>
      </c>
      <c r="CR62" s="139" t="str">
        <f>IF((Datos_Origen[[#This Row],[Gpol]]/(1+FactorPrestacionalIntegral))&lt;(13*SMMLV),"",(Datos_Origen[[#This Row],[Gpol]]/(1+FactorPrestacionalIntegral)))</f>
        <v/>
      </c>
      <c r="CS62" s="161" t="str">
        <f>IFERROR(IF(Datos_Origen[[#This Row],[Salarios Año]]=12,Datos_Origen[[#This Row],[Básico]]/Datos_Origen[[#This Row],[Salario Integral Pol]],""),"")</f>
        <v/>
      </c>
      <c r="CT62" s="155" t="str">
        <f>IFERROR(ROUND(Datos_Origen[[#This Row],[Salario Integral Pol44]],-3),"")</f>
        <v/>
      </c>
      <c r="CU62" s="155">
        <f>Datos_Origen[[#This Row],[G+Vpol]]-Datos_Origen[[#This Row],[Variable]]</f>
        <v>3896000</v>
      </c>
      <c r="CV62" s="161">
        <f>Datos_Origen[[#This Row],[G]]/Datos_Origen[[#This Row],[Gpol]]</f>
        <v>0.72605612936344976</v>
      </c>
      <c r="CW62" s="154">
        <f>Datos_Origen[[#This Row],[Ctpol]]-Datos_Origen[[#This Row],[Beneficios]]</f>
        <v>3896000</v>
      </c>
      <c r="CX62" s="161">
        <f>Datos_Origen[[#This Row],[G+V]]/Datos_Origen[[#This Row],[G+Vpol]]</f>
        <v>0.72605612936344976</v>
      </c>
      <c r="CY62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3896000</v>
      </c>
      <c r="CZ62" s="161">
        <f>Datos_Origen[[#This Row],[CT]]/Datos_Origen[[#This Row],[Ctpol]]</f>
        <v>0.72605612936344976</v>
      </c>
      <c r="DA62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62" s="158">
        <f>IF(Datos_Origen[[#This Row],[Básico]]&lt;10*SMMLV,0,Datos_Origen[[#This Row],[Base Seguridad Social Actual]]*8.5%)</f>
        <v>0</v>
      </c>
      <c r="DC62" s="158">
        <f>Datos_Origen[[#This Row],[Base Seguridad Social Actual]]*12%</f>
        <v>288480</v>
      </c>
      <c r="DD62" s="158">
        <f>Datos_Origen[[#This Row],[Base Seguridad Social Actual]]*Datos_Origen[[#This Row],[%ARL]]</f>
        <v>104574</v>
      </c>
      <c r="DE62" s="158">
        <f>IF(Datos_Origen[[#This Row],[Básico]]&lt;10*SMMLV,Datos_Origen[[#This Row],[Base Seguridad Social Actual]]*4%,Datos_Origen[[#This Row],[Base Seguridad Social Actual]]*9%)</f>
        <v>96160</v>
      </c>
      <c r="DF62" s="158">
        <f>Datos_Origen[[#This Row],[Salud]]+Datos_Origen[[#This Row],[Pensión]]+Datos_Origen[[#This Row],[ARL]]+Datos_Origen[[#This Row],[Parafiscales]]</f>
        <v>489214</v>
      </c>
      <c r="DG62" s="158">
        <f>Datos_Origen[[#This Row],[Costo Laboral Actual]]+Datos_Origen[[#This Row],[CT]]</f>
        <v>3317928.68</v>
      </c>
      <c r="DH62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3311048.1586402263</v>
      </c>
      <c r="DI62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62" s="158">
        <f>Datos_Origen[[#This Row],[Base Seguridad Social Nueva]]*12%</f>
        <v>397325.77903682715</v>
      </c>
      <c r="DK62" s="158">
        <f>Datos_Origen[[#This Row],[Base Seguridad Social Nueva]]*Datos_Origen[[#This Row],[%ARL]]</f>
        <v>144030.59490084983</v>
      </c>
      <c r="DL62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132441.92634560907</v>
      </c>
      <c r="DM62" s="158">
        <f>Datos_Origen[[#This Row],[Salud Nueva]]+Datos_Origen[[#This Row],[Pensión Nueva]]+Datos_Origen[[#This Row],[ARL nueva]]+Datos_Origen[[#This Row],[Parafiscales Nuevos]]</f>
        <v>673798.30028328602</v>
      </c>
      <c r="DN62" s="158">
        <f>Datos_Origen[[#This Row],[Costo Laboral Nuevo]]+Datos_Origen[[#This Row],[Ctpol]]</f>
        <v>4569798.3002832858</v>
      </c>
      <c r="DO62" s="158">
        <f>IF(Datos_Origen[[#This Row],[Ctpol]]-Datos_Origen[[#This Row],[CT]]&lt;=0,0,Datos_Origen[[#This Row],[Costo Total Nuevo]]-Datos_Origen[[#This Row],[Costo Total Actual]])</f>
        <v>1251869.6202832856</v>
      </c>
      <c r="DP62" s="158">
        <f>IF(Datos_Origen[[#This Row],[Ctpol]]-Datos_Origen[[#This Row],[CT]]&lt;=0,0,Datos_Origen[[#This Row],[Ctpol]]-Datos_Origen[[#This Row],[CT]])</f>
        <v>1067285.3199999998</v>
      </c>
      <c r="DQ62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184584.30028328602</v>
      </c>
      <c r="DR62" s="158">
        <f>ROUNDDOWN(VLOOKUP(Datos_Origen[[#This Row],[Categoria]],Competitividad_1[],7,0)*IndiceIncrementoC,-3)</f>
        <v>4328000</v>
      </c>
      <c r="DS62" s="158">
        <f>Datos_Origen[[#This Row],[CTeq]]*0.8</f>
        <v>2824396.4020494311</v>
      </c>
      <c r="DT62" s="158">
        <f>Datos_Origen[[#This Row],[CTeq]]*1.2</f>
        <v>4236594.6030741464</v>
      </c>
      <c r="DU62" s="155">
        <f>IF(Datos_Origen[[#This Row],[Gpol6]]/(1+FactorPrestacionalOrdinario)&lt;SMMLV,SMMLV,Datos_Origen[[#This Row],[Gpol6]]/(1+FactorPrestacionalOrdinario))</f>
        <v>2648838.5269121812</v>
      </c>
      <c r="DV62" s="139" t="str">
        <f>IF((Datos_Origen[[#This Row],[Gpol6]]/(1+FactorPrestacionalIntegral))&lt;(13*SMMLV),"",(Datos_Origen[[#This Row],[Gpol6]]/(1+FactorPrestacionalIntegral)))</f>
        <v/>
      </c>
      <c r="DW62" s="154">
        <f>Datos_Origen[[#This Row],[G+Vpol8]]</f>
        <v>3116800</v>
      </c>
      <c r="DX62" s="154">
        <f>Datos_Origen[[#This Row],[Ctpol10]]-Datos_Origen[[#This Row],[Beneficios]]</f>
        <v>3116800</v>
      </c>
      <c r="DY62" s="154">
        <f>Datos_Origen[[#This Row],[Ctpol]]*$CM$6</f>
        <v>3116800</v>
      </c>
      <c r="DZ62" s="155">
        <f>IF(Datos_Origen[[#This Row],[Gpol66]]/(1+FactorPrestacionalOrdinario)&lt;SMMLV,SMMLV,Datos_Origen[[#This Row],[Gpol66]]/(1+FactorPrestacionalOrdinario))</f>
        <v>3973257.7903682715</v>
      </c>
      <c r="EA62" s="139" t="str">
        <f>IF((Datos_Origen[[#This Row],[Gpol66]]/(1+FactorPrestacionalIntegral))&lt;(13*SMMLV),"",(Datos_Origen[[#This Row],[Gpol66]]/(1+FactorPrestacionalIntegral)))</f>
        <v/>
      </c>
      <c r="EB62" s="154">
        <f>Datos_Origen[[#This Row],[G+Vpol88]]</f>
        <v>4675200</v>
      </c>
      <c r="EC62" s="154">
        <f>Datos_Origen[[#This Row],[Ctpol1010]]-Datos_Origen[[#This Row],[Beneficios]]</f>
        <v>4675200</v>
      </c>
      <c r="ED62" s="154">
        <f>Datos_Origen[[#This Row],[Ctpol]]*$CP$6</f>
        <v>4675200</v>
      </c>
      <c r="EE62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63" spans="2:135">
      <c r="B63" s="148"/>
      <c r="C63" s="149"/>
      <c r="D63" s="150"/>
      <c r="E63" s="151"/>
      <c r="F63" s="151"/>
      <c r="G63" s="150" t="s">
        <v>335</v>
      </c>
      <c r="H63" s="153"/>
      <c r="I63" s="152" t="s">
        <v>335</v>
      </c>
      <c r="J63" s="130" t="str">
        <f>IFERROR(VLOOKUP(Datos_Origen[[#This Row],[Cargo Tipo Valorado]],Cargos_Catalogo[[#All],[Cargo]:[Área]],2,0),"")</f>
        <v xml:space="preserve">Coordinador de mantenimiento </v>
      </c>
      <c r="K63" s="153"/>
      <c r="L63" s="153"/>
      <c r="M63" s="153"/>
      <c r="N63" s="153"/>
      <c r="O63" s="154">
        <f>Datos_Origen[[#This Row],[Segmentación Individual]]</f>
        <v>0</v>
      </c>
      <c r="P63" s="153"/>
      <c r="Q63" s="154">
        <f>VLOOKUP(Datos_Origen[[#This Row],[Cargo Tipo Valorado]],Cargos_Catalogo[#Data],MATCH(Cargos_Catalogo[[#Headers],[Puntos]],Cargos_Catalogo[#Headers],0),FALSE)</f>
        <v>262</v>
      </c>
      <c r="R63" s="130">
        <f>VLOOKUP(Datos_Origen[[#This Row],[Puntos valoración]],Categorias_Registro[#Data],MATCH(Categorias_Registro[[#Headers],[Categoria]],Categorias_Registro[#Headers],0),FALSE)</f>
        <v>8</v>
      </c>
      <c r="S63" s="130" t="str">
        <f>VLOOKUP(Datos_Origen[[#This Row],[Cargo Tipo Valorado]],Cargos_Catalogo[#Data],MATCH(Cargos_Catalogo[[#Headers],[Nivel SHR]],Cargos_Catalogo[#Headers],0),FALSE)</f>
        <v>Soporte</v>
      </c>
      <c r="T63" s="130" t="str">
        <f>VLOOKUP(Datos_Origen[[#This Row],[Cargo Tipo Valorado]],Cargos_Catalogo[#Data],MATCH(Cargos_Catalogo[[#Headers],[Criticidad]],Cargos_Catalogo[#Headers],0),FALSE)</f>
        <v>Relevante</v>
      </c>
      <c r="U63" s="154">
        <f>VLOOKUP(Datos_Origen[[#This Row],[Puntos valoración]],Categorias_Registro[#Data],5,FALSE)</f>
        <v>249</v>
      </c>
      <c r="V63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63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63" s="154">
        <f>SUMIF($BA$5:$BJ$5,"NCS",Datos_Origen[[#This Row],[auxilio Gasolina]:[Otro Beneficio10]])+(SUMIF($BA$5:$BJ$5,"CS",Datos_Origen[[#This Row],[auxilio Gasolina]:[Otro Beneficio10]])*1.17667)</f>
        <v>0</v>
      </c>
      <c r="Y63" s="155">
        <f>Datos_Origen[[#This Row],[Básico]]+Datos_Origen[[#This Row],[Promedio de Comisiones  ]]</f>
        <v>2404000</v>
      </c>
      <c r="Z63" s="155">
        <f>Datos_Origen[[#This Row],[Básico]]+Datos_Origen[[#This Row],[Promedio de Comisiones  ]]</f>
        <v>2404000</v>
      </c>
      <c r="AA63" s="155">
        <f>Datos_Origen[[#This Row],[Garantizado]]</f>
        <v>2828714.68</v>
      </c>
      <c r="AB63" s="155">
        <f>Datos_Origen[[#This Row],[Variable]]+Datos_Origen[[#This Row],[Garantizado]]</f>
        <v>2828714.68</v>
      </c>
      <c r="AC63" s="155">
        <f>Datos_Origen[[#This Row],[Beneficios]]+Datos_Origen[[#This Row],[Variable]]+Datos_Origen[[#This Row],[Garantizado]]</f>
        <v>2828714.68</v>
      </c>
      <c r="AD63" s="156">
        <v>14.12</v>
      </c>
      <c r="AE63" s="141">
        <v>230</v>
      </c>
      <c r="AF63" s="345">
        <v>4.3499999999999997E-2</v>
      </c>
      <c r="AG63" s="155">
        <f>Datos_Origen[[#This Row],[Básico Actual]]*230/Datos_Origen[[#This Row],['# horas mes]]</f>
        <v>2404000</v>
      </c>
      <c r="AH63" s="157">
        <v>2404000</v>
      </c>
      <c r="AI63" s="158"/>
      <c r="AJ63" s="158">
        <f>(((Datos_Origen[[#This Row],[Básico]])/30)*$AJ$6)/12</f>
        <v>0</v>
      </c>
      <c r="AK63" s="158"/>
      <c r="AL63" s="143">
        <f>((Datos_Origen[[#This Row],[Básico]])/30)*$AL$6/12</f>
        <v>0</v>
      </c>
      <c r="AM63" s="158"/>
      <c r="AN63" s="158"/>
      <c r="AO63" s="158"/>
      <c r="AP63" s="158"/>
      <c r="AQ63" s="158"/>
      <c r="AR63" s="149">
        <v>0</v>
      </c>
      <c r="AS63" s="149"/>
      <c r="AT63" s="159" t="str">
        <f>IFERROR(Datos_Origen[[#This Row],[Comisiones Target]]/Datos_Origen[[#This Row],[Promedio de Comisiones  ]],"")</f>
        <v/>
      </c>
      <c r="AU63" s="160"/>
      <c r="AV63" s="143">
        <v>0</v>
      </c>
      <c r="AW63" s="160"/>
      <c r="AX63" s="143">
        <f>Datos_Origen[[#This Row],[N Salarios de la Bonificación2]]*Datos_Origen[[#This Row],[Básico]]/12</f>
        <v>0</v>
      </c>
      <c r="AY63" s="160"/>
      <c r="AZ63" s="158"/>
      <c r="BA63" s="149">
        <v>0</v>
      </c>
      <c r="BB63" s="149"/>
      <c r="BC63" s="149"/>
      <c r="BD63" s="149"/>
      <c r="BE63" s="149"/>
      <c r="BF63" s="149"/>
      <c r="BG63" s="149"/>
      <c r="BH63" s="149"/>
      <c r="BI63" s="149"/>
      <c r="BJ63" s="149"/>
      <c r="BK63" s="159">
        <f>IFERROR(Datos_Origen[[#This Row],[Variable]]/Datos_Origen[[#This Row],[CT]],"")</f>
        <v>0</v>
      </c>
      <c r="BL63" s="159">
        <f>IFERROR(Datos_Origen[[#This Row],[Beneficios]]/Datos_Origen[[#This Row],[CT]],"")</f>
        <v>0</v>
      </c>
      <c r="BM63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3287369.2650705236</v>
      </c>
      <c r="BN63" s="161">
        <f>Datos_Origen[[#This Row],[G]]/Datos_Origen[[#This Row],[Geq]]</f>
        <v>0.86047974897621249</v>
      </c>
      <c r="BO63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3528440.0086889477</v>
      </c>
      <c r="BP63" s="161">
        <f>Datos_Origen[[#This Row],[G+V]]/Datos_Origen[[#This Row],[G+Veq]]</f>
        <v>0.80168988930920138</v>
      </c>
      <c r="BQ63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3530495.5025617885</v>
      </c>
      <c r="BR63" s="161">
        <f>Datos_Origen[[#This Row],[CT]]/Datos_Origen[[#This Row],[CTeq]]</f>
        <v>0.80122313651084842</v>
      </c>
      <c r="BS63" s="139">
        <f>ROUNDUP(VLOOKUP(Datos_Origen[[#This Row],[Categoria]],Competitividad_1[#All],2,0)*IndiceIncrementoC,-3)</f>
        <v>3243000</v>
      </c>
      <c r="BT63" s="161">
        <f>Datos_Origen[[#This Row],[G]]/Datos_Origen[[#This Row],[GQ1]]</f>
        <v>0.8722524452667284</v>
      </c>
      <c r="BU63" s="155">
        <f>ROUNDUP(VLOOKUP(Datos_Origen[[#This Row],[Categoria]],Competitividad_1[#All],3,0)*IndiceIncrementoC,-3)</f>
        <v>3349000</v>
      </c>
      <c r="BV63" s="161">
        <f>Datos_Origen[[#This Row],[G+V]]/Datos_Origen[[#This Row],[G+VQ1]]</f>
        <v>0.84464457449985075</v>
      </c>
      <c r="BW63" s="155">
        <f>ROUNDUP(VLOOKUP(Datos_Origen[[#This Row],[Categoria]],Competitividad_1[#All],4,0)*IndiceIncrementoC,-3)</f>
        <v>3485000</v>
      </c>
      <c r="BX63" s="161">
        <f>Datos_Origen[[#This Row],[CT]]/Datos_Origen[[#This Row],[CTQ1]]</f>
        <v>0.81168283500717364</v>
      </c>
      <c r="BY63" s="155">
        <f>ROUNDUP(VLOOKUP(Datos_Origen[[#This Row],[Categoria]],Competitividad_1[#All],5,0)*IndiceIncrementoC,-3)</f>
        <v>4089000</v>
      </c>
      <c r="BZ63" s="161">
        <f>Datos_Origen[[#This Row],[G]]/Datos_Origen[[#This Row],[GMd]]</f>
        <v>0.69178642210809493</v>
      </c>
      <c r="CA63" s="155">
        <f>ROUNDUP(VLOOKUP(Datos_Origen[[#This Row],[Categoria]],Competitividad_1[#All],6,0)*IndiceIncrementoC,-3)</f>
        <v>4138000</v>
      </c>
      <c r="CB63" s="161">
        <f>Datos_Origen[[#This Row],[G+V]]/Datos_Origen[[#This Row],[G+VMd]]</f>
        <v>0.68359465442242628</v>
      </c>
      <c r="CC63" s="155">
        <f>ROUNDUP(VLOOKUP(Datos_Origen[[#This Row],[Categoria]],Competitividad_1[#All],7,0)*IndiceIncrementoC,-3)</f>
        <v>4329000</v>
      </c>
      <c r="CD63" s="161">
        <f>Datos_Origen[[#This Row],[CT]]/Datos_Origen[[#This Row],[CTMd]]</f>
        <v>0.65343374451374459</v>
      </c>
      <c r="CE63" s="155">
        <f>+Datos_Origen[[#This Row],[GMd]]/1.17666666667</f>
        <v>3475070.8215199006</v>
      </c>
      <c r="CF63" s="161">
        <f>+Datos_Origen[[#This Row],[Básico Actual]]/Datos_Origen[[#This Row],[Salario Basico Md]]</f>
        <v>0.69178446238069946</v>
      </c>
      <c r="CG63" s="155">
        <f>ROUNDUP(VLOOKUP(Datos_Origen[[#This Row],[Categoria]],Competitividad_1[#All],8,0)*IndiceIncrementoC,-3)</f>
        <v>5334000</v>
      </c>
      <c r="CH63" s="161">
        <f>Datos_Origen[[#This Row],[G]]/Datos_Origen[[#This Row],[GQ3]]</f>
        <v>0.53031771278590178</v>
      </c>
      <c r="CI63" s="155">
        <f>ROUNDUP(VLOOKUP(Datos_Origen[[#This Row],[Categoria]],Competitividad_1[#All],9,0)*IndiceIncrementoC,-3)</f>
        <v>5483000</v>
      </c>
      <c r="CJ63" s="161">
        <f>Datos_Origen[[#This Row],[G+V]]/Datos_Origen[[#This Row],[G+VQ3]]</f>
        <v>0.51590637971913189</v>
      </c>
      <c r="CK63" s="155">
        <f>ROUNDUP(VLOOKUP(Datos_Origen[[#This Row],[Categoria]],Competitividad_1[#All],10,0)*IndiceIncrementoC,-3)</f>
        <v>5625000</v>
      </c>
      <c r="CL63" s="161">
        <f>Datos_Origen[[#This Row],[CT]]/Datos_Origen[[#This Row],[CTQ3]]</f>
        <v>0.50288260977777777</v>
      </c>
      <c r="CM63" s="162">
        <f>IF(ROUND(Datos_Origen[[#This Row],[Salario Ordinario Pol2]],-3)&lt;SMMLV,SMMLV,ROUND(Datos_Origen[[#This Row],[Salario Ordinario Pol2]],-3))</f>
        <v>2649000</v>
      </c>
      <c r="CN63" s="155">
        <f>IF(Datos_Origen[[#This Row],[Gpol]]/(1+FactorPrestacionalOrdinario)&lt;SMMLV,SMMLV,Datos_Origen[[#This Row],[Gpol]]/(1+FactorPrestacionalOrdinario))</f>
        <v>3311048.1586402263</v>
      </c>
      <c r="CO63" s="161">
        <f>IFERROR(IF(Datos_Origen[[#This Row],[Salarios Año]]=14.12,Datos_Origen[[#This Row],[Básico]]/Datos_Origen[[#This Row],[Salario Ordinario Pol]],""),"")</f>
        <v>0.72605407255304588</v>
      </c>
      <c r="CP63" s="155">
        <f>IF(ROUND(Datos_Origen[[#This Row],[Salario Ordinario Pol22]],-3)&lt;SMMLV,SMMLV,ROUND(Datos_Origen[[#This Row],[Salario Ordinario Pol22]],-3))</f>
        <v>3973000</v>
      </c>
      <c r="CQ63" s="155" t="str">
        <f>IFERROR(ROUND(Datos_Origen[[#This Row],[Salario Integral Pol4]],-3),"")</f>
        <v/>
      </c>
      <c r="CR63" s="139" t="str">
        <f>IF((Datos_Origen[[#This Row],[Gpol]]/(1+FactorPrestacionalIntegral))&lt;(13*SMMLV),"",(Datos_Origen[[#This Row],[Gpol]]/(1+FactorPrestacionalIntegral)))</f>
        <v/>
      </c>
      <c r="CS63" s="161" t="str">
        <f>IFERROR(IF(Datos_Origen[[#This Row],[Salarios Año]]=12,Datos_Origen[[#This Row],[Básico]]/Datos_Origen[[#This Row],[Salario Integral Pol]],""),"")</f>
        <v/>
      </c>
      <c r="CT63" s="155" t="str">
        <f>IFERROR(ROUND(Datos_Origen[[#This Row],[Salario Integral Pol44]],-3),"")</f>
        <v/>
      </c>
      <c r="CU63" s="155">
        <f>Datos_Origen[[#This Row],[G+Vpol]]-Datos_Origen[[#This Row],[Variable]]</f>
        <v>3896000</v>
      </c>
      <c r="CV63" s="161">
        <f>Datos_Origen[[#This Row],[G]]/Datos_Origen[[#This Row],[Gpol]]</f>
        <v>0.72605612936344976</v>
      </c>
      <c r="CW63" s="154">
        <f>Datos_Origen[[#This Row],[Ctpol]]-Datos_Origen[[#This Row],[Beneficios]]</f>
        <v>3896000</v>
      </c>
      <c r="CX63" s="161">
        <f>Datos_Origen[[#This Row],[G+V]]/Datos_Origen[[#This Row],[G+Vpol]]</f>
        <v>0.72605612936344976</v>
      </c>
      <c r="CY63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3896000</v>
      </c>
      <c r="CZ63" s="161">
        <f>Datos_Origen[[#This Row],[CT]]/Datos_Origen[[#This Row],[Ctpol]]</f>
        <v>0.72605612936344976</v>
      </c>
      <c r="DA63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63" s="158">
        <f>IF(Datos_Origen[[#This Row],[Básico]]&lt;10*SMMLV,0,Datos_Origen[[#This Row],[Base Seguridad Social Actual]]*8.5%)</f>
        <v>0</v>
      </c>
      <c r="DC63" s="158">
        <f>Datos_Origen[[#This Row],[Base Seguridad Social Actual]]*12%</f>
        <v>288480</v>
      </c>
      <c r="DD63" s="158">
        <f>Datos_Origen[[#This Row],[Base Seguridad Social Actual]]*Datos_Origen[[#This Row],[%ARL]]</f>
        <v>104574</v>
      </c>
      <c r="DE63" s="158">
        <f>IF(Datos_Origen[[#This Row],[Básico]]&lt;10*SMMLV,Datos_Origen[[#This Row],[Base Seguridad Social Actual]]*4%,Datos_Origen[[#This Row],[Base Seguridad Social Actual]]*9%)</f>
        <v>96160</v>
      </c>
      <c r="DF63" s="158">
        <f>Datos_Origen[[#This Row],[Salud]]+Datos_Origen[[#This Row],[Pensión]]+Datos_Origen[[#This Row],[ARL]]+Datos_Origen[[#This Row],[Parafiscales]]</f>
        <v>489214</v>
      </c>
      <c r="DG63" s="158">
        <f>Datos_Origen[[#This Row],[Costo Laboral Actual]]+Datos_Origen[[#This Row],[CT]]</f>
        <v>3317928.68</v>
      </c>
      <c r="DH63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3311048.1586402263</v>
      </c>
      <c r="DI63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63" s="158">
        <f>Datos_Origen[[#This Row],[Base Seguridad Social Nueva]]*12%</f>
        <v>397325.77903682715</v>
      </c>
      <c r="DK63" s="158">
        <f>Datos_Origen[[#This Row],[Base Seguridad Social Nueva]]*Datos_Origen[[#This Row],[%ARL]]</f>
        <v>144030.59490084983</v>
      </c>
      <c r="DL63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132441.92634560907</v>
      </c>
      <c r="DM63" s="158">
        <f>Datos_Origen[[#This Row],[Salud Nueva]]+Datos_Origen[[#This Row],[Pensión Nueva]]+Datos_Origen[[#This Row],[ARL nueva]]+Datos_Origen[[#This Row],[Parafiscales Nuevos]]</f>
        <v>673798.30028328602</v>
      </c>
      <c r="DN63" s="158">
        <f>Datos_Origen[[#This Row],[Costo Laboral Nuevo]]+Datos_Origen[[#This Row],[Ctpol]]</f>
        <v>4569798.3002832858</v>
      </c>
      <c r="DO63" s="158">
        <f>IF(Datos_Origen[[#This Row],[Ctpol]]-Datos_Origen[[#This Row],[CT]]&lt;=0,0,Datos_Origen[[#This Row],[Costo Total Nuevo]]-Datos_Origen[[#This Row],[Costo Total Actual]])</f>
        <v>1251869.6202832856</v>
      </c>
      <c r="DP63" s="158">
        <f>IF(Datos_Origen[[#This Row],[Ctpol]]-Datos_Origen[[#This Row],[CT]]&lt;=0,0,Datos_Origen[[#This Row],[Ctpol]]-Datos_Origen[[#This Row],[CT]])</f>
        <v>1067285.3199999998</v>
      </c>
      <c r="DQ63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184584.30028328602</v>
      </c>
      <c r="DR63" s="158">
        <f>ROUNDDOWN(VLOOKUP(Datos_Origen[[#This Row],[Categoria]],Competitividad_1[],7,0)*IndiceIncrementoC,-3)</f>
        <v>4328000</v>
      </c>
      <c r="DS63" s="158">
        <f>Datos_Origen[[#This Row],[CTeq]]*0.8</f>
        <v>2824396.4020494311</v>
      </c>
      <c r="DT63" s="158">
        <f>Datos_Origen[[#This Row],[CTeq]]*1.2</f>
        <v>4236594.6030741464</v>
      </c>
      <c r="DU63" s="155">
        <f>IF(Datos_Origen[[#This Row],[Gpol6]]/(1+FactorPrestacionalOrdinario)&lt;SMMLV,SMMLV,Datos_Origen[[#This Row],[Gpol6]]/(1+FactorPrestacionalOrdinario))</f>
        <v>2648838.5269121812</v>
      </c>
      <c r="DV63" s="139" t="str">
        <f>IF((Datos_Origen[[#This Row],[Gpol6]]/(1+FactorPrestacionalIntegral))&lt;(13*SMMLV),"",(Datos_Origen[[#This Row],[Gpol6]]/(1+FactorPrestacionalIntegral)))</f>
        <v/>
      </c>
      <c r="DW63" s="154">
        <f>Datos_Origen[[#This Row],[G+Vpol8]]</f>
        <v>3116800</v>
      </c>
      <c r="DX63" s="154">
        <f>Datos_Origen[[#This Row],[Ctpol10]]-Datos_Origen[[#This Row],[Beneficios]]</f>
        <v>3116800</v>
      </c>
      <c r="DY63" s="154">
        <f>Datos_Origen[[#This Row],[Ctpol]]*$CM$6</f>
        <v>3116800</v>
      </c>
      <c r="DZ63" s="155">
        <f>IF(Datos_Origen[[#This Row],[Gpol66]]/(1+FactorPrestacionalOrdinario)&lt;SMMLV,SMMLV,Datos_Origen[[#This Row],[Gpol66]]/(1+FactorPrestacionalOrdinario))</f>
        <v>3973257.7903682715</v>
      </c>
      <c r="EA63" s="139" t="str">
        <f>IF((Datos_Origen[[#This Row],[Gpol66]]/(1+FactorPrestacionalIntegral))&lt;(13*SMMLV),"",(Datos_Origen[[#This Row],[Gpol66]]/(1+FactorPrestacionalIntegral)))</f>
        <v/>
      </c>
      <c r="EB63" s="154">
        <f>Datos_Origen[[#This Row],[G+Vpol88]]</f>
        <v>4675200</v>
      </c>
      <c r="EC63" s="154">
        <f>Datos_Origen[[#This Row],[Ctpol1010]]-Datos_Origen[[#This Row],[Beneficios]]</f>
        <v>4675200</v>
      </c>
      <c r="ED63" s="154">
        <f>Datos_Origen[[#This Row],[Ctpol]]*$CP$6</f>
        <v>4675200</v>
      </c>
      <c r="EE63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64" spans="2:135">
      <c r="B64" s="148"/>
      <c r="C64" s="149"/>
      <c r="D64" s="150"/>
      <c r="E64" s="151"/>
      <c r="F64" s="151"/>
      <c r="G64" s="150" t="s">
        <v>324</v>
      </c>
      <c r="H64" s="153"/>
      <c r="I64" s="152" t="s">
        <v>324</v>
      </c>
      <c r="J64" s="130" t="str">
        <f>IFERROR(VLOOKUP(Datos_Origen[[#This Row],[Cargo Tipo Valorado]],Cargos_Catalogo[[#All],[Cargo]:[Área]],2,0),"")</f>
        <v xml:space="preserve">Directora contable </v>
      </c>
      <c r="K64" s="153"/>
      <c r="L64" s="153"/>
      <c r="M64" s="153"/>
      <c r="N64" s="153"/>
      <c r="O64" s="154">
        <f>Datos_Origen[[#This Row],[Segmentación Individual]]</f>
        <v>0</v>
      </c>
      <c r="P64" s="153"/>
      <c r="Q64" s="154">
        <f>VLOOKUP(Datos_Origen[[#This Row],[Cargo Tipo Valorado]],Cargos_Catalogo[#Data],MATCH(Cargos_Catalogo[[#Headers],[Puntos]],Cargos_Catalogo[#Headers],0),FALSE)</f>
        <v>268</v>
      </c>
      <c r="R64" s="130">
        <f>VLOOKUP(Datos_Origen[[#This Row],[Puntos valoración]],Categorias_Registro[#Data],MATCH(Categorias_Registro[[#Headers],[Categoria]],Categorias_Registro[#Headers],0),FALSE)</f>
        <v>9</v>
      </c>
      <c r="S64" s="130" t="str">
        <f>VLOOKUP(Datos_Origen[[#This Row],[Cargo Tipo Valorado]],Cargos_Catalogo[#Data],MATCH(Cargos_Catalogo[[#Headers],[Nivel SHR]],Cargos_Catalogo[#Headers],0),FALSE)</f>
        <v>Táctico</v>
      </c>
      <c r="T64" s="130" t="str">
        <f>VLOOKUP(Datos_Origen[[#This Row],[Cargo Tipo Valorado]],Cargos_Catalogo[#Data],MATCH(Cargos_Catalogo[[#Headers],[Criticidad]],Cargos_Catalogo[#Headers],0),FALSE)</f>
        <v>Relevante</v>
      </c>
      <c r="U64" s="154">
        <f>VLOOKUP(Datos_Origen[[#This Row],[Puntos valoración]],Categorias_Registro[#Data],5,FALSE)</f>
        <v>287</v>
      </c>
      <c r="V64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64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64" s="154">
        <f>SUMIF($BA$5:$BJ$5,"NCS",Datos_Origen[[#This Row],[auxilio Gasolina]:[Otro Beneficio10]])+(SUMIF($BA$5:$BJ$5,"CS",Datos_Origen[[#This Row],[auxilio Gasolina]:[Otro Beneficio10]])*1.17667)</f>
        <v>0</v>
      </c>
      <c r="Y64" s="155">
        <f>Datos_Origen[[#This Row],[Básico]]+Datos_Origen[[#This Row],[Promedio de Comisiones  ]]</f>
        <v>2404000</v>
      </c>
      <c r="Z64" s="155">
        <f>Datos_Origen[[#This Row],[Básico]]+Datos_Origen[[#This Row],[Promedio de Comisiones  ]]</f>
        <v>2404000</v>
      </c>
      <c r="AA64" s="155">
        <f>Datos_Origen[[#This Row],[Garantizado]]</f>
        <v>2828714.68</v>
      </c>
      <c r="AB64" s="155">
        <f>Datos_Origen[[#This Row],[Variable]]+Datos_Origen[[#This Row],[Garantizado]]</f>
        <v>2828714.68</v>
      </c>
      <c r="AC64" s="155">
        <f>Datos_Origen[[#This Row],[Beneficios]]+Datos_Origen[[#This Row],[Variable]]+Datos_Origen[[#This Row],[Garantizado]]</f>
        <v>2828714.68</v>
      </c>
      <c r="AD64" s="156">
        <v>14.12</v>
      </c>
      <c r="AE64" s="141">
        <v>230</v>
      </c>
      <c r="AF64" s="345">
        <v>4.3499999999999997E-2</v>
      </c>
      <c r="AG64" s="155">
        <f>Datos_Origen[[#This Row],[Básico Actual]]*230/Datos_Origen[[#This Row],['# horas mes]]</f>
        <v>2404000</v>
      </c>
      <c r="AH64" s="157">
        <v>2404000</v>
      </c>
      <c r="AI64" s="158"/>
      <c r="AJ64" s="158">
        <f>(((Datos_Origen[[#This Row],[Básico]])/30)*$AJ$6)/12</f>
        <v>0</v>
      </c>
      <c r="AK64" s="158"/>
      <c r="AL64" s="143">
        <f>((Datos_Origen[[#This Row],[Básico]])/30)*$AL$6/12</f>
        <v>0</v>
      </c>
      <c r="AM64" s="158"/>
      <c r="AN64" s="158"/>
      <c r="AO64" s="158"/>
      <c r="AP64" s="158"/>
      <c r="AQ64" s="158"/>
      <c r="AR64" s="149">
        <v>0</v>
      </c>
      <c r="AS64" s="149"/>
      <c r="AT64" s="159" t="str">
        <f>IFERROR(Datos_Origen[[#This Row],[Comisiones Target]]/Datos_Origen[[#This Row],[Promedio de Comisiones  ]],"")</f>
        <v/>
      </c>
      <c r="AU64" s="160"/>
      <c r="AV64" s="143">
        <v>0</v>
      </c>
      <c r="AW64" s="160"/>
      <c r="AX64" s="143">
        <f>Datos_Origen[[#This Row],[N Salarios de la Bonificación2]]*Datos_Origen[[#This Row],[Básico]]/12</f>
        <v>0</v>
      </c>
      <c r="AY64" s="160"/>
      <c r="AZ64" s="158"/>
      <c r="BA64" s="149">
        <v>0</v>
      </c>
      <c r="BB64" s="149"/>
      <c r="BC64" s="149"/>
      <c r="BD64" s="149"/>
      <c r="BE64" s="149"/>
      <c r="BF64" s="149"/>
      <c r="BG64" s="149"/>
      <c r="BH64" s="149"/>
      <c r="BI64" s="149"/>
      <c r="BJ64" s="149"/>
      <c r="BK64" s="159">
        <f>IFERROR(Datos_Origen[[#This Row],[Variable]]/Datos_Origen[[#This Row],[CT]],"")</f>
        <v>0</v>
      </c>
      <c r="BL64" s="159">
        <f>IFERROR(Datos_Origen[[#This Row],[Beneficios]]/Datos_Origen[[#This Row],[CT]],"")</f>
        <v>0</v>
      </c>
      <c r="BM64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3692842.9859208548</v>
      </c>
      <c r="BN64" s="161">
        <f>Datos_Origen[[#This Row],[G]]/Datos_Origen[[#This Row],[Geq]]</f>
        <v>0.76599917483213176</v>
      </c>
      <c r="BO64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3951672.482501477</v>
      </c>
      <c r="BP64" s="161">
        <f>Datos_Origen[[#This Row],[G+V]]/Datos_Origen[[#This Row],[G+Veq]]</f>
        <v>0.71582720797989186</v>
      </c>
      <c r="BQ64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3953224.048844202</v>
      </c>
      <c r="BR64" s="161">
        <f>Datos_Origen[[#This Row],[CT]]/Datos_Origen[[#This Row],[CTeq]]</f>
        <v>0.71554625921772053</v>
      </c>
      <c r="BS64" s="139">
        <f>ROUNDUP(VLOOKUP(Datos_Origen[[#This Row],[Categoria]],Competitividad_1[#All],2,0)*IndiceIncrementoC,-3)</f>
        <v>3642000</v>
      </c>
      <c r="BT64" s="161">
        <f>Datos_Origen[[#This Row],[G]]/Datos_Origen[[#This Row],[GQ1]]</f>
        <v>0.77669266337177378</v>
      </c>
      <c r="BU64" s="155">
        <f>ROUNDUP(VLOOKUP(Datos_Origen[[#This Row],[Categoria]],Competitividad_1[#All],3,0)*IndiceIncrementoC,-3)</f>
        <v>3754000</v>
      </c>
      <c r="BV64" s="161">
        <f>Datos_Origen[[#This Row],[G+V]]/Datos_Origen[[#This Row],[G+VQ1]]</f>
        <v>0.75352015982951526</v>
      </c>
      <c r="BW64" s="155">
        <f>ROUNDUP(VLOOKUP(Datos_Origen[[#This Row],[Categoria]],Competitividad_1[#All],4,0)*IndiceIncrementoC,-3)</f>
        <v>3907000</v>
      </c>
      <c r="BX64" s="161">
        <f>Datos_Origen[[#This Row],[CT]]/Datos_Origen[[#This Row],[CTQ1]]</f>
        <v>0.72401194778602518</v>
      </c>
      <c r="BY64" s="155">
        <f>ROUNDUP(VLOOKUP(Datos_Origen[[#This Row],[Categoria]],Competitividad_1[#All],5,0)*IndiceIncrementoC,-3)</f>
        <v>4980000</v>
      </c>
      <c r="BZ64" s="161">
        <f>Datos_Origen[[#This Row],[G]]/Datos_Origen[[#This Row],[GMd]]</f>
        <v>0.56801499598393579</v>
      </c>
      <c r="CA64" s="155">
        <f>ROUNDUP(VLOOKUP(Datos_Origen[[#This Row],[Categoria]],Competitividad_1[#All],6,0)*IndiceIncrementoC,-3)</f>
        <v>5077000</v>
      </c>
      <c r="CB64" s="161">
        <f>Datos_Origen[[#This Row],[G+V]]/Datos_Origen[[#This Row],[G+VMd]]</f>
        <v>0.55716263147528067</v>
      </c>
      <c r="CC64" s="155">
        <f>ROUNDUP(VLOOKUP(Datos_Origen[[#This Row],[Categoria]],Competitividad_1[#All],7,0)*IndiceIncrementoC,-3)</f>
        <v>5302000</v>
      </c>
      <c r="CD64" s="161">
        <f>Datos_Origen[[#This Row],[CT]]/Datos_Origen[[#This Row],[CTMd]]</f>
        <v>0.53351842323651455</v>
      </c>
      <c r="CE64" s="155">
        <f>+Datos_Origen[[#This Row],[GMd]]/1.17666666667</f>
        <v>4232294.6175517496</v>
      </c>
      <c r="CF64" s="161">
        <f>+Datos_Origen[[#This Row],[Básico Actual]]/Datos_Origen[[#This Row],[Salario Basico Md]]</f>
        <v>0.56801338688246594</v>
      </c>
      <c r="CG64" s="155">
        <f>ROUNDUP(VLOOKUP(Datos_Origen[[#This Row],[Categoria]],Competitividad_1[#All],8,0)*IndiceIncrementoC,-3)</f>
        <v>6072000</v>
      </c>
      <c r="CH64" s="161">
        <f>Datos_Origen[[#This Row],[G]]/Datos_Origen[[#This Row],[GQ3]]</f>
        <v>0.46586210144927537</v>
      </c>
      <c r="CI64" s="155">
        <f>ROUNDUP(VLOOKUP(Datos_Origen[[#This Row],[Categoria]],Competitividad_1[#All],9,0)*IndiceIncrementoC,-3)</f>
        <v>6239000</v>
      </c>
      <c r="CJ64" s="161">
        <f>Datos_Origen[[#This Row],[G+V]]/Datos_Origen[[#This Row],[G+VQ3]]</f>
        <v>0.45339231928193624</v>
      </c>
      <c r="CK64" s="155">
        <f>ROUNDUP(VLOOKUP(Datos_Origen[[#This Row],[Categoria]],Competitividad_1[#All],10,0)*IndiceIncrementoC,-3)</f>
        <v>6395000</v>
      </c>
      <c r="CL64" s="161">
        <f>Datos_Origen[[#This Row],[CT]]/Datos_Origen[[#This Row],[CTQ3]]</f>
        <v>0.44233224081313527</v>
      </c>
      <c r="CM64" s="162">
        <f>IF(ROUND(Datos_Origen[[#This Row],[Salario Ordinario Pol2]],-3)&lt;SMMLV,SMMLV,ROUND(Datos_Origen[[#This Row],[Salario Ordinario Pol2]],-3))</f>
        <v>3244000</v>
      </c>
      <c r="CN64" s="155">
        <f>IF(Datos_Origen[[#This Row],[Gpol]]/(1+FactorPrestacionalOrdinario)&lt;SMMLV,SMMLV,Datos_Origen[[#This Row],[Gpol]]/(1+FactorPrestacionalOrdinario))</f>
        <v>4054674.2209631726</v>
      </c>
      <c r="CO64" s="161">
        <f>IFERROR(IF(Datos_Origen[[#This Row],[Salarios Año]]=14.12,Datos_Origen[[#This Row],[Básico]]/Datos_Origen[[#This Row],[Salario Ordinario Pol]],""),"")</f>
        <v>0.59289596869978345</v>
      </c>
      <c r="CP64" s="155">
        <f>IF(ROUND(Datos_Origen[[#This Row],[Salario Ordinario Pol22]],-3)&lt;SMMLV,SMMLV,ROUND(Datos_Origen[[#This Row],[Salario Ordinario Pol22]],-3))</f>
        <v>4866000</v>
      </c>
      <c r="CQ64" s="155" t="str">
        <f>IFERROR(ROUND(Datos_Origen[[#This Row],[Salario Integral Pol4]],-3),"")</f>
        <v/>
      </c>
      <c r="CR64" s="139" t="str">
        <f>IF((Datos_Origen[[#This Row],[Gpol]]/(1+FactorPrestacionalIntegral))&lt;(13*SMMLV),"",(Datos_Origen[[#This Row],[Gpol]]/(1+FactorPrestacionalIntegral)))</f>
        <v/>
      </c>
      <c r="CS64" s="161" t="str">
        <f>IFERROR(IF(Datos_Origen[[#This Row],[Salarios Año]]=12,Datos_Origen[[#This Row],[Básico]]/Datos_Origen[[#This Row],[Salario Integral Pol]],""),"")</f>
        <v/>
      </c>
      <c r="CT64" s="155" t="str">
        <f>IFERROR(ROUND(Datos_Origen[[#This Row],[Salario Integral Pol44]],-3),"")</f>
        <v/>
      </c>
      <c r="CU64" s="155">
        <f>Datos_Origen[[#This Row],[G+Vpol]]-Datos_Origen[[#This Row],[Variable]]</f>
        <v>4771000</v>
      </c>
      <c r="CV64" s="161">
        <f>Datos_Origen[[#This Row],[G]]/Datos_Origen[[#This Row],[Gpol]]</f>
        <v>0.59289764829176272</v>
      </c>
      <c r="CW64" s="154">
        <f>Datos_Origen[[#This Row],[Ctpol]]-Datos_Origen[[#This Row],[Beneficios]]</f>
        <v>4771000</v>
      </c>
      <c r="CX64" s="161">
        <f>Datos_Origen[[#This Row],[G+V]]/Datos_Origen[[#This Row],[G+Vpol]]</f>
        <v>0.59289764829176272</v>
      </c>
      <c r="CY64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4771000</v>
      </c>
      <c r="CZ64" s="161">
        <f>Datos_Origen[[#This Row],[CT]]/Datos_Origen[[#This Row],[Ctpol]]</f>
        <v>0.59289764829176272</v>
      </c>
      <c r="DA64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64" s="158">
        <f>IF(Datos_Origen[[#This Row],[Básico]]&lt;10*SMMLV,0,Datos_Origen[[#This Row],[Base Seguridad Social Actual]]*8.5%)</f>
        <v>0</v>
      </c>
      <c r="DC64" s="158">
        <f>Datos_Origen[[#This Row],[Base Seguridad Social Actual]]*12%</f>
        <v>288480</v>
      </c>
      <c r="DD64" s="158">
        <f>Datos_Origen[[#This Row],[Base Seguridad Social Actual]]*Datos_Origen[[#This Row],[%ARL]]</f>
        <v>104574</v>
      </c>
      <c r="DE64" s="158">
        <f>IF(Datos_Origen[[#This Row],[Básico]]&lt;10*SMMLV,Datos_Origen[[#This Row],[Base Seguridad Social Actual]]*4%,Datos_Origen[[#This Row],[Base Seguridad Social Actual]]*9%)</f>
        <v>96160</v>
      </c>
      <c r="DF64" s="158">
        <f>Datos_Origen[[#This Row],[Salud]]+Datos_Origen[[#This Row],[Pensión]]+Datos_Origen[[#This Row],[ARL]]+Datos_Origen[[#This Row],[Parafiscales]]</f>
        <v>489214</v>
      </c>
      <c r="DG64" s="163">
        <f>Datos_Origen[[#This Row],[Costo Laboral Actual]]+Datos_Origen[[#This Row],[CT]]</f>
        <v>3317928.68</v>
      </c>
      <c r="DH64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4054674.2209631726</v>
      </c>
      <c r="DI64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64" s="158">
        <f>Datos_Origen[[#This Row],[Base Seguridad Social Nueva]]*12%</f>
        <v>486560.90651558072</v>
      </c>
      <c r="DK64" s="158">
        <f>Datos_Origen[[#This Row],[Base Seguridad Social Nueva]]*Datos_Origen[[#This Row],[%ARL]]</f>
        <v>176378.328611898</v>
      </c>
      <c r="DL64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162186.9688385269</v>
      </c>
      <c r="DM64" s="158">
        <f>Datos_Origen[[#This Row],[Salud Nueva]]+Datos_Origen[[#This Row],[Pensión Nueva]]+Datos_Origen[[#This Row],[ARL nueva]]+Datos_Origen[[#This Row],[Parafiscales Nuevos]]</f>
        <v>825126.20396600559</v>
      </c>
      <c r="DN64" s="158">
        <f>Datos_Origen[[#This Row],[Costo Laboral Nuevo]]+Datos_Origen[[#This Row],[Ctpol]]</f>
        <v>5596126.2039660057</v>
      </c>
      <c r="DO64" s="158">
        <f>IF(Datos_Origen[[#This Row],[Ctpol]]-Datos_Origen[[#This Row],[CT]]&lt;=0,0,Datos_Origen[[#This Row],[Costo Total Nuevo]]-Datos_Origen[[#This Row],[Costo Total Actual]])</f>
        <v>2278197.5239660055</v>
      </c>
      <c r="DP64" s="158">
        <f>IF(Datos_Origen[[#This Row],[Ctpol]]-Datos_Origen[[#This Row],[CT]]&lt;=0,0,Datos_Origen[[#This Row],[Ctpol]]-Datos_Origen[[#This Row],[CT]])</f>
        <v>1942285.3199999998</v>
      </c>
      <c r="DQ64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335912.20396600559</v>
      </c>
      <c r="DR64" s="158">
        <f>ROUNDDOWN(VLOOKUP(Datos_Origen[[#This Row],[Categoria]],Competitividad_1[],7,0)*IndiceIncrementoC,-3)</f>
        <v>5301000</v>
      </c>
      <c r="DS64" s="158">
        <f>Datos_Origen[[#This Row],[CTeq]]*0.8</f>
        <v>3162579.2390753618</v>
      </c>
      <c r="DT64" s="158">
        <f>Datos_Origen[[#This Row],[CTeq]]*1.2</f>
        <v>4743868.8586130422</v>
      </c>
      <c r="DU64" s="155">
        <f>IF(Datos_Origen[[#This Row],[Gpol6]]/(1+FactorPrestacionalOrdinario)&lt;SMMLV,SMMLV,Datos_Origen[[#This Row],[Gpol6]]/(1+FactorPrestacionalOrdinario))</f>
        <v>3243739.3767705378</v>
      </c>
      <c r="DV64" s="139" t="str">
        <f>IF((Datos_Origen[[#This Row],[Gpol6]]/(1+FactorPrestacionalIntegral))&lt;(13*SMMLV),"",(Datos_Origen[[#This Row],[Gpol6]]/(1+FactorPrestacionalIntegral)))</f>
        <v/>
      </c>
      <c r="DW64" s="154">
        <f>Datos_Origen[[#This Row],[G+Vpol8]]</f>
        <v>3816800</v>
      </c>
      <c r="DX64" s="154">
        <f>Datos_Origen[[#This Row],[Ctpol10]]-Datos_Origen[[#This Row],[Beneficios]]</f>
        <v>3816800</v>
      </c>
      <c r="DY64" s="154">
        <f>Datos_Origen[[#This Row],[Ctpol]]*$CM$6</f>
        <v>3816800</v>
      </c>
      <c r="DZ64" s="155">
        <f>IF(Datos_Origen[[#This Row],[Gpol66]]/(1+FactorPrestacionalOrdinario)&lt;SMMLV,SMMLV,Datos_Origen[[#This Row],[Gpol66]]/(1+FactorPrestacionalOrdinario))</f>
        <v>4865609.065155807</v>
      </c>
      <c r="EA64" s="139" t="str">
        <f>IF((Datos_Origen[[#This Row],[Gpol66]]/(1+FactorPrestacionalIntegral))&lt;(13*SMMLV),"",(Datos_Origen[[#This Row],[Gpol66]]/(1+FactorPrestacionalIntegral)))</f>
        <v/>
      </c>
      <c r="EB64" s="154">
        <f>Datos_Origen[[#This Row],[G+Vpol88]]</f>
        <v>5725200</v>
      </c>
      <c r="EC64" s="154">
        <f>Datos_Origen[[#This Row],[Ctpol1010]]-Datos_Origen[[#This Row],[Beneficios]]</f>
        <v>5725200</v>
      </c>
      <c r="ED64" s="154">
        <f>Datos_Origen[[#This Row],[Ctpol]]*$CP$6</f>
        <v>5725200</v>
      </c>
      <c r="EE64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65" spans="2:135">
      <c r="B65" s="148"/>
      <c r="C65" s="149"/>
      <c r="D65" s="150"/>
      <c r="E65" s="151"/>
      <c r="F65" s="151"/>
      <c r="G65" s="150" t="s">
        <v>324</v>
      </c>
      <c r="H65" s="153"/>
      <c r="I65" s="152" t="s">
        <v>324</v>
      </c>
      <c r="J65" s="130" t="str">
        <f>IFERROR(VLOOKUP(Datos_Origen[[#This Row],[Cargo Tipo Valorado]],Cargos_Catalogo[[#All],[Cargo]:[Área]],2,0),"")</f>
        <v xml:space="preserve">Directora contable </v>
      </c>
      <c r="K65" s="153"/>
      <c r="L65" s="153"/>
      <c r="M65" s="153"/>
      <c r="N65" s="153"/>
      <c r="O65" s="154">
        <f>Datos_Origen[[#This Row],[Segmentación Individual]]</f>
        <v>0</v>
      </c>
      <c r="P65" s="153"/>
      <c r="Q65" s="154">
        <f>VLOOKUP(Datos_Origen[[#This Row],[Cargo Tipo Valorado]],Cargos_Catalogo[#Data],MATCH(Cargos_Catalogo[[#Headers],[Puntos]],Cargos_Catalogo[#Headers],0),FALSE)</f>
        <v>268</v>
      </c>
      <c r="R65" s="130">
        <f>VLOOKUP(Datos_Origen[[#This Row],[Puntos valoración]],Categorias_Registro[#Data],MATCH(Categorias_Registro[[#Headers],[Categoria]],Categorias_Registro[#Headers],0),FALSE)</f>
        <v>9</v>
      </c>
      <c r="S65" s="130" t="str">
        <f>VLOOKUP(Datos_Origen[[#This Row],[Cargo Tipo Valorado]],Cargos_Catalogo[#Data],MATCH(Cargos_Catalogo[[#Headers],[Nivel SHR]],Cargos_Catalogo[#Headers],0),FALSE)</f>
        <v>Táctico</v>
      </c>
      <c r="T65" s="130" t="str">
        <f>VLOOKUP(Datos_Origen[[#This Row],[Cargo Tipo Valorado]],Cargos_Catalogo[#Data],MATCH(Cargos_Catalogo[[#Headers],[Criticidad]],Cargos_Catalogo[#Headers],0),FALSE)</f>
        <v>Relevante</v>
      </c>
      <c r="U65" s="154">
        <f>VLOOKUP(Datos_Origen[[#This Row],[Puntos valoración]],Categorias_Registro[#Data],5,FALSE)</f>
        <v>287</v>
      </c>
      <c r="V65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65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65" s="154">
        <f>SUMIF($BA$5:$BJ$5,"NCS",Datos_Origen[[#This Row],[auxilio Gasolina]:[Otro Beneficio10]])+(SUMIF($BA$5:$BJ$5,"CS",Datos_Origen[[#This Row],[auxilio Gasolina]:[Otro Beneficio10]])*1.17667)</f>
        <v>0</v>
      </c>
      <c r="Y65" s="155">
        <f>Datos_Origen[[#This Row],[Básico]]+Datos_Origen[[#This Row],[Promedio de Comisiones  ]]</f>
        <v>2404000</v>
      </c>
      <c r="Z65" s="155">
        <f>Datos_Origen[[#This Row],[Básico]]+Datos_Origen[[#This Row],[Promedio de Comisiones  ]]</f>
        <v>2404000</v>
      </c>
      <c r="AA65" s="155">
        <f>Datos_Origen[[#This Row],[Garantizado]]</f>
        <v>2828714.68</v>
      </c>
      <c r="AB65" s="155">
        <f>Datos_Origen[[#This Row],[Variable]]+Datos_Origen[[#This Row],[Garantizado]]</f>
        <v>2828714.68</v>
      </c>
      <c r="AC65" s="155">
        <f>Datos_Origen[[#This Row],[Beneficios]]+Datos_Origen[[#This Row],[Variable]]+Datos_Origen[[#This Row],[Garantizado]]</f>
        <v>2828714.68</v>
      </c>
      <c r="AD65" s="156">
        <v>14.12</v>
      </c>
      <c r="AE65" s="141">
        <v>230</v>
      </c>
      <c r="AF65" s="345">
        <v>4.3499999999999997E-2</v>
      </c>
      <c r="AG65" s="155">
        <f>Datos_Origen[[#This Row],[Básico Actual]]*230/Datos_Origen[[#This Row],['# horas mes]]</f>
        <v>2404000</v>
      </c>
      <c r="AH65" s="157">
        <v>2404000</v>
      </c>
      <c r="AI65" s="158"/>
      <c r="AJ65" s="158">
        <f>(((Datos_Origen[[#This Row],[Básico]])/30)*$AJ$6)/12</f>
        <v>0</v>
      </c>
      <c r="AK65" s="158"/>
      <c r="AL65" s="143">
        <f>((Datos_Origen[[#This Row],[Básico]])/30)*$AL$6/12</f>
        <v>0</v>
      </c>
      <c r="AM65" s="158"/>
      <c r="AN65" s="158"/>
      <c r="AO65" s="158"/>
      <c r="AP65" s="158"/>
      <c r="AQ65" s="158"/>
      <c r="AR65" s="149">
        <v>0</v>
      </c>
      <c r="AS65" s="149"/>
      <c r="AT65" s="159" t="str">
        <f>IFERROR(Datos_Origen[[#This Row],[Comisiones Target]]/Datos_Origen[[#This Row],[Promedio de Comisiones  ]],"")</f>
        <v/>
      </c>
      <c r="AU65" s="160"/>
      <c r="AV65" s="143">
        <v>0</v>
      </c>
      <c r="AW65" s="160"/>
      <c r="AX65" s="143">
        <f>Datos_Origen[[#This Row],[N Salarios de la Bonificación2]]*Datos_Origen[[#This Row],[Básico]]/12</f>
        <v>0</v>
      </c>
      <c r="AY65" s="160"/>
      <c r="AZ65" s="158"/>
      <c r="BA65" s="149">
        <v>0</v>
      </c>
      <c r="BB65" s="149"/>
      <c r="BC65" s="149"/>
      <c r="BD65" s="149"/>
      <c r="BE65" s="149"/>
      <c r="BF65" s="149"/>
      <c r="BG65" s="149"/>
      <c r="BH65" s="149"/>
      <c r="BI65" s="149"/>
      <c r="BJ65" s="149"/>
      <c r="BK65" s="159">
        <f>IFERROR(Datos_Origen[[#This Row],[Variable]]/Datos_Origen[[#This Row],[CT]],"")</f>
        <v>0</v>
      </c>
      <c r="BL65" s="159">
        <f>IFERROR(Datos_Origen[[#This Row],[Beneficios]]/Datos_Origen[[#This Row],[CT]],"")</f>
        <v>0</v>
      </c>
      <c r="BM65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3692842.9859208548</v>
      </c>
      <c r="BN65" s="161">
        <f>Datos_Origen[[#This Row],[G]]/Datos_Origen[[#This Row],[Geq]]</f>
        <v>0.76599917483213176</v>
      </c>
      <c r="BO65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3951672.482501477</v>
      </c>
      <c r="BP65" s="161">
        <f>Datos_Origen[[#This Row],[G+V]]/Datos_Origen[[#This Row],[G+Veq]]</f>
        <v>0.71582720797989186</v>
      </c>
      <c r="BQ65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3953224.048844202</v>
      </c>
      <c r="BR65" s="161">
        <f>Datos_Origen[[#This Row],[CT]]/Datos_Origen[[#This Row],[CTeq]]</f>
        <v>0.71554625921772053</v>
      </c>
      <c r="BS65" s="139">
        <f>ROUNDUP(VLOOKUP(Datos_Origen[[#This Row],[Categoria]],Competitividad_1[#All],2,0)*IndiceIncrementoC,-3)</f>
        <v>3642000</v>
      </c>
      <c r="BT65" s="161">
        <f>Datos_Origen[[#This Row],[G]]/Datos_Origen[[#This Row],[GQ1]]</f>
        <v>0.77669266337177378</v>
      </c>
      <c r="BU65" s="155">
        <f>ROUNDUP(VLOOKUP(Datos_Origen[[#This Row],[Categoria]],Competitividad_1[#All],3,0)*IndiceIncrementoC,-3)</f>
        <v>3754000</v>
      </c>
      <c r="BV65" s="161">
        <f>Datos_Origen[[#This Row],[G+V]]/Datos_Origen[[#This Row],[G+VQ1]]</f>
        <v>0.75352015982951526</v>
      </c>
      <c r="BW65" s="155">
        <f>ROUNDUP(VLOOKUP(Datos_Origen[[#This Row],[Categoria]],Competitividad_1[#All],4,0)*IndiceIncrementoC,-3)</f>
        <v>3907000</v>
      </c>
      <c r="BX65" s="161">
        <f>Datos_Origen[[#This Row],[CT]]/Datos_Origen[[#This Row],[CTQ1]]</f>
        <v>0.72401194778602518</v>
      </c>
      <c r="BY65" s="155">
        <f>ROUNDUP(VLOOKUP(Datos_Origen[[#This Row],[Categoria]],Competitividad_1[#All],5,0)*IndiceIncrementoC,-3)</f>
        <v>4980000</v>
      </c>
      <c r="BZ65" s="161">
        <f>Datos_Origen[[#This Row],[G]]/Datos_Origen[[#This Row],[GMd]]</f>
        <v>0.56801499598393579</v>
      </c>
      <c r="CA65" s="155">
        <f>ROUNDUP(VLOOKUP(Datos_Origen[[#This Row],[Categoria]],Competitividad_1[#All],6,0)*IndiceIncrementoC,-3)</f>
        <v>5077000</v>
      </c>
      <c r="CB65" s="161">
        <f>Datos_Origen[[#This Row],[G+V]]/Datos_Origen[[#This Row],[G+VMd]]</f>
        <v>0.55716263147528067</v>
      </c>
      <c r="CC65" s="155">
        <f>ROUNDUP(VLOOKUP(Datos_Origen[[#This Row],[Categoria]],Competitividad_1[#All],7,0)*IndiceIncrementoC,-3)</f>
        <v>5302000</v>
      </c>
      <c r="CD65" s="161">
        <f>Datos_Origen[[#This Row],[CT]]/Datos_Origen[[#This Row],[CTMd]]</f>
        <v>0.53351842323651455</v>
      </c>
      <c r="CE65" s="155">
        <f>+Datos_Origen[[#This Row],[GMd]]/1.17666666667</f>
        <v>4232294.6175517496</v>
      </c>
      <c r="CF65" s="161">
        <f>+Datos_Origen[[#This Row],[Básico Actual]]/Datos_Origen[[#This Row],[Salario Basico Md]]</f>
        <v>0.56801338688246594</v>
      </c>
      <c r="CG65" s="155">
        <f>ROUNDUP(VLOOKUP(Datos_Origen[[#This Row],[Categoria]],Competitividad_1[#All],8,0)*IndiceIncrementoC,-3)</f>
        <v>6072000</v>
      </c>
      <c r="CH65" s="161">
        <f>Datos_Origen[[#This Row],[G]]/Datos_Origen[[#This Row],[GQ3]]</f>
        <v>0.46586210144927537</v>
      </c>
      <c r="CI65" s="155">
        <f>ROUNDUP(VLOOKUP(Datos_Origen[[#This Row],[Categoria]],Competitividad_1[#All],9,0)*IndiceIncrementoC,-3)</f>
        <v>6239000</v>
      </c>
      <c r="CJ65" s="161">
        <f>Datos_Origen[[#This Row],[G+V]]/Datos_Origen[[#This Row],[G+VQ3]]</f>
        <v>0.45339231928193624</v>
      </c>
      <c r="CK65" s="155">
        <f>ROUNDUP(VLOOKUP(Datos_Origen[[#This Row],[Categoria]],Competitividad_1[#All],10,0)*IndiceIncrementoC,-3)</f>
        <v>6395000</v>
      </c>
      <c r="CL65" s="161">
        <f>Datos_Origen[[#This Row],[CT]]/Datos_Origen[[#This Row],[CTQ3]]</f>
        <v>0.44233224081313527</v>
      </c>
      <c r="CM65" s="162">
        <f>IF(ROUND(Datos_Origen[[#This Row],[Salario Ordinario Pol2]],-3)&lt;SMMLV,SMMLV,ROUND(Datos_Origen[[#This Row],[Salario Ordinario Pol2]],-3))</f>
        <v>3244000</v>
      </c>
      <c r="CN65" s="155">
        <f>IF(Datos_Origen[[#This Row],[Gpol]]/(1+FactorPrestacionalOrdinario)&lt;SMMLV,SMMLV,Datos_Origen[[#This Row],[Gpol]]/(1+FactorPrestacionalOrdinario))</f>
        <v>4054674.2209631726</v>
      </c>
      <c r="CO65" s="161">
        <f>IFERROR(IF(Datos_Origen[[#This Row],[Salarios Año]]=14.12,Datos_Origen[[#This Row],[Básico]]/Datos_Origen[[#This Row],[Salario Ordinario Pol]],""),"")</f>
        <v>0.59289596869978345</v>
      </c>
      <c r="CP65" s="155">
        <f>IF(ROUND(Datos_Origen[[#This Row],[Salario Ordinario Pol22]],-3)&lt;SMMLV,SMMLV,ROUND(Datos_Origen[[#This Row],[Salario Ordinario Pol22]],-3))</f>
        <v>4866000</v>
      </c>
      <c r="CQ65" s="155" t="str">
        <f>IFERROR(ROUND(Datos_Origen[[#This Row],[Salario Integral Pol4]],-3),"")</f>
        <v/>
      </c>
      <c r="CR65" s="139" t="str">
        <f>IF((Datos_Origen[[#This Row],[Gpol]]/(1+FactorPrestacionalIntegral))&lt;(13*SMMLV),"",(Datos_Origen[[#This Row],[Gpol]]/(1+FactorPrestacionalIntegral)))</f>
        <v/>
      </c>
      <c r="CS65" s="161" t="str">
        <f>IFERROR(IF(Datos_Origen[[#This Row],[Salarios Año]]=12,Datos_Origen[[#This Row],[Básico]]/Datos_Origen[[#This Row],[Salario Integral Pol]],""),"")</f>
        <v/>
      </c>
      <c r="CT65" s="155" t="str">
        <f>IFERROR(ROUND(Datos_Origen[[#This Row],[Salario Integral Pol44]],-3),"")</f>
        <v/>
      </c>
      <c r="CU65" s="155">
        <f>Datos_Origen[[#This Row],[G+Vpol]]-Datos_Origen[[#This Row],[Variable]]</f>
        <v>4771000</v>
      </c>
      <c r="CV65" s="161">
        <f>Datos_Origen[[#This Row],[G]]/Datos_Origen[[#This Row],[Gpol]]</f>
        <v>0.59289764829176272</v>
      </c>
      <c r="CW65" s="154">
        <f>Datos_Origen[[#This Row],[Ctpol]]-Datos_Origen[[#This Row],[Beneficios]]</f>
        <v>4771000</v>
      </c>
      <c r="CX65" s="161">
        <f>Datos_Origen[[#This Row],[G+V]]/Datos_Origen[[#This Row],[G+Vpol]]</f>
        <v>0.59289764829176272</v>
      </c>
      <c r="CY65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4771000</v>
      </c>
      <c r="CZ65" s="161">
        <f>Datos_Origen[[#This Row],[CT]]/Datos_Origen[[#This Row],[Ctpol]]</f>
        <v>0.59289764829176272</v>
      </c>
      <c r="DA65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65" s="158">
        <f>IF(Datos_Origen[[#This Row],[Básico]]&lt;10*SMMLV,0,Datos_Origen[[#This Row],[Base Seguridad Social Actual]]*8.5%)</f>
        <v>0</v>
      </c>
      <c r="DC65" s="158">
        <f>Datos_Origen[[#This Row],[Base Seguridad Social Actual]]*12%</f>
        <v>288480</v>
      </c>
      <c r="DD65" s="158">
        <f>Datos_Origen[[#This Row],[Base Seguridad Social Actual]]*Datos_Origen[[#This Row],[%ARL]]</f>
        <v>104574</v>
      </c>
      <c r="DE65" s="158">
        <f>IF(Datos_Origen[[#This Row],[Básico]]&lt;10*SMMLV,Datos_Origen[[#This Row],[Base Seguridad Social Actual]]*4%,Datos_Origen[[#This Row],[Base Seguridad Social Actual]]*9%)</f>
        <v>96160</v>
      </c>
      <c r="DF65" s="158">
        <f>Datos_Origen[[#This Row],[Salud]]+Datos_Origen[[#This Row],[Pensión]]+Datos_Origen[[#This Row],[ARL]]+Datos_Origen[[#This Row],[Parafiscales]]</f>
        <v>489214</v>
      </c>
      <c r="DG65" s="163">
        <f>Datos_Origen[[#This Row],[Costo Laboral Actual]]+Datos_Origen[[#This Row],[CT]]</f>
        <v>3317928.68</v>
      </c>
      <c r="DH65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4054674.2209631726</v>
      </c>
      <c r="DI65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65" s="158">
        <f>Datos_Origen[[#This Row],[Base Seguridad Social Nueva]]*12%</f>
        <v>486560.90651558072</v>
      </c>
      <c r="DK65" s="158">
        <f>Datos_Origen[[#This Row],[Base Seguridad Social Nueva]]*Datos_Origen[[#This Row],[%ARL]]</f>
        <v>176378.328611898</v>
      </c>
      <c r="DL65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162186.9688385269</v>
      </c>
      <c r="DM65" s="158">
        <f>Datos_Origen[[#This Row],[Salud Nueva]]+Datos_Origen[[#This Row],[Pensión Nueva]]+Datos_Origen[[#This Row],[ARL nueva]]+Datos_Origen[[#This Row],[Parafiscales Nuevos]]</f>
        <v>825126.20396600559</v>
      </c>
      <c r="DN65" s="158">
        <f>Datos_Origen[[#This Row],[Costo Laboral Nuevo]]+Datos_Origen[[#This Row],[Ctpol]]</f>
        <v>5596126.2039660057</v>
      </c>
      <c r="DO65" s="158">
        <f>IF(Datos_Origen[[#This Row],[Ctpol]]-Datos_Origen[[#This Row],[CT]]&lt;=0,0,Datos_Origen[[#This Row],[Costo Total Nuevo]]-Datos_Origen[[#This Row],[Costo Total Actual]])</f>
        <v>2278197.5239660055</v>
      </c>
      <c r="DP65" s="158">
        <f>IF(Datos_Origen[[#This Row],[Ctpol]]-Datos_Origen[[#This Row],[CT]]&lt;=0,0,Datos_Origen[[#This Row],[Ctpol]]-Datos_Origen[[#This Row],[CT]])</f>
        <v>1942285.3199999998</v>
      </c>
      <c r="DQ65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335912.20396600559</v>
      </c>
      <c r="DR65" s="158">
        <f>ROUNDDOWN(VLOOKUP(Datos_Origen[[#This Row],[Categoria]],Competitividad_1[],7,0)*IndiceIncrementoC,-3)</f>
        <v>5301000</v>
      </c>
      <c r="DS65" s="158">
        <f>Datos_Origen[[#This Row],[CTeq]]*0.8</f>
        <v>3162579.2390753618</v>
      </c>
      <c r="DT65" s="158">
        <f>Datos_Origen[[#This Row],[CTeq]]*1.2</f>
        <v>4743868.8586130422</v>
      </c>
      <c r="DU65" s="155">
        <f>IF(Datos_Origen[[#This Row],[Gpol6]]/(1+FactorPrestacionalOrdinario)&lt;SMMLV,SMMLV,Datos_Origen[[#This Row],[Gpol6]]/(1+FactorPrestacionalOrdinario))</f>
        <v>3243739.3767705378</v>
      </c>
      <c r="DV65" s="139" t="str">
        <f>IF((Datos_Origen[[#This Row],[Gpol6]]/(1+FactorPrestacionalIntegral))&lt;(13*SMMLV),"",(Datos_Origen[[#This Row],[Gpol6]]/(1+FactorPrestacionalIntegral)))</f>
        <v/>
      </c>
      <c r="DW65" s="154">
        <f>Datos_Origen[[#This Row],[G+Vpol8]]</f>
        <v>3816800</v>
      </c>
      <c r="DX65" s="154">
        <f>Datos_Origen[[#This Row],[Ctpol10]]-Datos_Origen[[#This Row],[Beneficios]]</f>
        <v>3816800</v>
      </c>
      <c r="DY65" s="154">
        <f>Datos_Origen[[#This Row],[Ctpol]]*$CM$6</f>
        <v>3816800</v>
      </c>
      <c r="DZ65" s="155">
        <f>IF(Datos_Origen[[#This Row],[Gpol66]]/(1+FactorPrestacionalOrdinario)&lt;SMMLV,SMMLV,Datos_Origen[[#This Row],[Gpol66]]/(1+FactorPrestacionalOrdinario))</f>
        <v>4865609.065155807</v>
      </c>
      <c r="EA65" s="139" t="str">
        <f>IF((Datos_Origen[[#This Row],[Gpol66]]/(1+FactorPrestacionalIntegral))&lt;(13*SMMLV),"",(Datos_Origen[[#This Row],[Gpol66]]/(1+FactorPrestacionalIntegral)))</f>
        <v/>
      </c>
      <c r="EB65" s="154">
        <f>Datos_Origen[[#This Row],[G+Vpol88]]</f>
        <v>5725200</v>
      </c>
      <c r="EC65" s="154">
        <f>Datos_Origen[[#This Row],[Ctpol1010]]-Datos_Origen[[#This Row],[Beneficios]]</f>
        <v>5725200</v>
      </c>
      <c r="ED65" s="154">
        <f>Datos_Origen[[#This Row],[Ctpol]]*$CP$6</f>
        <v>5725200</v>
      </c>
      <c r="EE65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66" spans="2:135">
      <c r="B66" s="132"/>
      <c r="C66" s="149"/>
      <c r="D66" s="150"/>
      <c r="E66" s="151"/>
      <c r="F66" s="151"/>
      <c r="G66" s="150" t="s">
        <v>337</v>
      </c>
      <c r="H66" s="153"/>
      <c r="I66" s="152" t="s">
        <v>337</v>
      </c>
      <c r="J66" s="130" t="str">
        <f>IFERROR(VLOOKUP(Datos_Origen[[#This Row],[Cargo Tipo Valorado]],Cargos_Catalogo[[#All],[Cargo]:[Área]],2,0),"")</f>
        <v xml:space="preserve">Jefe de proyectos aliados </v>
      </c>
      <c r="K66" s="153"/>
      <c r="L66" s="153"/>
      <c r="M66" s="153"/>
      <c r="N66" s="153"/>
      <c r="O66" s="154">
        <f>Datos_Origen[[#This Row],[Segmentación Individual]]</f>
        <v>0</v>
      </c>
      <c r="P66" s="153"/>
      <c r="Q66" s="154">
        <f>VLOOKUP(Datos_Origen[[#This Row],[Cargo Tipo Valorado]],Cargos_Catalogo[#Data],MATCH(Cargos_Catalogo[[#Headers],[Puntos]],Cargos_Catalogo[#Headers],0),FALSE)</f>
        <v>208</v>
      </c>
      <c r="R66" s="130">
        <f>VLOOKUP(Datos_Origen[[#This Row],[Puntos valoración]],Categorias_Registro[#Data],MATCH(Categorias_Registro[[#Headers],[Categoria]],Categorias_Registro[#Headers],0),FALSE)</f>
        <v>7</v>
      </c>
      <c r="S66" s="130" t="str">
        <f>VLOOKUP(Datos_Origen[[#This Row],[Cargo Tipo Valorado]],Cargos_Catalogo[#Data],MATCH(Cargos_Catalogo[[#Headers],[Nivel SHR]],Cargos_Catalogo[#Headers],0),FALSE)</f>
        <v>Soporte</v>
      </c>
      <c r="T66" s="130" t="str">
        <f>VLOOKUP(Datos_Origen[[#This Row],[Cargo Tipo Valorado]],Cargos_Catalogo[#Data],MATCH(Cargos_Catalogo[[#Headers],[Criticidad]],Cargos_Catalogo[#Headers],0),FALSE)</f>
        <v>Importante</v>
      </c>
      <c r="U66" s="154">
        <f>VLOOKUP(Datos_Origen[[#This Row],[Puntos valoración]],Categorias_Registro[#Data],5,FALSE)</f>
        <v>217</v>
      </c>
      <c r="V66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3353509.5000000005</v>
      </c>
      <c r="W66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66" s="154">
        <f>SUMIF($BA$5:$BJ$5,"NCS",Datos_Origen[[#This Row],[auxilio Gasolina]:[Otro Beneficio10]])+(SUMIF($BA$5:$BJ$5,"CS",Datos_Origen[[#This Row],[auxilio Gasolina]:[Otro Beneficio10]])*1.17667)</f>
        <v>0</v>
      </c>
      <c r="Y66" s="155">
        <f>Datos_Origen[[#This Row],[Básico]]+Datos_Origen[[#This Row],[Promedio de Comisiones  ]]</f>
        <v>2850000</v>
      </c>
      <c r="Z66" s="155">
        <f>Datos_Origen[[#This Row],[Básico]]+Datos_Origen[[#This Row],[Promedio de Comisiones  ]]</f>
        <v>2850000</v>
      </c>
      <c r="AA66" s="155">
        <f>Datos_Origen[[#This Row],[Garantizado]]</f>
        <v>3353509.5000000005</v>
      </c>
      <c r="AB66" s="155">
        <f>Datos_Origen[[#This Row],[Variable]]+Datos_Origen[[#This Row],[Garantizado]]</f>
        <v>3353509.5000000005</v>
      </c>
      <c r="AC66" s="155">
        <f>Datos_Origen[[#This Row],[Beneficios]]+Datos_Origen[[#This Row],[Variable]]+Datos_Origen[[#This Row],[Garantizado]]</f>
        <v>3353509.5000000005</v>
      </c>
      <c r="AD66" s="156">
        <v>14.12</v>
      </c>
      <c r="AE66" s="141">
        <v>230</v>
      </c>
      <c r="AF66" s="345">
        <v>4.3499999999999997E-2</v>
      </c>
      <c r="AG66" s="155">
        <f>Datos_Origen[[#This Row],[Básico Actual]]*230/Datos_Origen[[#This Row],['# horas mes]]</f>
        <v>2850000</v>
      </c>
      <c r="AH66" s="157">
        <v>2850000</v>
      </c>
      <c r="AI66" s="158"/>
      <c r="AJ66" s="158">
        <f>(((Datos_Origen[[#This Row],[Básico]])/30)*$AJ$6)/12</f>
        <v>0</v>
      </c>
      <c r="AK66" s="158"/>
      <c r="AL66" s="143">
        <f>((Datos_Origen[[#This Row],[Básico]])/30)*$AL$6/12</f>
        <v>0</v>
      </c>
      <c r="AM66" s="158"/>
      <c r="AN66" s="158"/>
      <c r="AO66" s="158"/>
      <c r="AP66" s="158"/>
      <c r="AQ66" s="158"/>
      <c r="AR66" s="149">
        <v>0</v>
      </c>
      <c r="AS66" s="149"/>
      <c r="AT66" s="159" t="str">
        <f>IFERROR(Datos_Origen[[#This Row],[Comisiones Target]]/Datos_Origen[[#This Row],[Promedio de Comisiones  ]],"")</f>
        <v/>
      </c>
      <c r="AU66" s="160"/>
      <c r="AV66" s="143">
        <v>0</v>
      </c>
      <c r="AW66" s="160"/>
      <c r="AX66" s="143">
        <f>Datos_Origen[[#This Row],[N Salarios de la Bonificación2]]*Datos_Origen[[#This Row],[Básico]]/12</f>
        <v>0</v>
      </c>
      <c r="AY66" s="160"/>
      <c r="AZ66" s="158"/>
      <c r="BA66" s="149">
        <v>0</v>
      </c>
      <c r="BB66" s="149"/>
      <c r="BC66" s="149"/>
      <c r="BD66" s="149"/>
      <c r="BE66" s="149"/>
      <c r="BF66" s="149"/>
      <c r="BG66" s="149"/>
      <c r="BH66" s="149"/>
      <c r="BI66" s="149"/>
      <c r="BJ66" s="149"/>
      <c r="BK66" s="159">
        <f>IFERROR(Datos_Origen[[#This Row],[Variable]]/Datos_Origen[[#This Row],[CT]],"")</f>
        <v>0</v>
      </c>
      <c r="BL66" s="159">
        <f>IFERROR(Datos_Origen[[#This Row],[Beneficios]]/Datos_Origen[[#This Row],[CT]],"")</f>
        <v>0</v>
      </c>
      <c r="BM66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66" s="161">
        <f>Datos_Origen[[#This Row],[G]]/Datos_Origen[[#This Row],[Geq]]</f>
        <v>1.1383581720064484</v>
      </c>
      <c r="BO66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66" s="161">
        <f>Datos_Origen[[#This Row],[G+V]]/Datos_Origen[[#This Row],[G+Veq]]</f>
        <v>1.0572111778612232</v>
      </c>
      <c r="BQ66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66" s="161">
        <f>Datos_Origen[[#This Row],[CT]]/Datos_Origen[[#This Row],[CTeq]]</f>
        <v>1.0563853098333253</v>
      </c>
      <c r="BS66" s="139">
        <f>ROUNDUP(VLOOKUP(Datos_Origen[[#This Row],[Categoria]],Competitividad_1[#All],2,0)*IndiceIncrementoC,-3)</f>
        <v>2906000</v>
      </c>
      <c r="BT66" s="161">
        <f>Datos_Origen[[#This Row],[G]]/Datos_Origen[[#This Row],[GQ1]]</f>
        <v>1.1539950103234689</v>
      </c>
      <c r="BU66" s="155">
        <f>ROUNDUP(VLOOKUP(Datos_Origen[[#This Row],[Categoria]],Competitividad_1[#All],3,0)*IndiceIncrementoC,-3)</f>
        <v>3009000</v>
      </c>
      <c r="BV66" s="161">
        <f>Datos_Origen[[#This Row],[G+V]]/Datos_Origen[[#This Row],[G+VQ1]]</f>
        <v>1.1144930209371886</v>
      </c>
      <c r="BW66" s="155">
        <f>ROUNDUP(VLOOKUP(Datos_Origen[[#This Row],[Categoria]],Competitividad_1[#All],4,0)*IndiceIncrementoC,-3)</f>
        <v>3129000</v>
      </c>
      <c r="BX66" s="161">
        <f>Datos_Origen[[#This Row],[CT]]/Datos_Origen[[#This Row],[CTQ1]]</f>
        <v>1.0717511984659638</v>
      </c>
      <c r="BY66" s="155">
        <f>ROUNDUP(VLOOKUP(Datos_Origen[[#This Row],[Categoria]],Competitividad_1[#All],5,0)*IndiceIncrementoC,-3)</f>
        <v>3456000</v>
      </c>
      <c r="BZ66" s="161">
        <f>Datos_Origen[[#This Row],[G]]/Datos_Origen[[#This Row],[GMd]]</f>
        <v>0.97034418402777789</v>
      </c>
      <c r="CA66" s="155">
        <f>ROUNDUP(VLOOKUP(Datos_Origen[[#This Row],[Categoria]],Competitividad_1[#All],6,0)*IndiceIncrementoC,-3)</f>
        <v>3483000</v>
      </c>
      <c r="CB66" s="161">
        <f>Datos_Origen[[#This Row],[G+V]]/Datos_Origen[[#This Row],[G+VMd]]</f>
        <v>0.96282213608957812</v>
      </c>
      <c r="CC66" s="155">
        <f>ROUNDUP(VLOOKUP(Datos_Origen[[#This Row],[Categoria]],Competitividad_1[#All],7,0)*IndiceIncrementoC,-3)</f>
        <v>3645000</v>
      </c>
      <c r="CD66" s="161">
        <f>Datos_Origen[[#This Row],[CT]]/Datos_Origen[[#This Row],[CTMd]]</f>
        <v>0.9200300411522635</v>
      </c>
      <c r="CE66" s="155">
        <f>+Datos_Origen[[#This Row],[GMd]]/1.17666666667</f>
        <v>2937110.4815780818</v>
      </c>
      <c r="CF66" s="161">
        <f>+Datos_Origen[[#This Row],[Básico Actual]]/Datos_Origen[[#This Row],[Salario Basico Md]]</f>
        <v>0.97034143518793403</v>
      </c>
      <c r="CG66" s="155">
        <f>ROUNDUP(VLOOKUP(Datos_Origen[[#This Row],[Categoria]],Competitividad_1[#All],8,0)*IndiceIncrementoC,-3)</f>
        <v>4712000</v>
      </c>
      <c r="CH66" s="161">
        <f>Datos_Origen[[#This Row],[G]]/Datos_Origen[[#This Row],[GQ3]]</f>
        <v>0.71169556451612914</v>
      </c>
      <c r="CI66" s="155">
        <f>ROUNDUP(VLOOKUP(Datos_Origen[[#This Row],[Categoria]],Competitividad_1[#All],9,0)*IndiceIncrementoC,-3)</f>
        <v>4847000</v>
      </c>
      <c r="CJ66" s="161">
        <f>Datos_Origen[[#This Row],[G+V]]/Datos_Origen[[#This Row],[G+VQ3]]</f>
        <v>0.69187322054879319</v>
      </c>
      <c r="CK66" s="155">
        <f>ROUNDUP(VLOOKUP(Datos_Origen[[#This Row],[Categoria]],Competitividad_1[#All],10,0)*IndiceIncrementoC,-3)</f>
        <v>4977000</v>
      </c>
      <c r="CL66" s="161">
        <f>Datos_Origen[[#This Row],[CT]]/Datos_Origen[[#This Row],[CTQ3]]</f>
        <v>0.67380138637733589</v>
      </c>
      <c r="CM66" s="162">
        <f>IF(ROUND(Datos_Origen[[#This Row],[Salario Ordinario Pol2]],-3)&lt;SMMLV,SMMLV,ROUND(Datos_Origen[[#This Row],[Salario Ordinario Pol2]],-3))</f>
        <v>2478000</v>
      </c>
      <c r="CN66" s="155">
        <f>IF(Datos_Origen[[#This Row],[Gpol]]/(1+FactorPrestacionalOrdinario)&lt;SMMLV,SMMLV,Datos_Origen[[#This Row],[Gpol]]/(1+FactorPrestacionalOrdinario))</f>
        <v>3097733.7110481584</v>
      </c>
      <c r="CO66" s="161">
        <f>IFERROR(IF(Datos_Origen[[#This Row],[Salarios Año]]=14.12,Datos_Origen[[#This Row],[Básico]]/Datos_Origen[[#This Row],[Salario Ordinario Pol]],""),"")</f>
        <v>0.92002743484224969</v>
      </c>
      <c r="CP66" s="155">
        <f>IF(ROUND(Datos_Origen[[#This Row],[Salario Ordinario Pol22]],-3)&lt;SMMLV,SMMLV,ROUND(Datos_Origen[[#This Row],[Salario Ordinario Pol22]],-3))</f>
        <v>3717000</v>
      </c>
      <c r="CQ66" s="155" t="str">
        <f>IFERROR(ROUND(Datos_Origen[[#This Row],[Salario Integral Pol4]],-3),"")</f>
        <v/>
      </c>
      <c r="CR66" s="139" t="str">
        <f>IF((Datos_Origen[[#This Row],[Gpol]]/(1+FactorPrestacionalIntegral))&lt;(13*SMMLV),"",(Datos_Origen[[#This Row],[Gpol]]/(1+FactorPrestacionalIntegral)))</f>
        <v/>
      </c>
      <c r="CS66" s="161" t="str">
        <f>IFERROR(IF(Datos_Origen[[#This Row],[Salarios Año]]=12,Datos_Origen[[#This Row],[Básico]]/Datos_Origen[[#This Row],[Salario Integral Pol]],""),"")</f>
        <v/>
      </c>
      <c r="CT66" s="155" t="str">
        <f>IFERROR(ROUND(Datos_Origen[[#This Row],[Salario Integral Pol44]],-3),"")</f>
        <v/>
      </c>
      <c r="CU66" s="155">
        <f>Datos_Origen[[#This Row],[G+Vpol]]-Datos_Origen[[#This Row],[Variable]]</f>
        <v>3645000</v>
      </c>
      <c r="CV66" s="161">
        <f>Datos_Origen[[#This Row],[G]]/Datos_Origen[[#This Row],[Gpol]]</f>
        <v>0.9200300411522635</v>
      </c>
      <c r="CW66" s="154">
        <f>Datos_Origen[[#This Row],[Ctpol]]-Datos_Origen[[#This Row],[Beneficios]]</f>
        <v>3645000</v>
      </c>
      <c r="CX66" s="161">
        <f>Datos_Origen[[#This Row],[G+V]]/Datos_Origen[[#This Row],[G+Vpol]]</f>
        <v>0.9200300411522635</v>
      </c>
      <c r="CY66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3645000</v>
      </c>
      <c r="CZ66" s="161">
        <f>Datos_Origen[[#This Row],[CT]]/Datos_Origen[[#This Row],[Ctpol]]</f>
        <v>0.9200300411522635</v>
      </c>
      <c r="DA66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2850000</v>
      </c>
      <c r="DB66" s="158">
        <f>IF(Datos_Origen[[#This Row],[Básico]]&lt;10*SMMLV,0,Datos_Origen[[#This Row],[Base Seguridad Social Actual]]*8.5%)</f>
        <v>0</v>
      </c>
      <c r="DC66" s="158">
        <f>Datos_Origen[[#This Row],[Base Seguridad Social Actual]]*12%</f>
        <v>342000</v>
      </c>
      <c r="DD66" s="158">
        <f>Datos_Origen[[#This Row],[Base Seguridad Social Actual]]*Datos_Origen[[#This Row],[%ARL]]</f>
        <v>123974.99999999999</v>
      </c>
      <c r="DE66" s="158">
        <f>IF(Datos_Origen[[#This Row],[Básico]]&lt;10*SMMLV,Datos_Origen[[#This Row],[Base Seguridad Social Actual]]*4%,Datos_Origen[[#This Row],[Base Seguridad Social Actual]]*9%)</f>
        <v>114000</v>
      </c>
      <c r="DF66" s="158">
        <f>Datos_Origen[[#This Row],[Salud]]+Datos_Origen[[#This Row],[Pensión]]+Datos_Origen[[#This Row],[ARL]]+Datos_Origen[[#This Row],[Parafiscales]]</f>
        <v>579975</v>
      </c>
      <c r="DG66" s="163">
        <f>Datos_Origen[[#This Row],[Costo Laboral Actual]]+Datos_Origen[[#This Row],[CT]]</f>
        <v>3933484.5000000005</v>
      </c>
      <c r="DH66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3097733.7110481584</v>
      </c>
      <c r="DI66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66" s="158">
        <f>Datos_Origen[[#This Row],[Base Seguridad Social Nueva]]*12%</f>
        <v>371728.04532577901</v>
      </c>
      <c r="DK66" s="158">
        <f>Datos_Origen[[#This Row],[Base Seguridad Social Nueva]]*Datos_Origen[[#This Row],[%ARL]]</f>
        <v>134751.41643059487</v>
      </c>
      <c r="DL66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123909.34844192634</v>
      </c>
      <c r="DM66" s="158">
        <f>Datos_Origen[[#This Row],[Salud Nueva]]+Datos_Origen[[#This Row],[Pensión Nueva]]+Datos_Origen[[#This Row],[ARL nueva]]+Datos_Origen[[#This Row],[Parafiscales Nuevos]]</f>
        <v>630388.81019830017</v>
      </c>
      <c r="DN66" s="158">
        <f>Datos_Origen[[#This Row],[Costo Laboral Nuevo]]+Datos_Origen[[#This Row],[Ctpol]]</f>
        <v>4275388.8101983005</v>
      </c>
      <c r="DO66" s="158">
        <f>IF(Datos_Origen[[#This Row],[Ctpol]]-Datos_Origen[[#This Row],[CT]]&lt;=0,0,Datos_Origen[[#This Row],[Costo Total Nuevo]]-Datos_Origen[[#This Row],[Costo Total Actual]])</f>
        <v>341904.31019830005</v>
      </c>
      <c r="DP66" s="158">
        <f>IF(Datos_Origen[[#This Row],[Ctpol]]-Datos_Origen[[#This Row],[CT]]&lt;=0,0,Datos_Origen[[#This Row],[Ctpol]]-Datos_Origen[[#This Row],[CT]])</f>
        <v>291490.49999999953</v>
      </c>
      <c r="DQ66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50413.810198300169</v>
      </c>
      <c r="DR66" s="158">
        <f>ROUNDDOWN(VLOOKUP(Datos_Origen[[#This Row],[Categoria]],Competitividad_1[],7,0)*IndiceIncrementoC,-3)</f>
        <v>3644000</v>
      </c>
      <c r="DS66" s="158">
        <f>Datos_Origen[[#This Row],[CTeq]]*0.8</f>
        <v>2539610.855080226</v>
      </c>
      <c r="DT66" s="158">
        <f>Datos_Origen[[#This Row],[CTeq]]*1.2</f>
        <v>3809416.2826203383</v>
      </c>
      <c r="DU66" s="155">
        <f>IF(Datos_Origen[[#This Row],[Gpol6]]/(1+FactorPrestacionalOrdinario)&lt;SMMLV,SMMLV,Datos_Origen[[#This Row],[Gpol6]]/(1+FactorPrestacionalOrdinario))</f>
        <v>2478186.9688385269</v>
      </c>
      <c r="DV66" s="139" t="str">
        <f>IF((Datos_Origen[[#This Row],[Gpol6]]/(1+FactorPrestacionalIntegral))&lt;(13*SMMLV),"",(Datos_Origen[[#This Row],[Gpol6]]/(1+FactorPrestacionalIntegral)))</f>
        <v/>
      </c>
      <c r="DW66" s="154">
        <f>Datos_Origen[[#This Row],[G+Vpol8]]</f>
        <v>2916000</v>
      </c>
      <c r="DX66" s="154">
        <f>Datos_Origen[[#This Row],[Ctpol10]]-Datos_Origen[[#This Row],[Beneficios]]</f>
        <v>2916000</v>
      </c>
      <c r="DY66" s="154">
        <f>Datos_Origen[[#This Row],[Ctpol]]*$CM$6</f>
        <v>2916000</v>
      </c>
      <c r="DZ66" s="155">
        <f>IF(Datos_Origen[[#This Row],[Gpol66]]/(1+FactorPrestacionalOrdinario)&lt;SMMLV,SMMLV,Datos_Origen[[#This Row],[Gpol66]]/(1+FactorPrestacionalOrdinario))</f>
        <v>3717280.4532577903</v>
      </c>
      <c r="EA66" s="139" t="str">
        <f>IF((Datos_Origen[[#This Row],[Gpol66]]/(1+FactorPrestacionalIntegral))&lt;(13*SMMLV),"",(Datos_Origen[[#This Row],[Gpol66]]/(1+FactorPrestacionalIntegral)))</f>
        <v/>
      </c>
      <c r="EB66" s="154">
        <f>Datos_Origen[[#This Row],[G+Vpol88]]</f>
        <v>4374000</v>
      </c>
      <c r="EC66" s="154">
        <f>Datos_Origen[[#This Row],[Ctpol1010]]-Datos_Origen[[#This Row],[Beneficios]]</f>
        <v>4374000</v>
      </c>
      <c r="ED66" s="154">
        <f>Datos_Origen[[#This Row],[Ctpol]]*$CP$6</f>
        <v>4374000</v>
      </c>
      <c r="EE66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67" spans="2:135">
      <c r="B67" s="148"/>
      <c r="C67" s="149"/>
      <c r="D67" s="150"/>
      <c r="E67" s="151"/>
      <c r="F67" s="151"/>
      <c r="G67" s="150" t="s">
        <v>337</v>
      </c>
      <c r="H67" s="153"/>
      <c r="I67" s="152" t="s">
        <v>337</v>
      </c>
      <c r="J67" s="130" t="str">
        <f>IFERROR(VLOOKUP(Datos_Origen[[#This Row],[Cargo Tipo Valorado]],Cargos_Catalogo[[#All],[Cargo]:[Área]],2,0),"")</f>
        <v xml:space="preserve">Jefe de proyectos aliados </v>
      </c>
      <c r="K67" s="153"/>
      <c r="L67" s="153"/>
      <c r="M67" s="153"/>
      <c r="N67" s="153"/>
      <c r="O67" s="154">
        <f>Datos_Origen[[#This Row],[Segmentación Individual]]</f>
        <v>0</v>
      </c>
      <c r="P67" s="153"/>
      <c r="Q67" s="154">
        <f>VLOOKUP(Datos_Origen[[#This Row],[Cargo Tipo Valorado]],Cargos_Catalogo[#Data],MATCH(Cargos_Catalogo[[#Headers],[Puntos]],Cargos_Catalogo[#Headers],0),FALSE)</f>
        <v>208</v>
      </c>
      <c r="R67" s="130">
        <f>VLOOKUP(Datos_Origen[[#This Row],[Puntos valoración]],Categorias_Registro[#Data],MATCH(Categorias_Registro[[#Headers],[Categoria]],Categorias_Registro[#Headers],0),FALSE)</f>
        <v>7</v>
      </c>
      <c r="S67" s="130" t="str">
        <f>VLOOKUP(Datos_Origen[[#This Row],[Cargo Tipo Valorado]],Cargos_Catalogo[#Data],MATCH(Cargos_Catalogo[[#Headers],[Nivel SHR]],Cargos_Catalogo[#Headers],0),FALSE)</f>
        <v>Soporte</v>
      </c>
      <c r="T67" s="130" t="str">
        <f>VLOOKUP(Datos_Origen[[#This Row],[Cargo Tipo Valorado]],Cargos_Catalogo[#Data],MATCH(Cargos_Catalogo[[#Headers],[Criticidad]],Cargos_Catalogo[#Headers],0),FALSE)</f>
        <v>Importante</v>
      </c>
      <c r="U67" s="154">
        <f>VLOOKUP(Datos_Origen[[#This Row],[Puntos valoración]],Categorias_Registro[#Data],5,FALSE)</f>
        <v>217</v>
      </c>
      <c r="V67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3353509.5000000005</v>
      </c>
      <c r="W67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67" s="154">
        <f>SUMIF($BA$5:$BJ$5,"NCS",Datos_Origen[[#This Row],[auxilio Gasolina]:[Otro Beneficio10]])+(SUMIF($BA$5:$BJ$5,"CS",Datos_Origen[[#This Row],[auxilio Gasolina]:[Otro Beneficio10]])*1.17667)</f>
        <v>0</v>
      </c>
      <c r="Y67" s="155">
        <f>Datos_Origen[[#This Row],[Básico]]+Datos_Origen[[#This Row],[Promedio de Comisiones  ]]</f>
        <v>2850000</v>
      </c>
      <c r="Z67" s="155">
        <f>Datos_Origen[[#This Row],[Básico]]+Datos_Origen[[#This Row],[Promedio de Comisiones  ]]</f>
        <v>2850000</v>
      </c>
      <c r="AA67" s="155">
        <f>Datos_Origen[[#This Row],[Garantizado]]</f>
        <v>3353509.5000000005</v>
      </c>
      <c r="AB67" s="155">
        <f>Datos_Origen[[#This Row],[Variable]]+Datos_Origen[[#This Row],[Garantizado]]</f>
        <v>3353509.5000000005</v>
      </c>
      <c r="AC67" s="155">
        <f>Datos_Origen[[#This Row],[Beneficios]]+Datos_Origen[[#This Row],[Variable]]+Datos_Origen[[#This Row],[Garantizado]]</f>
        <v>3353509.5000000005</v>
      </c>
      <c r="AD67" s="156">
        <v>14.12</v>
      </c>
      <c r="AE67" s="141">
        <v>230</v>
      </c>
      <c r="AF67" s="345">
        <v>4.3499999999999997E-2</v>
      </c>
      <c r="AG67" s="155">
        <f>Datos_Origen[[#This Row],[Básico Actual]]*230/Datos_Origen[[#This Row],['# horas mes]]</f>
        <v>2850000</v>
      </c>
      <c r="AH67" s="157">
        <v>2850000</v>
      </c>
      <c r="AI67" s="158"/>
      <c r="AJ67" s="158">
        <f>(((Datos_Origen[[#This Row],[Básico]])/30)*$AJ$6)/12</f>
        <v>0</v>
      </c>
      <c r="AK67" s="158"/>
      <c r="AL67" s="143">
        <f>((Datos_Origen[[#This Row],[Básico]])/30)*$AL$6/12</f>
        <v>0</v>
      </c>
      <c r="AM67" s="158"/>
      <c r="AN67" s="158"/>
      <c r="AO67" s="158"/>
      <c r="AP67" s="158"/>
      <c r="AQ67" s="158"/>
      <c r="AR67" s="149">
        <v>0</v>
      </c>
      <c r="AS67" s="149"/>
      <c r="AT67" s="159" t="str">
        <f>IFERROR(Datos_Origen[[#This Row],[Comisiones Target]]/Datos_Origen[[#This Row],[Promedio de Comisiones  ]],"")</f>
        <v/>
      </c>
      <c r="AU67" s="160"/>
      <c r="AV67" s="143">
        <v>0</v>
      </c>
      <c r="AW67" s="160"/>
      <c r="AX67" s="143">
        <f>Datos_Origen[[#This Row],[N Salarios de la Bonificación2]]*Datos_Origen[[#This Row],[Básico]]/12</f>
        <v>0</v>
      </c>
      <c r="AY67" s="160"/>
      <c r="AZ67" s="158"/>
      <c r="BA67" s="149">
        <v>0</v>
      </c>
      <c r="BB67" s="149"/>
      <c r="BC67" s="149"/>
      <c r="BD67" s="149"/>
      <c r="BE67" s="149"/>
      <c r="BF67" s="149"/>
      <c r="BG67" s="149"/>
      <c r="BH67" s="149"/>
      <c r="BI67" s="149"/>
      <c r="BJ67" s="149"/>
      <c r="BK67" s="159">
        <f>IFERROR(Datos_Origen[[#This Row],[Variable]]/Datos_Origen[[#This Row],[CT]],"")</f>
        <v>0</v>
      </c>
      <c r="BL67" s="159">
        <f>IFERROR(Datos_Origen[[#This Row],[Beneficios]]/Datos_Origen[[#This Row],[CT]],"")</f>
        <v>0</v>
      </c>
      <c r="BM67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67" s="161">
        <f>Datos_Origen[[#This Row],[G]]/Datos_Origen[[#This Row],[Geq]]</f>
        <v>1.1383581720064484</v>
      </c>
      <c r="BO67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67" s="161">
        <f>Datos_Origen[[#This Row],[G+V]]/Datos_Origen[[#This Row],[G+Veq]]</f>
        <v>1.0572111778612232</v>
      </c>
      <c r="BQ67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67" s="161">
        <f>Datos_Origen[[#This Row],[CT]]/Datos_Origen[[#This Row],[CTeq]]</f>
        <v>1.0563853098333253</v>
      </c>
      <c r="BS67" s="139">
        <f>ROUNDUP(VLOOKUP(Datos_Origen[[#This Row],[Categoria]],Competitividad_1[#All],2,0)*IndiceIncrementoC,-3)</f>
        <v>2906000</v>
      </c>
      <c r="BT67" s="161">
        <f>Datos_Origen[[#This Row],[G]]/Datos_Origen[[#This Row],[GQ1]]</f>
        <v>1.1539950103234689</v>
      </c>
      <c r="BU67" s="155">
        <f>ROUNDUP(VLOOKUP(Datos_Origen[[#This Row],[Categoria]],Competitividad_1[#All],3,0)*IndiceIncrementoC,-3)</f>
        <v>3009000</v>
      </c>
      <c r="BV67" s="161">
        <f>Datos_Origen[[#This Row],[G+V]]/Datos_Origen[[#This Row],[G+VQ1]]</f>
        <v>1.1144930209371886</v>
      </c>
      <c r="BW67" s="155">
        <f>ROUNDUP(VLOOKUP(Datos_Origen[[#This Row],[Categoria]],Competitividad_1[#All],4,0)*IndiceIncrementoC,-3)</f>
        <v>3129000</v>
      </c>
      <c r="BX67" s="161">
        <f>Datos_Origen[[#This Row],[CT]]/Datos_Origen[[#This Row],[CTQ1]]</f>
        <v>1.0717511984659638</v>
      </c>
      <c r="BY67" s="155">
        <f>ROUNDUP(VLOOKUP(Datos_Origen[[#This Row],[Categoria]],Competitividad_1[#All],5,0)*IndiceIncrementoC,-3)</f>
        <v>3456000</v>
      </c>
      <c r="BZ67" s="161">
        <f>Datos_Origen[[#This Row],[G]]/Datos_Origen[[#This Row],[GMd]]</f>
        <v>0.97034418402777789</v>
      </c>
      <c r="CA67" s="155">
        <f>ROUNDUP(VLOOKUP(Datos_Origen[[#This Row],[Categoria]],Competitividad_1[#All],6,0)*IndiceIncrementoC,-3)</f>
        <v>3483000</v>
      </c>
      <c r="CB67" s="161">
        <f>Datos_Origen[[#This Row],[G+V]]/Datos_Origen[[#This Row],[G+VMd]]</f>
        <v>0.96282213608957812</v>
      </c>
      <c r="CC67" s="155">
        <f>ROUNDUP(VLOOKUP(Datos_Origen[[#This Row],[Categoria]],Competitividad_1[#All],7,0)*IndiceIncrementoC,-3)</f>
        <v>3645000</v>
      </c>
      <c r="CD67" s="161">
        <f>Datos_Origen[[#This Row],[CT]]/Datos_Origen[[#This Row],[CTMd]]</f>
        <v>0.9200300411522635</v>
      </c>
      <c r="CE67" s="155">
        <f>+Datos_Origen[[#This Row],[GMd]]/1.17666666667</f>
        <v>2937110.4815780818</v>
      </c>
      <c r="CF67" s="161">
        <f>+Datos_Origen[[#This Row],[Básico Actual]]/Datos_Origen[[#This Row],[Salario Basico Md]]</f>
        <v>0.97034143518793403</v>
      </c>
      <c r="CG67" s="155">
        <f>ROUNDUP(VLOOKUP(Datos_Origen[[#This Row],[Categoria]],Competitividad_1[#All],8,0)*IndiceIncrementoC,-3)</f>
        <v>4712000</v>
      </c>
      <c r="CH67" s="161">
        <f>Datos_Origen[[#This Row],[G]]/Datos_Origen[[#This Row],[GQ3]]</f>
        <v>0.71169556451612914</v>
      </c>
      <c r="CI67" s="155">
        <f>ROUNDUP(VLOOKUP(Datos_Origen[[#This Row],[Categoria]],Competitividad_1[#All],9,0)*IndiceIncrementoC,-3)</f>
        <v>4847000</v>
      </c>
      <c r="CJ67" s="161">
        <f>Datos_Origen[[#This Row],[G+V]]/Datos_Origen[[#This Row],[G+VQ3]]</f>
        <v>0.69187322054879319</v>
      </c>
      <c r="CK67" s="155">
        <f>ROUNDUP(VLOOKUP(Datos_Origen[[#This Row],[Categoria]],Competitividad_1[#All],10,0)*IndiceIncrementoC,-3)</f>
        <v>4977000</v>
      </c>
      <c r="CL67" s="161">
        <f>Datos_Origen[[#This Row],[CT]]/Datos_Origen[[#This Row],[CTQ3]]</f>
        <v>0.67380138637733589</v>
      </c>
      <c r="CM67" s="162">
        <f>IF(ROUND(Datos_Origen[[#This Row],[Salario Ordinario Pol2]],-3)&lt;SMMLV,SMMLV,ROUND(Datos_Origen[[#This Row],[Salario Ordinario Pol2]],-3))</f>
        <v>2478000</v>
      </c>
      <c r="CN67" s="155">
        <f>IF(Datos_Origen[[#This Row],[Gpol]]/(1+FactorPrestacionalOrdinario)&lt;SMMLV,SMMLV,Datos_Origen[[#This Row],[Gpol]]/(1+FactorPrestacionalOrdinario))</f>
        <v>3097733.7110481584</v>
      </c>
      <c r="CO67" s="161">
        <f>IFERROR(IF(Datos_Origen[[#This Row],[Salarios Año]]=14.12,Datos_Origen[[#This Row],[Básico]]/Datos_Origen[[#This Row],[Salario Ordinario Pol]],""),"")</f>
        <v>0.92002743484224969</v>
      </c>
      <c r="CP67" s="155">
        <f>IF(ROUND(Datos_Origen[[#This Row],[Salario Ordinario Pol22]],-3)&lt;SMMLV,SMMLV,ROUND(Datos_Origen[[#This Row],[Salario Ordinario Pol22]],-3))</f>
        <v>3717000</v>
      </c>
      <c r="CQ67" s="155" t="str">
        <f>IFERROR(ROUND(Datos_Origen[[#This Row],[Salario Integral Pol4]],-3),"")</f>
        <v/>
      </c>
      <c r="CR67" s="139" t="str">
        <f>IF((Datos_Origen[[#This Row],[Gpol]]/(1+FactorPrestacionalIntegral))&lt;(13*SMMLV),"",(Datos_Origen[[#This Row],[Gpol]]/(1+FactorPrestacionalIntegral)))</f>
        <v/>
      </c>
      <c r="CS67" s="161" t="str">
        <f>IFERROR(IF(Datos_Origen[[#This Row],[Salarios Año]]=12,Datos_Origen[[#This Row],[Básico]]/Datos_Origen[[#This Row],[Salario Integral Pol]],""),"")</f>
        <v/>
      </c>
      <c r="CT67" s="155" t="str">
        <f>IFERROR(ROUND(Datos_Origen[[#This Row],[Salario Integral Pol44]],-3),"")</f>
        <v/>
      </c>
      <c r="CU67" s="155">
        <f>Datos_Origen[[#This Row],[G+Vpol]]-Datos_Origen[[#This Row],[Variable]]</f>
        <v>3645000</v>
      </c>
      <c r="CV67" s="161">
        <f>Datos_Origen[[#This Row],[G]]/Datos_Origen[[#This Row],[Gpol]]</f>
        <v>0.9200300411522635</v>
      </c>
      <c r="CW67" s="154">
        <f>Datos_Origen[[#This Row],[Ctpol]]-Datos_Origen[[#This Row],[Beneficios]]</f>
        <v>3645000</v>
      </c>
      <c r="CX67" s="161">
        <f>Datos_Origen[[#This Row],[G+V]]/Datos_Origen[[#This Row],[G+Vpol]]</f>
        <v>0.9200300411522635</v>
      </c>
      <c r="CY67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3645000</v>
      </c>
      <c r="CZ67" s="161">
        <f>Datos_Origen[[#This Row],[CT]]/Datos_Origen[[#This Row],[Ctpol]]</f>
        <v>0.9200300411522635</v>
      </c>
      <c r="DA67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2850000</v>
      </c>
      <c r="DB67" s="158">
        <f>IF(Datos_Origen[[#This Row],[Básico]]&lt;10*SMMLV,0,Datos_Origen[[#This Row],[Base Seguridad Social Actual]]*8.5%)</f>
        <v>0</v>
      </c>
      <c r="DC67" s="158">
        <f>Datos_Origen[[#This Row],[Base Seguridad Social Actual]]*12%</f>
        <v>342000</v>
      </c>
      <c r="DD67" s="158">
        <f>Datos_Origen[[#This Row],[Base Seguridad Social Actual]]*Datos_Origen[[#This Row],[%ARL]]</f>
        <v>123974.99999999999</v>
      </c>
      <c r="DE67" s="158">
        <f>IF(Datos_Origen[[#This Row],[Básico]]&lt;10*SMMLV,Datos_Origen[[#This Row],[Base Seguridad Social Actual]]*4%,Datos_Origen[[#This Row],[Base Seguridad Social Actual]]*9%)</f>
        <v>114000</v>
      </c>
      <c r="DF67" s="158">
        <f>Datos_Origen[[#This Row],[Salud]]+Datos_Origen[[#This Row],[Pensión]]+Datos_Origen[[#This Row],[ARL]]+Datos_Origen[[#This Row],[Parafiscales]]</f>
        <v>579975</v>
      </c>
      <c r="DG67" s="163">
        <f>Datos_Origen[[#This Row],[Costo Laboral Actual]]+Datos_Origen[[#This Row],[CT]]</f>
        <v>3933484.5000000005</v>
      </c>
      <c r="DH67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3097733.7110481584</v>
      </c>
      <c r="DI67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67" s="158">
        <f>Datos_Origen[[#This Row],[Base Seguridad Social Nueva]]*12%</f>
        <v>371728.04532577901</v>
      </c>
      <c r="DK67" s="158">
        <f>Datos_Origen[[#This Row],[Base Seguridad Social Nueva]]*Datos_Origen[[#This Row],[%ARL]]</f>
        <v>134751.41643059487</v>
      </c>
      <c r="DL67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123909.34844192634</v>
      </c>
      <c r="DM67" s="158">
        <f>Datos_Origen[[#This Row],[Salud Nueva]]+Datos_Origen[[#This Row],[Pensión Nueva]]+Datos_Origen[[#This Row],[ARL nueva]]+Datos_Origen[[#This Row],[Parafiscales Nuevos]]</f>
        <v>630388.81019830017</v>
      </c>
      <c r="DN67" s="158">
        <f>Datos_Origen[[#This Row],[Costo Laboral Nuevo]]+Datos_Origen[[#This Row],[Ctpol]]</f>
        <v>4275388.8101983005</v>
      </c>
      <c r="DO67" s="158">
        <f>IF(Datos_Origen[[#This Row],[Ctpol]]-Datos_Origen[[#This Row],[CT]]&lt;=0,0,Datos_Origen[[#This Row],[Costo Total Nuevo]]-Datos_Origen[[#This Row],[Costo Total Actual]])</f>
        <v>341904.31019830005</v>
      </c>
      <c r="DP67" s="158">
        <f>IF(Datos_Origen[[#This Row],[Ctpol]]-Datos_Origen[[#This Row],[CT]]&lt;=0,0,Datos_Origen[[#This Row],[Ctpol]]-Datos_Origen[[#This Row],[CT]])</f>
        <v>291490.49999999953</v>
      </c>
      <c r="DQ67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50413.810198300169</v>
      </c>
      <c r="DR67" s="158">
        <f>ROUNDDOWN(VLOOKUP(Datos_Origen[[#This Row],[Categoria]],Competitividad_1[],7,0)*IndiceIncrementoC,-3)</f>
        <v>3644000</v>
      </c>
      <c r="DS67" s="158">
        <f>Datos_Origen[[#This Row],[CTeq]]*0.8</f>
        <v>2539610.855080226</v>
      </c>
      <c r="DT67" s="158">
        <f>Datos_Origen[[#This Row],[CTeq]]*1.2</f>
        <v>3809416.2826203383</v>
      </c>
      <c r="DU67" s="155">
        <f>IF(Datos_Origen[[#This Row],[Gpol6]]/(1+FactorPrestacionalOrdinario)&lt;SMMLV,SMMLV,Datos_Origen[[#This Row],[Gpol6]]/(1+FactorPrestacionalOrdinario))</f>
        <v>2478186.9688385269</v>
      </c>
      <c r="DV67" s="139" t="str">
        <f>IF((Datos_Origen[[#This Row],[Gpol6]]/(1+FactorPrestacionalIntegral))&lt;(13*SMMLV),"",(Datos_Origen[[#This Row],[Gpol6]]/(1+FactorPrestacionalIntegral)))</f>
        <v/>
      </c>
      <c r="DW67" s="154">
        <f>Datos_Origen[[#This Row],[G+Vpol8]]</f>
        <v>2916000</v>
      </c>
      <c r="DX67" s="154">
        <f>Datos_Origen[[#This Row],[Ctpol10]]-Datos_Origen[[#This Row],[Beneficios]]</f>
        <v>2916000</v>
      </c>
      <c r="DY67" s="154">
        <f>Datos_Origen[[#This Row],[Ctpol]]*$CM$6</f>
        <v>2916000</v>
      </c>
      <c r="DZ67" s="155">
        <f>IF(Datos_Origen[[#This Row],[Gpol66]]/(1+FactorPrestacionalOrdinario)&lt;SMMLV,SMMLV,Datos_Origen[[#This Row],[Gpol66]]/(1+FactorPrestacionalOrdinario))</f>
        <v>3717280.4532577903</v>
      </c>
      <c r="EA67" s="139" t="str">
        <f>IF((Datos_Origen[[#This Row],[Gpol66]]/(1+FactorPrestacionalIntegral))&lt;(13*SMMLV),"",(Datos_Origen[[#This Row],[Gpol66]]/(1+FactorPrestacionalIntegral)))</f>
        <v/>
      </c>
      <c r="EB67" s="154">
        <f>Datos_Origen[[#This Row],[G+Vpol88]]</f>
        <v>4374000</v>
      </c>
      <c r="EC67" s="154">
        <f>Datos_Origen[[#This Row],[Ctpol1010]]-Datos_Origen[[#This Row],[Beneficios]]</f>
        <v>4374000</v>
      </c>
      <c r="ED67" s="154">
        <f>Datos_Origen[[#This Row],[Ctpol]]*$CP$6</f>
        <v>4374000</v>
      </c>
      <c r="EE67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68" spans="2:135">
      <c r="B68" s="132"/>
      <c r="C68" s="149"/>
      <c r="D68" s="150"/>
      <c r="E68" s="151"/>
      <c r="F68" s="151"/>
      <c r="G68" s="150" t="s">
        <v>337</v>
      </c>
      <c r="H68" s="153"/>
      <c r="I68" s="152" t="s">
        <v>337</v>
      </c>
      <c r="J68" s="130" t="str">
        <f>IFERROR(VLOOKUP(Datos_Origen[[#This Row],[Cargo Tipo Valorado]],Cargos_Catalogo[[#All],[Cargo]:[Área]],2,0),"")</f>
        <v xml:space="preserve">Jefe de proyectos aliados </v>
      </c>
      <c r="K68" s="153"/>
      <c r="L68" s="153"/>
      <c r="M68" s="153"/>
      <c r="N68" s="153"/>
      <c r="O68" s="154">
        <f>Datos_Origen[[#This Row],[Segmentación Individual]]</f>
        <v>0</v>
      </c>
      <c r="P68" s="153"/>
      <c r="Q68" s="154">
        <f>VLOOKUP(Datos_Origen[[#This Row],[Cargo Tipo Valorado]],Cargos_Catalogo[#Data],MATCH(Cargos_Catalogo[[#Headers],[Puntos]],Cargos_Catalogo[#Headers],0),FALSE)</f>
        <v>208</v>
      </c>
      <c r="R68" s="130">
        <f>VLOOKUP(Datos_Origen[[#This Row],[Puntos valoración]],Categorias_Registro[#Data],MATCH(Categorias_Registro[[#Headers],[Categoria]],Categorias_Registro[#Headers],0),FALSE)</f>
        <v>7</v>
      </c>
      <c r="S68" s="130" t="str">
        <f>VLOOKUP(Datos_Origen[[#This Row],[Cargo Tipo Valorado]],Cargos_Catalogo[#Data],MATCH(Cargos_Catalogo[[#Headers],[Nivel SHR]],Cargos_Catalogo[#Headers],0),FALSE)</f>
        <v>Soporte</v>
      </c>
      <c r="T68" s="130" t="str">
        <f>VLOOKUP(Datos_Origen[[#This Row],[Cargo Tipo Valorado]],Cargos_Catalogo[#Data],MATCH(Cargos_Catalogo[[#Headers],[Criticidad]],Cargos_Catalogo[#Headers],0),FALSE)</f>
        <v>Importante</v>
      </c>
      <c r="U68" s="154">
        <f>VLOOKUP(Datos_Origen[[#This Row],[Puntos valoración]],Categorias_Registro[#Data],5,FALSE)</f>
        <v>217</v>
      </c>
      <c r="V68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3353509.5000000005</v>
      </c>
      <c r="W68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68" s="154">
        <f>SUMIF($BA$5:$BJ$5,"NCS",Datos_Origen[[#This Row],[auxilio Gasolina]:[Otro Beneficio10]])+(SUMIF($BA$5:$BJ$5,"CS",Datos_Origen[[#This Row],[auxilio Gasolina]:[Otro Beneficio10]])*1.17667)</f>
        <v>0</v>
      </c>
      <c r="Y68" s="155">
        <f>Datos_Origen[[#This Row],[Básico]]+Datos_Origen[[#This Row],[Promedio de Comisiones  ]]</f>
        <v>2850000</v>
      </c>
      <c r="Z68" s="155">
        <f>Datos_Origen[[#This Row],[Básico]]+Datos_Origen[[#This Row],[Promedio de Comisiones  ]]</f>
        <v>2850000</v>
      </c>
      <c r="AA68" s="155">
        <f>Datos_Origen[[#This Row],[Garantizado]]</f>
        <v>3353509.5000000005</v>
      </c>
      <c r="AB68" s="155">
        <f>Datos_Origen[[#This Row],[Variable]]+Datos_Origen[[#This Row],[Garantizado]]</f>
        <v>3353509.5000000005</v>
      </c>
      <c r="AC68" s="155">
        <f>Datos_Origen[[#This Row],[Beneficios]]+Datos_Origen[[#This Row],[Variable]]+Datos_Origen[[#This Row],[Garantizado]]</f>
        <v>3353509.5000000005</v>
      </c>
      <c r="AD68" s="156">
        <v>14.12</v>
      </c>
      <c r="AE68" s="141">
        <v>230</v>
      </c>
      <c r="AF68" s="345">
        <v>4.3499999999999997E-2</v>
      </c>
      <c r="AG68" s="155">
        <f>Datos_Origen[[#This Row],[Básico Actual]]*230/Datos_Origen[[#This Row],['# horas mes]]</f>
        <v>2850000</v>
      </c>
      <c r="AH68" s="157">
        <v>2850000</v>
      </c>
      <c r="AI68" s="158"/>
      <c r="AJ68" s="158">
        <f>(((Datos_Origen[[#This Row],[Básico]])/30)*$AJ$6)/12</f>
        <v>0</v>
      </c>
      <c r="AK68" s="158"/>
      <c r="AL68" s="143">
        <f>((Datos_Origen[[#This Row],[Básico]])/30)*$AL$6/12</f>
        <v>0</v>
      </c>
      <c r="AM68" s="158"/>
      <c r="AN68" s="158"/>
      <c r="AO68" s="158"/>
      <c r="AP68" s="158"/>
      <c r="AQ68" s="158"/>
      <c r="AR68" s="149">
        <v>0</v>
      </c>
      <c r="AS68" s="149"/>
      <c r="AT68" s="159" t="str">
        <f>IFERROR(Datos_Origen[[#This Row],[Comisiones Target]]/Datos_Origen[[#This Row],[Promedio de Comisiones  ]],"")</f>
        <v/>
      </c>
      <c r="AU68" s="160"/>
      <c r="AV68" s="143">
        <v>0</v>
      </c>
      <c r="AW68" s="160"/>
      <c r="AX68" s="143">
        <f>Datos_Origen[[#This Row],[N Salarios de la Bonificación2]]*Datos_Origen[[#This Row],[Básico]]/12</f>
        <v>0</v>
      </c>
      <c r="AY68" s="160"/>
      <c r="AZ68" s="158"/>
      <c r="BA68" s="149">
        <v>0</v>
      </c>
      <c r="BB68" s="149"/>
      <c r="BC68" s="149"/>
      <c r="BD68" s="149"/>
      <c r="BE68" s="149"/>
      <c r="BF68" s="149"/>
      <c r="BG68" s="149"/>
      <c r="BH68" s="149"/>
      <c r="BI68" s="149"/>
      <c r="BJ68" s="149"/>
      <c r="BK68" s="159">
        <f>IFERROR(Datos_Origen[[#This Row],[Variable]]/Datos_Origen[[#This Row],[CT]],"")</f>
        <v>0</v>
      </c>
      <c r="BL68" s="159">
        <f>IFERROR(Datos_Origen[[#This Row],[Beneficios]]/Datos_Origen[[#This Row],[CT]],"")</f>
        <v>0</v>
      </c>
      <c r="BM68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68" s="161">
        <f>Datos_Origen[[#This Row],[G]]/Datos_Origen[[#This Row],[Geq]]</f>
        <v>1.1383581720064484</v>
      </c>
      <c r="BO68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68" s="161">
        <f>Datos_Origen[[#This Row],[G+V]]/Datos_Origen[[#This Row],[G+Veq]]</f>
        <v>1.0572111778612232</v>
      </c>
      <c r="BQ68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68" s="161">
        <f>Datos_Origen[[#This Row],[CT]]/Datos_Origen[[#This Row],[CTeq]]</f>
        <v>1.0563853098333253</v>
      </c>
      <c r="BS68" s="139">
        <f>ROUNDUP(VLOOKUP(Datos_Origen[[#This Row],[Categoria]],Competitividad_1[#All],2,0)*IndiceIncrementoC,-3)</f>
        <v>2906000</v>
      </c>
      <c r="BT68" s="161">
        <f>Datos_Origen[[#This Row],[G]]/Datos_Origen[[#This Row],[GQ1]]</f>
        <v>1.1539950103234689</v>
      </c>
      <c r="BU68" s="155">
        <f>ROUNDUP(VLOOKUP(Datos_Origen[[#This Row],[Categoria]],Competitividad_1[#All],3,0)*IndiceIncrementoC,-3)</f>
        <v>3009000</v>
      </c>
      <c r="BV68" s="161">
        <f>Datos_Origen[[#This Row],[G+V]]/Datos_Origen[[#This Row],[G+VQ1]]</f>
        <v>1.1144930209371886</v>
      </c>
      <c r="BW68" s="155">
        <f>ROUNDUP(VLOOKUP(Datos_Origen[[#This Row],[Categoria]],Competitividad_1[#All],4,0)*IndiceIncrementoC,-3)</f>
        <v>3129000</v>
      </c>
      <c r="BX68" s="161">
        <f>Datos_Origen[[#This Row],[CT]]/Datos_Origen[[#This Row],[CTQ1]]</f>
        <v>1.0717511984659638</v>
      </c>
      <c r="BY68" s="155">
        <f>ROUNDUP(VLOOKUP(Datos_Origen[[#This Row],[Categoria]],Competitividad_1[#All],5,0)*IndiceIncrementoC,-3)</f>
        <v>3456000</v>
      </c>
      <c r="BZ68" s="161">
        <f>Datos_Origen[[#This Row],[G]]/Datos_Origen[[#This Row],[GMd]]</f>
        <v>0.97034418402777789</v>
      </c>
      <c r="CA68" s="155">
        <f>ROUNDUP(VLOOKUP(Datos_Origen[[#This Row],[Categoria]],Competitividad_1[#All],6,0)*IndiceIncrementoC,-3)</f>
        <v>3483000</v>
      </c>
      <c r="CB68" s="161">
        <f>Datos_Origen[[#This Row],[G+V]]/Datos_Origen[[#This Row],[G+VMd]]</f>
        <v>0.96282213608957812</v>
      </c>
      <c r="CC68" s="155">
        <f>ROUNDUP(VLOOKUP(Datos_Origen[[#This Row],[Categoria]],Competitividad_1[#All],7,0)*IndiceIncrementoC,-3)</f>
        <v>3645000</v>
      </c>
      <c r="CD68" s="161">
        <f>Datos_Origen[[#This Row],[CT]]/Datos_Origen[[#This Row],[CTMd]]</f>
        <v>0.9200300411522635</v>
      </c>
      <c r="CE68" s="155">
        <f>+Datos_Origen[[#This Row],[GMd]]/1.17666666667</f>
        <v>2937110.4815780818</v>
      </c>
      <c r="CF68" s="161">
        <f>+Datos_Origen[[#This Row],[Básico Actual]]/Datos_Origen[[#This Row],[Salario Basico Md]]</f>
        <v>0.97034143518793403</v>
      </c>
      <c r="CG68" s="155">
        <f>ROUNDUP(VLOOKUP(Datos_Origen[[#This Row],[Categoria]],Competitividad_1[#All],8,0)*IndiceIncrementoC,-3)</f>
        <v>4712000</v>
      </c>
      <c r="CH68" s="161">
        <f>Datos_Origen[[#This Row],[G]]/Datos_Origen[[#This Row],[GQ3]]</f>
        <v>0.71169556451612914</v>
      </c>
      <c r="CI68" s="155">
        <f>ROUNDUP(VLOOKUP(Datos_Origen[[#This Row],[Categoria]],Competitividad_1[#All],9,0)*IndiceIncrementoC,-3)</f>
        <v>4847000</v>
      </c>
      <c r="CJ68" s="161">
        <f>Datos_Origen[[#This Row],[G+V]]/Datos_Origen[[#This Row],[G+VQ3]]</f>
        <v>0.69187322054879319</v>
      </c>
      <c r="CK68" s="155">
        <f>ROUNDUP(VLOOKUP(Datos_Origen[[#This Row],[Categoria]],Competitividad_1[#All],10,0)*IndiceIncrementoC,-3)</f>
        <v>4977000</v>
      </c>
      <c r="CL68" s="161">
        <f>Datos_Origen[[#This Row],[CT]]/Datos_Origen[[#This Row],[CTQ3]]</f>
        <v>0.67380138637733589</v>
      </c>
      <c r="CM68" s="162">
        <f>IF(ROUND(Datos_Origen[[#This Row],[Salario Ordinario Pol2]],-3)&lt;SMMLV,SMMLV,ROUND(Datos_Origen[[#This Row],[Salario Ordinario Pol2]],-3))</f>
        <v>2478000</v>
      </c>
      <c r="CN68" s="155">
        <f>IF(Datos_Origen[[#This Row],[Gpol]]/(1+FactorPrestacionalOrdinario)&lt;SMMLV,SMMLV,Datos_Origen[[#This Row],[Gpol]]/(1+FactorPrestacionalOrdinario))</f>
        <v>3097733.7110481584</v>
      </c>
      <c r="CO68" s="161">
        <f>IFERROR(IF(Datos_Origen[[#This Row],[Salarios Año]]=14.12,Datos_Origen[[#This Row],[Básico]]/Datos_Origen[[#This Row],[Salario Ordinario Pol]],""),"")</f>
        <v>0.92002743484224969</v>
      </c>
      <c r="CP68" s="155">
        <f>IF(ROUND(Datos_Origen[[#This Row],[Salario Ordinario Pol22]],-3)&lt;SMMLV,SMMLV,ROUND(Datos_Origen[[#This Row],[Salario Ordinario Pol22]],-3))</f>
        <v>3717000</v>
      </c>
      <c r="CQ68" s="155" t="str">
        <f>IFERROR(ROUND(Datos_Origen[[#This Row],[Salario Integral Pol4]],-3),"")</f>
        <v/>
      </c>
      <c r="CR68" s="139" t="str">
        <f>IF((Datos_Origen[[#This Row],[Gpol]]/(1+FactorPrestacionalIntegral))&lt;(13*SMMLV),"",(Datos_Origen[[#This Row],[Gpol]]/(1+FactorPrestacionalIntegral)))</f>
        <v/>
      </c>
      <c r="CS68" s="161" t="str">
        <f>IFERROR(IF(Datos_Origen[[#This Row],[Salarios Año]]=12,Datos_Origen[[#This Row],[Básico]]/Datos_Origen[[#This Row],[Salario Integral Pol]],""),"")</f>
        <v/>
      </c>
      <c r="CT68" s="155" t="str">
        <f>IFERROR(ROUND(Datos_Origen[[#This Row],[Salario Integral Pol44]],-3),"")</f>
        <v/>
      </c>
      <c r="CU68" s="155">
        <f>Datos_Origen[[#This Row],[G+Vpol]]-Datos_Origen[[#This Row],[Variable]]</f>
        <v>3645000</v>
      </c>
      <c r="CV68" s="161">
        <f>Datos_Origen[[#This Row],[G]]/Datos_Origen[[#This Row],[Gpol]]</f>
        <v>0.9200300411522635</v>
      </c>
      <c r="CW68" s="154">
        <f>Datos_Origen[[#This Row],[Ctpol]]-Datos_Origen[[#This Row],[Beneficios]]</f>
        <v>3645000</v>
      </c>
      <c r="CX68" s="161">
        <f>Datos_Origen[[#This Row],[G+V]]/Datos_Origen[[#This Row],[G+Vpol]]</f>
        <v>0.9200300411522635</v>
      </c>
      <c r="CY68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3645000</v>
      </c>
      <c r="CZ68" s="161">
        <f>Datos_Origen[[#This Row],[CT]]/Datos_Origen[[#This Row],[Ctpol]]</f>
        <v>0.9200300411522635</v>
      </c>
      <c r="DA68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2850000</v>
      </c>
      <c r="DB68" s="158">
        <f>IF(Datos_Origen[[#This Row],[Básico]]&lt;10*SMMLV,0,Datos_Origen[[#This Row],[Base Seguridad Social Actual]]*8.5%)</f>
        <v>0</v>
      </c>
      <c r="DC68" s="158">
        <f>Datos_Origen[[#This Row],[Base Seguridad Social Actual]]*12%</f>
        <v>342000</v>
      </c>
      <c r="DD68" s="158">
        <f>Datos_Origen[[#This Row],[Base Seguridad Social Actual]]*Datos_Origen[[#This Row],[%ARL]]</f>
        <v>123974.99999999999</v>
      </c>
      <c r="DE68" s="158">
        <f>IF(Datos_Origen[[#This Row],[Básico]]&lt;10*SMMLV,Datos_Origen[[#This Row],[Base Seguridad Social Actual]]*4%,Datos_Origen[[#This Row],[Base Seguridad Social Actual]]*9%)</f>
        <v>114000</v>
      </c>
      <c r="DF68" s="158">
        <f>Datos_Origen[[#This Row],[Salud]]+Datos_Origen[[#This Row],[Pensión]]+Datos_Origen[[#This Row],[ARL]]+Datos_Origen[[#This Row],[Parafiscales]]</f>
        <v>579975</v>
      </c>
      <c r="DG68" s="163">
        <f>Datos_Origen[[#This Row],[Costo Laboral Actual]]+Datos_Origen[[#This Row],[CT]]</f>
        <v>3933484.5000000005</v>
      </c>
      <c r="DH68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3097733.7110481584</v>
      </c>
      <c r="DI68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68" s="158">
        <f>Datos_Origen[[#This Row],[Base Seguridad Social Nueva]]*12%</f>
        <v>371728.04532577901</v>
      </c>
      <c r="DK68" s="158">
        <f>Datos_Origen[[#This Row],[Base Seguridad Social Nueva]]*Datos_Origen[[#This Row],[%ARL]]</f>
        <v>134751.41643059487</v>
      </c>
      <c r="DL68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123909.34844192634</v>
      </c>
      <c r="DM68" s="158">
        <f>Datos_Origen[[#This Row],[Salud Nueva]]+Datos_Origen[[#This Row],[Pensión Nueva]]+Datos_Origen[[#This Row],[ARL nueva]]+Datos_Origen[[#This Row],[Parafiscales Nuevos]]</f>
        <v>630388.81019830017</v>
      </c>
      <c r="DN68" s="158">
        <f>Datos_Origen[[#This Row],[Costo Laboral Nuevo]]+Datos_Origen[[#This Row],[Ctpol]]</f>
        <v>4275388.8101983005</v>
      </c>
      <c r="DO68" s="158">
        <f>IF(Datos_Origen[[#This Row],[Ctpol]]-Datos_Origen[[#This Row],[CT]]&lt;=0,0,Datos_Origen[[#This Row],[Costo Total Nuevo]]-Datos_Origen[[#This Row],[Costo Total Actual]])</f>
        <v>341904.31019830005</v>
      </c>
      <c r="DP68" s="158">
        <f>IF(Datos_Origen[[#This Row],[Ctpol]]-Datos_Origen[[#This Row],[CT]]&lt;=0,0,Datos_Origen[[#This Row],[Ctpol]]-Datos_Origen[[#This Row],[CT]])</f>
        <v>291490.49999999953</v>
      </c>
      <c r="DQ68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50413.810198300169</v>
      </c>
      <c r="DR68" s="158">
        <f>ROUNDDOWN(VLOOKUP(Datos_Origen[[#This Row],[Categoria]],Competitividad_1[],7,0)*IndiceIncrementoC,-3)</f>
        <v>3644000</v>
      </c>
      <c r="DS68" s="158">
        <f>Datos_Origen[[#This Row],[CTeq]]*0.8</f>
        <v>2539610.855080226</v>
      </c>
      <c r="DT68" s="158">
        <f>Datos_Origen[[#This Row],[CTeq]]*1.2</f>
        <v>3809416.2826203383</v>
      </c>
      <c r="DU68" s="155">
        <f>IF(Datos_Origen[[#This Row],[Gpol6]]/(1+FactorPrestacionalOrdinario)&lt;SMMLV,SMMLV,Datos_Origen[[#This Row],[Gpol6]]/(1+FactorPrestacionalOrdinario))</f>
        <v>2478186.9688385269</v>
      </c>
      <c r="DV68" s="139" t="str">
        <f>IF((Datos_Origen[[#This Row],[Gpol6]]/(1+FactorPrestacionalIntegral))&lt;(13*SMMLV),"",(Datos_Origen[[#This Row],[Gpol6]]/(1+FactorPrestacionalIntegral)))</f>
        <v/>
      </c>
      <c r="DW68" s="154">
        <f>Datos_Origen[[#This Row],[G+Vpol8]]</f>
        <v>2916000</v>
      </c>
      <c r="DX68" s="154">
        <f>Datos_Origen[[#This Row],[Ctpol10]]-Datos_Origen[[#This Row],[Beneficios]]</f>
        <v>2916000</v>
      </c>
      <c r="DY68" s="154">
        <f>Datos_Origen[[#This Row],[Ctpol]]*$CM$6</f>
        <v>2916000</v>
      </c>
      <c r="DZ68" s="155">
        <f>IF(Datos_Origen[[#This Row],[Gpol66]]/(1+FactorPrestacionalOrdinario)&lt;SMMLV,SMMLV,Datos_Origen[[#This Row],[Gpol66]]/(1+FactorPrestacionalOrdinario))</f>
        <v>3717280.4532577903</v>
      </c>
      <c r="EA68" s="139" t="str">
        <f>IF((Datos_Origen[[#This Row],[Gpol66]]/(1+FactorPrestacionalIntegral))&lt;(13*SMMLV),"",(Datos_Origen[[#This Row],[Gpol66]]/(1+FactorPrestacionalIntegral)))</f>
        <v/>
      </c>
      <c r="EB68" s="154">
        <f>Datos_Origen[[#This Row],[G+Vpol88]]</f>
        <v>4374000</v>
      </c>
      <c r="EC68" s="154">
        <f>Datos_Origen[[#This Row],[Ctpol1010]]-Datos_Origen[[#This Row],[Beneficios]]</f>
        <v>4374000</v>
      </c>
      <c r="ED68" s="154">
        <f>Datos_Origen[[#This Row],[Ctpol]]*$CP$6</f>
        <v>4374000</v>
      </c>
      <c r="EE68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69" spans="2:135">
      <c r="B69" s="148"/>
      <c r="C69" s="149"/>
      <c r="D69" s="150"/>
      <c r="E69" s="151"/>
      <c r="F69" s="151"/>
      <c r="G69" s="150" t="s">
        <v>337</v>
      </c>
      <c r="H69" s="153"/>
      <c r="I69" s="152" t="s">
        <v>337</v>
      </c>
      <c r="J69" s="130" t="str">
        <f>IFERROR(VLOOKUP(Datos_Origen[[#This Row],[Cargo Tipo Valorado]],Cargos_Catalogo[[#All],[Cargo]:[Área]],2,0),"")</f>
        <v xml:space="preserve">Jefe de proyectos aliados </v>
      </c>
      <c r="K69" s="153"/>
      <c r="L69" s="153"/>
      <c r="M69" s="153"/>
      <c r="N69" s="153"/>
      <c r="O69" s="154">
        <f>Datos_Origen[[#This Row],[Segmentación Individual]]</f>
        <v>0</v>
      </c>
      <c r="P69" s="153"/>
      <c r="Q69" s="154">
        <f>VLOOKUP(Datos_Origen[[#This Row],[Cargo Tipo Valorado]],Cargos_Catalogo[#Data],MATCH(Cargos_Catalogo[[#Headers],[Puntos]],Cargos_Catalogo[#Headers],0),FALSE)</f>
        <v>208</v>
      </c>
      <c r="R69" s="130">
        <f>VLOOKUP(Datos_Origen[[#This Row],[Puntos valoración]],Categorias_Registro[#Data],MATCH(Categorias_Registro[[#Headers],[Categoria]],Categorias_Registro[#Headers],0),FALSE)</f>
        <v>7</v>
      </c>
      <c r="S69" s="130" t="str">
        <f>VLOOKUP(Datos_Origen[[#This Row],[Cargo Tipo Valorado]],Cargos_Catalogo[#Data],MATCH(Cargos_Catalogo[[#Headers],[Nivel SHR]],Cargos_Catalogo[#Headers],0),FALSE)</f>
        <v>Soporte</v>
      </c>
      <c r="T69" s="130" t="str">
        <f>VLOOKUP(Datos_Origen[[#This Row],[Cargo Tipo Valorado]],Cargos_Catalogo[#Data],MATCH(Cargos_Catalogo[[#Headers],[Criticidad]],Cargos_Catalogo[#Headers],0),FALSE)</f>
        <v>Importante</v>
      </c>
      <c r="U69" s="154">
        <f>VLOOKUP(Datos_Origen[[#This Row],[Puntos valoración]],Categorias_Registro[#Data],5,FALSE)</f>
        <v>217</v>
      </c>
      <c r="V69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3353509.5000000005</v>
      </c>
      <c r="W69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69" s="154">
        <f>SUMIF($BA$5:$BJ$5,"NCS",Datos_Origen[[#This Row],[auxilio Gasolina]:[Otro Beneficio10]])+(SUMIF($BA$5:$BJ$5,"CS",Datos_Origen[[#This Row],[auxilio Gasolina]:[Otro Beneficio10]])*1.17667)</f>
        <v>0</v>
      </c>
      <c r="Y69" s="155">
        <f>Datos_Origen[[#This Row],[Básico]]+Datos_Origen[[#This Row],[Promedio de Comisiones  ]]</f>
        <v>2850000</v>
      </c>
      <c r="Z69" s="155">
        <f>Datos_Origen[[#This Row],[Básico]]+Datos_Origen[[#This Row],[Promedio de Comisiones  ]]</f>
        <v>2850000</v>
      </c>
      <c r="AA69" s="155">
        <f>Datos_Origen[[#This Row],[Garantizado]]</f>
        <v>3353509.5000000005</v>
      </c>
      <c r="AB69" s="155">
        <f>Datos_Origen[[#This Row],[Variable]]+Datos_Origen[[#This Row],[Garantizado]]</f>
        <v>3353509.5000000005</v>
      </c>
      <c r="AC69" s="155">
        <f>Datos_Origen[[#This Row],[Beneficios]]+Datos_Origen[[#This Row],[Variable]]+Datos_Origen[[#This Row],[Garantizado]]</f>
        <v>3353509.5000000005</v>
      </c>
      <c r="AD69" s="156">
        <v>14.12</v>
      </c>
      <c r="AE69" s="141">
        <v>230</v>
      </c>
      <c r="AF69" s="345">
        <v>4.3499999999999997E-2</v>
      </c>
      <c r="AG69" s="155">
        <f>Datos_Origen[[#This Row],[Básico Actual]]*230/Datos_Origen[[#This Row],['# horas mes]]</f>
        <v>2850000</v>
      </c>
      <c r="AH69" s="157">
        <v>2850000</v>
      </c>
      <c r="AI69" s="158"/>
      <c r="AJ69" s="158">
        <f>(((Datos_Origen[[#This Row],[Básico]])/30)*$AJ$6)/12</f>
        <v>0</v>
      </c>
      <c r="AK69" s="158"/>
      <c r="AL69" s="143">
        <f>((Datos_Origen[[#This Row],[Básico]])/30)*$AL$6/12</f>
        <v>0</v>
      </c>
      <c r="AM69" s="158"/>
      <c r="AN69" s="158"/>
      <c r="AO69" s="158"/>
      <c r="AP69" s="158"/>
      <c r="AQ69" s="158"/>
      <c r="AR69" s="149">
        <v>0</v>
      </c>
      <c r="AS69" s="149"/>
      <c r="AT69" s="159" t="str">
        <f>IFERROR(Datos_Origen[[#This Row],[Comisiones Target]]/Datos_Origen[[#This Row],[Promedio de Comisiones  ]],"")</f>
        <v/>
      </c>
      <c r="AU69" s="160"/>
      <c r="AV69" s="143">
        <v>0</v>
      </c>
      <c r="AW69" s="160"/>
      <c r="AX69" s="143">
        <f>Datos_Origen[[#This Row],[N Salarios de la Bonificación2]]*Datos_Origen[[#This Row],[Básico]]/12</f>
        <v>0</v>
      </c>
      <c r="AY69" s="160"/>
      <c r="AZ69" s="158"/>
      <c r="BA69" s="149">
        <v>0</v>
      </c>
      <c r="BB69" s="149"/>
      <c r="BC69" s="149"/>
      <c r="BD69" s="149"/>
      <c r="BE69" s="149"/>
      <c r="BF69" s="149"/>
      <c r="BG69" s="149"/>
      <c r="BH69" s="149"/>
      <c r="BI69" s="149"/>
      <c r="BJ69" s="149"/>
      <c r="BK69" s="159">
        <f>IFERROR(Datos_Origen[[#This Row],[Variable]]/Datos_Origen[[#This Row],[CT]],"")</f>
        <v>0</v>
      </c>
      <c r="BL69" s="159">
        <f>IFERROR(Datos_Origen[[#This Row],[Beneficios]]/Datos_Origen[[#This Row],[CT]],"")</f>
        <v>0</v>
      </c>
      <c r="BM69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69" s="161">
        <f>Datos_Origen[[#This Row],[G]]/Datos_Origen[[#This Row],[Geq]]</f>
        <v>1.1383581720064484</v>
      </c>
      <c r="BO69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69" s="161">
        <f>Datos_Origen[[#This Row],[G+V]]/Datos_Origen[[#This Row],[G+Veq]]</f>
        <v>1.0572111778612232</v>
      </c>
      <c r="BQ69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69" s="161">
        <f>Datos_Origen[[#This Row],[CT]]/Datos_Origen[[#This Row],[CTeq]]</f>
        <v>1.0563853098333253</v>
      </c>
      <c r="BS69" s="139">
        <f>ROUNDUP(VLOOKUP(Datos_Origen[[#This Row],[Categoria]],Competitividad_1[#All],2,0)*IndiceIncrementoC,-3)</f>
        <v>2906000</v>
      </c>
      <c r="BT69" s="161">
        <f>Datos_Origen[[#This Row],[G]]/Datos_Origen[[#This Row],[GQ1]]</f>
        <v>1.1539950103234689</v>
      </c>
      <c r="BU69" s="155">
        <f>ROUNDUP(VLOOKUP(Datos_Origen[[#This Row],[Categoria]],Competitividad_1[#All],3,0)*IndiceIncrementoC,-3)</f>
        <v>3009000</v>
      </c>
      <c r="BV69" s="161">
        <f>Datos_Origen[[#This Row],[G+V]]/Datos_Origen[[#This Row],[G+VQ1]]</f>
        <v>1.1144930209371886</v>
      </c>
      <c r="BW69" s="155">
        <f>ROUNDUP(VLOOKUP(Datos_Origen[[#This Row],[Categoria]],Competitividad_1[#All],4,0)*IndiceIncrementoC,-3)</f>
        <v>3129000</v>
      </c>
      <c r="BX69" s="161">
        <f>Datos_Origen[[#This Row],[CT]]/Datos_Origen[[#This Row],[CTQ1]]</f>
        <v>1.0717511984659638</v>
      </c>
      <c r="BY69" s="155">
        <f>ROUNDUP(VLOOKUP(Datos_Origen[[#This Row],[Categoria]],Competitividad_1[#All],5,0)*IndiceIncrementoC,-3)</f>
        <v>3456000</v>
      </c>
      <c r="BZ69" s="161">
        <f>Datos_Origen[[#This Row],[G]]/Datos_Origen[[#This Row],[GMd]]</f>
        <v>0.97034418402777789</v>
      </c>
      <c r="CA69" s="155">
        <f>ROUNDUP(VLOOKUP(Datos_Origen[[#This Row],[Categoria]],Competitividad_1[#All],6,0)*IndiceIncrementoC,-3)</f>
        <v>3483000</v>
      </c>
      <c r="CB69" s="161">
        <f>Datos_Origen[[#This Row],[G+V]]/Datos_Origen[[#This Row],[G+VMd]]</f>
        <v>0.96282213608957812</v>
      </c>
      <c r="CC69" s="155">
        <f>ROUNDUP(VLOOKUP(Datos_Origen[[#This Row],[Categoria]],Competitividad_1[#All],7,0)*IndiceIncrementoC,-3)</f>
        <v>3645000</v>
      </c>
      <c r="CD69" s="161">
        <f>Datos_Origen[[#This Row],[CT]]/Datos_Origen[[#This Row],[CTMd]]</f>
        <v>0.9200300411522635</v>
      </c>
      <c r="CE69" s="155">
        <f>+Datos_Origen[[#This Row],[GMd]]/1.17666666667</f>
        <v>2937110.4815780818</v>
      </c>
      <c r="CF69" s="161">
        <f>+Datos_Origen[[#This Row],[Básico Actual]]/Datos_Origen[[#This Row],[Salario Basico Md]]</f>
        <v>0.97034143518793403</v>
      </c>
      <c r="CG69" s="155">
        <f>ROUNDUP(VLOOKUP(Datos_Origen[[#This Row],[Categoria]],Competitividad_1[#All],8,0)*IndiceIncrementoC,-3)</f>
        <v>4712000</v>
      </c>
      <c r="CH69" s="161">
        <f>Datos_Origen[[#This Row],[G]]/Datos_Origen[[#This Row],[GQ3]]</f>
        <v>0.71169556451612914</v>
      </c>
      <c r="CI69" s="155">
        <f>ROUNDUP(VLOOKUP(Datos_Origen[[#This Row],[Categoria]],Competitividad_1[#All],9,0)*IndiceIncrementoC,-3)</f>
        <v>4847000</v>
      </c>
      <c r="CJ69" s="161">
        <f>Datos_Origen[[#This Row],[G+V]]/Datos_Origen[[#This Row],[G+VQ3]]</f>
        <v>0.69187322054879319</v>
      </c>
      <c r="CK69" s="155">
        <f>ROUNDUP(VLOOKUP(Datos_Origen[[#This Row],[Categoria]],Competitividad_1[#All],10,0)*IndiceIncrementoC,-3)</f>
        <v>4977000</v>
      </c>
      <c r="CL69" s="161">
        <f>Datos_Origen[[#This Row],[CT]]/Datos_Origen[[#This Row],[CTQ3]]</f>
        <v>0.67380138637733589</v>
      </c>
      <c r="CM69" s="162">
        <f>IF(ROUND(Datos_Origen[[#This Row],[Salario Ordinario Pol2]],-3)&lt;SMMLV,SMMLV,ROUND(Datos_Origen[[#This Row],[Salario Ordinario Pol2]],-3))</f>
        <v>2478000</v>
      </c>
      <c r="CN69" s="155">
        <f>IF(Datos_Origen[[#This Row],[Gpol]]/(1+FactorPrestacionalOrdinario)&lt;SMMLV,SMMLV,Datos_Origen[[#This Row],[Gpol]]/(1+FactorPrestacionalOrdinario))</f>
        <v>3097733.7110481584</v>
      </c>
      <c r="CO69" s="161">
        <f>IFERROR(IF(Datos_Origen[[#This Row],[Salarios Año]]=14.12,Datos_Origen[[#This Row],[Básico]]/Datos_Origen[[#This Row],[Salario Ordinario Pol]],""),"")</f>
        <v>0.92002743484224969</v>
      </c>
      <c r="CP69" s="155">
        <f>IF(ROUND(Datos_Origen[[#This Row],[Salario Ordinario Pol22]],-3)&lt;SMMLV,SMMLV,ROUND(Datos_Origen[[#This Row],[Salario Ordinario Pol22]],-3))</f>
        <v>3717000</v>
      </c>
      <c r="CQ69" s="155" t="str">
        <f>IFERROR(ROUND(Datos_Origen[[#This Row],[Salario Integral Pol4]],-3),"")</f>
        <v/>
      </c>
      <c r="CR69" s="139" t="str">
        <f>IF((Datos_Origen[[#This Row],[Gpol]]/(1+FactorPrestacionalIntegral))&lt;(13*SMMLV),"",(Datos_Origen[[#This Row],[Gpol]]/(1+FactorPrestacionalIntegral)))</f>
        <v/>
      </c>
      <c r="CS69" s="161" t="str">
        <f>IFERROR(IF(Datos_Origen[[#This Row],[Salarios Año]]=12,Datos_Origen[[#This Row],[Básico]]/Datos_Origen[[#This Row],[Salario Integral Pol]],""),"")</f>
        <v/>
      </c>
      <c r="CT69" s="155" t="str">
        <f>IFERROR(ROUND(Datos_Origen[[#This Row],[Salario Integral Pol44]],-3),"")</f>
        <v/>
      </c>
      <c r="CU69" s="155">
        <f>Datos_Origen[[#This Row],[G+Vpol]]-Datos_Origen[[#This Row],[Variable]]</f>
        <v>3645000</v>
      </c>
      <c r="CV69" s="161">
        <f>Datos_Origen[[#This Row],[G]]/Datos_Origen[[#This Row],[Gpol]]</f>
        <v>0.9200300411522635</v>
      </c>
      <c r="CW69" s="154">
        <f>Datos_Origen[[#This Row],[Ctpol]]-Datos_Origen[[#This Row],[Beneficios]]</f>
        <v>3645000</v>
      </c>
      <c r="CX69" s="161">
        <f>Datos_Origen[[#This Row],[G+V]]/Datos_Origen[[#This Row],[G+Vpol]]</f>
        <v>0.9200300411522635</v>
      </c>
      <c r="CY69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3645000</v>
      </c>
      <c r="CZ69" s="161">
        <f>Datos_Origen[[#This Row],[CT]]/Datos_Origen[[#This Row],[Ctpol]]</f>
        <v>0.9200300411522635</v>
      </c>
      <c r="DA69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2850000</v>
      </c>
      <c r="DB69" s="158">
        <f>IF(Datos_Origen[[#This Row],[Básico]]&lt;10*SMMLV,0,Datos_Origen[[#This Row],[Base Seguridad Social Actual]]*8.5%)</f>
        <v>0</v>
      </c>
      <c r="DC69" s="158">
        <f>Datos_Origen[[#This Row],[Base Seguridad Social Actual]]*12%</f>
        <v>342000</v>
      </c>
      <c r="DD69" s="158">
        <f>Datos_Origen[[#This Row],[Base Seguridad Social Actual]]*Datos_Origen[[#This Row],[%ARL]]</f>
        <v>123974.99999999999</v>
      </c>
      <c r="DE69" s="158">
        <f>IF(Datos_Origen[[#This Row],[Básico]]&lt;10*SMMLV,Datos_Origen[[#This Row],[Base Seguridad Social Actual]]*4%,Datos_Origen[[#This Row],[Base Seguridad Social Actual]]*9%)</f>
        <v>114000</v>
      </c>
      <c r="DF69" s="158">
        <f>Datos_Origen[[#This Row],[Salud]]+Datos_Origen[[#This Row],[Pensión]]+Datos_Origen[[#This Row],[ARL]]+Datos_Origen[[#This Row],[Parafiscales]]</f>
        <v>579975</v>
      </c>
      <c r="DG69" s="163">
        <f>Datos_Origen[[#This Row],[Costo Laboral Actual]]+Datos_Origen[[#This Row],[CT]]</f>
        <v>3933484.5000000005</v>
      </c>
      <c r="DH69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3097733.7110481584</v>
      </c>
      <c r="DI69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69" s="158">
        <f>Datos_Origen[[#This Row],[Base Seguridad Social Nueva]]*12%</f>
        <v>371728.04532577901</v>
      </c>
      <c r="DK69" s="158">
        <f>Datos_Origen[[#This Row],[Base Seguridad Social Nueva]]*Datos_Origen[[#This Row],[%ARL]]</f>
        <v>134751.41643059487</v>
      </c>
      <c r="DL69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123909.34844192634</v>
      </c>
      <c r="DM69" s="158">
        <f>Datos_Origen[[#This Row],[Salud Nueva]]+Datos_Origen[[#This Row],[Pensión Nueva]]+Datos_Origen[[#This Row],[ARL nueva]]+Datos_Origen[[#This Row],[Parafiscales Nuevos]]</f>
        <v>630388.81019830017</v>
      </c>
      <c r="DN69" s="158">
        <f>Datos_Origen[[#This Row],[Costo Laboral Nuevo]]+Datos_Origen[[#This Row],[Ctpol]]</f>
        <v>4275388.8101983005</v>
      </c>
      <c r="DO69" s="158">
        <f>IF(Datos_Origen[[#This Row],[Ctpol]]-Datos_Origen[[#This Row],[CT]]&lt;=0,0,Datos_Origen[[#This Row],[Costo Total Nuevo]]-Datos_Origen[[#This Row],[Costo Total Actual]])</f>
        <v>341904.31019830005</v>
      </c>
      <c r="DP69" s="158">
        <f>IF(Datos_Origen[[#This Row],[Ctpol]]-Datos_Origen[[#This Row],[CT]]&lt;=0,0,Datos_Origen[[#This Row],[Ctpol]]-Datos_Origen[[#This Row],[CT]])</f>
        <v>291490.49999999953</v>
      </c>
      <c r="DQ69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50413.810198300169</v>
      </c>
      <c r="DR69" s="158">
        <f>ROUNDDOWN(VLOOKUP(Datos_Origen[[#This Row],[Categoria]],Competitividad_1[],7,0)*IndiceIncrementoC,-3)</f>
        <v>3644000</v>
      </c>
      <c r="DS69" s="158">
        <f>Datos_Origen[[#This Row],[CTeq]]*0.8</f>
        <v>2539610.855080226</v>
      </c>
      <c r="DT69" s="158">
        <f>Datos_Origen[[#This Row],[CTeq]]*1.2</f>
        <v>3809416.2826203383</v>
      </c>
      <c r="DU69" s="155">
        <f>IF(Datos_Origen[[#This Row],[Gpol6]]/(1+FactorPrestacionalOrdinario)&lt;SMMLV,SMMLV,Datos_Origen[[#This Row],[Gpol6]]/(1+FactorPrestacionalOrdinario))</f>
        <v>2478186.9688385269</v>
      </c>
      <c r="DV69" s="139" t="str">
        <f>IF((Datos_Origen[[#This Row],[Gpol6]]/(1+FactorPrestacionalIntegral))&lt;(13*SMMLV),"",(Datos_Origen[[#This Row],[Gpol6]]/(1+FactorPrestacionalIntegral)))</f>
        <v/>
      </c>
      <c r="DW69" s="154">
        <f>Datos_Origen[[#This Row],[G+Vpol8]]</f>
        <v>2916000</v>
      </c>
      <c r="DX69" s="154">
        <f>Datos_Origen[[#This Row],[Ctpol10]]-Datos_Origen[[#This Row],[Beneficios]]</f>
        <v>2916000</v>
      </c>
      <c r="DY69" s="154">
        <f>Datos_Origen[[#This Row],[Ctpol]]*$CM$6</f>
        <v>2916000</v>
      </c>
      <c r="DZ69" s="155">
        <f>IF(Datos_Origen[[#This Row],[Gpol66]]/(1+FactorPrestacionalOrdinario)&lt;SMMLV,SMMLV,Datos_Origen[[#This Row],[Gpol66]]/(1+FactorPrestacionalOrdinario))</f>
        <v>3717280.4532577903</v>
      </c>
      <c r="EA69" s="139" t="str">
        <f>IF((Datos_Origen[[#This Row],[Gpol66]]/(1+FactorPrestacionalIntegral))&lt;(13*SMMLV),"",(Datos_Origen[[#This Row],[Gpol66]]/(1+FactorPrestacionalIntegral)))</f>
        <v/>
      </c>
      <c r="EB69" s="154">
        <f>Datos_Origen[[#This Row],[G+Vpol88]]</f>
        <v>4374000</v>
      </c>
      <c r="EC69" s="154">
        <f>Datos_Origen[[#This Row],[Ctpol1010]]-Datos_Origen[[#This Row],[Beneficios]]</f>
        <v>4374000</v>
      </c>
      <c r="ED69" s="154">
        <f>Datos_Origen[[#This Row],[Ctpol]]*$CP$6</f>
        <v>4374000</v>
      </c>
      <c r="EE69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70" spans="2:135">
      <c r="B70" s="148"/>
      <c r="C70" s="149"/>
      <c r="D70" s="150"/>
      <c r="E70" s="151"/>
      <c r="F70" s="151"/>
      <c r="G70" s="150" t="s">
        <v>337</v>
      </c>
      <c r="H70" s="153"/>
      <c r="I70" s="152" t="s">
        <v>337</v>
      </c>
      <c r="J70" s="130" t="str">
        <f>IFERROR(VLOOKUP(Datos_Origen[[#This Row],[Cargo Tipo Valorado]],Cargos_Catalogo[[#All],[Cargo]:[Área]],2,0),"")</f>
        <v xml:space="preserve">Jefe de proyectos aliados </v>
      </c>
      <c r="K70" s="153"/>
      <c r="L70" s="153"/>
      <c r="M70" s="153"/>
      <c r="N70" s="153"/>
      <c r="O70" s="154">
        <f>Datos_Origen[[#This Row],[Segmentación Individual]]</f>
        <v>0</v>
      </c>
      <c r="P70" s="153"/>
      <c r="Q70" s="154">
        <f>VLOOKUP(Datos_Origen[[#This Row],[Cargo Tipo Valorado]],Cargos_Catalogo[#Data],MATCH(Cargos_Catalogo[[#Headers],[Puntos]],Cargos_Catalogo[#Headers],0),FALSE)</f>
        <v>208</v>
      </c>
      <c r="R70" s="130">
        <f>VLOOKUP(Datos_Origen[[#This Row],[Puntos valoración]],Categorias_Registro[#Data],MATCH(Categorias_Registro[[#Headers],[Categoria]],Categorias_Registro[#Headers],0),FALSE)</f>
        <v>7</v>
      </c>
      <c r="S70" s="130" t="str">
        <f>VLOOKUP(Datos_Origen[[#This Row],[Cargo Tipo Valorado]],Cargos_Catalogo[#Data],MATCH(Cargos_Catalogo[[#Headers],[Nivel SHR]],Cargos_Catalogo[#Headers],0),FALSE)</f>
        <v>Soporte</v>
      </c>
      <c r="T70" s="130" t="str">
        <f>VLOOKUP(Datos_Origen[[#This Row],[Cargo Tipo Valorado]],Cargos_Catalogo[#Data],MATCH(Cargos_Catalogo[[#Headers],[Criticidad]],Cargos_Catalogo[#Headers],0),FALSE)</f>
        <v>Importante</v>
      </c>
      <c r="U70" s="154">
        <f>VLOOKUP(Datos_Origen[[#This Row],[Puntos valoración]],Categorias_Registro[#Data],5,FALSE)</f>
        <v>217</v>
      </c>
      <c r="V70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3353509.5000000005</v>
      </c>
      <c r="W70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70" s="154">
        <f>SUMIF($BA$5:$BJ$5,"NCS",Datos_Origen[[#This Row],[auxilio Gasolina]:[Otro Beneficio10]])+(SUMIF($BA$5:$BJ$5,"CS",Datos_Origen[[#This Row],[auxilio Gasolina]:[Otro Beneficio10]])*1.17667)</f>
        <v>0</v>
      </c>
      <c r="Y70" s="155">
        <f>Datos_Origen[[#This Row],[Básico]]+Datos_Origen[[#This Row],[Promedio de Comisiones  ]]</f>
        <v>2850000</v>
      </c>
      <c r="Z70" s="155">
        <f>Datos_Origen[[#This Row],[Básico]]+Datos_Origen[[#This Row],[Promedio de Comisiones  ]]</f>
        <v>2850000</v>
      </c>
      <c r="AA70" s="155">
        <f>Datos_Origen[[#This Row],[Garantizado]]</f>
        <v>3353509.5000000005</v>
      </c>
      <c r="AB70" s="155">
        <f>Datos_Origen[[#This Row],[Variable]]+Datos_Origen[[#This Row],[Garantizado]]</f>
        <v>3353509.5000000005</v>
      </c>
      <c r="AC70" s="155">
        <f>Datos_Origen[[#This Row],[Beneficios]]+Datos_Origen[[#This Row],[Variable]]+Datos_Origen[[#This Row],[Garantizado]]</f>
        <v>3353509.5000000005</v>
      </c>
      <c r="AD70" s="156">
        <v>14.12</v>
      </c>
      <c r="AE70" s="141">
        <v>230</v>
      </c>
      <c r="AF70" s="345">
        <v>4.3499999999999997E-2</v>
      </c>
      <c r="AG70" s="155">
        <f>Datos_Origen[[#This Row],[Básico Actual]]*230/Datos_Origen[[#This Row],['# horas mes]]</f>
        <v>2850000</v>
      </c>
      <c r="AH70" s="157">
        <v>2850000</v>
      </c>
      <c r="AI70" s="158"/>
      <c r="AJ70" s="158">
        <f>(((Datos_Origen[[#This Row],[Básico]])/30)*$AJ$6)/12</f>
        <v>0</v>
      </c>
      <c r="AK70" s="158"/>
      <c r="AL70" s="143">
        <f>((Datos_Origen[[#This Row],[Básico]])/30)*$AL$6/12</f>
        <v>0</v>
      </c>
      <c r="AM70" s="158"/>
      <c r="AN70" s="158"/>
      <c r="AO70" s="158"/>
      <c r="AP70" s="158"/>
      <c r="AQ70" s="158"/>
      <c r="AR70" s="149">
        <v>0</v>
      </c>
      <c r="AS70" s="149"/>
      <c r="AT70" s="159" t="str">
        <f>IFERROR(Datos_Origen[[#This Row],[Comisiones Target]]/Datos_Origen[[#This Row],[Promedio de Comisiones  ]],"")</f>
        <v/>
      </c>
      <c r="AU70" s="160"/>
      <c r="AV70" s="143">
        <v>0</v>
      </c>
      <c r="AW70" s="160"/>
      <c r="AX70" s="143">
        <f>Datos_Origen[[#This Row],[N Salarios de la Bonificación2]]*Datos_Origen[[#This Row],[Básico]]/12</f>
        <v>0</v>
      </c>
      <c r="AY70" s="160"/>
      <c r="AZ70" s="158"/>
      <c r="BA70" s="149">
        <v>0</v>
      </c>
      <c r="BB70" s="149"/>
      <c r="BC70" s="149"/>
      <c r="BD70" s="149"/>
      <c r="BE70" s="149"/>
      <c r="BF70" s="149"/>
      <c r="BG70" s="149"/>
      <c r="BH70" s="149"/>
      <c r="BI70" s="149"/>
      <c r="BJ70" s="149"/>
      <c r="BK70" s="159">
        <f>IFERROR(Datos_Origen[[#This Row],[Variable]]/Datos_Origen[[#This Row],[CT]],"")</f>
        <v>0</v>
      </c>
      <c r="BL70" s="159">
        <f>IFERROR(Datos_Origen[[#This Row],[Beneficios]]/Datos_Origen[[#This Row],[CT]],"")</f>
        <v>0</v>
      </c>
      <c r="BM70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70" s="161">
        <f>Datos_Origen[[#This Row],[G]]/Datos_Origen[[#This Row],[Geq]]</f>
        <v>1.1383581720064484</v>
      </c>
      <c r="BO70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70" s="161">
        <f>Datos_Origen[[#This Row],[G+V]]/Datos_Origen[[#This Row],[G+Veq]]</f>
        <v>1.0572111778612232</v>
      </c>
      <c r="BQ70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70" s="161">
        <f>Datos_Origen[[#This Row],[CT]]/Datos_Origen[[#This Row],[CTeq]]</f>
        <v>1.0563853098333253</v>
      </c>
      <c r="BS70" s="139">
        <f>ROUNDUP(VLOOKUP(Datos_Origen[[#This Row],[Categoria]],Competitividad_1[#All],2,0)*IndiceIncrementoC,-3)</f>
        <v>2906000</v>
      </c>
      <c r="BT70" s="161">
        <f>Datos_Origen[[#This Row],[G]]/Datos_Origen[[#This Row],[GQ1]]</f>
        <v>1.1539950103234689</v>
      </c>
      <c r="BU70" s="155">
        <f>ROUNDUP(VLOOKUP(Datos_Origen[[#This Row],[Categoria]],Competitividad_1[#All],3,0)*IndiceIncrementoC,-3)</f>
        <v>3009000</v>
      </c>
      <c r="BV70" s="161">
        <f>Datos_Origen[[#This Row],[G+V]]/Datos_Origen[[#This Row],[G+VQ1]]</f>
        <v>1.1144930209371886</v>
      </c>
      <c r="BW70" s="155">
        <f>ROUNDUP(VLOOKUP(Datos_Origen[[#This Row],[Categoria]],Competitividad_1[#All],4,0)*IndiceIncrementoC,-3)</f>
        <v>3129000</v>
      </c>
      <c r="BX70" s="161">
        <f>Datos_Origen[[#This Row],[CT]]/Datos_Origen[[#This Row],[CTQ1]]</f>
        <v>1.0717511984659638</v>
      </c>
      <c r="BY70" s="155">
        <f>ROUNDUP(VLOOKUP(Datos_Origen[[#This Row],[Categoria]],Competitividad_1[#All],5,0)*IndiceIncrementoC,-3)</f>
        <v>3456000</v>
      </c>
      <c r="BZ70" s="161">
        <f>Datos_Origen[[#This Row],[G]]/Datos_Origen[[#This Row],[GMd]]</f>
        <v>0.97034418402777789</v>
      </c>
      <c r="CA70" s="155">
        <f>ROUNDUP(VLOOKUP(Datos_Origen[[#This Row],[Categoria]],Competitividad_1[#All],6,0)*IndiceIncrementoC,-3)</f>
        <v>3483000</v>
      </c>
      <c r="CB70" s="161">
        <f>Datos_Origen[[#This Row],[G+V]]/Datos_Origen[[#This Row],[G+VMd]]</f>
        <v>0.96282213608957812</v>
      </c>
      <c r="CC70" s="155">
        <f>ROUNDUP(VLOOKUP(Datos_Origen[[#This Row],[Categoria]],Competitividad_1[#All],7,0)*IndiceIncrementoC,-3)</f>
        <v>3645000</v>
      </c>
      <c r="CD70" s="161">
        <f>Datos_Origen[[#This Row],[CT]]/Datos_Origen[[#This Row],[CTMd]]</f>
        <v>0.9200300411522635</v>
      </c>
      <c r="CE70" s="155">
        <f>+Datos_Origen[[#This Row],[GMd]]/1.17666666667</f>
        <v>2937110.4815780818</v>
      </c>
      <c r="CF70" s="161">
        <f>+Datos_Origen[[#This Row],[Básico Actual]]/Datos_Origen[[#This Row],[Salario Basico Md]]</f>
        <v>0.97034143518793403</v>
      </c>
      <c r="CG70" s="155">
        <f>ROUNDUP(VLOOKUP(Datos_Origen[[#This Row],[Categoria]],Competitividad_1[#All],8,0)*IndiceIncrementoC,-3)</f>
        <v>4712000</v>
      </c>
      <c r="CH70" s="161">
        <f>Datos_Origen[[#This Row],[G]]/Datos_Origen[[#This Row],[GQ3]]</f>
        <v>0.71169556451612914</v>
      </c>
      <c r="CI70" s="155">
        <f>ROUNDUP(VLOOKUP(Datos_Origen[[#This Row],[Categoria]],Competitividad_1[#All],9,0)*IndiceIncrementoC,-3)</f>
        <v>4847000</v>
      </c>
      <c r="CJ70" s="161">
        <f>Datos_Origen[[#This Row],[G+V]]/Datos_Origen[[#This Row],[G+VQ3]]</f>
        <v>0.69187322054879319</v>
      </c>
      <c r="CK70" s="155">
        <f>ROUNDUP(VLOOKUP(Datos_Origen[[#This Row],[Categoria]],Competitividad_1[#All],10,0)*IndiceIncrementoC,-3)</f>
        <v>4977000</v>
      </c>
      <c r="CL70" s="161">
        <f>Datos_Origen[[#This Row],[CT]]/Datos_Origen[[#This Row],[CTQ3]]</f>
        <v>0.67380138637733589</v>
      </c>
      <c r="CM70" s="162">
        <f>IF(ROUND(Datos_Origen[[#This Row],[Salario Ordinario Pol2]],-3)&lt;SMMLV,SMMLV,ROUND(Datos_Origen[[#This Row],[Salario Ordinario Pol2]],-3))</f>
        <v>2478000</v>
      </c>
      <c r="CN70" s="155">
        <f>IF(Datos_Origen[[#This Row],[Gpol]]/(1+FactorPrestacionalOrdinario)&lt;SMMLV,SMMLV,Datos_Origen[[#This Row],[Gpol]]/(1+FactorPrestacionalOrdinario))</f>
        <v>3097733.7110481584</v>
      </c>
      <c r="CO70" s="161">
        <f>IFERROR(IF(Datos_Origen[[#This Row],[Salarios Año]]=14.12,Datos_Origen[[#This Row],[Básico]]/Datos_Origen[[#This Row],[Salario Ordinario Pol]],""),"")</f>
        <v>0.92002743484224969</v>
      </c>
      <c r="CP70" s="155">
        <f>IF(ROUND(Datos_Origen[[#This Row],[Salario Ordinario Pol22]],-3)&lt;SMMLV,SMMLV,ROUND(Datos_Origen[[#This Row],[Salario Ordinario Pol22]],-3))</f>
        <v>3717000</v>
      </c>
      <c r="CQ70" s="155" t="str">
        <f>IFERROR(ROUND(Datos_Origen[[#This Row],[Salario Integral Pol4]],-3),"")</f>
        <v/>
      </c>
      <c r="CR70" s="139" t="str">
        <f>IF((Datos_Origen[[#This Row],[Gpol]]/(1+FactorPrestacionalIntegral))&lt;(13*SMMLV),"",(Datos_Origen[[#This Row],[Gpol]]/(1+FactorPrestacionalIntegral)))</f>
        <v/>
      </c>
      <c r="CS70" s="161" t="str">
        <f>IFERROR(IF(Datos_Origen[[#This Row],[Salarios Año]]=12,Datos_Origen[[#This Row],[Básico]]/Datos_Origen[[#This Row],[Salario Integral Pol]],""),"")</f>
        <v/>
      </c>
      <c r="CT70" s="155" t="str">
        <f>IFERROR(ROUND(Datos_Origen[[#This Row],[Salario Integral Pol44]],-3),"")</f>
        <v/>
      </c>
      <c r="CU70" s="155">
        <f>Datos_Origen[[#This Row],[G+Vpol]]-Datos_Origen[[#This Row],[Variable]]</f>
        <v>3645000</v>
      </c>
      <c r="CV70" s="161">
        <f>Datos_Origen[[#This Row],[G]]/Datos_Origen[[#This Row],[Gpol]]</f>
        <v>0.9200300411522635</v>
      </c>
      <c r="CW70" s="154">
        <f>Datos_Origen[[#This Row],[Ctpol]]-Datos_Origen[[#This Row],[Beneficios]]</f>
        <v>3645000</v>
      </c>
      <c r="CX70" s="161">
        <f>Datos_Origen[[#This Row],[G+V]]/Datos_Origen[[#This Row],[G+Vpol]]</f>
        <v>0.9200300411522635</v>
      </c>
      <c r="CY70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3645000</v>
      </c>
      <c r="CZ70" s="161">
        <f>Datos_Origen[[#This Row],[CT]]/Datos_Origen[[#This Row],[Ctpol]]</f>
        <v>0.9200300411522635</v>
      </c>
      <c r="DA70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2850000</v>
      </c>
      <c r="DB70" s="158">
        <f>IF(Datos_Origen[[#This Row],[Básico]]&lt;10*SMMLV,0,Datos_Origen[[#This Row],[Base Seguridad Social Actual]]*8.5%)</f>
        <v>0</v>
      </c>
      <c r="DC70" s="158">
        <f>Datos_Origen[[#This Row],[Base Seguridad Social Actual]]*12%</f>
        <v>342000</v>
      </c>
      <c r="DD70" s="158">
        <f>Datos_Origen[[#This Row],[Base Seguridad Social Actual]]*Datos_Origen[[#This Row],[%ARL]]</f>
        <v>123974.99999999999</v>
      </c>
      <c r="DE70" s="158">
        <f>IF(Datos_Origen[[#This Row],[Básico]]&lt;10*SMMLV,Datos_Origen[[#This Row],[Base Seguridad Social Actual]]*4%,Datos_Origen[[#This Row],[Base Seguridad Social Actual]]*9%)</f>
        <v>114000</v>
      </c>
      <c r="DF70" s="158">
        <f>Datos_Origen[[#This Row],[Salud]]+Datos_Origen[[#This Row],[Pensión]]+Datos_Origen[[#This Row],[ARL]]+Datos_Origen[[#This Row],[Parafiscales]]</f>
        <v>579975</v>
      </c>
      <c r="DG70" s="163">
        <f>Datos_Origen[[#This Row],[Costo Laboral Actual]]+Datos_Origen[[#This Row],[CT]]</f>
        <v>3933484.5000000005</v>
      </c>
      <c r="DH70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3097733.7110481584</v>
      </c>
      <c r="DI70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70" s="158">
        <f>Datos_Origen[[#This Row],[Base Seguridad Social Nueva]]*12%</f>
        <v>371728.04532577901</v>
      </c>
      <c r="DK70" s="158">
        <f>Datos_Origen[[#This Row],[Base Seguridad Social Nueva]]*Datos_Origen[[#This Row],[%ARL]]</f>
        <v>134751.41643059487</v>
      </c>
      <c r="DL70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123909.34844192634</v>
      </c>
      <c r="DM70" s="158">
        <f>Datos_Origen[[#This Row],[Salud Nueva]]+Datos_Origen[[#This Row],[Pensión Nueva]]+Datos_Origen[[#This Row],[ARL nueva]]+Datos_Origen[[#This Row],[Parafiscales Nuevos]]</f>
        <v>630388.81019830017</v>
      </c>
      <c r="DN70" s="158">
        <f>Datos_Origen[[#This Row],[Costo Laboral Nuevo]]+Datos_Origen[[#This Row],[Ctpol]]</f>
        <v>4275388.8101983005</v>
      </c>
      <c r="DO70" s="158">
        <f>IF(Datos_Origen[[#This Row],[Ctpol]]-Datos_Origen[[#This Row],[CT]]&lt;=0,0,Datos_Origen[[#This Row],[Costo Total Nuevo]]-Datos_Origen[[#This Row],[Costo Total Actual]])</f>
        <v>341904.31019830005</v>
      </c>
      <c r="DP70" s="158">
        <f>IF(Datos_Origen[[#This Row],[Ctpol]]-Datos_Origen[[#This Row],[CT]]&lt;=0,0,Datos_Origen[[#This Row],[Ctpol]]-Datos_Origen[[#This Row],[CT]])</f>
        <v>291490.49999999953</v>
      </c>
      <c r="DQ70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50413.810198300169</v>
      </c>
      <c r="DR70" s="158">
        <f>ROUNDDOWN(VLOOKUP(Datos_Origen[[#This Row],[Categoria]],Competitividad_1[],7,0)*IndiceIncrementoC,-3)</f>
        <v>3644000</v>
      </c>
      <c r="DS70" s="158">
        <f>Datos_Origen[[#This Row],[CTeq]]*0.8</f>
        <v>2539610.855080226</v>
      </c>
      <c r="DT70" s="158">
        <f>Datos_Origen[[#This Row],[CTeq]]*1.2</f>
        <v>3809416.2826203383</v>
      </c>
      <c r="DU70" s="155">
        <f>IF(Datos_Origen[[#This Row],[Gpol6]]/(1+FactorPrestacionalOrdinario)&lt;SMMLV,SMMLV,Datos_Origen[[#This Row],[Gpol6]]/(1+FactorPrestacionalOrdinario))</f>
        <v>2478186.9688385269</v>
      </c>
      <c r="DV70" s="139" t="str">
        <f>IF((Datos_Origen[[#This Row],[Gpol6]]/(1+FactorPrestacionalIntegral))&lt;(13*SMMLV),"",(Datos_Origen[[#This Row],[Gpol6]]/(1+FactorPrestacionalIntegral)))</f>
        <v/>
      </c>
      <c r="DW70" s="154">
        <f>Datos_Origen[[#This Row],[G+Vpol8]]</f>
        <v>2916000</v>
      </c>
      <c r="DX70" s="154">
        <f>Datos_Origen[[#This Row],[Ctpol10]]-Datos_Origen[[#This Row],[Beneficios]]</f>
        <v>2916000</v>
      </c>
      <c r="DY70" s="154">
        <f>Datos_Origen[[#This Row],[Ctpol]]*$CM$6</f>
        <v>2916000</v>
      </c>
      <c r="DZ70" s="155">
        <f>IF(Datos_Origen[[#This Row],[Gpol66]]/(1+FactorPrestacionalOrdinario)&lt;SMMLV,SMMLV,Datos_Origen[[#This Row],[Gpol66]]/(1+FactorPrestacionalOrdinario))</f>
        <v>3717280.4532577903</v>
      </c>
      <c r="EA70" s="139" t="str">
        <f>IF((Datos_Origen[[#This Row],[Gpol66]]/(1+FactorPrestacionalIntegral))&lt;(13*SMMLV),"",(Datos_Origen[[#This Row],[Gpol66]]/(1+FactorPrestacionalIntegral)))</f>
        <v/>
      </c>
      <c r="EB70" s="154">
        <f>Datos_Origen[[#This Row],[G+Vpol88]]</f>
        <v>4374000</v>
      </c>
      <c r="EC70" s="154">
        <f>Datos_Origen[[#This Row],[Ctpol1010]]-Datos_Origen[[#This Row],[Beneficios]]</f>
        <v>4374000</v>
      </c>
      <c r="ED70" s="154">
        <f>Datos_Origen[[#This Row],[Ctpol]]*$CP$6</f>
        <v>4374000</v>
      </c>
      <c r="EE70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71" spans="2:135">
      <c r="B71" s="148"/>
      <c r="C71" s="149"/>
      <c r="D71" s="150"/>
      <c r="E71" s="151"/>
      <c r="F71" s="151"/>
      <c r="G71" s="150" t="s">
        <v>337</v>
      </c>
      <c r="H71" s="153"/>
      <c r="I71" s="152" t="s">
        <v>337</v>
      </c>
      <c r="J71" s="130" t="str">
        <f>IFERROR(VLOOKUP(Datos_Origen[[#This Row],[Cargo Tipo Valorado]],Cargos_Catalogo[[#All],[Cargo]:[Área]],2,0),"")</f>
        <v xml:space="preserve">Jefe de proyectos aliados </v>
      </c>
      <c r="K71" s="153"/>
      <c r="L71" s="153"/>
      <c r="M71" s="153"/>
      <c r="N71" s="153"/>
      <c r="O71" s="154">
        <f>Datos_Origen[[#This Row],[Segmentación Individual]]</f>
        <v>0</v>
      </c>
      <c r="P71" s="153"/>
      <c r="Q71" s="154">
        <f>VLOOKUP(Datos_Origen[[#This Row],[Cargo Tipo Valorado]],Cargos_Catalogo[#Data],MATCH(Cargos_Catalogo[[#Headers],[Puntos]],Cargos_Catalogo[#Headers],0),FALSE)</f>
        <v>208</v>
      </c>
      <c r="R71" s="130">
        <f>VLOOKUP(Datos_Origen[[#This Row],[Puntos valoración]],Categorias_Registro[#Data],MATCH(Categorias_Registro[[#Headers],[Categoria]],Categorias_Registro[#Headers],0),FALSE)</f>
        <v>7</v>
      </c>
      <c r="S71" s="130" t="str">
        <f>VLOOKUP(Datos_Origen[[#This Row],[Cargo Tipo Valorado]],Cargos_Catalogo[#Data],MATCH(Cargos_Catalogo[[#Headers],[Nivel SHR]],Cargos_Catalogo[#Headers],0),FALSE)</f>
        <v>Soporte</v>
      </c>
      <c r="T71" s="130" t="str">
        <f>VLOOKUP(Datos_Origen[[#This Row],[Cargo Tipo Valorado]],Cargos_Catalogo[#Data],MATCH(Cargos_Catalogo[[#Headers],[Criticidad]],Cargos_Catalogo[#Headers],0),FALSE)</f>
        <v>Importante</v>
      </c>
      <c r="U71" s="154">
        <f>VLOOKUP(Datos_Origen[[#This Row],[Puntos valoración]],Categorias_Registro[#Data],5,FALSE)</f>
        <v>217</v>
      </c>
      <c r="V71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3353509.5000000005</v>
      </c>
      <c r="W71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71" s="154">
        <f>SUMIF($BA$5:$BJ$5,"NCS",Datos_Origen[[#This Row],[auxilio Gasolina]:[Otro Beneficio10]])+(SUMIF($BA$5:$BJ$5,"CS",Datos_Origen[[#This Row],[auxilio Gasolina]:[Otro Beneficio10]])*1.17667)</f>
        <v>0</v>
      </c>
      <c r="Y71" s="155">
        <f>Datos_Origen[[#This Row],[Básico]]+Datos_Origen[[#This Row],[Promedio de Comisiones  ]]</f>
        <v>2850000</v>
      </c>
      <c r="Z71" s="155">
        <f>Datos_Origen[[#This Row],[Básico]]+Datos_Origen[[#This Row],[Promedio de Comisiones  ]]</f>
        <v>2850000</v>
      </c>
      <c r="AA71" s="155">
        <f>Datos_Origen[[#This Row],[Garantizado]]</f>
        <v>3353509.5000000005</v>
      </c>
      <c r="AB71" s="155">
        <f>Datos_Origen[[#This Row],[Variable]]+Datos_Origen[[#This Row],[Garantizado]]</f>
        <v>3353509.5000000005</v>
      </c>
      <c r="AC71" s="155">
        <f>Datos_Origen[[#This Row],[Beneficios]]+Datos_Origen[[#This Row],[Variable]]+Datos_Origen[[#This Row],[Garantizado]]</f>
        <v>3353509.5000000005</v>
      </c>
      <c r="AD71" s="156">
        <v>14.12</v>
      </c>
      <c r="AE71" s="141">
        <v>230</v>
      </c>
      <c r="AF71" s="345">
        <v>4.3499999999999997E-2</v>
      </c>
      <c r="AG71" s="155">
        <f>Datos_Origen[[#This Row],[Básico Actual]]*230/Datos_Origen[[#This Row],['# horas mes]]</f>
        <v>2850000</v>
      </c>
      <c r="AH71" s="157">
        <v>2850000</v>
      </c>
      <c r="AI71" s="158"/>
      <c r="AJ71" s="158">
        <f>(((Datos_Origen[[#This Row],[Básico]])/30)*$AJ$6)/12</f>
        <v>0</v>
      </c>
      <c r="AK71" s="158"/>
      <c r="AL71" s="143">
        <f>((Datos_Origen[[#This Row],[Básico]])/30)*$AL$6/12</f>
        <v>0</v>
      </c>
      <c r="AM71" s="158"/>
      <c r="AN71" s="158"/>
      <c r="AO71" s="158"/>
      <c r="AP71" s="158"/>
      <c r="AQ71" s="158"/>
      <c r="AR71" s="149">
        <v>0</v>
      </c>
      <c r="AS71" s="149"/>
      <c r="AT71" s="159" t="str">
        <f>IFERROR(Datos_Origen[[#This Row],[Comisiones Target]]/Datos_Origen[[#This Row],[Promedio de Comisiones  ]],"")</f>
        <v/>
      </c>
      <c r="AU71" s="160"/>
      <c r="AV71" s="143">
        <v>0</v>
      </c>
      <c r="AW71" s="160"/>
      <c r="AX71" s="143">
        <f>Datos_Origen[[#This Row],[N Salarios de la Bonificación2]]*Datos_Origen[[#This Row],[Básico]]/12</f>
        <v>0</v>
      </c>
      <c r="AY71" s="160"/>
      <c r="AZ71" s="158"/>
      <c r="BA71" s="149">
        <v>0</v>
      </c>
      <c r="BB71" s="149"/>
      <c r="BC71" s="149"/>
      <c r="BD71" s="149"/>
      <c r="BE71" s="149"/>
      <c r="BF71" s="149"/>
      <c r="BG71" s="149"/>
      <c r="BH71" s="149"/>
      <c r="BI71" s="149"/>
      <c r="BJ71" s="149"/>
      <c r="BK71" s="159">
        <f>IFERROR(Datos_Origen[[#This Row],[Variable]]/Datos_Origen[[#This Row],[CT]],"")</f>
        <v>0</v>
      </c>
      <c r="BL71" s="159">
        <f>IFERROR(Datos_Origen[[#This Row],[Beneficios]]/Datos_Origen[[#This Row],[CT]],"")</f>
        <v>0</v>
      </c>
      <c r="BM71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71" s="161">
        <f>Datos_Origen[[#This Row],[G]]/Datos_Origen[[#This Row],[Geq]]</f>
        <v>1.1383581720064484</v>
      </c>
      <c r="BO71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71" s="161">
        <f>Datos_Origen[[#This Row],[G+V]]/Datos_Origen[[#This Row],[G+Veq]]</f>
        <v>1.0572111778612232</v>
      </c>
      <c r="BQ71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71" s="161">
        <f>Datos_Origen[[#This Row],[CT]]/Datos_Origen[[#This Row],[CTeq]]</f>
        <v>1.0563853098333253</v>
      </c>
      <c r="BS71" s="139">
        <f>ROUNDUP(VLOOKUP(Datos_Origen[[#This Row],[Categoria]],Competitividad_1[#All],2,0)*IndiceIncrementoC,-3)</f>
        <v>2906000</v>
      </c>
      <c r="BT71" s="161">
        <f>Datos_Origen[[#This Row],[G]]/Datos_Origen[[#This Row],[GQ1]]</f>
        <v>1.1539950103234689</v>
      </c>
      <c r="BU71" s="155">
        <f>ROUNDUP(VLOOKUP(Datos_Origen[[#This Row],[Categoria]],Competitividad_1[#All],3,0)*IndiceIncrementoC,-3)</f>
        <v>3009000</v>
      </c>
      <c r="BV71" s="161">
        <f>Datos_Origen[[#This Row],[G+V]]/Datos_Origen[[#This Row],[G+VQ1]]</f>
        <v>1.1144930209371886</v>
      </c>
      <c r="BW71" s="155">
        <f>ROUNDUP(VLOOKUP(Datos_Origen[[#This Row],[Categoria]],Competitividad_1[#All],4,0)*IndiceIncrementoC,-3)</f>
        <v>3129000</v>
      </c>
      <c r="BX71" s="161">
        <f>Datos_Origen[[#This Row],[CT]]/Datos_Origen[[#This Row],[CTQ1]]</f>
        <v>1.0717511984659638</v>
      </c>
      <c r="BY71" s="155">
        <f>ROUNDUP(VLOOKUP(Datos_Origen[[#This Row],[Categoria]],Competitividad_1[#All],5,0)*IndiceIncrementoC,-3)</f>
        <v>3456000</v>
      </c>
      <c r="BZ71" s="161">
        <f>Datos_Origen[[#This Row],[G]]/Datos_Origen[[#This Row],[GMd]]</f>
        <v>0.97034418402777789</v>
      </c>
      <c r="CA71" s="155">
        <f>ROUNDUP(VLOOKUP(Datos_Origen[[#This Row],[Categoria]],Competitividad_1[#All],6,0)*IndiceIncrementoC,-3)</f>
        <v>3483000</v>
      </c>
      <c r="CB71" s="161">
        <f>Datos_Origen[[#This Row],[G+V]]/Datos_Origen[[#This Row],[G+VMd]]</f>
        <v>0.96282213608957812</v>
      </c>
      <c r="CC71" s="155">
        <f>ROUNDUP(VLOOKUP(Datos_Origen[[#This Row],[Categoria]],Competitividad_1[#All],7,0)*IndiceIncrementoC,-3)</f>
        <v>3645000</v>
      </c>
      <c r="CD71" s="161">
        <f>Datos_Origen[[#This Row],[CT]]/Datos_Origen[[#This Row],[CTMd]]</f>
        <v>0.9200300411522635</v>
      </c>
      <c r="CE71" s="155">
        <f>+Datos_Origen[[#This Row],[GMd]]/1.17666666667</f>
        <v>2937110.4815780818</v>
      </c>
      <c r="CF71" s="161">
        <f>+Datos_Origen[[#This Row],[Básico Actual]]/Datos_Origen[[#This Row],[Salario Basico Md]]</f>
        <v>0.97034143518793403</v>
      </c>
      <c r="CG71" s="155">
        <f>ROUNDUP(VLOOKUP(Datos_Origen[[#This Row],[Categoria]],Competitividad_1[#All],8,0)*IndiceIncrementoC,-3)</f>
        <v>4712000</v>
      </c>
      <c r="CH71" s="161">
        <f>Datos_Origen[[#This Row],[G]]/Datos_Origen[[#This Row],[GQ3]]</f>
        <v>0.71169556451612914</v>
      </c>
      <c r="CI71" s="155">
        <f>ROUNDUP(VLOOKUP(Datos_Origen[[#This Row],[Categoria]],Competitividad_1[#All],9,0)*IndiceIncrementoC,-3)</f>
        <v>4847000</v>
      </c>
      <c r="CJ71" s="161">
        <f>Datos_Origen[[#This Row],[G+V]]/Datos_Origen[[#This Row],[G+VQ3]]</f>
        <v>0.69187322054879319</v>
      </c>
      <c r="CK71" s="155">
        <f>ROUNDUP(VLOOKUP(Datos_Origen[[#This Row],[Categoria]],Competitividad_1[#All],10,0)*IndiceIncrementoC,-3)</f>
        <v>4977000</v>
      </c>
      <c r="CL71" s="161">
        <f>Datos_Origen[[#This Row],[CT]]/Datos_Origen[[#This Row],[CTQ3]]</f>
        <v>0.67380138637733589</v>
      </c>
      <c r="CM71" s="162">
        <f>IF(ROUND(Datos_Origen[[#This Row],[Salario Ordinario Pol2]],-3)&lt;SMMLV,SMMLV,ROUND(Datos_Origen[[#This Row],[Salario Ordinario Pol2]],-3))</f>
        <v>2478000</v>
      </c>
      <c r="CN71" s="155">
        <f>IF(Datos_Origen[[#This Row],[Gpol]]/(1+FactorPrestacionalOrdinario)&lt;SMMLV,SMMLV,Datos_Origen[[#This Row],[Gpol]]/(1+FactorPrestacionalOrdinario))</f>
        <v>3097733.7110481584</v>
      </c>
      <c r="CO71" s="161">
        <f>IFERROR(IF(Datos_Origen[[#This Row],[Salarios Año]]=14.12,Datos_Origen[[#This Row],[Básico]]/Datos_Origen[[#This Row],[Salario Ordinario Pol]],""),"")</f>
        <v>0.92002743484224969</v>
      </c>
      <c r="CP71" s="155">
        <f>IF(ROUND(Datos_Origen[[#This Row],[Salario Ordinario Pol22]],-3)&lt;SMMLV,SMMLV,ROUND(Datos_Origen[[#This Row],[Salario Ordinario Pol22]],-3))</f>
        <v>3717000</v>
      </c>
      <c r="CQ71" s="155" t="str">
        <f>IFERROR(ROUND(Datos_Origen[[#This Row],[Salario Integral Pol4]],-3),"")</f>
        <v/>
      </c>
      <c r="CR71" s="139" t="str">
        <f>IF((Datos_Origen[[#This Row],[Gpol]]/(1+FactorPrestacionalIntegral))&lt;(13*SMMLV),"",(Datos_Origen[[#This Row],[Gpol]]/(1+FactorPrestacionalIntegral)))</f>
        <v/>
      </c>
      <c r="CS71" s="161" t="str">
        <f>IFERROR(IF(Datos_Origen[[#This Row],[Salarios Año]]=12,Datos_Origen[[#This Row],[Básico]]/Datos_Origen[[#This Row],[Salario Integral Pol]],""),"")</f>
        <v/>
      </c>
      <c r="CT71" s="155" t="str">
        <f>IFERROR(ROUND(Datos_Origen[[#This Row],[Salario Integral Pol44]],-3),"")</f>
        <v/>
      </c>
      <c r="CU71" s="155">
        <f>Datos_Origen[[#This Row],[G+Vpol]]-Datos_Origen[[#This Row],[Variable]]</f>
        <v>3645000</v>
      </c>
      <c r="CV71" s="161">
        <f>Datos_Origen[[#This Row],[G]]/Datos_Origen[[#This Row],[Gpol]]</f>
        <v>0.9200300411522635</v>
      </c>
      <c r="CW71" s="154">
        <f>Datos_Origen[[#This Row],[Ctpol]]-Datos_Origen[[#This Row],[Beneficios]]</f>
        <v>3645000</v>
      </c>
      <c r="CX71" s="161">
        <f>Datos_Origen[[#This Row],[G+V]]/Datos_Origen[[#This Row],[G+Vpol]]</f>
        <v>0.9200300411522635</v>
      </c>
      <c r="CY71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3645000</v>
      </c>
      <c r="CZ71" s="161">
        <f>Datos_Origen[[#This Row],[CT]]/Datos_Origen[[#This Row],[Ctpol]]</f>
        <v>0.9200300411522635</v>
      </c>
      <c r="DA71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2850000</v>
      </c>
      <c r="DB71" s="158">
        <f>IF(Datos_Origen[[#This Row],[Básico]]&lt;10*SMMLV,0,Datos_Origen[[#This Row],[Base Seguridad Social Actual]]*8.5%)</f>
        <v>0</v>
      </c>
      <c r="DC71" s="158">
        <f>Datos_Origen[[#This Row],[Base Seguridad Social Actual]]*12%</f>
        <v>342000</v>
      </c>
      <c r="DD71" s="158">
        <f>Datos_Origen[[#This Row],[Base Seguridad Social Actual]]*Datos_Origen[[#This Row],[%ARL]]</f>
        <v>123974.99999999999</v>
      </c>
      <c r="DE71" s="158">
        <f>IF(Datos_Origen[[#This Row],[Básico]]&lt;10*SMMLV,Datos_Origen[[#This Row],[Base Seguridad Social Actual]]*4%,Datos_Origen[[#This Row],[Base Seguridad Social Actual]]*9%)</f>
        <v>114000</v>
      </c>
      <c r="DF71" s="158">
        <f>Datos_Origen[[#This Row],[Salud]]+Datos_Origen[[#This Row],[Pensión]]+Datos_Origen[[#This Row],[ARL]]+Datos_Origen[[#This Row],[Parafiscales]]</f>
        <v>579975</v>
      </c>
      <c r="DG71" s="163">
        <f>Datos_Origen[[#This Row],[Costo Laboral Actual]]+Datos_Origen[[#This Row],[CT]]</f>
        <v>3933484.5000000005</v>
      </c>
      <c r="DH71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3097733.7110481584</v>
      </c>
      <c r="DI71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71" s="158">
        <f>Datos_Origen[[#This Row],[Base Seguridad Social Nueva]]*12%</f>
        <v>371728.04532577901</v>
      </c>
      <c r="DK71" s="158">
        <f>Datos_Origen[[#This Row],[Base Seguridad Social Nueva]]*Datos_Origen[[#This Row],[%ARL]]</f>
        <v>134751.41643059487</v>
      </c>
      <c r="DL71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123909.34844192634</v>
      </c>
      <c r="DM71" s="158">
        <f>Datos_Origen[[#This Row],[Salud Nueva]]+Datos_Origen[[#This Row],[Pensión Nueva]]+Datos_Origen[[#This Row],[ARL nueva]]+Datos_Origen[[#This Row],[Parafiscales Nuevos]]</f>
        <v>630388.81019830017</v>
      </c>
      <c r="DN71" s="158">
        <f>Datos_Origen[[#This Row],[Costo Laboral Nuevo]]+Datos_Origen[[#This Row],[Ctpol]]</f>
        <v>4275388.8101983005</v>
      </c>
      <c r="DO71" s="158">
        <f>IF(Datos_Origen[[#This Row],[Ctpol]]-Datos_Origen[[#This Row],[CT]]&lt;=0,0,Datos_Origen[[#This Row],[Costo Total Nuevo]]-Datos_Origen[[#This Row],[Costo Total Actual]])</f>
        <v>341904.31019830005</v>
      </c>
      <c r="DP71" s="158">
        <f>IF(Datos_Origen[[#This Row],[Ctpol]]-Datos_Origen[[#This Row],[CT]]&lt;=0,0,Datos_Origen[[#This Row],[Ctpol]]-Datos_Origen[[#This Row],[CT]])</f>
        <v>291490.49999999953</v>
      </c>
      <c r="DQ71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50413.810198300169</v>
      </c>
      <c r="DR71" s="158">
        <f>ROUNDDOWN(VLOOKUP(Datos_Origen[[#This Row],[Categoria]],Competitividad_1[],7,0)*IndiceIncrementoC,-3)</f>
        <v>3644000</v>
      </c>
      <c r="DS71" s="158">
        <f>Datos_Origen[[#This Row],[CTeq]]*0.8</f>
        <v>2539610.855080226</v>
      </c>
      <c r="DT71" s="158">
        <f>Datos_Origen[[#This Row],[CTeq]]*1.2</f>
        <v>3809416.2826203383</v>
      </c>
      <c r="DU71" s="155">
        <f>IF(Datos_Origen[[#This Row],[Gpol6]]/(1+FactorPrestacionalOrdinario)&lt;SMMLV,SMMLV,Datos_Origen[[#This Row],[Gpol6]]/(1+FactorPrestacionalOrdinario))</f>
        <v>2478186.9688385269</v>
      </c>
      <c r="DV71" s="139" t="str">
        <f>IF((Datos_Origen[[#This Row],[Gpol6]]/(1+FactorPrestacionalIntegral))&lt;(13*SMMLV),"",(Datos_Origen[[#This Row],[Gpol6]]/(1+FactorPrestacionalIntegral)))</f>
        <v/>
      </c>
      <c r="DW71" s="154">
        <f>Datos_Origen[[#This Row],[G+Vpol8]]</f>
        <v>2916000</v>
      </c>
      <c r="DX71" s="154">
        <f>Datos_Origen[[#This Row],[Ctpol10]]-Datos_Origen[[#This Row],[Beneficios]]</f>
        <v>2916000</v>
      </c>
      <c r="DY71" s="154">
        <f>Datos_Origen[[#This Row],[Ctpol]]*$CM$6</f>
        <v>2916000</v>
      </c>
      <c r="DZ71" s="155">
        <f>IF(Datos_Origen[[#This Row],[Gpol66]]/(1+FactorPrestacionalOrdinario)&lt;SMMLV,SMMLV,Datos_Origen[[#This Row],[Gpol66]]/(1+FactorPrestacionalOrdinario))</f>
        <v>3717280.4532577903</v>
      </c>
      <c r="EA71" s="139" t="str">
        <f>IF((Datos_Origen[[#This Row],[Gpol66]]/(1+FactorPrestacionalIntegral))&lt;(13*SMMLV),"",(Datos_Origen[[#This Row],[Gpol66]]/(1+FactorPrestacionalIntegral)))</f>
        <v/>
      </c>
      <c r="EB71" s="154">
        <f>Datos_Origen[[#This Row],[G+Vpol88]]</f>
        <v>4374000</v>
      </c>
      <c r="EC71" s="154">
        <f>Datos_Origen[[#This Row],[Ctpol1010]]-Datos_Origen[[#This Row],[Beneficios]]</f>
        <v>4374000</v>
      </c>
      <c r="ED71" s="154">
        <f>Datos_Origen[[#This Row],[Ctpol]]*$CP$6</f>
        <v>4374000</v>
      </c>
      <c r="EE71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72" spans="2:135">
      <c r="B72" s="148"/>
      <c r="C72" s="149"/>
      <c r="D72" s="150"/>
      <c r="E72" s="151"/>
      <c r="F72" s="151"/>
      <c r="G72" s="150" t="s">
        <v>337</v>
      </c>
      <c r="H72" s="153"/>
      <c r="I72" s="152" t="s">
        <v>337</v>
      </c>
      <c r="J72" s="130" t="str">
        <f>IFERROR(VLOOKUP(Datos_Origen[[#This Row],[Cargo Tipo Valorado]],Cargos_Catalogo[[#All],[Cargo]:[Área]],2,0),"")</f>
        <v xml:space="preserve">Jefe de proyectos aliados </v>
      </c>
      <c r="K72" s="153"/>
      <c r="L72" s="153"/>
      <c r="M72" s="153"/>
      <c r="N72" s="153"/>
      <c r="O72" s="154">
        <f>Datos_Origen[[#This Row],[Segmentación Individual]]</f>
        <v>0</v>
      </c>
      <c r="P72" s="153"/>
      <c r="Q72" s="154">
        <f>VLOOKUP(Datos_Origen[[#This Row],[Cargo Tipo Valorado]],Cargos_Catalogo[#Data],MATCH(Cargos_Catalogo[[#Headers],[Puntos]],Cargos_Catalogo[#Headers],0),FALSE)</f>
        <v>208</v>
      </c>
      <c r="R72" s="130">
        <f>VLOOKUP(Datos_Origen[[#This Row],[Puntos valoración]],Categorias_Registro[#Data],MATCH(Categorias_Registro[[#Headers],[Categoria]],Categorias_Registro[#Headers],0),FALSE)</f>
        <v>7</v>
      </c>
      <c r="S72" s="130" t="str">
        <f>VLOOKUP(Datos_Origen[[#This Row],[Cargo Tipo Valorado]],Cargos_Catalogo[#Data],MATCH(Cargos_Catalogo[[#Headers],[Nivel SHR]],Cargos_Catalogo[#Headers],0),FALSE)</f>
        <v>Soporte</v>
      </c>
      <c r="T72" s="130" t="str">
        <f>VLOOKUP(Datos_Origen[[#This Row],[Cargo Tipo Valorado]],Cargos_Catalogo[#Data],MATCH(Cargos_Catalogo[[#Headers],[Criticidad]],Cargos_Catalogo[#Headers],0),FALSE)</f>
        <v>Importante</v>
      </c>
      <c r="U72" s="154">
        <f>VLOOKUP(Datos_Origen[[#This Row],[Puntos valoración]],Categorias_Registro[#Data],5,FALSE)</f>
        <v>217</v>
      </c>
      <c r="V72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3353509.5000000005</v>
      </c>
      <c r="W72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72" s="154">
        <f>SUMIF($BA$5:$BJ$5,"NCS",Datos_Origen[[#This Row],[auxilio Gasolina]:[Otro Beneficio10]])+(SUMIF($BA$5:$BJ$5,"CS",Datos_Origen[[#This Row],[auxilio Gasolina]:[Otro Beneficio10]])*1.17667)</f>
        <v>0</v>
      </c>
      <c r="Y72" s="155">
        <f>Datos_Origen[[#This Row],[Básico]]+Datos_Origen[[#This Row],[Promedio de Comisiones  ]]</f>
        <v>2850000</v>
      </c>
      <c r="Z72" s="155">
        <f>Datos_Origen[[#This Row],[Básico]]+Datos_Origen[[#This Row],[Promedio de Comisiones  ]]</f>
        <v>2850000</v>
      </c>
      <c r="AA72" s="155">
        <f>Datos_Origen[[#This Row],[Garantizado]]</f>
        <v>3353509.5000000005</v>
      </c>
      <c r="AB72" s="155">
        <f>Datos_Origen[[#This Row],[Variable]]+Datos_Origen[[#This Row],[Garantizado]]</f>
        <v>3353509.5000000005</v>
      </c>
      <c r="AC72" s="155">
        <f>Datos_Origen[[#This Row],[Beneficios]]+Datos_Origen[[#This Row],[Variable]]+Datos_Origen[[#This Row],[Garantizado]]</f>
        <v>3353509.5000000005</v>
      </c>
      <c r="AD72" s="156">
        <v>14.12</v>
      </c>
      <c r="AE72" s="141">
        <v>230</v>
      </c>
      <c r="AF72" s="345">
        <v>4.3499999999999997E-2</v>
      </c>
      <c r="AG72" s="155">
        <f>Datos_Origen[[#This Row],[Básico Actual]]*230/Datos_Origen[[#This Row],['# horas mes]]</f>
        <v>2850000</v>
      </c>
      <c r="AH72" s="157">
        <v>2850000</v>
      </c>
      <c r="AI72" s="158"/>
      <c r="AJ72" s="158">
        <f>(((Datos_Origen[[#This Row],[Básico]])/30)*$AJ$6)/12</f>
        <v>0</v>
      </c>
      <c r="AK72" s="158"/>
      <c r="AL72" s="143">
        <f>((Datos_Origen[[#This Row],[Básico]])/30)*$AL$6/12</f>
        <v>0</v>
      </c>
      <c r="AM72" s="158"/>
      <c r="AN72" s="158"/>
      <c r="AO72" s="158"/>
      <c r="AP72" s="158"/>
      <c r="AQ72" s="158"/>
      <c r="AR72" s="149">
        <v>0</v>
      </c>
      <c r="AS72" s="149"/>
      <c r="AT72" s="159" t="str">
        <f>IFERROR(Datos_Origen[[#This Row],[Comisiones Target]]/Datos_Origen[[#This Row],[Promedio de Comisiones  ]],"")</f>
        <v/>
      </c>
      <c r="AU72" s="160"/>
      <c r="AV72" s="143">
        <v>0</v>
      </c>
      <c r="AW72" s="160"/>
      <c r="AX72" s="143">
        <f>Datos_Origen[[#This Row],[N Salarios de la Bonificación2]]*Datos_Origen[[#This Row],[Básico]]/12</f>
        <v>0</v>
      </c>
      <c r="AY72" s="160"/>
      <c r="AZ72" s="158"/>
      <c r="BA72" s="149">
        <v>0</v>
      </c>
      <c r="BB72" s="149"/>
      <c r="BC72" s="149"/>
      <c r="BD72" s="149"/>
      <c r="BE72" s="149"/>
      <c r="BF72" s="149"/>
      <c r="BG72" s="149"/>
      <c r="BH72" s="149"/>
      <c r="BI72" s="149"/>
      <c r="BJ72" s="149"/>
      <c r="BK72" s="159">
        <f>IFERROR(Datos_Origen[[#This Row],[Variable]]/Datos_Origen[[#This Row],[CT]],"")</f>
        <v>0</v>
      </c>
      <c r="BL72" s="159">
        <f>IFERROR(Datos_Origen[[#This Row],[Beneficios]]/Datos_Origen[[#This Row],[CT]],"")</f>
        <v>0</v>
      </c>
      <c r="BM72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72" s="161">
        <f>Datos_Origen[[#This Row],[G]]/Datos_Origen[[#This Row],[Geq]]</f>
        <v>1.1383581720064484</v>
      </c>
      <c r="BO72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72" s="161">
        <f>Datos_Origen[[#This Row],[G+V]]/Datos_Origen[[#This Row],[G+Veq]]</f>
        <v>1.0572111778612232</v>
      </c>
      <c r="BQ72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72" s="161">
        <f>Datos_Origen[[#This Row],[CT]]/Datos_Origen[[#This Row],[CTeq]]</f>
        <v>1.0563853098333253</v>
      </c>
      <c r="BS72" s="139">
        <f>ROUNDUP(VLOOKUP(Datos_Origen[[#This Row],[Categoria]],Competitividad_1[#All],2,0)*IndiceIncrementoC,-3)</f>
        <v>2906000</v>
      </c>
      <c r="BT72" s="161">
        <f>Datos_Origen[[#This Row],[G]]/Datos_Origen[[#This Row],[GQ1]]</f>
        <v>1.1539950103234689</v>
      </c>
      <c r="BU72" s="155">
        <f>ROUNDUP(VLOOKUP(Datos_Origen[[#This Row],[Categoria]],Competitividad_1[#All],3,0)*IndiceIncrementoC,-3)</f>
        <v>3009000</v>
      </c>
      <c r="BV72" s="161">
        <f>Datos_Origen[[#This Row],[G+V]]/Datos_Origen[[#This Row],[G+VQ1]]</f>
        <v>1.1144930209371886</v>
      </c>
      <c r="BW72" s="155">
        <f>ROUNDUP(VLOOKUP(Datos_Origen[[#This Row],[Categoria]],Competitividad_1[#All],4,0)*IndiceIncrementoC,-3)</f>
        <v>3129000</v>
      </c>
      <c r="BX72" s="161">
        <f>Datos_Origen[[#This Row],[CT]]/Datos_Origen[[#This Row],[CTQ1]]</f>
        <v>1.0717511984659638</v>
      </c>
      <c r="BY72" s="155">
        <f>ROUNDUP(VLOOKUP(Datos_Origen[[#This Row],[Categoria]],Competitividad_1[#All],5,0)*IndiceIncrementoC,-3)</f>
        <v>3456000</v>
      </c>
      <c r="BZ72" s="161">
        <f>Datos_Origen[[#This Row],[G]]/Datos_Origen[[#This Row],[GMd]]</f>
        <v>0.97034418402777789</v>
      </c>
      <c r="CA72" s="155">
        <f>ROUNDUP(VLOOKUP(Datos_Origen[[#This Row],[Categoria]],Competitividad_1[#All],6,0)*IndiceIncrementoC,-3)</f>
        <v>3483000</v>
      </c>
      <c r="CB72" s="161">
        <f>Datos_Origen[[#This Row],[G+V]]/Datos_Origen[[#This Row],[G+VMd]]</f>
        <v>0.96282213608957812</v>
      </c>
      <c r="CC72" s="155">
        <f>ROUNDUP(VLOOKUP(Datos_Origen[[#This Row],[Categoria]],Competitividad_1[#All],7,0)*IndiceIncrementoC,-3)</f>
        <v>3645000</v>
      </c>
      <c r="CD72" s="161">
        <f>Datos_Origen[[#This Row],[CT]]/Datos_Origen[[#This Row],[CTMd]]</f>
        <v>0.9200300411522635</v>
      </c>
      <c r="CE72" s="155">
        <f>+Datos_Origen[[#This Row],[GMd]]/1.17666666667</f>
        <v>2937110.4815780818</v>
      </c>
      <c r="CF72" s="161">
        <f>+Datos_Origen[[#This Row],[Básico Actual]]/Datos_Origen[[#This Row],[Salario Basico Md]]</f>
        <v>0.97034143518793403</v>
      </c>
      <c r="CG72" s="155">
        <f>ROUNDUP(VLOOKUP(Datos_Origen[[#This Row],[Categoria]],Competitividad_1[#All],8,0)*IndiceIncrementoC,-3)</f>
        <v>4712000</v>
      </c>
      <c r="CH72" s="161">
        <f>Datos_Origen[[#This Row],[G]]/Datos_Origen[[#This Row],[GQ3]]</f>
        <v>0.71169556451612914</v>
      </c>
      <c r="CI72" s="155">
        <f>ROUNDUP(VLOOKUP(Datos_Origen[[#This Row],[Categoria]],Competitividad_1[#All],9,0)*IndiceIncrementoC,-3)</f>
        <v>4847000</v>
      </c>
      <c r="CJ72" s="161">
        <f>Datos_Origen[[#This Row],[G+V]]/Datos_Origen[[#This Row],[G+VQ3]]</f>
        <v>0.69187322054879319</v>
      </c>
      <c r="CK72" s="155">
        <f>ROUNDUP(VLOOKUP(Datos_Origen[[#This Row],[Categoria]],Competitividad_1[#All],10,0)*IndiceIncrementoC,-3)</f>
        <v>4977000</v>
      </c>
      <c r="CL72" s="161">
        <f>Datos_Origen[[#This Row],[CT]]/Datos_Origen[[#This Row],[CTQ3]]</f>
        <v>0.67380138637733589</v>
      </c>
      <c r="CM72" s="162">
        <f>IF(ROUND(Datos_Origen[[#This Row],[Salario Ordinario Pol2]],-3)&lt;SMMLV,SMMLV,ROUND(Datos_Origen[[#This Row],[Salario Ordinario Pol2]],-3))</f>
        <v>2478000</v>
      </c>
      <c r="CN72" s="155">
        <f>IF(Datos_Origen[[#This Row],[Gpol]]/(1+FactorPrestacionalOrdinario)&lt;SMMLV,SMMLV,Datos_Origen[[#This Row],[Gpol]]/(1+FactorPrestacionalOrdinario))</f>
        <v>3097733.7110481584</v>
      </c>
      <c r="CO72" s="161">
        <f>IFERROR(IF(Datos_Origen[[#This Row],[Salarios Año]]=14.12,Datos_Origen[[#This Row],[Básico]]/Datos_Origen[[#This Row],[Salario Ordinario Pol]],""),"")</f>
        <v>0.92002743484224969</v>
      </c>
      <c r="CP72" s="155">
        <f>IF(ROUND(Datos_Origen[[#This Row],[Salario Ordinario Pol22]],-3)&lt;SMMLV,SMMLV,ROUND(Datos_Origen[[#This Row],[Salario Ordinario Pol22]],-3))</f>
        <v>3717000</v>
      </c>
      <c r="CQ72" s="155" t="str">
        <f>IFERROR(ROUND(Datos_Origen[[#This Row],[Salario Integral Pol4]],-3),"")</f>
        <v/>
      </c>
      <c r="CR72" s="139" t="str">
        <f>IF((Datos_Origen[[#This Row],[Gpol]]/(1+FactorPrestacionalIntegral))&lt;(13*SMMLV),"",(Datos_Origen[[#This Row],[Gpol]]/(1+FactorPrestacionalIntegral)))</f>
        <v/>
      </c>
      <c r="CS72" s="161" t="str">
        <f>IFERROR(IF(Datos_Origen[[#This Row],[Salarios Año]]=12,Datos_Origen[[#This Row],[Básico]]/Datos_Origen[[#This Row],[Salario Integral Pol]],""),"")</f>
        <v/>
      </c>
      <c r="CT72" s="155" t="str">
        <f>IFERROR(ROUND(Datos_Origen[[#This Row],[Salario Integral Pol44]],-3),"")</f>
        <v/>
      </c>
      <c r="CU72" s="155">
        <f>Datos_Origen[[#This Row],[G+Vpol]]-Datos_Origen[[#This Row],[Variable]]</f>
        <v>3645000</v>
      </c>
      <c r="CV72" s="161">
        <f>Datos_Origen[[#This Row],[G]]/Datos_Origen[[#This Row],[Gpol]]</f>
        <v>0.9200300411522635</v>
      </c>
      <c r="CW72" s="154">
        <f>Datos_Origen[[#This Row],[Ctpol]]-Datos_Origen[[#This Row],[Beneficios]]</f>
        <v>3645000</v>
      </c>
      <c r="CX72" s="161">
        <f>Datos_Origen[[#This Row],[G+V]]/Datos_Origen[[#This Row],[G+Vpol]]</f>
        <v>0.9200300411522635</v>
      </c>
      <c r="CY72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3645000</v>
      </c>
      <c r="CZ72" s="161">
        <f>Datos_Origen[[#This Row],[CT]]/Datos_Origen[[#This Row],[Ctpol]]</f>
        <v>0.9200300411522635</v>
      </c>
      <c r="DA72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2850000</v>
      </c>
      <c r="DB72" s="158">
        <f>IF(Datos_Origen[[#This Row],[Básico]]&lt;10*SMMLV,0,Datos_Origen[[#This Row],[Base Seguridad Social Actual]]*8.5%)</f>
        <v>0</v>
      </c>
      <c r="DC72" s="158">
        <f>Datos_Origen[[#This Row],[Base Seguridad Social Actual]]*12%</f>
        <v>342000</v>
      </c>
      <c r="DD72" s="158">
        <f>Datos_Origen[[#This Row],[Base Seguridad Social Actual]]*Datos_Origen[[#This Row],[%ARL]]</f>
        <v>123974.99999999999</v>
      </c>
      <c r="DE72" s="158">
        <f>IF(Datos_Origen[[#This Row],[Básico]]&lt;10*SMMLV,Datos_Origen[[#This Row],[Base Seguridad Social Actual]]*4%,Datos_Origen[[#This Row],[Base Seguridad Social Actual]]*9%)</f>
        <v>114000</v>
      </c>
      <c r="DF72" s="158">
        <f>Datos_Origen[[#This Row],[Salud]]+Datos_Origen[[#This Row],[Pensión]]+Datos_Origen[[#This Row],[ARL]]+Datos_Origen[[#This Row],[Parafiscales]]</f>
        <v>579975</v>
      </c>
      <c r="DG72" s="163">
        <f>Datos_Origen[[#This Row],[Costo Laboral Actual]]+Datos_Origen[[#This Row],[CT]]</f>
        <v>3933484.5000000005</v>
      </c>
      <c r="DH72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3097733.7110481584</v>
      </c>
      <c r="DI72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72" s="158">
        <f>Datos_Origen[[#This Row],[Base Seguridad Social Nueva]]*12%</f>
        <v>371728.04532577901</v>
      </c>
      <c r="DK72" s="158">
        <f>Datos_Origen[[#This Row],[Base Seguridad Social Nueva]]*Datos_Origen[[#This Row],[%ARL]]</f>
        <v>134751.41643059487</v>
      </c>
      <c r="DL72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123909.34844192634</v>
      </c>
      <c r="DM72" s="158">
        <f>Datos_Origen[[#This Row],[Salud Nueva]]+Datos_Origen[[#This Row],[Pensión Nueva]]+Datos_Origen[[#This Row],[ARL nueva]]+Datos_Origen[[#This Row],[Parafiscales Nuevos]]</f>
        <v>630388.81019830017</v>
      </c>
      <c r="DN72" s="158">
        <f>Datos_Origen[[#This Row],[Costo Laboral Nuevo]]+Datos_Origen[[#This Row],[Ctpol]]</f>
        <v>4275388.8101983005</v>
      </c>
      <c r="DO72" s="158">
        <f>IF(Datos_Origen[[#This Row],[Ctpol]]-Datos_Origen[[#This Row],[CT]]&lt;=0,0,Datos_Origen[[#This Row],[Costo Total Nuevo]]-Datos_Origen[[#This Row],[Costo Total Actual]])</f>
        <v>341904.31019830005</v>
      </c>
      <c r="DP72" s="158">
        <f>IF(Datos_Origen[[#This Row],[Ctpol]]-Datos_Origen[[#This Row],[CT]]&lt;=0,0,Datos_Origen[[#This Row],[Ctpol]]-Datos_Origen[[#This Row],[CT]])</f>
        <v>291490.49999999953</v>
      </c>
      <c r="DQ72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50413.810198300169</v>
      </c>
      <c r="DR72" s="158">
        <f>ROUNDDOWN(VLOOKUP(Datos_Origen[[#This Row],[Categoria]],Competitividad_1[],7,0)*IndiceIncrementoC,-3)</f>
        <v>3644000</v>
      </c>
      <c r="DS72" s="158">
        <f>Datos_Origen[[#This Row],[CTeq]]*0.8</f>
        <v>2539610.855080226</v>
      </c>
      <c r="DT72" s="158">
        <f>Datos_Origen[[#This Row],[CTeq]]*1.2</f>
        <v>3809416.2826203383</v>
      </c>
      <c r="DU72" s="155">
        <f>IF(Datos_Origen[[#This Row],[Gpol6]]/(1+FactorPrestacionalOrdinario)&lt;SMMLV,SMMLV,Datos_Origen[[#This Row],[Gpol6]]/(1+FactorPrestacionalOrdinario))</f>
        <v>2478186.9688385269</v>
      </c>
      <c r="DV72" s="139" t="str">
        <f>IF((Datos_Origen[[#This Row],[Gpol6]]/(1+FactorPrestacionalIntegral))&lt;(13*SMMLV),"",(Datos_Origen[[#This Row],[Gpol6]]/(1+FactorPrestacionalIntegral)))</f>
        <v/>
      </c>
      <c r="DW72" s="154">
        <f>Datos_Origen[[#This Row],[G+Vpol8]]</f>
        <v>2916000</v>
      </c>
      <c r="DX72" s="154">
        <f>Datos_Origen[[#This Row],[Ctpol10]]-Datos_Origen[[#This Row],[Beneficios]]</f>
        <v>2916000</v>
      </c>
      <c r="DY72" s="154">
        <f>Datos_Origen[[#This Row],[Ctpol]]*$CM$6</f>
        <v>2916000</v>
      </c>
      <c r="DZ72" s="155">
        <f>IF(Datos_Origen[[#This Row],[Gpol66]]/(1+FactorPrestacionalOrdinario)&lt;SMMLV,SMMLV,Datos_Origen[[#This Row],[Gpol66]]/(1+FactorPrestacionalOrdinario))</f>
        <v>3717280.4532577903</v>
      </c>
      <c r="EA72" s="139" t="str">
        <f>IF((Datos_Origen[[#This Row],[Gpol66]]/(1+FactorPrestacionalIntegral))&lt;(13*SMMLV),"",(Datos_Origen[[#This Row],[Gpol66]]/(1+FactorPrestacionalIntegral)))</f>
        <v/>
      </c>
      <c r="EB72" s="154">
        <f>Datos_Origen[[#This Row],[G+Vpol88]]</f>
        <v>4374000</v>
      </c>
      <c r="EC72" s="154">
        <f>Datos_Origen[[#This Row],[Ctpol1010]]-Datos_Origen[[#This Row],[Beneficios]]</f>
        <v>4374000</v>
      </c>
      <c r="ED72" s="154">
        <f>Datos_Origen[[#This Row],[Ctpol]]*$CP$6</f>
        <v>4374000</v>
      </c>
      <c r="EE72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73" spans="2:135">
      <c r="B73" s="132"/>
      <c r="C73" s="149"/>
      <c r="D73" s="150"/>
      <c r="E73" s="151"/>
      <c r="F73" s="151"/>
      <c r="G73" s="150" t="s">
        <v>337</v>
      </c>
      <c r="H73" s="153"/>
      <c r="I73" s="152" t="s">
        <v>337</v>
      </c>
      <c r="J73" s="130" t="str">
        <f>IFERROR(VLOOKUP(Datos_Origen[[#This Row],[Cargo Tipo Valorado]],Cargos_Catalogo[[#All],[Cargo]:[Área]],2,0),"")</f>
        <v xml:space="preserve">Jefe de proyectos aliados </v>
      </c>
      <c r="K73" s="153"/>
      <c r="L73" s="153"/>
      <c r="M73" s="153"/>
      <c r="N73" s="153"/>
      <c r="O73" s="154">
        <f>Datos_Origen[[#This Row],[Segmentación Individual]]</f>
        <v>0</v>
      </c>
      <c r="P73" s="153"/>
      <c r="Q73" s="154">
        <f>VLOOKUP(Datos_Origen[[#This Row],[Cargo Tipo Valorado]],Cargos_Catalogo[#Data],MATCH(Cargos_Catalogo[[#Headers],[Puntos]],Cargos_Catalogo[#Headers],0),FALSE)</f>
        <v>208</v>
      </c>
      <c r="R73" s="130">
        <f>VLOOKUP(Datos_Origen[[#This Row],[Puntos valoración]],Categorias_Registro[#Data],MATCH(Categorias_Registro[[#Headers],[Categoria]],Categorias_Registro[#Headers],0),FALSE)</f>
        <v>7</v>
      </c>
      <c r="S73" s="130" t="str">
        <f>VLOOKUP(Datos_Origen[[#This Row],[Cargo Tipo Valorado]],Cargos_Catalogo[#Data],MATCH(Cargos_Catalogo[[#Headers],[Nivel SHR]],Cargos_Catalogo[#Headers],0),FALSE)</f>
        <v>Soporte</v>
      </c>
      <c r="T73" s="130" t="str">
        <f>VLOOKUP(Datos_Origen[[#This Row],[Cargo Tipo Valorado]],Cargos_Catalogo[#Data],MATCH(Cargos_Catalogo[[#Headers],[Criticidad]],Cargos_Catalogo[#Headers],0),FALSE)</f>
        <v>Importante</v>
      </c>
      <c r="U73" s="154">
        <f>VLOOKUP(Datos_Origen[[#This Row],[Puntos valoración]],Categorias_Registro[#Data],5,FALSE)</f>
        <v>217</v>
      </c>
      <c r="V73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3353509.5000000005</v>
      </c>
      <c r="W73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73" s="154">
        <f>SUMIF($BA$5:$BJ$5,"NCS",Datos_Origen[[#This Row],[auxilio Gasolina]:[Otro Beneficio10]])+(SUMIF($BA$5:$BJ$5,"CS",Datos_Origen[[#This Row],[auxilio Gasolina]:[Otro Beneficio10]])*1.17667)</f>
        <v>0</v>
      </c>
      <c r="Y73" s="155">
        <f>Datos_Origen[[#This Row],[Básico]]+Datos_Origen[[#This Row],[Promedio de Comisiones  ]]</f>
        <v>2850000</v>
      </c>
      <c r="Z73" s="155">
        <f>Datos_Origen[[#This Row],[Básico]]+Datos_Origen[[#This Row],[Promedio de Comisiones  ]]</f>
        <v>2850000</v>
      </c>
      <c r="AA73" s="155">
        <f>Datos_Origen[[#This Row],[Garantizado]]</f>
        <v>3353509.5000000005</v>
      </c>
      <c r="AB73" s="155">
        <f>Datos_Origen[[#This Row],[Variable]]+Datos_Origen[[#This Row],[Garantizado]]</f>
        <v>3353509.5000000005</v>
      </c>
      <c r="AC73" s="155">
        <f>Datos_Origen[[#This Row],[Beneficios]]+Datos_Origen[[#This Row],[Variable]]+Datos_Origen[[#This Row],[Garantizado]]</f>
        <v>3353509.5000000005</v>
      </c>
      <c r="AD73" s="156">
        <v>14.12</v>
      </c>
      <c r="AE73" s="141">
        <v>230</v>
      </c>
      <c r="AF73" s="345">
        <v>4.3499999999999997E-2</v>
      </c>
      <c r="AG73" s="155">
        <f>Datos_Origen[[#This Row],[Básico Actual]]*230/Datos_Origen[[#This Row],['# horas mes]]</f>
        <v>2850000</v>
      </c>
      <c r="AH73" s="157">
        <v>2850000</v>
      </c>
      <c r="AI73" s="158"/>
      <c r="AJ73" s="158">
        <f>(((Datos_Origen[[#This Row],[Básico]])/30)*$AJ$6)/12</f>
        <v>0</v>
      </c>
      <c r="AK73" s="158"/>
      <c r="AL73" s="143">
        <f>((Datos_Origen[[#This Row],[Básico]])/30)*$AL$6/12</f>
        <v>0</v>
      </c>
      <c r="AM73" s="158"/>
      <c r="AN73" s="158"/>
      <c r="AO73" s="158"/>
      <c r="AP73" s="158"/>
      <c r="AQ73" s="158"/>
      <c r="AR73" s="149">
        <v>0</v>
      </c>
      <c r="AS73" s="149"/>
      <c r="AT73" s="159" t="str">
        <f>IFERROR(Datos_Origen[[#This Row],[Comisiones Target]]/Datos_Origen[[#This Row],[Promedio de Comisiones  ]],"")</f>
        <v/>
      </c>
      <c r="AU73" s="160"/>
      <c r="AV73" s="143">
        <v>0</v>
      </c>
      <c r="AW73" s="160"/>
      <c r="AX73" s="143">
        <f>Datos_Origen[[#This Row],[N Salarios de la Bonificación2]]*Datos_Origen[[#This Row],[Básico]]/12</f>
        <v>0</v>
      </c>
      <c r="AY73" s="160"/>
      <c r="AZ73" s="158"/>
      <c r="BA73" s="149">
        <v>0</v>
      </c>
      <c r="BB73" s="149"/>
      <c r="BC73" s="149"/>
      <c r="BD73" s="149"/>
      <c r="BE73" s="149"/>
      <c r="BF73" s="149"/>
      <c r="BG73" s="149"/>
      <c r="BH73" s="149"/>
      <c r="BI73" s="149"/>
      <c r="BJ73" s="149"/>
      <c r="BK73" s="159">
        <f>IFERROR(Datos_Origen[[#This Row],[Variable]]/Datos_Origen[[#This Row],[CT]],"")</f>
        <v>0</v>
      </c>
      <c r="BL73" s="159">
        <f>IFERROR(Datos_Origen[[#This Row],[Beneficios]]/Datos_Origen[[#This Row],[CT]],"")</f>
        <v>0</v>
      </c>
      <c r="BM73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73" s="161">
        <f>Datos_Origen[[#This Row],[G]]/Datos_Origen[[#This Row],[Geq]]</f>
        <v>1.1383581720064484</v>
      </c>
      <c r="BO73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73" s="161">
        <f>Datos_Origen[[#This Row],[G+V]]/Datos_Origen[[#This Row],[G+Veq]]</f>
        <v>1.0572111778612232</v>
      </c>
      <c r="BQ73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73" s="161">
        <f>Datos_Origen[[#This Row],[CT]]/Datos_Origen[[#This Row],[CTeq]]</f>
        <v>1.0563853098333253</v>
      </c>
      <c r="BS73" s="139">
        <f>ROUNDUP(VLOOKUP(Datos_Origen[[#This Row],[Categoria]],Competitividad_1[#All],2,0)*IndiceIncrementoC,-3)</f>
        <v>2906000</v>
      </c>
      <c r="BT73" s="161">
        <f>Datos_Origen[[#This Row],[G]]/Datos_Origen[[#This Row],[GQ1]]</f>
        <v>1.1539950103234689</v>
      </c>
      <c r="BU73" s="155">
        <f>ROUNDUP(VLOOKUP(Datos_Origen[[#This Row],[Categoria]],Competitividad_1[#All],3,0)*IndiceIncrementoC,-3)</f>
        <v>3009000</v>
      </c>
      <c r="BV73" s="161">
        <f>Datos_Origen[[#This Row],[G+V]]/Datos_Origen[[#This Row],[G+VQ1]]</f>
        <v>1.1144930209371886</v>
      </c>
      <c r="BW73" s="155">
        <f>ROUNDUP(VLOOKUP(Datos_Origen[[#This Row],[Categoria]],Competitividad_1[#All],4,0)*IndiceIncrementoC,-3)</f>
        <v>3129000</v>
      </c>
      <c r="BX73" s="161">
        <f>Datos_Origen[[#This Row],[CT]]/Datos_Origen[[#This Row],[CTQ1]]</f>
        <v>1.0717511984659638</v>
      </c>
      <c r="BY73" s="155">
        <f>ROUNDUP(VLOOKUP(Datos_Origen[[#This Row],[Categoria]],Competitividad_1[#All],5,0)*IndiceIncrementoC,-3)</f>
        <v>3456000</v>
      </c>
      <c r="BZ73" s="161">
        <f>Datos_Origen[[#This Row],[G]]/Datos_Origen[[#This Row],[GMd]]</f>
        <v>0.97034418402777789</v>
      </c>
      <c r="CA73" s="155">
        <f>ROUNDUP(VLOOKUP(Datos_Origen[[#This Row],[Categoria]],Competitividad_1[#All],6,0)*IndiceIncrementoC,-3)</f>
        <v>3483000</v>
      </c>
      <c r="CB73" s="161">
        <f>Datos_Origen[[#This Row],[G+V]]/Datos_Origen[[#This Row],[G+VMd]]</f>
        <v>0.96282213608957812</v>
      </c>
      <c r="CC73" s="155">
        <f>ROUNDUP(VLOOKUP(Datos_Origen[[#This Row],[Categoria]],Competitividad_1[#All],7,0)*IndiceIncrementoC,-3)</f>
        <v>3645000</v>
      </c>
      <c r="CD73" s="161">
        <f>Datos_Origen[[#This Row],[CT]]/Datos_Origen[[#This Row],[CTMd]]</f>
        <v>0.9200300411522635</v>
      </c>
      <c r="CE73" s="155">
        <f>+Datos_Origen[[#This Row],[GMd]]/1.17666666667</f>
        <v>2937110.4815780818</v>
      </c>
      <c r="CF73" s="161">
        <f>+Datos_Origen[[#This Row],[Básico Actual]]/Datos_Origen[[#This Row],[Salario Basico Md]]</f>
        <v>0.97034143518793403</v>
      </c>
      <c r="CG73" s="155">
        <f>ROUNDUP(VLOOKUP(Datos_Origen[[#This Row],[Categoria]],Competitividad_1[#All],8,0)*IndiceIncrementoC,-3)</f>
        <v>4712000</v>
      </c>
      <c r="CH73" s="161">
        <f>Datos_Origen[[#This Row],[G]]/Datos_Origen[[#This Row],[GQ3]]</f>
        <v>0.71169556451612914</v>
      </c>
      <c r="CI73" s="155">
        <f>ROUNDUP(VLOOKUP(Datos_Origen[[#This Row],[Categoria]],Competitividad_1[#All],9,0)*IndiceIncrementoC,-3)</f>
        <v>4847000</v>
      </c>
      <c r="CJ73" s="161">
        <f>Datos_Origen[[#This Row],[G+V]]/Datos_Origen[[#This Row],[G+VQ3]]</f>
        <v>0.69187322054879319</v>
      </c>
      <c r="CK73" s="155">
        <f>ROUNDUP(VLOOKUP(Datos_Origen[[#This Row],[Categoria]],Competitividad_1[#All],10,0)*IndiceIncrementoC,-3)</f>
        <v>4977000</v>
      </c>
      <c r="CL73" s="161">
        <f>Datos_Origen[[#This Row],[CT]]/Datos_Origen[[#This Row],[CTQ3]]</f>
        <v>0.67380138637733589</v>
      </c>
      <c r="CM73" s="162">
        <f>IF(ROUND(Datos_Origen[[#This Row],[Salario Ordinario Pol2]],-3)&lt;SMMLV,SMMLV,ROUND(Datos_Origen[[#This Row],[Salario Ordinario Pol2]],-3))</f>
        <v>2478000</v>
      </c>
      <c r="CN73" s="155">
        <f>IF(Datos_Origen[[#This Row],[Gpol]]/(1+FactorPrestacionalOrdinario)&lt;SMMLV,SMMLV,Datos_Origen[[#This Row],[Gpol]]/(1+FactorPrestacionalOrdinario))</f>
        <v>3097733.7110481584</v>
      </c>
      <c r="CO73" s="161">
        <f>IFERROR(IF(Datos_Origen[[#This Row],[Salarios Año]]=14.12,Datos_Origen[[#This Row],[Básico]]/Datos_Origen[[#This Row],[Salario Ordinario Pol]],""),"")</f>
        <v>0.92002743484224969</v>
      </c>
      <c r="CP73" s="155">
        <f>IF(ROUND(Datos_Origen[[#This Row],[Salario Ordinario Pol22]],-3)&lt;SMMLV,SMMLV,ROUND(Datos_Origen[[#This Row],[Salario Ordinario Pol22]],-3))</f>
        <v>3717000</v>
      </c>
      <c r="CQ73" s="155" t="str">
        <f>IFERROR(ROUND(Datos_Origen[[#This Row],[Salario Integral Pol4]],-3),"")</f>
        <v/>
      </c>
      <c r="CR73" s="139" t="str">
        <f>IF((Datos_Origen[[#This Row],[Gpol]]/(1+FactorPrestacionalIntegral))&lt;(13*SMMLV),"",(Datos_Origen[[#This Row],[Gpol]]/(1+FactorPrestacionalIntegral)))</f>
        <v/>
      </c>
      <c r="CS73" s="161" t="str">
        <f>IFERROR(IF(Datos_Origen[[#This Row],[Salarios Año]]=12,Datos_Origen[[#This Row],[Básico]]/Datos_Origen[[#This Row],[Salario Integral Pol]],""),"")</f>
        <v/>
      </c>
      <c r="CT73" s="155" t="str">
        <f>IFERROR(ROUND(Datos_Origen[[#This Row],[Salario Integral Pol44]],-3),"")</f>
        <v/>
      </c>
      <c r="CU73" s="155">
        <f>Datos_Origen[[#This Row],[G+Vpol]]-Datos_Origen[[#This Row],[Variable]]</f>
        <v>3645000</v>
      </c>
      <c r="CV73" s="161">
        <f>Datos_Origen[[#This Row],[G]]/Datos_Origen[[#This Row],[Gpol]]</f>
        <v>0.9200300411522635</v>
      </c>
      <c r="CW73" s="154">
        <f>Datos_Origen[[#This Row],[Ctpol]]-Datos_Origen[[#This Row],[Beneficios]]</f>
        <v>3645000</v>
      </c>
      <c r="CX73" s="161">
        <f>Datos_Origen[[#This Row],[G+V]]/Datos_Origen[[#This Row],[G+Vpol]]</f>
        <v>0.9200300411522635</v>
      </c>
      <c r="CY73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3645000</v>
      </c>
      <c r="CZ73" s="161">
        <f>Datos_Origen[[#This Row],[CT]]/Datos_Origen[[#This Row],[Ctpol]]</f>
        <v>0.9200300411522635</v>
      </c>
      <c r="DA73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2850000</v>
      </c>
      <c r="DB73" s="158">
        <f>IF(Datos_Origen[[#This Row],[Básico]]&lt;10*SMMLV,0,Datos_Origen[[#This Row],[Base Seguridad Social Actual]]*8.5%)</f>
        <v>0</v>
      </c>
      <c r="DC73" s="158">
        <f>Datos_Origen[[#This Row],[Base Seguridad Social Actual]]*12%</f>
        <v>342000</v>
      </c>
      <c r="DD73" s="158">
        <f>Datos_Origen[[#This Row],[Base Seguridad Social Actual]]*Datos_Origen[[#This Row],[%ARL]]</f>
        <v>123974.99999999999</v>
      </c>
      <c r="DE73" s="158">
        <f>IF(Datos_Origen[[#This Row],[Básico]]&lt;10*SMMLV,Datos_Origen[[#This Row],[Base Seguridad Social Actual]]*4%,Datos_Origen[[#This Row],[Base Seguridad Social Actual]]*9%)</f>
        <v>114000</v>
      </c>
      <c r="DF73" s="158">
        <f>Datos_Origen[[#This Row],[Salud]]+Datos_Origen[[#This Row],[Pensión]]+Datos_Origen[[#This Row],[ARL]]+Datos_Origen[[#This Row],[Parafiscales]]</f>
        <v>579975</v>
      </c>
      <c r="DG73" s="163">
        <f>Datos_Origen[[#This Row],[Costo Laboral Actual]]+Datos_Origen[[#This Row],[CT]]</f>
        <v>3933484.5000000005</v>
      </c>
      <c r="DH73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3097733.7110481584</v>
      </c>
      <c r="DI73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73" s="158">
        <f>Datos_Origen[[#This Row],[Base Seguridad Social Nueva]]*12%</f>
        <v>371728.04532577901</v>
      </c>
      <c r="DK73" s="158">
        <f>Datos_Origen[[#This Row],[Base Seguridad Social Nueva]]*Datos_Origen[[#This Row],[%ARL]]</f>
        <v>134751.41643059487</v>
      </c>
      <c r="DL73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123909.34844192634</v>
      </c>
      <c r="DM73" s="158">
        <f>Datos_Origen[[#This Row],[Salud Nueva]]+Datos_Origen[[#This Row],[Pensión Nueva]]+Datos_Origen[[#This Row],[ARL nueva]]+Datos_Origen[[#This Row],[Parafiscales Nuevos]]</f>
        <v>630388.81019830017</v>
      </c>
      <c r="DN73" s="158">
        <f>Datos_Origen[[#This Row],[Costo Laboral Nuevo]]+Datos_Origen[[#This Row],[Ctpol]]</f>
        <v>4275388.8101983005</v>
      </c>
      <c r="DO73" s="158">
        <f>IF(Datos_Origen[[#This Row],[Ctpol]]-Datos_Origen[[#This Row],[CT]]&lt;=0,0,Datos_Origen[[#This Row],[Costo Total Nuevo]]-Datos_Origen[[#This Row],[Costo Total Actual]])</f>
        <v>341904.31019830005</v>
      </c>
      <c r="DP73" s="158">
        <f>IF(Datos_Origen[[#This Row],[Ctpol]]-Datos_Origen[[#This Row],[CT]]&lt;=0,0,Datos_Origen[[#This Row],[Ctpol]]-Datos_Origen[[#This Row],[CT]])</f>
        <v>291490.49999999953</v>
      </c>
      <c r="DQ73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50413.810198300169</v>
      </c>
      <c r="DR73" s="158">
        <f>ROUNDDOWN(VLOOKUP(Datos_Origen[[#This Row],[Categoria]],Competitividad_1[],7,0)*IndiceIncrementoC,-3)</f>
        <v>3644000</v>
      </c>
      <c r="DS73" s="158">
        <f>Datos_Origen[[#This Row],[CTeq]]*0.8</f>
        <v>2539610.855080226</v>
      </c>
      <c r="DT73" s="158">
        <f>Datos_Origen[[#This Row],[CTeq]]*1.2</f>
        <v>3809416.2826203383</v>
      </c>
      <c r="DU73" s="155">
        <f>IF(Datos_Origen[[#This Row],[Gpol6]]/(1+FactorPrestacionalOrdinario)&lt;SMMLV,SMMLV,Datos_Origen[[#This Row],[Gpol6]]/(1+FactorPrestacionalOrdinario))</f>
        <v>2478186.9688385269</v>
      </c>
      <c r="DV73" s="139" t="str">
        <f>IF((Datos_Origen[[#This Row],[Gpol6]]/(1+FactorPrestacionalIntegral))&lt;(13*SMMLV),"",(Datos_Origen[[#This Row],[Gpol6]]/(1+FactorPrestacionalIntegral)))</f>
        <v/>
      </c>
      <c r="DW73" s="154">
        <f>Datos_Origen[[#This Row],[G+Vpol8]]</f>
        <v>2916000</v>
      </c>
      <c r="DX73" s="154">
        <f>Datos_Origen[[#This Row],[Ctpol10]]-Datos_Origen[[#This Row],[Beneficios]]</f>
        <v>2916000</v>
      </c>
      <c r="DY73" s="154">
        <f>Datos_Origen[[#This Row],[Ctpol]]*$CM$6</f>
        <v>2916000</v>
      </c>
      <c r="DZ73" s="155">
        <f>IF(Datos_Origen[[#This Row],[Gpol66]]/(1+FactorPrestacionalOrdinario)&lt;SMMLV,SMMLV,Datos_Origen[[#This Row],[Gpol66]]/(1+FactorPrestacionalOrdinario))</f>
        <v>3717280.4532577903</v>
      </c>
      <c r="EA73" s="139" t="str">
        <f>IF((Datos_Origen[[#This Row],[Gpol66]]/(1+FactorPrestacionalIntegral))&lt;(13*SMMLV),"",(Datos_Origen[[#This Row],[Gpol66]]/(1+FactorPrestacionalIntegral)))</f>
        <v/>
      </c>
      <c r="EB73" s="154">
        <f>Datos_Origen[[#This Row],[G+Vpol88]]</f>
        <v>4374000</v>
      </c>
      <c r="EC73" s="154">
        <f>Datos_Origen[[#This Row],[Ctpol1010]]-Datos_Origen[[#This Row],[Beneficios]]</f>
        <v>4374000</v>
      </c>
      <c r="ED73" s="154">
        <f>Datos_Origen[[#This Row],[Ctpol]]*$CP$6</f>
        <v>4374000</v>
      </c>
      <c r="EE73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74" spans="2:135">
      <c r="B74" s="148"/>
      <c r="C74" s="149"/>
      <c r="D74" s="150"/>
      <c r="E74" s="151"/>
      <c r="F74" s="151"/>
      <c r="G74" s="150" t="s">
        <v>337</v>
      </c>
      <c r="H74" s="153"/>
      <c r="I74" s="152" t="s">
        <v>337</v>
      </c>
      <c r="J74" s="130" t="str">
        <f>IFERROR(VLOOKUP(Datos_Origen[[#This Row],[Cargo Tipo Valorado]],Cargos_Catalogo[[#All],[Cargo]:[Área]],2,0),"")</f>
        <v xml:space="preserve">Jefe de proyectos aliados </v>
      </c>
      <c r="K74" s="153"/>
      <c r="L74" s="153"/>
      <c r="M74" s="153"/>
      <c r="N74" s="153"/>
      <c r="O74" s="154">
        <f>Datos_Origen[[#This Row],[Segmentación Individual]]</f>
        <v>0</v>
      </c>
      <c r="P74" s="153"/>
      <c r="Q74" s="154">
        <f>VLOOKUP(Datos_Origen[[#This Row],[Cargo Tipo Valorado]],Cargos_Catalogo[#Data],MATCH(Cargos_Catalogo[[#Headers],[Puntos]],Cargos_Catalogo[#Headers],0),FALSE)</f>
        <v>208</v>
      </c>
      <c r="R74" s="130">
        <f>VLOOKUP(Datos_Origen[[#This Row],[Puntos valoración]],Categorias_Registro[#Data],MATCH(Categorias_Registro[[#Headers],[Categoria]],Categorias_Registro[#Headers],0),FALSE)</f>
        <v>7</v>
      </c>
      <c r="S74" s="130" t="str">
        <f>VLOOKUP(Datos_Origen[[#This Row],[Cargo Tipo Valorado]],Cargos_Catalogo[#Data],MATCH(Cargos_Catalogo[[#Headers],[Nivel SHR]],Cargos_Catalogo[#Headers],0),FALSE)</f>
        <v>Soporte</v>
      </c>
      <c r="T74" s="130" t="str">
        <f>VLOOKUP(Datos_Origen[[#This Row],[Cargo Tipo Valorado]],Cargos_Catalogo[#Data],MATCH(Cargos_Catalogo[[#Headers],[Criticidad]],Cargos_Catalogo[#Headers],0),FALSE)</f>
        <v>Importante</v>
      </c>
      <c r="U74" s="154">
        <f>VLOOKUP(Datos_Origen[[#This Row],[Puntos valoración]],Categorias_Registro[#Data],5,FALSE)</f>
        <v>217</v>
      </c>
      <c r="V74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3353509.5000000005</v>
      </c>
      <c r="W74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74" s="154">
        <f>SUMIF($BA$5:$BJ$5,"NCS",Datos_Origen[[#This Row],[auxilio Gasolina]:[Otro Beneficio10]])+(SUMIF($BA$5:$BJ$5,"CS",Datos_Origen[[#This Row],[auxilio Gasolina]:[Otro Beneficio10]])*1.17667)</f>
        <v>0</v>
      </c>
      <c r="Y74" s="155">
        <f>Datos_Origen[[#This Row],[Básico]]+Datos_Origen[[#This Row],[Promedio de Comisiones  ]]</f>
        <v>2850000</v>
      </c>
      <c r="Z74" s="155">
        <f>Datos_Origen[[#This Row],[Básico]]+Datos_Origen[[#This Row],[Promedio de Comisiones  ]]</f>
        <v>2850000</v>
      </c>
      <c r="AA74" s="155">
        <f>Datos_Origen[[#This Row],[Garantizado]]</f>
        <v>3353509.5000000005</v>
      </c>
      <c r="AB74" s="155">
        <f>Datos_Origen[[#This Row],[Variable]]+Datos_Origen[[#This Row],[Garantizado]]</f>
        <v>3353509.5000000005</v>
      </c>
      <c r="AC74" s="155">
        <f>Datos_Origen[[#This Row],[Beneficios]]+Datos_Origen[[#This Row],[Variable]]+Datos_Origen[[#This Row],[Garantizado]]</f>
        <v>3353509.5000000005</v>
      </c>
      <c r="AD74" s="156">
        <v>14.12</v>
      </c>
      <c r="AE74" s="141">
        <v>230</v>
      </c>
      <c r="AF74" s="345">
        <v>4.3499999999999997E-2</v>
      </c>
      <c r="AG74" s="155">
        <f>Datos_Origen[[#This Row],[Básico Actual]]*230/Datos_Origen[[#This Row],['# horas mes]]</f>
        <v>2850000</v>
      </c>
      <c r="AH74" s="157">
        <v>2850000</v>
      </c>
      <c r="AI74" s="158"/>
      <c r="AJ74" s="158">
        <f>(((Datos_Origen[[#This Row],[Básico]])/30)*$AJ$6)/12</f>
        <v>0</v>
      </c>
      <c r="AK74" s="158"/>
      <c r="AL74" s="143">
        <f>((Datos_Origen[[#This Row],[Básico]])/30)*$AL$6/12</f>
        <v>0</v>
      </c>
      <c r="AM74" s="158"/>
      <c r="AN74" s="158"/>
      <c r="AO74" s="158"/>
      <c r="AP74" s="158"/>
      <c r="AQ74" s="158"/>
      <c r="AR74" s="149">
        <v>0</v>
      </c>
      <c r="AS74" s="149"/>
      <c r="AT74" s="159" t="str">
        <f>IFERROR(Datos_Origen[[#This Row],[Comisiones Target]]/Datos_Origen[[#This Row],[Promedio de Comisiones  ]],"")</f>
        <v/>
      </c>
      <c r="AU74" s="160"/>
      <c r="AV74" s="143">
        <v>0</v>
      </c>
      <c r="AW74" s="160"/>
      <c r="AX74" s="143">
        <f>Datos_Origen[[#This Row],[N Salarios de la Bonificación2]]*Datos_Origen[[#This Row],[Básico]]/12</f>
        <v>0</v>
      </c>
      <c r="AY74" s="160"/>
      <c r="AZ74" s="158"/>
      <c r="BA74" s="149">
        <v>0</v>
      </c>
      <c r="BB74" s="149"/>
      <c r="BC74" s="149"/>
      <c r="BD74" s="149"/>
      <c r="BE74" s="149"/>
      <c r="BF74" s="149"/>
      <c r="BG74" s="149"/>
      <c r="BH74" s="149"/>
      <c r="BI74" s="149"/>
      <c r="BJ74" s="149"/>
      <c r="BK74" s="159">
        <f>IFERROR(Datos_Origen[[#This Row],[Variable]]/Datos_Origen[[#This Row],[CT]],"")</f>
        <v>0</v>
      </c>
      <c r="BL74" s="159">
        <f>IFERROR(Datos_Origen[[#This Row],[Beneficios]]/Datos_Origen[[#This Row],[CT]],"")</f>
        <v>0</v>
      </c>
      <c r="BM74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74" s="161">
        <f>Datos_Origen[[#This Row],[G]]/Datos_Origen[[#This Row],[Geq]]</f>
        <v>1.1383581720064484</v>
      </c>
      <c r="BO74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74" s="161">
        <f>Datos_Origen[[#This Row],[G+V]]/Datos_Origen[[#This Row],[G+Veq]]</f>
        <v>1.0572111778612232</v>
      </c>
      <c r="BQ74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74" s="161">
        <f>Datos_Origen[[#This Row],[CT]]/Datos_Origen[[#This Row],[CTeq]]</f>
        <v>1.0563853098333253</v>
      </c>
      <c r="BS74" s="139">
        <f>ROUNDUP(VLOOKUP(Datos_Origen[[#This Row],[Categoria]],Competitividad_1[#All],2,0)*IndiceIncrementoC,-3)</f>
        <v>2906000</v>
      </c>
      <c r="BT74" s="161">
        <f>Datos_Origen[[#This Row],[G]]/Datos_Origen[[#This Row],[GQ1]]</f>
        <v>1.1539950103234689</v>
      </c>
      <c r="BU74" s="155">
        <f>ROUNDUP(VLOOKUP(Datos_Origen[[#This Row],[Categoria]],Competitividad_1[#All],3,0)*IndiceIncrementoC,-3)</f>
        <v>3009000</v>
      </c>
      <c r="BV74" s="161">
        <f>Datos_Origen[[#This Row],[G+V]]/Datos_Origen[[#This Row],[G+VQ1]]</f>
        <v>1.1144930209371886</v>
      </c>
      <c r="BW74" s="155">
        <f>ROUNDUP(VLOOKUP(Datos_Origen[[#This Row],[Categoria]],Competitividad_1[#All],4,0)*IndiceIncrementoC,-3)</f>
        <v>3129000</v>
      </c>
      <c r="BX74" s="161">
        <f>Datos_Origen[[#This Row],[CT]]/Datos_Origen[[#This Row],[CTQ1]]</f>
        <v>1.0717511984659638</v>
      </c>
      <c r="BY74" s="155">
        <f>ROUNDUP(VLOOKUP(Datos_Origen[[#This Row],[Categoria]],Competitividad_1[#All],5,0)*IndiceIncrementoC,-3)</f>
        <v>3456000</v>
      </c>
      <c r="BZ74" s="161">
        <f>Datos_Origen[[#This Row],[G]]/Datos_Origen[[#This Row],[GMd]]</f>
        <v>0.97034418402777789</v>
      </c>
      <c r="CA74" s="155">
        <f>ROUNDUP(VLOOKUP(Datos_Origen[[#This Row],[Categoria]],Competitividad_1[#All],6,0)*IndiceIncrementoC,-3)</f>
        <v>3483000</v>
      </c>
      <c r="CB74" s="161">
        <f>Datos_Origen[[#This Row],[G+V]]/Datos_Origen[[#This Row],[G+VMd]]</f>
        <v>0.96282213608957812</v>
      </c>
      <c r="CC74" s="155">
        <f>ROUNDUP(VLOOKUP(Datos_Origen[[#This Row],[Categoria]],Competitividad_1[#All],7,0)*IndiceIncrementoC,-3)</f>
        <v>3645000</v>
      </c>
      <c r="CD74" s="161">
        <f>Datos_Origen[[#This Row],[CT]]/Datos_Origen[[#This Row],[CTMd]]</f>
        <v>0.9200300411522635</v>
      </c>
      <c r="CE74" s="155">
        <f>+Datos_Origen[[#This Row],[GMd]]/1.17666666667</f>
        <v>2937110.4815780818</v>
      </c>
      <c r="CF74" s="161">
        <f>+Datos_Origen[[#This Row],[Básico Actual]]/Datos_Origen[[#This Row],[Salario Basico Md]]</f>
        <v>0.97034143518793403</v>
      </c>
      <c r="CG74" s="155">
        <f>ROUNDUP(VLOOKUP(Datos_Origen[[#This Row],[Categoria]],Competitividad_1[#All],8,0)*IndiceIncrementoC,-3)</f>
        <v>4712000</v>
      </c>
      <c r="CH74" s="161">
        <f>Datos_Origen[[#This Row],[G]]/Datos_Origen[[#This Row],[GQ3]]</f>
        <v>0.71169556451612914</v>
      </c>
      <c r="CI74" s="155">
        <f>ROUNDUP(VLOOKUP(Datos_Origen[[#This Row],[Categoria]],Competitividad_1[#All],9,0)*IndiceIncrementoC,-3)</f>
        <v>4847000</v>
      </c>
      <c r="CJ74" s="161">
        <f>Datos_Origen[[#This Row],[G+V]]/Datos_Origen[[#This Row],[G+VQ3]]</f>
        <v>0.69187322054879319</v>
      </c>
      <c r="CK74" s="155">
        <f>ROUNDUP(VLOOKUP(Datos_Origen[[#This Row],[Categoria]],Competitividad_1[#All],10,0)*IndiceIncrementoC,-3)</f>
        <v>4977000</v>
      </c>
      <c r="CL74" s="161">
        <f>Datos_Origen[[#This Row],[CT]]/Datos_Origen[[#This Row],[CTQ3]]</f>
        <v>0.67380138637733589</v>
      </c>
      <c r="CM74" s="162">
        <f>IF(ROUND(Datos_Origen[[#This Row],[Salario Ordinario Pol2]],-3)&lt;SMMLV,SMMLV,ROUND(Datos_Origen[[#This Row],[Salario Ordinario Pol2]],-3))</f>
        <v>2478000</v>
      </c>
      <c r="CN74" s="155">
        <f>IF(Datos_Origen[[#This Row],[Gpol]]/(1+FactorPrestacionalOrdinario)&lt;SMMLV,SMMLV,Datos_Origen[[#This Row],[Gpol]]/(1+FactorPrestacionalOrdinario))</f>
        <v>3097733.7110481584</v>
      </c>
      <c r="CO74" s="161">
        <f>IFERROR(IF(Datos_Origen[[#This Row],[Salarios Año]]=14.12,Datos_Origen[[#This Row],[Básico]]/Datos_Origen[[#This Row],[Salario Ordinario Pol]],""),"")</f>
        <v>0.92002743484224969</v>
      </c>
      <c r="CP74" s="155">
        <f>IF(ROUND(Datos_Origen[[#This Row],[Salario Ordinario Pol22]],-3)&lt;SMMLV,SMMLV,ROUND(Datos_Origen[[#This Row],[Salario Ordinario Pol22]],-3))</f>
        <v>3717000</v>
      </c>
      <c r="CQ74" s="155" t="str">
        <f>IFERROR(ROUND(Datos_Origen[[#This Row],[Salario Integral Pol4]],-3),"")</f>
        <v/>
      </c>
      <c r="CR74" s="139" t="str">
        <f>IF((Datos_Origen[[#This Row],[Gpol]]/(1+FactorPrestacionalIntegral))&lt;(13*SMMLV),"",(Datos_Origen[[#This Row],[Gpol]]/(1+FactorPrestacionalIntegral)))</f>
        <v/>
      </c>
      <c r="CS74" s="161" t="str">
        <f>IFERROR(IF(Datos_Origen[[#This Row],[Salarios Año]]=12,Datos_Origen[[#This Row],[Básico]]/Datos_Origen[[#This Row],[Salario Integral Pol]],""),"")</f>
        <v/>
      </c>
      <c r="CT74" s="155" t="str">
        <f>IFERROR(ROUND(Datos_Origen[[#This Row],[Salario Integral Pol44]],-3),"")</f>
        <v/>
      </c>
      <c r="CU74" s="155">
        <f>Datos_Origen[[#This Row],[G+Vpol]]-Datos_Origen[[#This Row],[Variable]]</f>
        <v>3645000</v>
      </c>
      <c r="CV74" s="161">
        <f>Datos_Origen[[#This Row],[G]]/Datos_Origen[[#This Row],[Gpol]]</f>
        <v>0.9200300411522635</v>
      </c>
      <c r="CW74" s="154">
        <f>Datos_Origen[[#This Row],[Ctpol]]-Datos_Origen[[#This Row],[Beneficios]]</f>
        <v>3645000</v>
      </c>
      <c r="CX74" s="161">
        <f>Datos_Origen[[#This Row],[G+V]]/Datos_Origen[[#This Row],[G+Vpol]]</f>
        <v>0.9200300411522635</v>
      </c>
      <c r="CY74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3645000</v>
      </c>
      <c r="CZ74" s="161">
        <f>Datos_Origen[[#This Row],[CT]]/Datos_Origen[[#This Row],[Ctpol]]</f>
        <v>0.9200300411522635</v>
      </c>
      <c r="DA74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2850000</v>
      </c>
      <c r="DB74" s="158">
        <f>IF(Datos_Origen[[#This Row],[Básico]]&lt;10*SMMLV,0,Datos_Origen[[#This Row],[Base Seguridad Social Actual]]*8.5%)</f>
        <v>0</v>
      </c>
      <c r="DC74" s="158">
        <f>Datos_Origen[[#This Row],[Base Seguridad Social Actual]]*12%</f>
        <v>342000</v>
      </c>
      <c r="DD74" s="158">
        <f>Datos_Origen[[#This Row],[Base Seguridad Social Actual]]*Datos_Origen[[#This Row],[%ARL]]</f>
        <v>123974.99999999999</v>
      </c>
      <c r="DE74" s="158">
        <f>IF(Datos_Origen[[#This Row],[Básico]]&lt;10*SMMLV,Datos_Origen[[#This Row],[Base Seguridad Social Actual]]*4%,Datos_Origen[[#This Row],[Base Seguridad Social Actual]]*9%)</f>
        <v>114000</v>
      </c>
      <c r="DF74" s="158">
        <f>Datos_Origen[[#This Row],[Salud]]+Datos_Origen[[#This Row],[Pensión]]+Datos_Origen[[#This Row],[ARL]]+Datos_Origen[[#This Row],[Parafiscales]]</f>
        <v>579975</v>
      </c>
      <c r="DG74" s="163">
        <f>Datos_Origen[[#This Row],[Costo Laboral Actual]]+Datos_Origen[[#This Row],[CT]]</f>
        <v>3933484.5000000005</v>
      </c>
      <c r="DH74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3097733.7110481584</v>
      </c>
      <c r="DI74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74" s="158">
        <f>Datos_Origen[[#This Row],[Base Seguridad Social Nueva]]*12%</f>
        <v>371728.04532577901</v>
      </c>
      <c r="DK74" s="158">
        <f>Datos_Origen[[#This Row],[Base Seguridad Social Nueva]]*Datos_Origen[[#This Row],[%ARL]]</f>
        <v>134751.41643059487</v>
      </c>
      <c r="DL74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123909.34844192634</v>
      </c>
      <c r="DM74" s="158">
        <f>Datos_Origen[[#This Row],[Salud Nueva]]+Datos_Origen[[#This Row],[Pensión Nueva]]+Datos_Origen[[#This Row],[ARL nueva]]+Datos_Origen[[#This Row],[Parafiscales Nuevos]]</f>
        <v>630388.81019830017</v>
      </c>
      <c r="DN74" s="158">
        <f>Datos_Origen[[#This Row],[Costo Laboral Nuevo]]+Datos_Origen[[#This Row],[Ctpol]]</f>
        <v>4275388.8101983005</v>
      </c>
      <c r="DO74" s="158">
        <f>IF(Datos_Origen[[#This Row],[Ctpol]]-Datos_Origen[[#This Row],[CT]]&lt;=0,0,Datos_Origen[[#This Row],[Costo Total Nuevo]]-Datos_Origen[[#This Row],[Costo Total Actual]])</f>
        <v>341904.31019830005</v>
      </c>
      <c r="DP74" s="158">
        <f>IF(Datos_Origen[[#This Row],[Ctpol]]-Datos_Origen[[#This Row],[CT]]&lt;=0,0,Datos_Origen[[#This Row],[Ctpol]]-Datos_Origen[[#This Row],[CT]])</f>
        <v>291490.49999999953</v>
      </c>
      <c r="DQ74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50413.810198300169</v>
      </c>
      <c r="DR74" s="158">
        <f>ROUNDDOWN(VLOOKUP(Datos_Origen[[#This Row],[Categoria]],Competitividad_1[],7,0)*IndiceIncrementoC,-3)</f>
        <v>3644000</v>
      </c>
      <c r="DS74" s="158">
        <f>Datos_Origen[[#This Row],[CTeq]]*0.8</f>
        <v>2539610.855080226</v>
      </c>
      <c r="DT74" s="158">
        <f>Datos_Origen[[#This Row],[CTeq]]*1.2</f>
        <v>3809416.2826203383</v>
      </c>
      <c r="DU74" s="155">
        <f>IF(Datos_Origen[[#This Row],[Gpol6]]/(1+FactorPrestacionalOrdinario)&lt;SMMLV,SMMLV,Datos_Origen[[#This Row],[Gpol6]]/(1+FactorPrestacionalOrdinario))</f>
        <v>2478186.9688385269</v>
      </c>
      <c r="DV74" s="139" t="str">
        <f>IF((Datos_Origen[[#This Row],[Gpol6]]/(1+FactorPrestacionalIntegral))&lt;(13*SMMLV),"",(Datos_Origen[[#This Row],[Gpol6]]/(1+FactorPrestacionalIntegral)))</f>
        <v/>
      </c>
      <c r="DW74" s="154">
        <f>Datos_Origen[[#This Row],[G+Vpol8]]</f>
        <v>2916000</v>
      </c>
      <c r="DX74" s="154">
        <f>Datos_Origen[[#This Row],[Ctpol10]]-Datos_Origen[[#This Row],[Beneficios]]</f>
        <v>2916000</v>
      </c>
      <c r="DY74" s="154">
        <f>Datos_Origen[[#This Row],[Ctpol]]*$CM$6</f>
        <v>2916000</v>
      </c>
      <c r="DZ74" s="155">
        <f>IF(Datos_Origen[[#This Row],[Gpol66]]/(1+FactorPrestacionalOrdinario)&lt;SMMLV,SMMLV,Datos_Origen[[#This Row],[Gpol66]]/(1+FactorPrestacionalOrdinario))</f>
        <v>3717280.4532577903</v>
      </c>
      <c r="EA74" s="139" t="str">
        <f>IF((Datos_Origen[[#This Row],[Gpol66]]/(1+FactorPrestacionalIntegral))&lt;(13*SMMLV),"",(Datos_Origen[[#This Row],[Gpol66]]/(1+FactorPrestacionalIntegral)))</f>
        <v/>
      </c>
      <c r="EB74" s="154">
        <f>Datos_Origen[[#This Row],[G+Vpol88]]</f>
        <v>4374000</v>
      </c>
      <c r="EC74" s="154">
        <f>Datos_Origen[[#This Row],[Ctpol1010]]-Datos_Origen[[#This Row],[Beneficios]]</f>
        <v>4374000</v>
      </c>
      <c r="ED74" s="154">
        <f>Datos_Origen[[#This Row],[Ctpol]]*$CP$6</f>
        <v>4374000</v>
      </c>
      <c r="EE74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75" spans="2:135">
      <c r="B75" s="132"/>
      <c r="C75" s="149"/>
      <c r="D75" s="150"/>
      <c r="E75" s="151"/>
      <c r="F75" s="151"/>
      <c r="G75" s="150" t="s">
        <v>337</v>
      </c>
      <c r="H75" s="153"/>
      <c r="I75" s="152" t="s">
        <v>337</v>
      </c>
      <c r="J75" s="130" t="str">
        <f>IFERROR(VLOOKUP(Datos_Origen[[#This Row],[Cargo Tipo Valorado]],Cargos_Catalogo[[#All],[Cargo]:[Área]],2,0),"")</f>
        <v xml:space="preserve">Jefe de proyectos aliados </v>
      </c>
      <c r="K75" s="153"/>
      <c r="L75" s="153"/>
      <c r="M75" s="153"/>
      <c r="N75" s="153"/>
      <c r="O75" s="154">
        <f>Datos_Origen[[#This Row],[Segmentación Individual]]</f>
        <v>0</v>
      </c>
      <c r="P75" s="153"/>
      <c r="Q75" s="154">
        <f>VLOOKUP(Datos_Origen[[#This Row],[Cargo Tipo Valorado]],Cargos_Catalogo[#Data],MATCH(Cargos_Catalogo[[#Headers],[Puntos]],Cargos_Catalogo[#Headers],0),FALSE)</f>
        <v>208</v>
      </c>
      <c r="R75" s="130">
        <f>VLOOKUP(Datos_Origen[[#This Row],[Puntos valoración]],Categorias_Registro[#Data],MATCH(Categorias_Registro[[#Headers],[Categoria]],Categorias_Registro[#Headers],0),FALSE)</f>
        <v>7</v>
      </c>
      <c r="S75" s="130" t="str">
        <f>VLOOKUP(Datos_Origen[[#This Row],[Cargo Tipo Valorado]],Cargos_Catalogo[#Data],MATCH(Cargos_Catalogo[[#Headers],[Nivel SHR]],Cargos_Catalogo[#Headers],0),FALSE)</f>
        <v>Soporte</v>
      </c>
      <c r="T75" s="130" t="str">
        <f>VLOOKUP(Datos_Origen[[#This Row],[Cargo Tipo Valorado]],Cargos_Catalogo[#Data],MATCH(Cargos_Catalogo[[#Headers],[Criticidad]],Cargos_Catalogo[#Headers],0),FALSE)</f>
        <v>Importante</v>
      </c>
      <c r="U75" s="154">
        <f>VLOOKUP(Datos_Origen[[#This Row],[Puntos valoración]],Categorias_Registro[#Data],5,FALSE)</f>
        <v>217</v>
      </c>
      <c r="V75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3353509.5000000005</v>
      </c>
      <c r="W75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75" s="154">
        <f>SUMIF($BA$5:$BJ$5,"NCS",Datos_Origen[[#This Row],[auxilio Gasolina]:[Otro Beneficio10]])+(SUMIF($BA$5:$BJ$5,"CS",Datos_Origen[[#This Row],[auxilio Gasolina]:[Otro Beneficio10]])*1.17667)</f>
        <v>0</v>
      </c>
      <c r="Y75" s="155">
        <f>Datos_Origen[[#This Row],[Básico]]+Datos_Origen[[#This Row],[Promedio de Comisiones  ]]</f>
        <v>2850000</v>
      </c>
      <c r="Z75" s="155">
        <f>Datos_Origen[[#This Row],[Básico]]+Datos_Origen[[#This Row],[Promedio de Comisiones  ]]</f>
        <v>2850000</v>
      </c>
      <c r="AA75" s="155">
        <f>Datos_Origen[[#This Row],[Garantizado]]</f>
        <v>3353509.5000000005</v>
      </c>
      <c r="AB75" s="155">
        <f>Datos_Origen[[#This Row],[Variable]]+Datos_Origen[[#This Row],[Garantizado]]</f>
        <v>3353509.5000000005</v>
      </c>
      <c r="AC75" s="155">
        <f>Datos_Origen[[#This Row],[Beneficios]]+Datos_Origen[[#This Row],[Variable]]+Datos_Origen[[#This Row],[Garantizado]]</f>
        <v>3353509.5000000005</v>
      </c>
      <c r="AD75" s="156">
        <v>14.12</v>
      </c>
      <c r="AE75" s="141">
        <v>230</v>
      </c>
      <c r="AF75" s="345">
        <v>4.3499999999999997E-2</v>
      </c>
      <c r="AG75" s="155">
        <f>Datos_Origen[[#This Row],[Básico Actual]]*230/Datos_Origen[[#This Row],['# horas mes]]</f>
        <v>2850000</v>
      </c>
      <c r="AH75" s="157">
        <v>2850000</v>
      </c>
      <c r="AI75" s="158"/>
      <c r="AJ75" s="158">
        <f>(((Datos_Origen[[#This Row],[Básico]])/30)*$AJ$6)/12</f>
        <v>0</v>
      </c>
      <c r="AK75" s="158"/>
      <c r="AL75" s="143">
        <f>((Datos_Origen[[#This Row],[Básico]])/30)*$AL$6/12</f>
        <v>0</v>
      </c>
      <c r="AM75" s="158"/>
      <c r="AN75" s="158"/>
      <c r="AO75" s="158"/>
      <c r="AP75" s="158"/>
      <c r="AQ75" s="158"/>
      <c r="AR75" s="149">
        <v>0</v>
      </c>
      <c r="AS75" s="149"/>
      <c r="AT75" s="159" t="str">
        <f>IFERROR(Datos_Origen[[#This Row],[Comisiones Target]]/Datos_Origen[[#This Row],[Promedio de Comisiones  ]],"")</f>
        <v/>
      </c>
      <c r="AU75" s="160"/>
      <c r="AV75" s="143">
        <v>0</v>
      </c>
      <c r="AW75" s="160"/>
      <c r="AX75" s="143">
        <f>Datos_Origen[[#This Row],[N Salarios de la Bonificación2]]*Datos_Origen[[#This Row],[Básico]]/12</f>
        <v>0</v>
      </c>
      <c r="AY75" s="160"/>
      <c r="AZ75" s="158"/>
      <c r="BA75" s="149">
        <v>0</v>
      </c>
      <c r="BB75" s="149"/>
      <c r="BC75" s="149"/>
      <c r="BD75" s="149"/>
      <c r="BE75" s="149"/>
      <c r="BF75" s="149"/>
      <c r="BG75" s="149"/>
      <c r="BH75" s="149"/>
      <c r="BI75" s="149"/>
      <c r="BJ75" s="149"/>
      <c r="BK75" s="159">
        <f>IFERROR(Datos_Origen[[#This Row],[Variable]]/Datos_Origen[[#This Row],[CT]],"")</f>
        <v>0</v>
      </c>
      <c r="BL75" s="159">
        <f>IFERROR(Datos_Origen[[#This Row],[Beneficios]]/Datos_Origen[[#This Row],[CT]],"")</f>
        <v>0</v>
      </c>
      <c r="BM75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2945917.7106702444</v>
      </c>
      <c r="BN75" s="161">
        <f>Datos_Origen[[#This Row],[G]]/Datos_Origen[[#This Row],[Geq]]</f>
        <v>1.1383581720064484</v>
      </c>
      <c r="BO75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3172033.7149520805</v>
      </c>
      <c r="BP75" s="161">
        <f>Datos_Origen[[#This Row],[G+V]]/Datos_Origen[[#This Row],[G+Veq]]</f>
        <v>1.0572111778612232</v>
      </c>
      <c r="BQ75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3174513.5688502821</v>
      </c>
      <c r="BR75" s="161">
        <f>Datos_Origen[[#This Row],[CT]]/Datos_Origen[[#This Row],[CTeq]]</f>
        <v>1.0563853098333253</v>
      </c>
      <c r="BS75" s="139">
        <f>ROUNDUP(VLOOKUP(Datos_Origen[[#This Row],[Categoria]],Competitividad_1[#All],2,0)*IndiceIncrementoC,-3)</f>
        <v>2906000</v>
      </c>
      <c r="BT75" s="161">
        <f>Datos_Origen[[#This Row],[G]]/Datos_Origen[[#This Row],[GQ1]]</f>
        <v>1.1539950103234689</v>
      </c>
      <c r="BU75" s="155">
        <f>ROUNDUP(VLOOKUP(Datos_Origen[[#This Row],[Categoria]],Competitividad_1[#All],3,0)*IndiceIncrementoC,-3)</f>
        <v>3009000</v>
      </c>
      <c r="BV75" s="161">
        <f>Datos_Origen[[#This Row],[G+V]]/Datos_Origen[[#This Row],[G+VQ1]]</f>
        <v>1.1144930209371886</v>
      </c>
      <c r="BW75" s="155">
        <f>ROUNDUP(VLOOKUP(Datos_Origen[[#This Row],[Categoria]],Competitividad_1[#All],4,0)*IndiceIncrementoC,-3)</f>
        <v>3129000</v>
      </c>
      <c r="BX75" s="161">
        <f>Datos_Origen[[#This Row],[CT]]/Datos_Origen[[#This Row],[CTQ1]]</f>
        <v>1.0717511984659638</v>
      </c>
      <c r="BY75" s="155">
        <f>ROUNDUP(VLOOKUP(Datos_Origen[[#This Row],[Categoria]],Competitividad_1[#All],5,0)*IndiceIncrementoC,-3)</f>
        <v>3456000</v>
      </c>
      <c r="BZ75" s="161">
        <f>Datos_Origen[[#This Row],[G]]/Datos_Origen[[#This Row],[GMd]]</f>
        <v>0.97034418402777789</v>
      </c>
      <c r="CA75" s="155">
        <f>ROUNDUP(VLOOKUP(Datos_Origen[[#This Row],[Categoria]],Competitividad_1[#All],6,0)*IndiceIncrementoC,-3)</f>
        <v>3483000</v>
      </c>
      <c r="CB75" s="161">
        <f>Datos_Origen[[#This Row],[G+V]]/Datos_Origen[[#This Row],[G+VMd]]</f>
        <v>0.96282213608957812</v>
      </c>
      <c r="CC75" s="155">
        <f>ROUNDUP(VLOOKUP(Datos_Origen[[#This Row],[Categoria]],Competitividad_1[#All],7,0)*IndiceIncrementoC,-3)</f>
        <v>3645000</v>
      </c>
      <c r="CD75" s="161">
        <f>Datos_Origen[[#This Row],[CT]]/Datos_Origen[[#This Row],[CTMd]]</f>
        <v>0.9200300411522635</v>
      </c>
      <c r="CE75" s="155">
        <f>+Datos_Origen[[#This Row],[GMd]]/1.17666666667</f>
        <v>2937110.4815780818</v>
      </c>
      <c r="CF75" s="161">
        <f>+Datos_Origen[[#This Row],[Básico Actual]]/Datos_Origen[[#This Row],[Salario Basico Md]]</f>
        <v>0.97034143518793403</v>
      </c>
      <c r="CG75" s="155">
        <f>ROUNDUP(VLOOKUP(Datos_Origen[[#This Row],[Categoria]],Competitividad_1[#All],8,0)*IndiceIncrementoC,-3)</f>
        <v>4712000</v>
      </c>
      <c r="CH75" s="161">
        <f>Datos_Origen[[#This Row],[G]]/Datos_Origen[[#This Row],[GQ3]]</f>
        <v>0.71169556451612914</v>
      </c>
      <c r="CI75" s="155">
        <f>ROUNDUP(VLOOKUP(Datos_Origen[[#This Row],[Categoria]],Competitividad_1[#All],9,0)*IndiceIncrementoC,-3)</f>
        <v>4847000</v>
      </c>
      <c r="CJ75" s="161">
        <f>Datos_Origen[[#This Row],[G+V]]/Datos_Origen[[#This Row],[G+VQ3]]</f>
        <v>0.69187322054879319</v>
      </c>
      <c r="CK75" s="155">
        <f>ROUNDUP(VLOOKUP(Datos_Origen[[#This Row],[Categoria]],Competitividad_1[#All],10,0)*IndiceIncrementoC,-3)</f>
        <v>4977000</v>
      </c>
      <c r="CL75" s="161">
        <f>Datos_Origen[[#This Row],[CT]]/Datos_Origen[[#This Row],[CTQ3]]</f>
        <v>0.67380138637733589</v>
      </c>
      <c r="CM75" s="162">
        <f>IF(ROUND(Datos_Origen[[#This Row],[Salario Ordinario Pol2]],-3)&lt;SMMLV,SMMLV,ROUND(Datos_Origen[[#This Row],[Salario Ordinario Pol2]],-3))</f>
        <v>2478000</v>
      </c>
      <c r="CN75" s="155">
        <f>IF(Datos_Origen[[#This Row],[Gpol]]/(1+FactorPrestacionalOrdinario)&lt;SMMLV,SMMLV,Datos_Origen[[#This Row],[Gpol]]/(1+FactorPrestacionalOrdinario))</f>
        <v>3097733.7110481584</v>
      </c>
      <c r="CO75" s="161">
        <f>IFERROR(IF(Datos_Origen[[#This Row],[Salarios Año]]=14.12,Datos_Origen[[#This Row],[Básico]]/Datos_Origen[[#This Row],[Salario Ordinario Pol]],""),"")</f>
        <v>0.92002743484224969</v>
      </c>
      <c r="CP75" s="155">
        <f>IF(ROUND(Datos_Origen[[#This Row],[Salario Ordinario Pol22]],-3)&lt;SMMLV,SMMLV,ROUND(Datos_Origen[[#This Row],[Salario Ordinario Pol22]],-3))</f>
        <v>3717000</v>
      </c>
      <c r="CQ75" s="155" t="str">
        <f>IFERROR(ROUND(Datos_Origen[[#This Row],[Salario Integral Pol4]],-3),"")</f>
        <v/>
      </c>
      <c r="CR75" s="139" t="str">
        <f>IF((Datos_Origen[[#This Row],[Gpol]]/(1+FactorPrestacionalIntegral))&lt;(13*SMMLV),"",(Datos_Origen[[#This Row],[Gpol]]/(1+FactorPrestacionalIntegral)))</f>
        <v/>
      </c>
      <c r="CS75" s="161" t="str">
        <f>IFERROR(IF(Datos_Origen[[#This Row],[Salarios Año]]=12,Datos_Origen[[#This Row],[Básico]]/Datos_Origen[[#This Row],[Salario Integral Pol]],""),"")</f>
        <v/>
      </c>
      <c r="CT75" s="155" t="str">
        <f>IFERROR(ROUND(Datos_Origen[[#This Row],[Salario Integral Pol44]],-3),"")</f>
        <v/>
      </c>
      <c r="CU75" s="155">
        <f>Datos_Origen[[#This Row],[G+Vpol]]-Datos_Origen[[#This Row],[Variable]]</f>
        <v>3645000</v>
      </c>
      <c r="CV75" s="161">
        <f>Datos_Origen[[#This Row],[G]]/Datos_Origen[[#This Row],[Gpol]]</f>
        <v>0.9200300411522635</v>
      </c>
      <c r="CW75" s="154">
        <f>Datos_Origen[[#This Row],[Ctpol]]-Datos_Origen[[#This Row],[Beneficios]]</f>
        <v>3645000</v>
      </c>
      <c r="CX75" s="161">
        <f>Datos_Origen[[#This Row],[G+V]]/Datos_Origen[[#This Row],[G+Vpol]]</f>
        <v>0.9200300411522635</v>
      </c>
      <c r="CY75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3645000</v>
      </c>
      <c r="CZ75" s="161">
        <f>Datos_Origen[[#This Row],[CT]]/Datos_Origen[[#This Row],[Ctpol]]</f>
        <v>0.9200300411522635</v>
      </c>
      <c r="DA75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2850000</v>
      </c>
      <c r="DB75" s="158">
        <f>IF(Datos_Origen[[#This Row],[Básico]]&lt;10*SMMLV,0,Datos_Origen[[#This Row],[Base Seguridad Social Actual]]*8.5%)</f>
        <v>0</v>
      </c>
      <c r="DC75" s="158">
        <f>Datos_Origen[[#This Row],[Base Seguridad Social Actual]]*12%</f>
        <v>342000</v>
      </c>
      <c r="DD75" s="158">
        <f>Datos_Origen[[#This Row],[Base Seguridad Social Actual]]*Datos_Origen[[#This Row],[%ARL]]</f>
        <v>123974.99999999999</v>
      </c>
      <c r="DE75" s="158">
        <f>IF(Datos_Origen[[#This Row],[Básico]]&lt;10*SMMLV,Datos_Origen[[#This Row],[Base Seguridad Social Actual]]*4%,Datos_Origen[[#This Row],[Base Seguridad Social Actual]]*9%)</f>
        <v>114000</v>
      </c>
      <c r="DF75" s="158">
        <f>Datos_Origen[[#This Row],[Salud]]+Datos_Origen[[#This Row],[Pensión]]+Datos_Origen[[#This Row],[ARL]]+Datos_Origen[[#This Row],[Parafiscales]]</f>
        <v>579975</v>
      </c>
      <c r="DG75" s="163">
        <f>Datos_Origen[[#This Row],[Costo Laboral Actual]]+Datos_Origen[[#This Row],[CT]]</f>
        <v>3933484.5000000005</v>
      </c>
      <c r="DH75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3097733.7110481584</v>
      </c>
      <c r="DI75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75" s="158">
        <f>Datos_Origen[[#This Row],[Base Seguridad Social Nueva]]*12%</f>
        <v>371728.04532577901</v>
      </c>
      <c r="DK75" s="158">
        <f>Datos_Origen[[#This Row],[Base Seguridad Social Nueva]]*Datos_Origen[[#This Row],[%ARL]]</f>
        <v>134751.41643059487</v>
      </c>
      <c r="DL75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123909.34844192634</v>
      </c>
      <c r="DM75" s="158">
        <f>Datos_Origen[[#This Row],[Salud Nueva]]+Datos_Origen[[#This Row],[Pensión Nueva]]+Datos_Origen[[#This Row],[ARL nueva]]+Datos_Origen[[#This Row],[Parafiscales Nuevos]]</f>
        <v>630388.81019830017</v>
      </c>
      <c r="DN75" s="158">
        <f>Datos_Origen[[#This Row],[Costo Laboral Nuevo]]+Datos_Origen[[#This Row],[Ctpol]]</f>
        <v>4275388.8101983005</v>
      </c>
      <c r="DO75" s="158">
        <f>IF(Datos_Origen[[#This Row],[Ctpol]]-Datos_Origen[[#This Row],[CT]]&lt;=0,0,Datos_Origen[[#This Row],[Costo Total Nuevo]]-Datos_Origen[[#This Row],[Costo Total Actual]])</f>
        <v>341904.31019830005</v>
      </c>
      <c r="DP75" s="158">
        <f>IF(Datos_Origen[[#This Row],[Ctpol]]-Datos_Origen[[#This Row],[CT]]&lt;=0,0,Datos_Origen[[#This Row],[Ctpol]]-Datos_Origen[[#This Row],[CT]])</f>
        <v>291490.49999999953</v>
      </c>
      <c r="DQ75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50413.810198300169</v>
      </c>
      <c r="DR75" s="158">
        <f>ROUNDDOWN(VLOOKUP(Datos_Origen[[#This Row],[Categoria]],Competitividad_1[],7,0)*IndiceIncrementoC,-3)</f>
        <v>3644000</v>
      </c>
      <c r="DS75" s="158">
        <f>Datos_Origen[[#This Row],[CTeq]]*0.8</f>
        <v>2539610.855080226</v>
      </c>
      <c r="DT75" s="158">
        <f>Datos_Origen[[#This Row],[CTeq]]*1.2</f>
        <v>3809416.2826203383</v>
      </c>
      <c r="DU75" s="155">
        <f>IF(Datos_Origen[[#This Row],[Gpol6]]/(1+FactorPrestacionalOrdinario)&lt;SMMLV,SMMLV,Datos_Origen[[#This Row],[Gpol6]]/(1+FactorPrestacionalOrdinario))</f>
        <v>2478186.9688385269</v>
      </c>
      <c r="DV75" s="139" t="str">
        <f>IF((Datos_Origen[[#This Row],[Gpol6]]/(1+FactorPrestacionalIntegral))&lt;(13*SMMLV),"",(Datos_Origen[[#This Row],[Gpol6]]/(1+FactorPrestacionalIntegral)))</f>
        <v/>
      </c>
      <c r="DW75" s="154">
        <f>Datos_Origen[[#This Row],[G+Vpol8]]</f>
        <v>2916000</v>
      </c>
      <c r="DX75" s="154">
        <f>Datos_Origen[[#This Row],[Ctpol10]]-Datos_Origen[[#This Row],[Beneficios]]</f>
        <v>2916000</v>
      </c>
      <c r="DY75" s="154">
        <f>Datos_Origen[[#This Row],[Ctpol]]*$CM$6</f>
        <v>2916000</v>
      </c>
      <c r="DZ75" s="155">
        <f>IF(Datos_Origen[[#This Row],[Gpol66]]/(1+FactorPrestacionalOrdinario)&lt;SMMLV,SMMLV,Datos_Origen[[#This Row],[Gpol66]]/(1+FactorPrestacionalOrdinario))</f>
        <v>3717280.4532577903</v>
      </c>
      <c r="EA75" s="139" t="str">
        <f>IF((Datos_Origen[[#This Row],[Gpol66]]/(1+FactorPrestacionalIntegral))&lt;(13*SMMLV),"",(Datos_Origen[[#This Row],[Gpol66]]/(1+FactorPrestacionalIntegral)))</f>
        <v/>
      </c>
      <c r="EB75" s="154">
        <f>Datos_Origen[[#This Row],[G+Vpol88]]</f>
        <v>4374000</v>
      </c>
      <c r="EC75" s="154">
        <f>Datos_Origen[[#This Row],[Ctpol1010]]-Datos_Origen[[#This Row],[Beneficios]]</f>
        <v>4374000</v>
      </c>
      <c r="ED75" s="154">
        <f>Datos_Origen[[#This Row],[Ctpol]]*$CP$6</f>
        <v>4374000</v>
      </c>
      <c r="EE75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76" spans="2:135">
      <c r="B76" s="132"/>
      <c r="C76" s="149"/>
      <c r="D76" s="150"/>
      <c r="E76" s="151"/>
      <c r="F76" s="151"/>
      <c r="G76" s="150" t="s">
        <v>329</v>
      </c>
      <c r="H76" s="153"/>
      <c r="I76" s="152" t="s">
        <v>329</v>
      </c>
      <c r="J76" s="130" t="str">
        <f>IFERROR(VLOOKUP(Datos_Origen[[#This Row],[Cargo Tipo Valorado]],Cargos_Catalogo[[#All],[Cargo]:[Área]],2,0),"")</f>
        <v xml:space="preserve">Coordinadora de seguridad y salud en el trabajo </v>
      </c>
      <c r="K76" s="153"/>
      <c r="L76" s="153"/>
      <c r="M76" s="153"/>
      <c r="N76" s="153"/>
      <c r="O76" s="154">
        <f>Datos_Origen[[#This Row],[Segmentación Individual]]</f>
        <v>0</v>
      </c>
      <c r="P76" s="153"/>
      <c r="Q76" s="154">
        <f>VLOOKUP(Datos_Origen[[#This Row],[Cargo Tipo Valorado]],Cargos_Catalogo[#Data],MATCH(Cargos_Catalogo[[#Headers],[Puntos]],Cargos_Catalogo[#Headers],0),FALSE)</f>
        <v>248</v>
      </c>
      <c r="R76" s="130">
        <f>VLOOKUP(Datos_Origen[[#This Row],[Puntos valoración]],Categorias_Registro[#Data],MATCH(Categorias_Registro[[#Headers],[Categoria]],Categorias_Registro[#Headers],0),FALSE)</f>
        <v>8</v>
      </c>
      <c r="S76" s="130" t="str">
        <f>VLOOKUP(Datos_Origen[[#This Row],[Cargo Tipo Valorado]],Cargos_Catalogo[#Data],MATCH(Cargos_Catalogo[[#Headers],[Nivel SHR]],Cargos_Catalogo[#Headers],0),FALSE)</f>
        <v>Soporte</v>
      </c>
      <c r="T76" s="130" t="str">
        <f>VLOOKUP(Datos_Origen[[#This Row],[Cargo Tipo Valorado]],Cargos_Catalogo[#Data],MATCH(Cargos_Catalogo[[#Headers],[Criticidad]],Cargos_Catalogo[#Headers],0),FALSE)</f>
        <v>Relevante</v>
      </c>
      <c r="U76" s="154">
        <f>VLOOKUP(Datos_Origen[[#This Row],[Puntos valoración]],Categorias_Registro[#Data],5,FALSE)</f>
        <v>249</v>
      </c>
      <c r="V76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2941675.0000000005</v>
      </c>
      <c r="W76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76" s="154">
        <f>SUMIF($BA$5:$BJ$5,"NCS",Datos_Origen[[#This Row],[auxilio Gasolina]:[Otro Beneficio10]])+(SUMIF($BA$5:$BJ$5,"CS",Datos_Origen[[#This Row],[auxilio Gasolina]:[Otro Beneficio10]])*1.17667)</f>
        <v>0</v>
      </c>
      <c r="Y76" s="155">
        <f>Datos_Origen[[#This Row],[Básico]]+Datos_Origen[[#This Row],[Promedio de Comisiones  ]]</f>
        <v>2500000</v>
      </c>
      <c r="Z76" s="155">
        <f>Datos_Origen[[#This Row],[Básico]]+Datos_Origen[[#This Row],[Promedio de Comisiones  ]]</f>
        <v>2500000</v>
      </c>
      <c r="AA76" s="155">
        <f>Datos_Origen[[#This Row],[Garantizado]]</f>
        <v>2941675.0000000005</v>
      </c>
      <c r="AB76" s="155">
        <f>Datos_Origen[[#This Row],[Variable]]+Datos_Origen[[#This Row],[Garantizado]]</f>
        <v>2941675.0000000005</v>
      </c>
      <c r="AC76" s="155">
        <f>Datos_Origen[[#This Row],[Beneficios]]+Datos_Origen[[#This Row],[Variable]]+Datos_Origen[[#This Row],[Garantizado]]</f>
        <v>2941675.0000000005</v>
      </c>
      <c r="AD76" s="156">
        <v>14.12</v>
      </c>
      <c r="AE76" s="141">
        <v>230</v>
      </c>
      <c r="AF76" s="345">
        <v>5.2199999999999998E-3</v>
      </c>
      <c r="AG76" s="155">
        <f>Datos_Origen[[#This Row],[Básico Actual]]*230/Datos_Origen[[#This Row],['# horas mes]]</f>
        <v>2500000</v>
      </c>
      <c r="AH76" s="157">
        <v>2500000</v>
      </c>
      <c r="AI76" s="158"/>
      <c r="AJ76" s="158">
        <f>(((Datos_Origen[[#This Row],[Básico]])/30)*$AJ$6)/12</f>
        <v>0</v>
      </c>
      <c r="AK76" s="158"/>
      <c r="AL76" s="143">
        <f>((Datos_Origen[[#This Row],[Básico]])/30)*$AL$6/12</f>
        <v>0</v>
      </c>
      <c r="AM76" s="158"/>
      <c r="AN76" s="158"/>
      <c r="AO76" s="158"/>
      <c r="AP76" s="158"/>
      <c r="AQ76" s="158"/>
      <c r="AR76" s="149">
        <v>0</v>
      </c>
      <c r="AS76" s="149"/>
      <c r="AT76" s="159" t="str">
        <f>IFERROR(Datos_Origen[[#This Row],[Comisiones Target]]/Datos_Origen[[#This Row],[Promedio de Comisiones  ]],"")</f>
        <v/>
      </c>
      <c r="AU76" s="160"/>
      <c r="AV76" s="143">
        <v>0</v>
      </c>
      <c r="AW76" s="160"/>
      <c r="AX76" s="143">
        <f>Datos_Origen[[#This Row],[N Salarios de la Bonificación2]]*Datos_Origen[[#This Row],[Básico]]/12</f>
        <v>0</v>
      </c>
      <c r="AY76" s="160"/>
      <c r="AZ76" s="158"/>
      <c r="BA76" s="149">
        <v>0</v>
      </c>
      <c r="BB76" s="149"/>
      <c r="BC76" s="149"/>
      <c r="BD76" s="149"/>
      <c r="BE76" s="149"/>
      <c r="BF76" s="149"/>
      <c r="BG76" s="149"/>
      <c r="BH76" s="149"/>
      <c r="BI76" s="149"/>
      <c r="BJ76" s="149"/>
      <c r="BK76" s="159">
        <f>IFERROR(Datos_Origen[[#This Row],[Variable]]/Datos_Origen[[#This Row],[CT]],"")</f>
        <v>0</v>
      </c>
      <c r="BL76" s="159">
        <f>IFERROR(Datos_Origen[[#This Row],[Beneficios]]/Datos_Origen[[#This Row],[CT]],"")</f>
        <v>0</v>
      </c>
      <c r="BM76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3287369.2650705236</v>
      </c>
      <c r="BN76" s="161">
        <f>Datos_Origen[[#This Row],[G]]/Datos_Origen[[#This Row],[Geq]]</f>
        <v>0.89484166906844065</v>
      </c>
      <c r="BO76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3528440.0086889477</v>
      </c>
      <c r="BP76" s="161">
        <f>Datos_Origen[[#This Row],[G+V]]/Datos_Origen[[#This Row],[G+Veq]]</f>
        <v>0.83370412781738923</v>
      </c>
      <c r="BQ76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3530495.5025617885</v>
      </c>
      <c r="BR76" s="161">
        <f>Datos_Origen[[#This Row],[CT]]/Datos_Origen[[#This Row],[CTeq]]</f>
        <v>0.83321873597218021</v>
      </c>
      <c r="BS76" s="139">
        <f>ROUNDUP(VLOOKUP(Datos_Origen[[#This Row],[Categoria]],Competitividad_1[#All],2,0)*IndiceIncrementoC,-3)</f>
        <v>3243000</v>
      </c>
      <c r="BT76" s="161">
        <f>Datos_Origen[[#This Row],[G]]/Datos_Origen[[#This Row],[GQ1]]</f>
        <v>0.90708448967005872</v>
      </c>
      <c r="BU76" s="155">
        <f>ROUNDUP(VLOOKUP(Datos_Origen[[#This Row],[Categoria]],Competitividad_1[#All],3,0)*IndiceIncrementoC,-3)</f>
        <v>3349000</v>
      </c>
      <c r="BV76" s="161">
        <f>Datos_Origen[[#This Row],[G+V]]/Datos_Origen[[#This Row],[G+VQ1]]</f>
        <v>0.87837414153478666</v>
      </c>
      <c r="BW76" s="155">
        <f>ROUNDUP(VLOOKUP(Datos_Origen[[#This Row],[Categoria]],Competitividad_1[#All],4,0)*IndiceIncrementoC,-3)</f>
        <v>3485000</v>
      </c>
      <c r="BX76" s="161">
        <f>Datos_Origen[[#This Row],[CT]]/Datos_Origen[[#This Row],[CTQ1]]</f>
        <v>0.84409612625538033</v>
      </c>
      <c r="BY76" s="155">
        <f>ROUNDUP(VLOOKUP(Datos_Origen[[#This Row],[Categoria]],Competitividad_1[#All],5,0)*IndiceIncrementoC,-3)</f>
        <v>4089000</v>
      </c>
      <c r="BZ76" s="161">
        <f>Datos_Origen[[#This Row],[G]]/Datos_Origen[[#This Row],[GMd]]</f>
        <v>0.71941183663487418</v>
      </c>
      <c r="CA76" s="155">
        <f>ROUNDUP(VLOOKUP(Datos_Origen[[#This Row],[Categoria]],Competitividad_1[#All],6,0)*IndiceIncrementoC,-3)</f>
        <v>4138000</v>
      </c>
      <c r="CB76" s="161">
        <f>Datos_Origen[[#This Row],[G+V]]/Datos_Origen[[#This Row],[G+VMd]]</f>
        <v>0.71089294345094256</v>
      </c>
      <c r="CC76" s="155">
        <f>ROUNDUP(VLOOKUP(Datos_Origen[[#This Row],[Categoria]],Competitividad_1[#All],7,0)*IndiceIncrementoC,-3)</f>
        <v>4329000</v>
      </c>
      <c r="CD76" s="161">
        <f>Datos_Origen[[#This Row],[CT]]/Datos_Origen[[#This Row],[CTMd]]</f>
        <v>0.67952760452760463</v>
      </c>
      <c r="CE76" s="155">
        <f>+Datos_Origen[[#This Row],[GMd]]/1.17666666667</f>
        <v>3475070.8215199006</v>
      </c>
      <c r="CF76" s="161">
        <f>+Datos_Origen[[#This Row],[Básico Actual]]/Datos_Origen[[#This Row],[Salario Basico Md]]</f>
        <v>0.71940979864881394</v>
      </c>
      <c r="CG76" s="155">
        <f>ROUNDUP(VLOOKUP(Datos_Origen[[#This Row],[Categoria]],Competitividad_1[#All],8,0)*IndiceIncrementoC,-3)</f>
        <v>5334000</v>
      </c>
      <c r="CH76" s="161">
        <f>Datos_Origen[[#This Row],[G]]/Datos_Origen[[#This Row],[GQ3]]</f>
        <v>0.55149512560929892</v>
      </c>
      <c r="CI76" s="155">
        <f>ROUNDUP(VLOOKUP(Datos_Origen[[#This Row],[Categoria]],Competitividad_1[#All],9,0)*IndiceIncrementoC,-3)</f>
        <v>5483000</v>
      </c>
      <c r="CJ76" s="161">
        <f>Datos_Origen[[#This Row],[G+V]]/Datos_Origen[[#This Row],[G+VQ3]]</f>
        <v>0.53650829837680114</v>
      </c>
      <c r="CK76" s="155">
        <f>ROUNDUP(VLOOKUP(Datos_Origen[[#This Row],[Categoria]],Competitividad_1[#All],10,0)*IndiceIncrementoC,-3)</f>
        <v>5625000</v>
      </c>
      <c r="CL76" s="161">
        <f>Datos_Origen[[#This Row],[CT]]/Datos_Origen[[#This Row],[CTQ3]]</f>
        <v>0.52296444444444457</v>
      </c>
      <c r="CM76" s="162">
        <f>IF(ROUND(Datos_Origen[[#This Row],[Salario Ordinario Pol2]],-3)&lt;SMMLV,SMMLV,ROUND(Datos_Origen[[#This Row],[Salario Ordinario Pol2]],-3))</f>
        <v>2649000</v>
      </c>
      <c r="CN76" s="155">
        <f>IF(Datos_Origen[[#This Row],[Gpol]]/(1+FactorPrestacionalOrdinario)&lt;SMMLV,SMMLV,Datos_Origen[[#This Row],[Gpol]]/(1+FactorPrestacionalOrdinario))</f>
        <v>3311048.1586402263</v>
      </c>
      <c r="CO76" s="161">
        <f>IFERROR(IF(Datos_Origen[[#This Row],[Salarios Año]]=14.12,Datos_Origen[[#This Row],[Básico]]/Datos_Origen[[#This Row],[Salario Ordinario Pol]],""),"")</f>
        <v>0.75504791238877489</v>
      </c>
      <c r="CP76" s="155">
        <f>IF(ROUND(Datos_Origen[[#This Row],[Salario Ordinario Pol22]],-3)&lt;SMMLV,SMMLV,ROUND(Datos_Origen[[#This Row],[Salario Ordinario Pol22]],-3))</f>
        <v>3973000</v>
      </c>
      <c r="CQ76" s="155" t="str">
        <f>IFERROR(ROUND(Datos_Origen[[#This Row],[Salario Integral Pol4]],-3),"")</f>
        <v/>
      </c>
      <c r="CR76" s="139" t="str">
        <f>IF((Datos_Origen[[#This Row],[Gpol]]/(1+FactorPrestacionalIntegral))&lt;(13*SMMLV),"",(Datos_Origen[[#This Row],[Gpol]]/(1+FactorPrestacionalIntegral)))</f>
        <v/>
      </c>
      <c r="CS76" s="161" t="str">
        <f>IFERROR(IF(Datos_Origen[[#This Row],[Salarios Año]]=12,Datos_Origen[[#This Row],[Básico]]/Datos_Origen[[#This Row],[Salario Integral Pol]],""),"")</f>
        <v/>
      </c>
      <c r="CT76" s="155" t="str">
        <f>IFERROR(ROUND(Datos_Origen[[#This Row],[Salario Integral Pol44]],-3),"")</f>
        <v/>
      </c>
      <c r="CU76" s="155">
        <f>Datos_Origen[[#This Row],[G+Vpol]]-Datos_Origen[[#This Row],[Variable]]</f>
        <v>3896000</v>
      </c>
      <c r="CV76" s="161">
        <f>Datos_Origen[[#This Row],[G]]/Datos_Origen[[#This Row],[Gpol]]</f>
        <v>0.75505005133470238</v>
      </c>
      <c r="CW76" s="154">
        <f>Datos_Origen[[#This Row],[Ctpol]]-Datos_Origen[[#This Row],[Beneficios]]</f>
        <v>3896000</v>
      </c>
      <c r="CX76" s="161">
        <f>Datos_Origen[[#This Row],[G+V]]/Datos_Origen[[#This Row],[G+Vpol]]</f>
        <v>0.75505005133470238</v>
      </c>
      <c r="CY76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3896000</v>
      </c>
      <c r="CZ76" s="161">
        <f>Datos_Origen[[#This Row],[CT]]/Datos_Origen[[#This Row],[Ctpol]]</f>
        <v>0.75505005133470238</v>
      </c>
      <c r="DA76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2500000</v>
      </c>
      <c r="DB76" s="158">
        <f>IF(Datos_Origen[[#This Row],[Básico]]&lt;10*SMMLV,0,Datos_Origen[[#This Row],[Base Seguridad Social Actual]]*8.5%)</f>
        <v>0</v>
      </c>
      <c r="DC76" s="158">
        <f>Datos_Origen[[#This Row],[Base Seguridad Social Actual]]*12%</f>
        <v>300000</v>
      </c>
      <c r="DD76" s="158">
        <f>Datos_Origen[[#This Row],[Base Seguridad Social Actual]]*Datos_Origen[[#This Row],[%ARL]]</f>
        <v>13050</v>
      </c>
      <c r="DE76" s="158">
        <f>IF(Datos_Origen[[#This Row],[Básico]]&lt;10*SMMLV,Datos_Origen[[#This Row],[Base Seguridad Social Actual]]*4%,Datos_Origen[[#This Row],[Base Seguridad Social Actual]]*9%)</f>
        <v>100000</v>
      </c>
      <c r="DF76" s="158">
        <f>Datos_Origen[[#This Row],[Salud]]+Datos_Origen[[#This Row],[Pensión]]+Datos_Origen[[#This Row],[ARL]]+Datos_Origen[[#This Row],[Parafiscales]]</f>
        <v>413050</v>
      </c>
      <c r="DG76" s="163">
        <f>Datos_Origen[[#This Row],[Costo Laboral Actual]]+Datos_Origen[[#This Row],[CT]]</f>
        <v>3354725.0000000005</v>
      </c>
      <c r="DH76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3311048.1586402263</v>
      </c>
      <c r="DI76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76" s="158">
        <f>Datos_Origen[[#This Row],[Base Seguridad Social Nueva]]*12%</f>
        <v>397325.77903682715</v>
      </c>
      <c r="DK76" s="158">
        <f>Datos_Origen[[#This Row],[Base Seguridad Social Nueva]]*Datos_Origen[[#This Row],[%ARL]]</f>
        <v>17283.671388101982</v>
      </c>
      <c r="DL76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132441.92634560907</v>
      </c>
      <c r="DM76" s="158">
        <f>Datos_Origen[[#This Row],[Salud Nueva]]+Datos_Origen[[#This Row],[Pensión Nueva]]+Datos_Origen[[#This Row],[ARL nueva]]+Datos_Origen[[#This Row],[Parafiscales Nuevos]]</f>
        <v>547051.37677053828</v>
      </c>
      <c r="DN76" s="158">
        <f>Datos_Origen[[#This Row],[Costo Laboral Nuevo]]+Datos_Origen[[#This Row],[Ctpol]]</f>
        <v>4443051.3767705383</v>
      </c>
      <c r="DO76" s="158">
        <f>IF(Datos_Origen[[#This Row],[Ctpol]]-Datos_Origen[[#This Row],[CT]]&lt;=0,0,Datos_Origen[[#This Row],[Costo Total Nuevo]]-Datos_Origen[[#This Row],[Costo Total Actual]])</f>
        <v>1088326.3767705378</v>
      </c>
      <c r="DP76" s="158">
        <f>IF(Datos_Origen[[#This Row],[Ctpol]]-Datos_Origen[[#This Row],[CT]]&lt;=0,0,Datos_Origen[[#This Row],[Ctpol]]-Datos_Origen[[#This Row],[CT]])</f>
        <v>954324.99999999953</v>
      </c>
      <c r="DQ76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134001.37677053828</v>
      </c>
      <c r="DR76" s="158">
        <f>ROUNDDOWN(VLOOKUP(Datos_Origen[[#This Row],[Categoria]],Competitividad_1[],7,0)*IndiceIncrementoC,-3)</f>
        <v>4328000</v>
      </c>
      <c r="DS76" s="158">
        <f>Datos_Origen[[#This Row],[CTeq]]*0.8</f>
        <v>2824396.4020494311</v>
      </c>
      <c r="DT76" s="158">
        <f>Datos_Origen[[#This Row],[CTeq]]*1.2</f>
        <v>4236594.6030741464</v>
      </c>
      <c r="DU76" s="155">
        <f>IF(Datos_Origen[[#This Row],[Gpol6]]/(1+FactorPrestacionalOrdinario)&lt;SMMLV,SMMLV,Datos_Origen[[#This Row],[Gpol6]]/(1+FactorPrestacionalOrdinario))</f>
        <v>2648838.5269121812</v>
      </c>
      <c r="DV76" s="139" t="str">
        <f>IF((Datos_Origen[[#This Row],[Gpol6]]/(1+FactorPrestacionalIntegral))&lt;(13*SMMLV),"",(Datos_Origen[[#This Row],[Gpol6]]/(1+FactorPrestacionalIntegral)))</f>
        <v/>
      </c>
      <c r="DW76" s="154">
        <f>Datos_Origen[[#This Row],[G+Vpol8]]</f>
        <v>3116800</v>
      </c>
      <c r="DX76" s="154">
        <f>Datos_Origen[[#This Row],[Ctpol10]]-Datos_Origen[[#This Row],[Beneficios]]</f>
        <v>3116800</v>
      </c>
      <c r="DY76" s="154">
        <f>Datos_Origen[[#This Row],[Ctpol]]*$CM$6</f>
        <v>3116800</v>
      </c>
      <c r="DZ76" s="155">
        <f>IF(Datos_Origen[[#This Row],[Gpol66]]/(1+FactorPrestacionalOrdinario)&lt;SMMLV,SMMLV,Datos_Origen[[#This Row],[Gpol66]]/(1+FactorPrestacionalOrdinario))</f>
        <v>3973257.7903682715</v>
      </c>
      <c r="EA76" s="139" t="str">
        <f>IF((Datos_Origen[[#This Row],[Gpol66]]/(1+FactorPrestacionalIntegral))&lt;(13*SMMLV),"",(Datos_Origen[[#This Row],[Gpol66]]/(1+FactorPrestacionalIntegral)))</f>
        <v/>
      </c>
      <c r="EB76" s="154">
        <f>Datos_Origen[[#This Row],[G+Vpol88]]</f>
        <v>4675200</v>
      </c>
      <c r="EC76" s="154">
        <f>Datos_Origen[[#This Row],[Ctpol1010]]-Datos_Origen[[#This Row],[Beneficios]]</f>
        <v>4675200</v>
      </c>
      <c r="ED76" s="154">
        <f>Datos_Origen[[#This Row],[Ctpol]]*$CP$6</f>
        <v>4675200</v>
      </c>
      <c r="EE76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77" spans="2:135">
      <c r="B77" s="148"/>
      <c r="C77" s="149"/>
      <c r="D77" s="150"/>
      <c r="E77" s="151"/>
      <c r="F77" s="151"/>
      <c r="G77" s="150" t="s">
        <v>325</v>
      </c>
      <c r="H77" s="153"/>
      <c r="I77" s="152" t="s">
        <v>325</v>
      </c>
      <c r="J77" s="130" t="str">
        <f>IFERROR(VLOOKUP(Datos_Origen[[#This Row],[Cargo Tipo Valorado]],Cargos_Catalogo[[#All],[Cargo]:[Área]],2,0),"")</f>
        <v>Director de TIC</v>
      </c>
      <c r="K77" s="153"/>
      <c r="L77" s="153"/>
      <c r="M77" s="153"/>
      <c r="N77" s="153"/>
      <c r="O77" s="154">
        <f>Datos_Origen[[#This Row],[Segmentación Individual]]</f>
        <v>0</v>
      </c>
      <c r="P77" s="153"/>
      <c r="Q77" s="154">
        <f>VLOOKUP(Datos_Origen[[#This Row],[Cargo Tipo Valorado]],Cargos_Catalogo[#Data],MATCH(Cargos_Catalogo[[#Headers],[Puntos]],Cargos_Catalogo[#Headers],0),FALSE)</f>
        <v>300</v>
      </c>
      <c r="R77" s="130">
        <f>VLOOKUP(Datos_Origen[[#This Row],[Puntos valoración]],Categorias_Registro[#Data],MATCH(Categorias_Registro[[#Headers],[Categoria]],Categorias_Registro[#Headers],0),FALSE)</f>
        <v>9</v>
      </c>
      <c r="S77" s="130" t="str">
        <f>VLOOKUP(Datos_Origen[[#This Row],[Cargo Tipo Valorado]],Cargos_Catalogo[#Data],MATCH(Cargos_Catalogo[[#Headers],[Nivel SHR]],Cargos_Catalogo[#Headers],0),FALSE)</f>
        <v>Táctico</v>
      </c>
      <c r="T77" s="130" t="str">
        <f>VLOOKUP(Datos_Origen[[#This Row],[Cargo Tipo Valorado]],Cargos_Catalogo[#Data],MATCH(Cargos_Catalogo[[#Headers],[Criticidad]],Cargos_Catalogo[#Headers],0),FALSE)</f>
        <v>Relevante</v>
      </c>
      <c r="U77" s="154">
        <f>VLOOKUP(Datos_Origen[[#This Row],[Puntos valoración]],Categorias_Registro[#Data],5,FALSE)</f>
        <v>287</v>
      </c>
      <c r="V77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6763499.1600000001</v>
      </c>
      <c r="W77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77" s="154">
        <f>SUMIF($BA$5:$BJ$5,"NCS",Datos_Origen[[#This Row],[auxilio Gasolina]:[Otro Beneficio10]])+(SUMIF($BA$5:$BJ$5,"CS",Datos_Origen[[#This Row],[auxilio Gasolina]:[Otro Beneficio10]])*1.17667)</f>
        <v>0</v>
      </c>
      <c r="Y77" s="155">
        <f>Datos_Origen[[#This Row],[Básico]]+Datos_Origen[[#This Row],[Promedio de Comisiones  ]]</f>
        <v>5748000</v>
      </c>
      <c r="Z77" s="155">
        <f>Datos_Origen[[#This Row],[Básico]]+Datos_Origen[[#This Row],[Promedio de Comisiones  ]]</f>
        <v>5748000</v>
      </c>
      <c r="AA77" s="155">
        <f>Datos_Origen[[#This Row],[Garantizado]]</f>
        <v>6763499.1600000001</v>
      </c>
      <c r="AB77" s="155">
        <f>Datos_Origen[[#This Row],[Variable]]+Datos_Origen[[#This Row],[Garantizado]]</f>
        <v>6763499.1600000001</v>
      </c>
      <c r="AC77" s="155">
        <f>Datos_Origen[[#This Row],[Beneficios]]+Datos_Origen[[#This Row],[Variable]]+Datos_Origen[[#This Row],[Garantizado]]</f>
        <v>6763499.1600000001</v>
      </c>
      <c r="AD77" s="156">
        <v>14.12</v>
      </c>
      <c r="AE77" s="141">
        <v>230</v>
      </c>
      <c r="AF77" s="346">
        <v>5.2199999999999998E-3</v>
      </c>
      <c r="AG77" s="155">
        <f>Datos_Origen[[#This Row],[Básico Actual]]*230/Datos_Origen[[#This Row],['# horas mes]]</f>
        <v>5748000</v>
      </c>
      <c r="AH77" s="157">
        <v>5748000</v>
      </c>
      <c r="AI77" s="158"/>
      <c r="AJ77" s="158">
        <f>(((Datos_Origen[[#This Row],[Básico]])/30)*$AJ$6)/12</f>
        <v>0</v>
      </c>
      <c r="AK77" s="158"/>
      <c r="AL77" s="143">
        <f>((Datos_Origen[[#This Row],[Básico]])/30)*$AL$6/12</f>
        <v>0</v>
      </c>
      <c r="AM77" s="158"/>
      <c r="AN77" s="158"/>
      <c r="AO77" s="158"/>
      <c r="AP77" s="158"/>
      <c r="AQ77" s="158"/>
      <c r="AR77" s="149">
        <v>0</v>
      </c>
      <c r="AS77" s="149"/>
      <c r="AT77" s="159" t="str">
        <f>IFERROR(Datos_Origen[[#This Row],[Comisiones Target]]/Datos_Origen[[#This Row],[Promedio de Comisiones  ]],"")</f>
        <v/>
      </c>
      <c r="AU77" s="160"/>
      <c r="AV77" s="143">
        <v>0</v>
      </c>
      <c r="AW77" s="160"/>
      <c r="AX77" s="143">
        <f>Datos_Origen[[#This Row],[N Salarios de la Bonificación2]]*Datos_Origen[[#This Row],[Básico]]/12</f>
        <v>0</v>
      </c>
      <c r="AY77" s="160"/>
      <c r="AZ77" s="158"/>
      <c r="BA77" s="149">
        <v>0</v>
      </c>
      <c r="BB77" s="149"/>
      <c r="BC77" s="149"/>
      <c r="BD77" s="149"/>
      <c r="BE77" s="149"/>
      <c r="BF77" s="149"/>
      <c r="BG77" s="149"/>
      <c r="BH77" s="149"/>
      <c r="BI77" s="149"/>
      <c r="BJ77" s="149"/>
      <c r="BK77" s="159">
        <f>IFERROR(Datos_Origen[[#This Row],[Variable]]/Datos_Origen[[#This Row],[CT]],"")</f>
        <v>0</v>
      </c>
      <c r="BL77" s="159">
        <f>IFERROR(Datos_Origen[[#This Row],[Beneficios]]/Datos_Origen[[#This Row],[CT]],"")</f>
        <v>0</v>
      </c>
      <c r="BM77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3692842.9859208548</v>
      </c>
      <c r="BN77" s="161">
        <f>Datos_Origen[[#This Row],[G]]/Datos_Origen[[#This Row],[Geq]]</f>
        <v>1.8315154978931334</v>
      </c>
      <c r="BO77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3951672.482501477</v>
      </c>
      <c r="BP77" s="161">
        <f>Datos_Origen[[#This Row],[G+V]]/Datos_Origen[[#This Row],[G+Veq]]</f>
        <v>1.7115535738221372</v>
      </c>
      <c r="BQ77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3953224.048844202</v>
      </c>
      <c r="BR77" s="161">
        <f>Datos_Origen[[#This Row],[CT]]/Datos_Origen[[#This Row],[CTeq]]</f>
        <v>1.7108818211245664</v>
      </c>
      <c r="BS77" s="139">
        <f>ROUNDUP(VLOOKUP(Datos_Origen[[#This Row],[Categoria]],Competitividad_1[#All],2,0)*IndiceIncrementoC,-3)</f>
        <v>3642000</v>
      </c>
      <c r="BT77" s="161">
        <f>Datos_Origen[[#This Row],[G]]/Datos_Origen[[#This Row],[GQ1]]</f>
        <v>1.8570837891268535</v>
      </c>
      <c r="BU77" s="155">
        <f>ROUNDUP(VLOOKUP(Datos_Origen[[#This Row],[Categoria]],Competitividad_1[#All],3,0)*IndiceIncrementoC,-3)</f>
        <v>3754000</v>
      </c>
      <c r="BV77" s="161">
        <f>Datos_Origen[[#This Row],[G+V]]/Datos_Origen[[#This Row],[G+VQ1]]</f>
        <v>1.8016779861481087</v>
      </c>
      <c r="BW77" s="155">
        <f>ROUNDUP(VLOOKUP(Datos_Origen[[#This Row],[Categoria]],Competitividad_1[#All],4,0)*IndiceIncrementoC,-3)</f>
        <v>3907000</v>
      </c>
      <c r="BX77" s="161">
        <f>Datos_Origen[[#This Row],[CT]]/Datos_Origen[[#This Row],[CTQ1]]</f>
        <v>1.7311234092654211</v>
      </c>
      <c r="BY77" s="155">
        <f>ROUNDUP(VLOOKUP(Datos_Origen[[#This Row],[Categoria]],Competitividad_1[#All],5,0)*IndiceIncrementoC,-3)</f>
        <v>4980000</v>
      </c>
      <c r="BZ77" s="161">
        <f>Datos_Origen[[#This Row],[G]]/Datos_Origen[[#This Row],[GMd]]</f>
        <v>1.3581323614457832</v>
      </c>
      <c r="CA77" s="155">
        <f>ROUNDUP(VLOOKUP(Datos_Origen[[#This Row],[Categoria]],Competitividad_1[#All],6,0)*IndiceIncrementoC,-3)</f>
        <v>5077000</v>
      </c>
      <c r="CB77" s="161">
        <f>Datos_Origen[[#This Row],[G+V]]/Datos_Origen[[#This Row],[G+VMd]]</f>
        <v>1.332184195390979</v>
      </c>
      <c r="CC77" s="155">
        <f>ROUNDUP(VLOOKUP(Datos_Origen[[#This Row],[Categoria]],Competitividad_1[#All],7,0)*IndiceIncrementoC,-3)</f>
        <v>5302000</v>
      </c>
      <c r="CD77" s="161">
        <f>Datos_Origen[[#This Row],[CT]]/Datos_Origen[[#This Row],[CTMd]]</f>
        <v>1.2756505394190871</v>
      </c>
      <c r="CE77" s="155">
        <f>+Datos_Origen[[#This Row],[GMd]]/1.17666666667</f>
        <v>4232294.6175517496</v>
      </c>
      <c r="CF77" s="161">
        <f>+Datos_Origen[[#This Row],[Básico Actual]]/Datos_Origen[[#This Row],[Salario Basico Md]]</f>
        <v>1.3581285140600723</v>
      </c>
      <c r="CG77" s="155">
        <f>ROUNDUP(VLOOKUP(Datos_Origen[[#This Row],[Categoria]],Competitividad_1[#All],8,0)*IndiceIncrementoC,-3)</f>
        <v>6072000</v>
      </c>
      <c r="CH77" s="161">
        <f>Datos_Origen[[#This Row],[G]]/Datos_Origen[[#This Row],[GQ3]]</f>
        <v>1.1138832608695652</v>
      </c>
      <c r="CI77" s="155">
        <f>ROUNDUP(VLOOKUP(Datos_Origen[[#This Row],[Categoria]],Competitividad_1[#All],9,0)*IndiceIncrementoC,-3)</f>
        <v>6239000</v>
      </c>
      <c r="CJ77" s="161">
        <f>Datos_Origen[[#This Row],[G+V]]/Datos_Origen[[#This Row],[G+VQ3]]</f>
        <v>1.0840678249719506</v>
      </c>
      <c r="CK77" s="155">
        <f>ROUNDUP(VLOOKUP(Datos_Origen[[#This Row],[Categoria]],Competitividad_1[#All],10,0)*IndiceIncrementoC,-3)</f>
        <v>6395000</v>
      </c>
      <c r="CL77" s="161">
        <f>Datos_Origen[[#This Row],[CT]]/Datos_Origen[[#This Row],[CTQ3]]</f>
        <v>1.0576230117279124</v>
      </c>
      <c r="CM77" s="162">
        <f>IF(ROUND(Datos_Origen[[#This Row],[Salario Ordinario Pol2]],-3)&lt;SMMLV,SMMLV,ROUND(Datos_Origen[[#This Row],[Salario Ordinario Pol2]],-3))</f>
        <v>3244000</v>
      </c>
      <c r="CN77" s="155">
        <f>IF(Datos_Origen[[#This Row],[Gpol]]/(1+FactorPrestacionalOrdinario)&lt;SMMLV,SMMLV,Datos_Origen[[#This Row],[Gpol]]/(1+FactorPrestacionalOrdinario))</f>
        <v>4054674.2209631726</v>
      </c>
      <c r="CO77" s="161">
        <f>IFERROR(IF(Datos_Origen[[#This Row],[Salarios Año]]=14.12,Datos_Origen[[#This Row],[Básico]]/Datos_Origen[[#This Row],[Salario Ordinario Pol]],""),"")</f>
        <v>1.4176231398029764</v>
      </c>
      <c r="CP77" s="155">
        <f>IF(ROUND(Datos_Origen[[#This Row],[Salario Ordinario Pol22]],-3)&lt;SMMLV,SMMLV,ROUND(Datos_Origen[[#This Row],[Salario Ordinario Pol22]],-3))</f>
        <v>4866000</v>
      </c>
      <c r="CQ77" s="155" t="str">
        <f>IFERROR(ROUND(Datos_Origen[[#This Row],[Salario Integral Pol4]],-3),"")</f>
        <v/>
      </c>
      <c r="CR77" s="139" t="str">
        <f>IF((Datos_Origen[[#This Row],[Gpol]]/(1+FactorPrestacionalIntegral))&lt;(13*SMMLV),"",(Datos_Origen[[#This Row],[Gpol]]/(1+FactorPrestacionalIntegral)))</f>
        <v/>
      </c>
      <c r="CS77" s="161" t="str">
        <f>IFERROR(IF(Datos_Origen[[#This Row],[Salarios Año]]=12,Datos_Origen[[#This Row],[Básico]]/Datos_Origen[[#This Row],[Salario Integral Pol]],""),"")</f>
        <v/>
      </c>
      <c r="CT77" s="155" t="str">
        <f>IFERROR(ROUND(Datos_Origen[[#This Row],[Salario Integral Pol44]],-3),"")</f>
        <v/>
      </c>
      <c r="CU77" s="155">
        <f>Datos_Origen[[#This Row],[G+Vpol]]-Datos_Origen[[#This Row],[Variable]]</f>
        <v>4771000</v>
      </c>
      <c r="CV77" s="161">
        <f>Datos_Origen[[#This Row],[G]]/Datos_Origen[[#This Row],[Gpol]]</f>
        <v>1.4176271557325508</v>
      </c>
      <c r="CW77" s="154">
        <f>Datos_Origen[[#This Row],[Ctpol]]-Datos_Origen[[#This Row],[Beneficios]]</f>
        <v>4771000</v>
      </c>
      <c r="CX77" s="161">
        <f>Datos_Origen[[#This Row],[G+V]]/Datos_Origen[[#This Row],[G+Vpol]]</f>
        <v>1.4176271557325508</v>
      </c>
      <c r="CY77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4771000</v>
      </c>
      <c r="CZ77" s="161">
        <f>Datos_Origen[[#This Row],[CT]]/Datos_Origen[[#This Row],[Ctpol]]</f>
        <v>1.4176271557325508</v>
      </c>
      <c r="DA77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5748000</v>
      </c>
      <c r="DB77" s="158">
        <f>IF(Datos_Origen[[#This Row],[Básico]]&lt;10*SMMLV,0,Datos_Origen[[#This Row],[Base Seguridad Social Actual]]*8.5%)</f>
        <v>0</v>
      </c>
      <c r="DC77" s="158">
        <f>Datos_Origen[[#This Row],[Base Seguridad Social Actual]]*12%</f>
        <v>689760</v>
      </c>
      <c r="DD77" s="158">
        <f>Datos_Origen[[#This Row],[Base Seguridad Social Actual]]*Datos_Origen[[#This Row],[%ARL]]</f>
        <v>30004.559999999998</v>
      </c>
      <c r="DE77" s="158">
        <f>IF(Datos_Origen[[#This Row],[Básico]]&lt;10*SMMLV,Datos_Origen[[#This Row],[Base Seguridad Social Actual]]*4%,Datos_Origen[[#This Row],[Base Seguridad Social Actual]]*9%)</f>
        <v>229920</v>
      </c>
      <c r="DF77" s="158">
        <f>Datos_Origen[[#This Row],[Salud]]+Datos_Origen[[#This Row],[Pensión]]+Datos_Origen[[#This Row],[ARL]]+Datos_Origen[[#This Row],[Parafiscales]]</f>
        <v>949684.56</v>
      </c>
      <c r="DG77" s="158">
        <f>Datos_Origen[[#This Row],[Costo Laboral Actual]]+Datos_Origen[[#This Row],[CT]]</f>
        <v>7713183.7200000007</v>
      </c>
      <c r="DH77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4054674.2209631726</v>
      </c>
      <c r="DI77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77" s="158">
        <f>Datos_Origen[[#This Row],[Base Seguridad Social Nueva]]*12%</f>
        <v>486560.90651558072</v>
      </c>
      <c r="DK77" s="158">
        <f>Datos_Origen[[#This Row],[Base Seguridad Social Nueva]]*Datos_Origen[[#This Row],[%ARL]]</f>
        <v>21165.39943342776</v>
      </c>
      <c r="DL77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162186.9688385269</v>
      </c>
      <c r="DM77" s="158">
        <f>Datos_Origen[[#This Row],[Salud Nueva]]+Datos_Origen[[#This Row],[Pensión Nueva]]+Datos_Origen[[#This Row],[ARL nueva]]+Datos_Origen[[#This Row],[Parafiscales Nuevos]]</f>
        <v>669913.27478753543</v>
      </c>
      <c r="DN77" s="158">
        <f>Datos_Origen[[#This Row],[Costo Laboral Nuevo]]+Datos_Origen[[#This Row],[Ctpol]]</f>
        <v>5440913.2747875359</v>
      </c>
      <c r="DO77" s="158">
        <f>IF(Datos_Origen[[#This Row],[Ctpol]]-Datos_Origen[[#This Row],[CT]]&lt;=0,0,Datos_Origen[[#This Row],[Costo Total Nuevo]]-Datos_Origen[[#This Row],[Costo Total Actual]])</f>
        <v>0</v>
      </c>
      <c r="DP77" s="158">
        <f>IF(Datos_Origen[[#This Row],[Ctpol]]-Datos_Origen[[#This Row],[CT]]&lt;=0,0,Datos_Origen[[#This Row],[Ctpol]]-Datos_Origen[[#This Row],[CT]])</f>
        <v>0</v>
      </c>
      <c r="DQ77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0</v>
      </c>
      <c r="DR77" s="158">
        <f>ROUNDDOWN(VLOOKUP(Datos_Origen[[#This Row],[Categoria]],Competitividad_1[],7,0)*IndiceIncrementoC,-3)</f>
        <v>5301000</v>
      </c>
      <c r="DS77" s="158">
        <f>Datos_Origen[[#This Row],[CTeq]]*0.8</f>
        <v>3162579.2390753618</v>
      </c>
      <c r="DT77" s="158">
        <f>Datos_Origen[[#This Row],[CTeq]]*1.2</f>
        <v>4743868.8586130422</v>
      </c>
      <c r="DU77" s="155">
        <f>IF(Datos_Origen[[#This Row],[Gpol6]]/(1+FactorPrestacionalOrdinario)&lt;SMMLV,SMMLV,Datos_Origen[[#This Row],[Gpol6]]/(1+FactorPrestacionalOrdinario))</f>
        <v>3243739.3767705378</v>
      </c>
      <c r="DV77" s="139" t="str">
        <f>IF((Datos_Origen[[#This Row],[Gpol6]]/(1+FactorPrestacionalIntegral))&lt;(13*SMMLV),"",(Datos_Origen[[#This Row],[Gpol6]]/(1+FactorPrestacionalIntegral)))</f>
        <v/>
      </c>
      <c r="DW77" s="154">
        <f>Datos_Origen[[#This Row],[G+Vpol8]]</f>
        <v>3816800</v>
      </c>
      <c r="DX77" s="154">
        <f>Datos_Origen[[#This Row],[Ctpol10]]-Datos_Origen[[#This Row],[Beneficios]]</f>
        <v>3816800</v>
      </c>
      <c r="DY77" s="154">
        <f>Datos_Origen[[#This Row],[Ctpol]]*$CM$6</f>
        <v>3816800</v>
      </c>
      <c r="DZ77" s="155">
        <f>IF(Datos_Origen[[#This Row],[Gpol66]]/(1+FactorPrestacionalOrdinario)&lt;SMMLV,SMMLV,Datos_Origen[[#This Row],[Gpol66]]/(1+FactorPrestacionalOrdinario))</f>
        <v>4865609.065155807</v>
      </c>
      <c r="EA77" s="139" t="str">
        <f>IF((Datos_Origen[[#This Row],[Gpol66]]/(1+FactorPrestacionalIntegral))&lt;(13*SMMLV),"",(Datos_Origen[[#This Row],[Gpol66]]/(1+FactorPrestacionalIntegral)))</f>
        <v/>
      </c>
      <c r="EB77" s="154">
        <f>Datos_Origen[[#This Row],[G+Vpol88]]</f>
        <v>5725200</v>
      </c>
      <c r="EC77" s="154">
        <f>Datos_Origen[[#This Row],[Ctpol1010]]-Datos_Origen[[#This Row],[Beneficios]]</f>
        <v>5725200</v>
      </c>
      <c r="ED77" s="154">
        <f>Datos_Origen[[#This Row],[Ctpol]]*$CP$6</f>
        <v>5725200</v>
      </c>
      <c r="EE77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2222386.9502549581</v>
      </c>
    </row>
    <row r="78" spans="2:135">
      <c r="B78" s="132"/>
      <c r="C78" s="149"/>
      <c r="D78" s="150"/>
      <c r="E78" s="151"/>
      <c r="F78" s="151"/>
      <c r="G78" s="150" t="s">
        <v>326</v>
      </c>
      <c r="H78" s="153"/>
      <c r="I78" s="152" t="s">
        <v>326</v>
      </c>
      <c r="J78" s="130" t="str">
        <f>IFERROR(VLOOKUP(Datos_Origen[[#This Row],[Cargo Tipo Valorado]],Cargos_Catalogo[[#All],[Cargo]:[Área]],2,0),"")</f>
        <v>Director de Taller</v>
      </c>
      <c r="K78" s="153"/>
      <c r="L78" s="153"/>
      <c r="M78" s="153"/>
      <c r="N78" s="153"/>
      <c r="O78" s="154">
        <f>Datos_Origen[[#This Row],[Segmentación Individual]]</f>
        <v>0</v>
      </c>
      <c r="P78" s="153"/>
      <c r="Q78" s="154">
        <f>VLOOKUP(Datos_Origen[[#This Row],[Cargo Tipo Valorado]],Cargos_Catalogo[#Data],MATCH(Cargos_Catalogo[[#Headers],[Puntos]],Cargos_Catalogo[#Headers],0),FALSE)</f>
        <v>301</v>
      </c>
      <c r="R78" s="130">
        <f>VLOOKUP(Datos_Origen[[#This Row],[Puntos valoración]],Categorias_Registro[#Data],MATCH(Categorias_Registro[[#Headers],[Categoria]],Categorias_Registro[#Headers],0),FALSE)</f>
        <v>9</v>
      </c>
      <c r="S78" s="130" t="str">
        <f>VLOOKUP(Datos_Origen[[#This Row],[Cargo Tipo Valorado]],Cargos_Catalogo[#Data],MATCH(Cargos_Catalogo[[#Headers],[Nivel SHR]],Cargos_Catalogo[#Headers],0),FALSE)</f>
        <v>Táctico</v>
      </c>
      <c r="T78" s="130" t="str">
        <f>VLOOKUP(Datos_Origen[[#This Row],[Cargo Tipo Valorado]],Cargos_Catalogo[#Data],MATCH(Cargos_Catalogo[[#Headers],[Criticidad]],Cargos_Catalogo[#Headers],0),FALSE)</f>
        <v>Crítico</v>
      </c>
      <c r="U78" s="154">
        <f>VLOOKUP(Datos_Origen[[#This Row],[Puntos valoración]],Categorias_Registro[#Data],5,FALSE)</f>
        <v>287</v>
      </c>
      <c r="V78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4471346</v>
      </c>
      <c r="W78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78" s="154">
        <f>SUMIF($BA$5:$BJ$5,"NCS",Datos_Origen[[#This Row],[auxilio Gasolina]:[Otro Beneficio10]])+(SUMIF($BA$5:$BJ$5,"CS",Datos_Origen[[#This Row],[auxilio Gasolina]:[Otro Beneficio10]])*1.17667)</f>
        <v>0</v>
      </c>
      <c r="Y78" s="155">
        <f>Datos_Origen[[#This Row],[Básico]]+Datos_Origen[[#This Row],[Promedio de Comisiones  ]]</f>
        <v>3800000</v>
      </c>
      <c r="Z78" s="155">
        <f>Datos_Origen[[#This Row],[Básico]]+Datos_Origen[[#This Row],[Promedio de Comisiones  ]]</f>
        <v>3800000</v>
      </c>
      <c r="AA78" s="155">
        <f>Datos_Origen[[#This Row],[Garantizado]]</f>
        <v>4471346</v>
      </c>
      <c r="AB78" s="155">
        <f>Datos_Origen[[#This Row],[Variable]]+Datos_Origen[[#This Row],[Garantizado]]</f>
        <v>4471346</v>
      </c>
      <c r="AC78" s="155">
        <f>Datos_Origen[[#This Row],[Beneficios]]+Datos_Origen[[#This Row],[Variable]]+Datos_Origen[[#This Row],[Garantizado]]</f>
        <v>4471346</v>
      </c>
      <c r="AD78" s="156">
        <v>14.12</v>
      </c>
      <c r="AE78" s="141">
        <v>230</v>
      </c>
      <c r="AF78" s="345">
        <v>4.3499999999999997E-2</v>
      </c>
      <c r="AG78" s="155">
        <f>Datos_Origen[[#This Row],[Básico Actual]]*230/Datos_Origen[[#This Row],['# horas mes]]</f>
        <v>3800000</v>
      </c>
      <c r="AH78" s="157">
        <v>3800000</v>
      </c>
      <c r="AI78" s="158"/>
      <c r="AJ78" s="158">
        <f>(((Datos_Origen[[#This Row],[Básico]])/30)*$AJ$6)/12</f>
        <v>0</v>
      </c>
      <c r="AK78" s="158"/>
      <c r="AL78" s="143">
        <f>((Datos_Origen[[#This Row],[Básico]])/30)*$AL$6/12</f>
        <v>0</v>
      </c>
      <c r="AM78" s="158"/>
      <c r="AN78" s="158"/>
      <c r="AO78" s="158"/>
      <c r="AP78" s="158"/>
      <c r="AQ78" s="158"/>
      <c r="AR78" s="149">
        <v>0</v>
      </c>
      <c r="AS78" s="149"/>
      <c r="AT78" s="159" t="str">
        <f>IFERROR(Datos_Origen[[#This Row],[Comisiones Target]]/Datos_Origen[[#This Row],[Promedio de Comisiones  ]],"")</f>
        <v/>
      </c>
      <c r="AU78" s="160"/>
      <c r="AV78" s="143">
        <v>0</v>
      </c>
      <c r="AW78" s="160"/>
      <c r="AX78" s="143">
        <f>Datos_Origen[[#This Row],[N Salarios de la Bonificación2]]*Datos_Origen[[#This Row],[Básico]]/12</f>
        <v>0</v>
      </c>
      <c r="AY78" s="160"/>
      <c r="AZ78" s="158"/>
      <c r="BA78" s="149">
        <v>0</v>
      </c>
      <c r="BB78" s="149"/>
      <c r="BC78" s="149"/>
      <c r="BD78" s="149"/>
      <c r="BE78" s="149"/>
      <c r="BF78" s="149"/>
      <c r="BG78" s="149"/>
      <c r="BH78" s="149"/>
      <c r="BI78" s="149"/>
      <c r="BJ78" s="149"/>
      <c r="BK78" s="159">
        <f>IFERROR(Datos_Origen[[#This Row],[Variable]]/Datos_Origen[[#This Row],[CT]],"")</f>
        <v>0</v>
      </c>
      <c r="BL78" s="159">
        <f>IFERROR(Datos_Origen[[#This Row],[Beneficios]]/Datos_Origen[[#This Row],[CT]],"")</f>
        <v>0</v>
      </c>
      <c r="BM78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3692842.9859208548</v>
      </c>
      <c r="BN78" s="161">
        <f>Datos_Origen[[#This Row],[G]]/Datos_Origen[[#This Row],[Geq]]</f>
        <v>1.2108140034784112</v>
      </c>
      <c r="BO78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3951672.482501477</v>
      </c>
      <c r="BP78" s="161">
        <f>Datos_Origen[[#This Row],[G+V]]/Datos_Origen[[#This Row],[G+Veq]]</f>
        <v>1.1315072339116425</v>
      </c>
      <c r="BQ78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3953224.048844202</v>
      </c>
      <c r="BR78" s="161">
        <f>Datos_Origen[[#This Row],[CT]]/Datos_Origen[[#This Row],[CTeq]]</f>
        <v>1.1310631385305066</v>
      </c>
      <c r="BS78" s="139">
        <f>ROUNDUP(VLOOKUP(Datos_Origen[[#This Row],[Categoria]],Competitividad_1[#All],2,0)*IndiceIncrementoC,-3)</f>
        <v>3642000</v>
      </c>
      <c r="BT78" s="161">
        <f>Datos_Origen[[#This Row],[G]]/Datos_Origen[[#This Row],[GQ1]]</f>
        <v>1.2277171883580451</v>
      </c>
      <c r="BU78" s="155">
        <f>ROUNDUP(VLOOKUP(Datos_Origen[[#This Row],[Categoria]],Competitividad_1[#All],3,0)*IndiceIncrementoC,-3)</f>
        <v>3754000</v>
      </c>
      <c r="BV78" s="161">
        <f>Datos_Origen[[#This Row],[G+V]]/Datos_Origen[[#This Row],[G+VQ1]]</f>
        <v>1.1910884389984018</v>
      </c>
      <c r="BW78" s="155">
        <f>ROUNDUP(VLOOKUP(Datos_Origen[[#This Row],[Categoria]],Competitividad_1[#All],4,0)*IndiceIncrementoC,-3)</f>
        <v>3907000</v>
      </c>
      <c r="BX78" s="161">
        <f>Datos_Origen[[#This Row],[CT]]/Datos_Origen[[#This Row],[CTQ1]]</f>
        <v>1.1444448425902227</v>
      </c>
      <c r="BY78" s="155">
        <f>ROUNDUP(VLOOKUP(Datos_Origen[[#This Row],[Categoria]],Competitividad_1[#All],5,0)*IndiceIncrementoC,-3)</f>
        <v>4980000</v>
      </c>
      <c r="BZ78" s="161">
        <f>Datos_Origen[[#This Row],[G]]/Datos_Origen[[#This Row],[GMd]]</f>
        <v>0.89786064257028109</v>
      </c>
      <c r="CA78" s="155">
        <f>ROUNDUP(VLOOKUP(Datos_Origen[[#This Row],[Categoria]],Competitividad_1[#All],6,0)*IndiceIncrementoC,-3)</f>
        <v>5077000</v>
      </c>
      <c r="CB78" s="161">
        <f>Datos_Origen[[#This Row],[G+V]]/Datos_Origen[[#This Row],[G+VMd]]</f>
        <v>0.8807063226314753</v>
      </c>
      <c r="CC78" s="155">
        <f>ROUNDUP(VLOOKUP(Datos_Origen[[#This Row],[Categoria]],Competitividad_1[#All],7,0)*IndiceIncrementoC,-3)</f>
        <v>5302000</v>
      </c>
      <c r="CD78" s="161">
        <f>Datos_Origen[[#This Row],[CT]]/Datos_Origen[[#This Row],[CTMd]]</f>
        <v>0.84333195020746887</v>
      </c>
      <c r="CE78" s="155">
        <f>+Datos_Origen[[#This Row],[GMd]]/1.17666666667</f>
        <v>4232294.6175517496</v>
      </c>
      <c r="CF78" s="161">
        <f>+Datos_Origen[[#This Row],[Básico Actual]]/Datos_Origen[[#This Row],[Salario Basico Md]]</f>
        <v>0.89785809906546188</v>
      </c>
      <c r="CG78" s="155">
        <f>ROUNDUP(VLOOKUP(Datos_Origen[[#This Row],[Categoria]],Competitividad_1[#All],8,0)*IndiceIncrementoC,-3)</f>
        <v>6072000</v>
      </c>
      <c r="CH78" s="161">
        <f>Datos_Origen[[#This Row],[G]]/Datos_Origen[[#This Row],[GQ3]]</f>
        <v>0.73638768115942033</v>
      </c>
      <c r="CI78" s="155">
        <f>ROUNDUP(VLOOKUP(Datos_Origen[[#This Row],[Categoria]],Competitividad_1[#All],9,0)*IndiceIncrementoC,-3)</f>
        <v>6239000</v>
      </c>
      <c r="CJ78" s="161">
        <f>Datos_Origen[[#This Row],[G+V]]/Datos_Origen[[#This Row],[G+VQ3]]</f>
        <v>0.71667671101137997</v>
      </c>
      <c r="CK78" s="155">
        <f>ROUNDUP(VLOOKUP(Datos_Origen[[#This Row],[Categoria]],Competitividad_1[#All],10,0)*IndiceIncrementoC,-3)</f>
        <v>6395000</v>
      </c>
      <c r="CL78" s="161">
        <f>Datos_Origen[[#This Row],[CT]]/Datos_Origen[[#This Row],[CTQ3]]</f>
        <v>0.69919405785770128</v>
      </c>
      <c r="CM78" s="162">
        <f>IF(ROUND(Datos_Origen[[#This Row],[Salario Ordinario Pol2]],-3)&lt;SMMLV,SMMLV,ROUND(Datos_Origen[[#This Row],[Salario Ordinario Pol2]],-3))</f>
        <v>4325000</v>
      </c>
      <c r="CN78" s="155">
        <f>IF(Datos_Origen[[#This Row],[Gpol]]/(1+FactorPrestacionalOrdinario)&lt;SMMLV,SMMLV,Datos_Origen[[#This Row],[Gpol]]/(1+FactorPrestacionalOrdinario))</f>
        <v>5406798.8668555235</v>
      </c>
      <c r="CO78" s="161">
        <f>IFERROR(IF(Datos_Origen[[#This Row],[Salarios Año]]=14.12,Datos_Origen[[#This Row],[Básico]]/Datos_Origen[[#This Row],[Salario Ordinario Pol]],""),"")</f>
        <v>0.70281882007754382</v>
      </c>
      <c r="CP78" s="155">
        <f>IF(ROUND(Datos_Origen[[#This Row],[Salario Ordinario Pol22]],-3)&lt;SMMLV,SMMLV,ROUND(Datos_Origen[[#This Row],[Salario Ordinario Pol22]],-3))</f>
        <v>6488000</v>
      </c>
      <c r="CQ78" s="155" t="str">
        <f>IFERROR(ROUND(Datos_Origen[[#This Row],[Salario Integral Pol4]],-3),"")</f>
        <v/>
      </c>
      <c r="CR78" s="139" t="str">
        <f>IF((Datos_Origen[[#This Row],[Gpol]]/(1+FactorPrestacionalIntegral))&lt;(13*SMMLV),"",(Datos_Origen[[#This Row],[Gpol]]/(1+FactorPrestacionalIntegral)))</f>
        <v/>
      </c>
      <c r="CS78" s="161" t="str">
        <f>IFERROR(IF(Datos_Origen[[#This Row],[Salarios Año]]=12,Datos_Origen[[#This Row],[Básico]]/Datos_Origen[[#This Row],[Salario Integral Pol]],""),"")</f>
        <v/>
      </c>
      <c r="CT78" s="155" t="str">
        <f>IFERROR(ROUND(Datos_Origen[[#This Row],[Salario Integral Pol44]],-3),"")</f>
        <v/>
      </c>
      <c r="CU78" s="155">
        <f>Datos_Origen[[#This Row],[G+Vpol]]-Datos_Origen[[#This Row],[Variable]]</f>
        <v>6362000</v>
      </c>
      <c r="CV78" s="161">
        <f>Datos_Origen[[#This Row],[G]]/Datos_Origen[[#This Row],[Gpol]]</f>
        <v>0.7028208110657026</v>
      </c>
      <c r="CW78" s="154">
        <f>Datos_Origen[[#This Row],[Ctpol]]-Datos_Origen[[#This Row],[Beneficios]]</f>
        <v>6362000</v>
      </c>
      <c r="CX78" s="161">
        <f>Datos_Origen[[#This Row],[G+V]]/Datos_Origen[[#This Row],[G+Vpol]]</f>
        <v>0.7028208110657026</v>
      </c>
      <c r="CY78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6362000</v>
      </c>
      <c r="CZ78" s="161">
        <f>Datos_Origen[[#This Row],[CT]]/Datos_Origen[[#This Row],[Ctpol]]</f>
        <v>0.7028208110657026</v>
      </c>
      <c r="DA78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3800000</v>
      </c>
      <c r="DB78" s="158">
        <f>IF(Datos_Origen[[#This Row],[Básico]]&lt;10*SMMLV,0,Datos_Origen[[#This Row],[Base Seguridad Social Actual]]*8.5%)</f>
        <v>0</v>
      </c>
      <c r="DC78" s="158">
        <f>Datos_Origen[[#This Row],[Base Seguridad Social Actual]]*12%</f>
        <v>456000</v>
      </c>
      <c r="DD78" s="158">
        <f>Datos_Origen[[#This Row],[Base Seguridad Social Actual]]*Datos_Origen[[#This Row],[%ARL]]</f>
        <v>165300</v>
      </c>
      <c r="DE78" s="158">
        <f>IF(Datos_Origen[[#This Row],[Básico]]&lt;10*SMMLV,Datos_Origen[[#This Row],[Base Seguridad Social Actual]]*4%,Datos_Origen[[#This Row],[Base Seguridad Social Actual]]*9%)</f>
        <v>152000</v>
      </c>
      <c r="DF78" s="158">
        <f>Datos_Origen[[#This Row],[Salud]]+Datos_Origen[[#This Row],[Pensión]]+Datos_Origen[[#This Row],[ARL]]+Datos_Origen[[#This Row],[Parafiscales]]</f>
        <v>773300</v>
      </c>
      <c r="DG78" s="163">
        <f>Datos_Origen[[#This Row],[Costo Laboral Actual]]+Datos_Origen[[#This Row],[CT]]</f>
        <v>5244646</v>
      </c>
      <c r="DH78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5406798.8668555235</v>
      </c>
      <c r="DI78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78" s="158">
        <f>Datos_Origen[[#This Row],[Base Seguridad Social Nueva]]*12%</f>
        <v>648815.86402266275</v>
      </c>
      <c r="DK78" s="158">
        <f>Datos_Origen[[#This Row],[Base Seguridad Social Nueva]]*Datos_Origen[[#This Row],[%ARL]]</f>
        <v>235195.75070821526</v>
      </c>
      <c r="DL78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216271.95467422093</v>
      </c>
      <c r="DM78" s="158">
        <f>Datos_Origen[[#This Row],[Salud Nueva]]+Datos_Origen[[#This Row],[Pensión Nueva]]+Datos_Origen[[#This Row],[ARL nueva]]+Datos_Origen[[#This Row],[Parafiscales Nuevos]]</f>
        <v>1100283.5694050989</v>
      </c>
      <c r="DN78" s="158">
        <f>Datos_Origen[[#This Row],[Costo Laboral Nuevo]]+Datos_Origen[[#This Row],[Ctpol]]</f>
        <v>7462283.5694050994</v>
      </c>
      <c r="DO78" s="158">
        <f>IF(Datos_Origen[[#This Row],[Ctpol]]-Datos_Origen[[#This Row],[CT]]&lt;=0,0,Datos_Origen[[#This Row],[Costo Total Nuevo]]-Datos_Origen[[#This Row],[Costo Total Actual]])</f>
        <v>2217637.5694050994</v>
      </c>
      <c r="DP78" s="158">
        <f>IF(Datos_Origen[[#This Row],[Ctpol]]-Datos_Origen[[#This Row],[CT]]&lt;=0,0,Datos_Origen[[#This Row],[Ctpol]]-Datos_Origen[[#This Row],[CT]])</f>
        <v>1890654</v>
      </c>
      <c r="DQ78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326983.56940509891</v>
      </c>
      <c r="DR78" s="158">
        <f>ROUNDDOWN(VLOOKUP(Datos_Origen[[#This Row],[Categoria]],Competitividad_1[],7,0)*IndiceIncrementoC,-3)</f>
        <v>5301000</v>
      </c>
      <c r="DS78" s="158">
        <f>Datos_Origen[[#This Row],[CTeq]]*0.8</f>
        <v>3162579.2390753618</v>
      </c>
      <c r="DT78" s="158">
        <f>Datos_Origen[[#This Row],[CTeq]]*1.2</f>
        <v>4743868.8586130422</v>
      </c>
      <c r="DU78" s="155">
        <f>IF(Datos_Origen[[#This Row],[Gpol6]]/(1+FactorPrestacionalOrdinario)&lt;SMMLV,SMMLV,Datos_Origen[[#This Row],[Gpol6]]/(1+FactorPrestacionalOrdinario))</f>
        <v>4325439.0934844194</v>
      </c>
      <c r="DV78" s="139" t="str">
        <f>IF((Datos_Origen[[#This Row],[Gpol6]]/(1+FactorPrestacionalIntegral))&lt;(13*SMMLV),"",(Datos_Origen[[#This Row],[Gpol6]]/(1+FactorPrestacionalIntegral)))</f>
        <v/>
      </c>
      <c r="DW78" s="154">
        <f>Datos_Origen[[#This Row],[G+Vpol8]]</f>
        <v>5089600</v>
      </c>
      <c r="DX78" s="154">
        <f>Datos_Origen[[#This Row],[Ctpol10]]-Datos_Origen[[#This Row],[Beneficios]]</f>
        <v>5089600</v>
      </c>
      <c r="DY78" s="154">
        <f>Datos_Origen[[#This Row],[Ctpol]]*$CM$6</f>
        <v>5089600</v>
      </c>
      <c r="DZ78" s="155">
        <f>IF(Datos_Origen[[#This Row],[Gpol66]]/(1+FactorPrestacionalOrdinario)&lt;SMMLV,SMMLV,Datos_Origen[[#This Row],[Gpol66]]/(1+FactorPrestacionalOrdinario))</f>
        <v>6488158.6402266286</v>
      </c>
      <c r="EA78" s="139" t="str">
        <f>IF((Datos_Origen[[#This Row],[Gpol66]]/(1+FactorPrestacionalIntegral))&lt;(13*SMMLV),"",(Datos_Origen[[#This Row],[Gpol66]]/(1+FactorPrestacionalIntegral)))</f>
        <v/>
      </c>
      <c r="EB78" s="154">
        <f>Datos_Origen[[#This Row],[G+Vpol88]]</f>
        <v>7634400</v>
      </c>
      <c r="EC78" s="154">
        <f>Datos_Origen[[#This Row],[Ctpol1010]]-Datos_Origen[[#This Row],[Beneficios]]</f>
        <v>7634400</v>
      </c>
      <c r="ED78" s="154">
        <f>Datos_Origen[[#This Row],[Ctpol]]*$CP$6</f>
        <v>7634400</v>
      </c>
      <c r="EE78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79" spans="2:135">
      <c r="B79" s="148"/>
      <c r="C79" s="149"/>
      <c r="D79" s="150"/>
      <c r="E79" s="151"/>
      <c r="F79" s="151"/>
      <c r="G79" s="150" t="s">
        <v>390</v>
      </c>
      <c r="H79" s="153"/>
      <c r="I79" s="152" t="s">
        <v>327</v>
      </c>
      <c r="J79" s="130" t="str">
        <f>IFERROR(VLOOKUP(Datos_Origen[[#This Row],[Cargo Tipo Valorado]],Cargos_Catalogo[[#All],[Cargo]:[Área]],2,0),"")</f>
        <v/>
      </c>
      <c r="K79" s="153"/>
      <c r="L79" s="153"/>
      <c r="M79" s="153"/>
      <c r="N79" s="153"/>
      <c r="O79" s="154">
        <f>Datos_Origen[[#This Row],[Segmentación Individual]]</f>
        <v>0</v>
      </c>
      <c r="P79" s="153"/>
      <c r="Q79" s="154">
        <f>VLOOKUP(Datos_Origen[[#This Row],[Cargo Tipo Valorado]],Cargos_Catalogo[#Data],MATCH(Cargos_Catalogo[[#Headers],[Puntos]],Cargos_Catalogo[#Headers],0),FALSE)</f>
        <v>304</v>
      </c>
      <c r="R79" s="130">
        <f>VLOOKUP(Datos_Origen[[#This Row],[Puntos valoración]],Categorias_Registro[#Data],MATCH(Categorias_Registro[[#Headers],[Categoria]],Categorias_Registro[#Headers],0),FALSE)</f>
        <v>9</v>
      </c>
      <c r="S79" s="130" t="str">
        <f>VLOOKUP(Datos_Origen[[#This Row],[Cargo Tipo Valorado]],Cargos_Catalogo[#Data],MATCH(Cargos_Catalogo[[#Headers],[Nivel SHR]],Cargos_Catalogo[#Headers],0),FALSE)</f>
        <v>Táctico</v>
      </c>
      <c r="T79" s="130" t="str">
        <f>VLOOKUP(Datos_Origen[[#This Row],[Cargo Tipo Valorado]],Cargos_Catalogo[#Data],MATCH(Cargos_Catalogo[[#Headers],[Criticidad]],Cargos_Catalogo[#Headers],0),FALSE)</f>
        <v>Relevante</v>
      </c>
      <c r="U79" s="154">
        <f>VLOOKUP(Datos_Origen[[#This Row],[Puntos valoración]],Categorias_Registro[#Data],5,FALSE)</f>
        <v>287</v>
      </c>
      <c r="V79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79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79" s="154">
        <f>SUMIF($BA$5:$BJ$5,"NCS",Datos_Origen[[#This Row],[auxilio Gasolina]:[Otro Beneficio10]])+(SUMIF($BA$5:$BJ$5,"CS",Datos_Origen[[#This Row],[auxilio Gasolina]:[Otro Beneficio10]])*1.17667)</f>
        <v>0</v>
      </c>
      <c r="Y79" s="155">
        <f>Datos_Origen[[#This Row],[Básico]]+Datos_Origen[[#This Row],[Promedio de Comisiones  ]]</f>
        <v>2404000</v>
      </c>
      <c r="Z79" s="155">
        <f>Datos_Origen[[#This Row],[Básico]]+Datos_Origen[[#This Row],[Promedio de Comisiones  ]]</f>
        <v>2404000</v>
      </c>
      <c r="AA79" s="155">
        <f>Datos_Origen[[#This Row],[Garantizado]]</f>
        <v>2828714.68</v>
      </c>
      <c r="AB79" s="155">
        <f>Datos_Origen[[#This Row],[Variable]]+Datos_Origen[[#This Row],[Garantizado]]</f>
        <v>2828714.68</v>
      </c>
      <c r="AC79" s="155">
        <f>Datos_Origen[[#This Row],[Beneficios]]+Datos_Origen[[#This Row],[Variable]]+Datos_Origen[[#This Row],[Garantizado]]</f>
        <v>2828714.68</v>
      </c>
      <c r="AD79" s="156">
        <v>14.12</v>
      </c>
      <c r="AE79" s="141">
        <v>230</v>
      </c>
      <c r="AF79" s="345">
        <v>4.3499999999999997E-2</v>
      </c>
      <c r="AG79" s="155">
        <f>Datos_Origen[[#This Row],[Básico Actual]]*230/Datos_Origen[[#This Row],['# horas mes]]</f>
        <v>2404000</v>
      </c>
      <c r="AH79" s="157">
        <v>2404000</v>
      </c>
      <c r="AI79" s="158"/>
      <c r="AJ79" s="158">
        <f>(((Datos_Origen[[#This Row],[Básico]])/30)*$AJ$6)/12</f>
        <v>0</v>
      </c>
      <c r="AK79" s="158"/>
      <c r="AL79" s="143">
        <f>((Datos_Origen[[#This Row],[Básico]])/30)*$AL$6/12</f>
        <v>0</v>
      </c>
      <c r="AM79" s="158"/>
      <c r="AN79" s="158"/>
      <c r="AO79" s="158"/>
      <c r="AP79" s="158"/>
      <c r="AQ79" s="158"/>
      <c r="AR79" s="149">
        <v>0</v>
      </c>
      <c r="AS79" s="149"/>
      <c r="AT79" s="159" t="str">
        <f>IFERROR(Datos_Origen[[#This Row],[Comisiones Target]]/Datos_Origen[[#This Row],[Promedio de Comisiones  ]],"")</f>
        <v/>
      </c>
      <c r="AU79" s="160"/>
      <c r="AV79" s="143">
        <v>0</v>
      </c>
      <c r="AW79" s="160"/>
      <c r="AX79" s="143">
        <f>Datos_Origen[[#This Row],[N Salarios de la Bonificación2]]*Datos_Origen[[#This Row],[Básico]]/12</f>
        <v>0</v>
      </c>
      <c r="AY79" s="160"/>
      <c r="AZ79" s="158"/>
      <c r="BA79" s="149">
        <v>0</v>
      </c>
      <c r="BB79" s="149"/>
      <c r="BC79" s="149"/>
      <c r="BD79" s="149"/>
      <c r="BE79" s="149"/>
      <c r="BF79" s="149"/>
      <c r="BG79" s="149"/>
      <c r="BH79" s="149"/>
      <c r="BI79" s="149"/>
      <c r="BJ79" s="149"/>
      <c r="BK79" s="159">
        <f>IFERROR(Datos_Origen[[#This Row],[Variable]]/Datos_Origen[[#This Row],[CT]],"")</f>
        <v>0</v>
      </c>
      <c r="BL79" s="159">
        <f>IFERROR(Datos_Origen[[#This Row],[Beneficios]]/Datos_Origen[[#This Row],[CT]],"")</f>
        <v>0</v>
      </c>
      <c r="BM79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3692842.9859208548</v>
      </c>
      <c r="BN79" s="161">
        <f>Datos_Origen[[#This Row],[G]]/Datos_Origen[[#This Row],[Geq]]</f>
        <v>0.76599917483213176</v>
      </c>
      <c r="BO79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3951672.482501477</v>
      </c>
      <c r="BP79" s="161">
        <f>Datos_Origen[[#This Row],[G+V]]/Datos_Origen[[#This Row],[G+Veq]]</f>
        <v>0.71582720797989186</v>
      </c>
      <c r="BQ79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3953224.048844202</v>
      </c>
      <c r="BR79" s="161">
        <f>Datos_Origen[[#This Row],[CT]]/Datos_Origen[[#This Row],[CTeq]]</f>
        <v>0.71554625921772053</v>
      </c>
      <c r="BS79" s="139">
        <f>ROUNDUP(VLOOKUP(Datos_Origen[[#This Row],[Categoria]],Competitividad_1[#All],2,0)*IndiceIncrementoC,-3)</f>
        <v>3642000</v>
      </c>
      <c r="BT79" s="161">
        <f>Datos_Origen[[#This Row],[G]]/Datos_Origen[[#This Row],[GQ1]]</f>
        <v>0.77669266337177378</v>
      </c>
      <c r="BU79" s="155">
        <f>ROUNDUP(VLOOKUP(Datos_Origen[[#This Row],[Categoria]],Competitividad_1[#All],3,0)*IndiceIncrementoC,-3)</f>
        <v>3754000</v>
      </c>
      <c r="BV79" s="161">
        <f>Datos_Origen[[#This Row],[G+V]]/Datos_Origen[[#This Row],[G+VQ1]]</f>
        <v>0.75352015982951526</v>
      </c>
      <c r="BW79" s="155">
        <f>ROUNDUP(VLOOKUP(Datos_Origen[[#This Row],[Categoria]],Competitividad_1[#All],4,0)*IndiceIncrementoC,-3)</f>
        <v>3907000</v>
      </c>
      <c r="BX79" s="161">
        <f>Datos_Origen[[#This Row],[CT]]/Datos_Origen[[#This Row],[CTQ1]]</f>
        <v>0.72401194778602518</v>
      </c>
      <c r="BY79" s="155">
        <f>ROUNDUP(VLOOKUP(Datos_Origen[[#This Row],[Categoria]],Competitividad_1[#All],5,0)*IndiceIncrementoC,-3)</f>
        <v>4980000</v>
      </c>
      <c r="BZ79" s="161">
        <f>Datos_Origen[[#This Row],[G]]/Datos_Origen[[#This Row],[GMd]]</f>
        <v>0.56801499598393579</v>
      </c>
      <c r="CA79" s="155">
        <f>ROUNDUP(VLOOKUP(Datos_Origen[[#This Row],[Categoria]],Competitividad_1[#All],6,0)*IndiceIncrementoC,-3)</f>
        <v>5077000</v>
      </c>
      <c r="CB79" s="161">
        <f>Datos_Origen[[#This Row],[G+V]]/Datos_Origen[[#This Row],[G+VMd]]</f>
        <v>0.55716263147528067</v>
      </c>
      <c r="CC79" s="155">
        <f>ROUNDUP(VLOOKUP(Datos_Origen[[#This Row],[Categoria]],Competitividad_1[#All],7,0)*IndiceIncrementoC,-3)</f>
        <v>5302000</v>
      </c>
      <c r="CD79" s="161">
        <f>Datos_Origen[[#This Row],[CT]]/Datos_Origen[[#This Row],[CTMd]]</f>
        <v>0.53351842323651455</v>
      </c>
      <c r="CE79" s="155">
        <f>+Datos_Origen[[#This Row],[GMd]]/1.17666666667</f>
        <v>4232294.6175517496</v>
      </c>
      <c r="CF79" s="161">
        <f>+Datos_Origen[[#This Row],[Básico Actual]]/Datos_Origen[[#This Row],[Salario Basico Md]]</f>
        <v>0.56801338688246594</v>
      </c>
      <c r="CG79" s="155">
        <f>ROUNDUP(VLOOKUP(Datos_Origen[[#This Row],[Categoria]],Competitividad_1[#All],8,0)*IndiceIncrementoC,-3)</f>
        <v>6072000</v>
      </c>
      <c r="CH79" s="161">
        <f>Datos_Origen[[#This Row],[G]]/Datos_Origen[[#This Row],[GQ3]]</f>
        <v>0.46586210144927537</v>
      </c>
      <c r="CI79" s="155">
        <f>ROUNDUP(VLOOKUP(Datos_Origen[[#This Row],[Categoria]],Competitividad_1[#All],9,0)*IndiceIncrementoC,-3)</f>
        <v>6239000</v>
      </c>
      <c r="CJ79" s="161">
        <f>Datos_Origen[[#This Row],[G+V]]/Datos_Origen[[#This Row],[G+VQ3]]</f>
        <v>0.45339231928193624</v>
      </c>
      <c r="CK79" s="155">
        <f>ROUNDUP(VLOOKUP(Datos_Origen[[#This Row],[Categoria]],Competitividad_1[#All],10,0)*IndiceIncrementoC,-3)</f>
        <v>6395000</v>
      </c>
      <c r="CL79" s="161">
        <f>Datos_Origen[[#This Row],[CT]]/Datos_Origen[[#This Row],[CTQ3]]</f>
        <v>0.44233224081313527</v>
      </c>
      <c r="CM79" s="162">
        <f>IF(ROUND(Datos_Origen[[#This Row],[Salario Ordinario Pol2]],-3)&lt;SMMLV,SMMLV,ROUND(Datos_Origen[[#This Row],[Salario Ordinario Pol2]],-3))</f>
        <v>3244000</v>
      </c>
      <c r="CN79" s="155">
        <f>IF(Datos_Origen[[#This Row],[Gpol]]/(1+FactorPrestacionalOrdinario)&lt;SMMLV,SMMLV,Datos_Origen[[#This Row],[Gpol]]/(1+FactorPrestacionalOrdinario))</f>
        <v>4054674.2209631726</v>
      </c>
      <c r="CO79" s="161">
        <f>IFERROR(IF(Datos_Origen[[#This Row],[Salarios Año]]=14.12,Datos_Origen[[#This Row],[Básico]]/Datos_Origen[[#This Row],[Salario Ordinario Pol]],""),"")</f>
        <v>0.59289596869978345</v>
      </c>
      <c r="CP79" s="155">
        <f>IF(ROUND(Datos_Origen[[#This Row],[Salario Ordinario Pol22]],-3)&lt;SMMLV,SMMLV,ROUND(Datos_Origen[[#This Row],[Salario Ordinario Pol22]],-3))</f>
        <v>4866000</v>
      </c>
      <c r="CQ79" s="155" t="str">
        <f>IFERROR(ROUND(Datos_Origen[[#This Row],[Salario Integral Pol4]],-3),"")</f>
        <v/>
      </c>
      <c r="CR79" s="139" t="str">
        <f>IF((Datos_Origen[[#This Row],[Gpol]]/(1+FactorPrestacionalIntegral))&lt;(13*SMMLV),"",(Datos_Origen[[#This Row],[Gpol]]/(1+FactorPrestacionalIntegral)))</f>
        <v/>
      </c>
      <c r="CS79" s="161" t="str">
        <f>IFERROR(IF(Datos_Origen[[#This Row],[Salarios Año]]=12,Datos_Origen[[#This Row],[Básico]]/Datos_Origen[[#This Row],[Salario Integral Pol]],""),"")</f>
        <v/>
      </c>
      <c r="CT79" s="155" t="str">
        <f>IFERROR(ROUND(Datos_Origen[[#This Row],[Salario Integral Pol44]],-3),"")</f>
        <v/>
      </c>
      <c r="CU79" s="155">
        <f>Datos_Origen[[#This Row],[G+Vpol]]-Datos_Origen[[#This Row],[Variable]]</f>
        <v>4771000</v>
      </c>
      <c r="CV79" s="161">
        <f>Datos_Origen[[#This Row],[G]]/Datos_Origen[[#This Row],[Gpol]]</f>
        <v>0.59289764829176272</v>
      </c>
      <c r="CW79" s="154">
        <f>Datos_Origen[[#This Row],[Ctpol]]-Datos_Origen[[#This Row],[Beneficios]]</f>
        <v>4771000</v>
      </c>
      <c r="CX79" s="161">
        <f>Datos_Origen[[#This Row],[G+V]]/Datos_Origen[[#This Row],[G+Vpol]]</f>
        <v>0.59289764829176272</v>
      </c>
      <c r="CY79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4771000</v>
      </c>
      <c r="CZ79" s="161">
        <f>Datos_Origen[[#This Row],[CT]]/Datos_Origen[[#This Row],[Ctpol]]</f>
        <v>0.59289764829176272</v>
      </c>
      <c r="DA79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79" s="158">
        <f>IF(Datos_Origen[[#This Row],[Básico]]&lt;10*SMMLV,0,Datos_Origen[[#This Row],[Base Seguridad Social Actual]]*8.5%)</f>
        <v>0</v>
      </c>
      <c r="DC79" s="158">
        <f>Datos_Origen[[#This Row],[Base Seguridad Social Actual]]*12%</f>
        <v>288480</v>
      </c>
      <c r="DD79" s="158">
        <f>Datos_Origen[[#This Row],[Base Seguridad Social Actual]]*Datos_Origen[[#This Row],[%ARL]]</f>
        <v>104574</v>
      </c>
      <c r="DE79" s="158">
        <f>IF(Datos_Origen[[#This Row],[Básico]]&lt;10*SMMLV,Datos_Origen[[#This Row],[Base Seguridad Social Actual]]*4%,Datos_Origen[[#This Row],[Base Seguridad Social Actual]]*9%)</f>
        <v>96160</v>
      </c>
      <c r="DF79" s="158">
        <f>Datos_Origen[[#This Row],[Salud]]+Datos_Origen[[#This Row],[Pensión]]+Datos_Origen[[#This Row],[ARL]]+Datos_Origen[[#This Row],[Parafiscales]]</f>
        <v>489214</v>
      </c>
      <c r="DG79" s="163">
        <f>Datos_Origen[[#This Row],[Costo Laboral Actual]]+Datos_Origen[[#This Row],[CT]]</f>
        <v>3317928.68</v>
      </c>
      <c r="DH79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4054674.2209631726</v>
      </c>
      <c r="DI79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79" s="158">
        <f>Datos_Origen[[#This Row],[Base Seguridad Social Nueva]]*12%</f>
        <v>486560.90651558072</v>
      </c>
      <c r="DK79" s="158">
        <f>Datos_Origen[[#This Row],[Base Seguridad Social Nueva]]*Datos_Origen[[#This Row],[%ARL]]</f>
        <v>176378.328611898</v>
      </c>
      <c r="DL79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162186.9688385269</v>
      </c>
      <c r="DM79" s="158">
        <f>Datos_Origen[[#This Row],[Salud Nueva]]+Datos_Origen[[#This Row],[Pensión Nueva]]+Datos_Origen[[#This Row],[ARL nueva]]+Datos_Origen[[#This Row],[Parafiscales Nuevos]]</f>
        <v>825126.20396600559</v>
      </c>
      <c r="DN79" s="158">
        <f>Datos_Origen[[#This Row],[Costo Laboral Nuevo]]+Datos_Origen[[#This Row],[Ctpol]]</f>
        <v>5596126.2039660057</v>
      </c>
      <c r="DO79" s="158">
        <f>IF(Datos_Origen[[#This Row],[Ctpol]]-Datos_Origen[[#This Row],[CT]]&lt;=0,0,Datos_Origen[[#This Row],[Costo Total Nuevo]]-Datos_Origen[[#This Row],[Costo Total Actual]])</f>
        <v>2278197.5239660055</v>
      </c>
      <c r="DP79" s="158">
        <f>IF(Datos_Origen[[#This Row],[Ctpol]]-Datos_Origen[[#This Row],[CT]]&lt;=0,0,Datos_Origen[[#This Row],[Ctpol]]-Datos_Origen[[#This Row],[CT]])</f>
        <v>1942285.3199999998</v>
      </c>
      <c r="DQ79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335912.20396600559</v>
      </c>
      <c r="DR79" s="158">
        <f>ROUNDDOWN(VLOOKUP(Datos_Origen[[#This Row],[Categoria]],Competitividad_1[],7,0)*IndiceIncrementoC,-3)</f>
        <v>5301000</v>
      </c>
      <c r="DS79" s="158">
        <f>Datos_Origen[[#This Row],[CTeq]]*0.8</f>
        <v>3162579.2390753618</v>
      </c>
      <c r="DT79" s="158">
        <f>Datos_Origen[[#This Row],[CTeq]]*1.2</f>
        <v>4743868.8586130422</v>
      </c>
      <c r="DU79" s="155">
        <f>IF(Datos_Origen[[#This Row],[Gpol6]]/(1+FactorPrestacionalOrdinario)&lt;SMMLV,SMMLV,Datos_Origen[[#This Row],[Gpol6]]/(1+FactorPrestacionalOrdinario))</f>
        <v>3243739.3767705378</v>
      </c>
      <c r="DV79" s="139" t="str">
        <f>IF((Datos_Origen[[#This Row],[Gpol6]]/(1+FactorPrestacionalIntegral))&lt;(13*SMMLV),"",(Datos_Origen[[#This Row],[Gpol6]]/(1+FactorPrestacionalIntegral)))</f>
        <v/>
      </c>
      <c r="DW79" s="154">
        <f>Datos_Origen[[#This Row],[G+Vpol8]]</f>
        <v>3816800</v>
      </c>
      <c r="DX79" s="154">
        <f>Datos_Origen[[#This Row],[Ctpol10]]-Datos_Origen[[#This Row],[Beneficios]]</f>
        <v>3816800</v>
      </c>
      <c r="DY79" s="154">
        <f>Datos_Origen[[#This Row],[Ctpol]]*$CM$6</f>
        <v>3816800</v>
      </c>
      <c r="DZ79" s="155">
        <f>IF(Datos_Origen[[#This Row],[Gpol66]]/(1+FactorPrestacionalOrdinario)&lt;SMMLV,SMMLV,Datos_Origen[[#This Row],[Gpol66]]/(1+FactorPrestacionalOrdinario))</f>
        <v>4865609.065155807</v>
      </c>
      <c r="EA79" s="139" t="str">
        <f>IF((Datos_Origen[[#This Row],[Gpol66]]/(1+FactorPrestacionalIntegral))&lt;(13*SMMLV),"",(Datos_Origen[[#This Row],[Gpol66]]/(1+FactorPrestacionalIntegral)))</f>
        <v/>
      </c>
      <c r="EB79" s="154">
        <f>Datos_Origen[[#This Row],[G+Vpol88]]</f>
        <v>5725200</v>
      </c>
      <c r="EC79" s="154">
        <f>Datos_Origen[[#This Row],[Ctpol1010]]-Datos_Origen[[#This Row],[Beneficios]]</f>
        <v>5725200</v>
      </c>
      <c r="ED79" s="154">
        <f>Datos_Origen[[#This Row],[Ctpol]]*$CP$6</f>
        <v>5725200</v>
      </c>
      <c r="EE79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80" spans="2:135">
      <c r="B80" s="132"/>
      <c r="C80" s="149"/>
      <c r="D80" s="150"/>
      <c r="E80" s="151"/>
      <c r="F80" s="151"/>
      <c r="G80" s="150" t="s">
        <v>390</v>
      </c>
      <c r="H80" s="153"/>
      <c r="I80" s="152" t="s">
        <v>327</v>
      </c>
      <c r="J80" s="130" t="str">
        <f>IFERROR(VLOOKUP(Datos_Origen[[#This Row],[Cargo Tipo Valorado]],Cargos_Catalogo[[#All],[Cargo]:[Área]],2,0),"")</f>
        <v/>
      </c>
      <c r="K80" s="153"/>
      <c r="L80" s="153"/>
      <c r="M80" s="153"/>
      <c r="N80" s="153"/>
      <c r="O80" s="154">
        <f>Datos_Origen[[#This Row],[Segmentación Individual]]</f>
        <v>0</v>
      </c>
      <c r="P80" s="153"/>
      <c r="Q80" s="154">
        <f>VLOOKUP(Datos_Origen[[#This Row],[Cargo Tipo Valorado]],Cargos_Catalogo[#Data],MATCH(Cargos_Catalogo[[#Headers],[Puntos]],Cargos_Catalogo[#Headers],0),FALSE)</f>
        <v>304</v>
      </c>
      <c r="R80" s="130">
        <f>VLOOKUP(Datos_Origen[[#This Row],[Puntos valoración]],Categorias_Registro[#Data],MATCH(Categorias_Registro[[#Headers],[Categoria]],Categorias_Registro[#Headers],0),FALSE)</f>
        <v>9</v>
      </c>
      <c r="S80" s="130" t="str">
        <f>VLOOKUP(Datos_Origen[[#This Row],[Cargo Tipo Valorado]],Cargos_Catalogo[#Data],MATCH(Cargos_Catalogo[[#Headers],[Nivel SHR]],Cargos_Catalogo[#Headers],0),FALSE)</f>
        <v>Táctico</v>
      </c>
      <c r="T80" s="130" t="str">
        <f>VLOOKUP(Datos_Origen[[#This Row],[Cargo Tipo Valorado]],Cargos_Catalogo[#Data],MATCH(Cargos_Catalogo[[#Headers],[Criticidad]],Cargos_Catalogo[#Headers],0),FALSE)</f>
        <v>Relevante</v>
      </c>
      <c r="U80" s="154">
        <f>VLOOKUP(Datos_Origen[[#This Row],[Puntos valoración]],Categorias_Registro[#Data],5,FALSE)</f>
        <v>287</v>
      </c>
      <c r="V80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2828714.68</v>
      </c>
      <c r="W80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80" s="154">
        <f>SUMIF($BA$5:$BJ$5,"NCS",Datos_Origen[[#This Row],[auxilio Gasolina]:[Otro Beneficio10]])+(SUMIF($BA$5:$BJ$5,"CS",Datos_Origen[[#This Row],[auxilio Gasolina]:[Otro Beneficio10]])*1.17667)</f>
        <v>0</v>
      </c>
      <c r="Y80" s="155">
        <f>Datos_Origen[[#This Row],[Básico]]+Datos_Origen[[#This Row],[Promedio de Comisiones  ]]</f>
        <v>2404000</v>
      </c>
      <c r="Z80" s="155">
        <f>Datos_Origen[[#This Row],[Básico]]+Datos_Origen[[#This Row],[Promedio de Comisiones  ]]</f>
        <v>2404000</v>
      </c>
      <c r="AA80" s="155">
        <f>Datos_Origen[[#This Row],[Garantizado]]</f>
        <v>2828714.68</v>
      </c>
      <c r="AB80" s="155">
        <f>Datos_Origen[[#This Row],[Variable]]+Datos_Origen[[#This Row],[Garantizado]]</f>
        <v>2828714.68</v>
      </c>
      <c r="AC80" s="155">
        <f>Datos_Origen[[#This Row],[Beneficios]]+Datos_Origen[[#This Row],[Variable]]+Datos_Origen[[#This Row],[Garantizado]]</f>
        <v>2828714.68</v>
      </c>
      <c r="AD80" s="156">
        <v>14.12</v>
      </c>
      <c r="AE80" s="141">
        <v>230</v>
      </c>
      <c r="AF80" s="345">
        <v>4.3499999999999997E-2</v>
      </c>
      <c r="AG80" s="155">
        <f>Datos_Origen[[#This Row],[Básico Actual]]*230/Datos_Origen[[#This Row],['# horas mes]]</f>
        <v>2404000</v>
      </c>
      <c r="AH80" s="157">
        <v>2404000</v>
      </c>
      <c r="AI80" s="158"/>
      <c r="AJ80" s="158">
        <f>(((Datos_Origen[[#This Row],[Básico]])/30)*$AJ$6)/12</f>
        <v>0</v>
      </c>
      <c r="AK80" s="158"/>
      <c r="AL80" s="143">
        <f>((Datos_Origen[[#This Row],[Básico]])/30)*$AL$6/12</f>
        <v>0</v>
      </c>
      <c r="AM80" s="158"/>
      <c r="AN80" s="158"/>
      <c r="AO80" s="158"/>
      <c r="AP80" s="158"/>
      <c r="AQ80" s="158"/>
      <c r="AR80" s="149">
        <v>0</v>
      </c>
      <c r="AS80" s="149"/>
      <c r="AT80" s="159" t="str">
        <f>IFERROR(Datos_Origen[[#This Row],[Comisiones Target]]/Datos_Origen[[#This Row],[Promedio de Comisiones  ]],"")</f>
        <v/>
      </c>
      <c r="AU80" s="160"/>
      <c r="AV80" s="143">
        <v>0</v>
      </c>
      <c r="AW80" s="160"/>
      <c r="AX80" s="143">
        <f>Datos_Origen[[#This Row],[N Salarios de la Bonificación2]]*Datos_Origen[[#This Row],[Básico]]/12</f>
        <v>0</v>
      </c>
      <c r="AY80" s="160"/>
      <c r="AZ80" s="158"/>
      <c r="BA80" s="149">
        <v>0</v>
      </c>
      <c r="BB80" s="149"/>
      <c r="BC80" s="149"/>
      <c r="BD80" s="149"/>
      <c r="BE80" s="149"/>
      <c r="BF80" s="149"/>
      <c r="BG80" s="149"/>
      <c r="BH80" s="149"/>
      <c r="BI80" s="149"/>
      <c r="BJ80" s="149"/>
      <c r="BK80" s="159">
        <f>IFERROR(Datos_Origen[[#This Row],[Variable]]/Datos_Origen[[#This Row],[CT]],"")</f>
        <v>0</v>
      </c>
      <c r="BL80" s="159">
        <f>IFERROR(Datos_Origen[[#This Row],[Beneficios]]/Datos_Origen[[#This Row],[CT]],"")</f>
        <v>0</v>
      </c>
      <c r="BM80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3692842.9859208548</v>
      </c>
      <c r="BN80" s="161">
        <f>Datos_Origen[[#This Row],[G]]/Datos_Origen[[#This Row],[Geq]]</f>
        <v>0.76599917483213176</v>
      </c>
      <c r="BO80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3951672.482501477</v>
      </c>
      <c r="BP80" s="161">
        <f>Datos_Origen[[#This Row],[G+V]]/Datos_Origen[[#This Row],[G+Veq]]</f>
        <v>0.71582720797989186</v>
      </c>
      <c r="BQ80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3953224.048844202</v>
      </c>
      <c r="BR80" s="161">
        <f>Datos_Origen[[#This Row],[CT]]/Datos_Origen[[#This Row],[CTeq]]</f>
        <v>0.71554625921772053</v>
      </c>
      <c r="BS80" s="139">
        <f>ROUNDUP(VLOOKUP(Datos_Origen[[#This Row],[Categoria]],Competitividad_1[#All],2,0)*IndiceIncrementoC,-3)</f>
        <v>3642000</v>
      </c>
      <c r="BT80" s="161">
        <f>Datos_Origen[[#This Row],[G]]/Datos_Origen[[#This Row],[GQ1]]</f>
        <v>0.77669266337177378</v>
      </c>
      <c r="BU80" s="155">
        <f>ROUNDUP(VLOOKUP(Datos_Origen[[#This Row],[Categoria]],Competitividad_1[#All],3,0)*IndiceIncrementoC,-3)</f>
        <v>3754000</v>
      </c>
      <c r="BV80" s="161">
        <f>Datos_Origen[[#This Row],[G+V]]/Datos_Origen[[#This Row],[G+VQ1]]</f>
        <v>0.75352015982951526</v>
      </c>
      <c r="BW80" s="155">
        <f>ROUNDUP(VLOOKUP(Datos_Origen[[#This Row],[Categoria]],Competitividad_1[#All],4,0)*IndiceIncrementoC,-3)</f>
        <v>3907000</v>
      </c>
      <c r="BX80" s="161">
        <f>Datos_Origen[[#This Row],[CT]]/Datos_Origen[[#This Row],[CTQ1]]</f>
        <v>0.72401194778602518</v>
      </c>
      <c r="BY80" s="155">
        <f>ROUNDUP(VLOOKUP(Datos_Origen[[#This Row],[Categoria]],Competitividad_1[#All],5,0)*IndiceIncrementoC,-3)</f>
        <v>4980000</v>
      </c>
      <c r="BZ80" s="161">
        <f>Datos_Origen[[#This Row],[G]]/Datos_Origen[[#This Row],[GMd]]</f>
        <v>0.56801499598393579</v>
      </c>
      <c r="CA80" s="155">
        <f>ROUNDUP(VLOOKUP(Datos_Origen[[#This Row],[Categoria]],Competitividad_1[#All],6,0)*IndiceIncrementoC,-3)</f>
        <v>5077000</v>
      </c>
      <c r="CB80" s="161">
        <f>Datos_Origen[[#This Row],[G+V]]/Datos_Origen[[#This Row],[G+VMd]]</f>
        <v>0.55716263147528067</v>
      </c>
      <c r="CC80" s="155">
        <f>ROUNDUP(VLOOKUP(Datos_Origen[[#This Row],[Categoria]],Competitividad_1[#All],7,0)*IndiceIncrementoC,-3)</f>
        <v>5302000</v>
      </c>
      <c r="CD80" s="161">
        <f>Datos_Origen[[#This Row],[CT]]/Datos_Origen[[#This Row],[CTMd]]</f>
        <v>0.53351842323651455</v>
      </c>
      <c r="CE80" s="155">
        <f>+Datos_Origen[[#This Row],[GMd]]/1.17666666667</f>
        <v>4232294.6175517496</v>
      </c>
      <c r="CF80" s="161">
        <f>+Datos_Origen[[#This Row],[Básico Actual]]/Datos_Origen[[#This Row],[Salario Basico Md]]</f>
        <v>0.56801338688246594</v>
      </c>
      <c r="CG80" s="155">
        <f>ROUNDUP(VLOOKUP(Datos_Origen[[#This Row],[Categoria]],Competitividad_1[#All],8,0)*IndiceIncrementoC,-3)</f>
        <v>6072000</v>
      </c>
      <c r="CH80" s="161">
        <f>Datos_Origen[[#This Row],[G]]/Datos_Origen[[#This Row],[GQ3]]</f>
        <v>0.46586210144927537</v>
      </c>
      <c r="CI80" s="155">
        <f>ROUNDUP(VLOOKUP(Datos_Origen[[#This Row],[Categoria]],Competitividad_1[#All],9,0)*IndiceIncrementoC,-3)</f>
        <v>6239000</v>
      </c>
      <c r="CJ80" s="161">
        <f>Datos_Origen[[#This Row],[G+V]]/Datos_Origen[[#This Row],[G+VQ3]]</f>
        <v>0.45339231928193624</v>
      </c>
      <c r="CK80" s="155">
        <f>ROUNDUP(VLOOKUP(Datos_Origen[[#This Row],[Categoria]],Competitividad_1[#All],10,0)*IndiceIncrementoC,-3)</f>
        <v>6395000</v>
      </c>
      <c r="CL80" s="161">
        <f>Datos_Origen[[#This Row],[CT]]/Datos_Origen[[#This Row],[CTQ3]]</f>
        <v>0.44233224081313527</v>
      </c>
      <c r="CM80" s="162">
        <f>IF(ROUND(Datos_Origen[[#This Row],[Salario Ordinario Pol2]],-3)&lt;SMMLV,SMMLV,ROUND(Datos_Origen[[#This Row],[Salario Ordinario Pol2]],-3))</f>
        <v>3244000</v>
      </c>
      <c r="CN80" s="155">
        <f>IF(Datos_Origen[[#This Row],[Gpol]]/(1+FactorPrestacionalOrdinario)&lt;SMMLV,SMMLV,Datos_Origen[[#This Row],[Gpol]]/(1+FactorPrestacionalOrdinario))</f>
        <v>4054674.2209631726</v>
      </c>
      <c r="CO80" s="161">
        <f>IFERROR(IF(Datos_Origen[[#This Row],[Salarios Año]]=14.12,Datos_Origen[[#This Row],[Básico]]/Datos_Origen[[#This Row],[Salario Ordinario Pol]],""),"")</f>
        <v>0.59289596869978345</v>
      </c>
      <c r="CP80" s="155">
        <f>IF(ROUND(Datos_Origen[[#This Row],[Salario Ordinario Pol22]],-3)&lt;SMMLV,SMMLV,ROUND(Datos_Origen[[#This Row],[Salario Ordinario Pol22]],-3))</f>
        <v>4866000</v>
      </c>
      <c r="CQ80" s="155" t="str">
        <f>IFERROR(ROUND(Datos_Origen[[#This Row],[Salario Integral Pol4]],-3),"")</f>
        <v/>
      </c>
      <c r="CR80" s="139" t="str">
        <f>IF((Datos_Origen[[#This Row],[Gpol]]/(1+FactorPrestacionalIntegral))&lt;(13*SMMLV),"",(Datos_Origen[[#This Row],[Gpol]]/(1+FactorPrestacionalIntegral)))</f>
        <v/>
      </c>
      <c r="CS80" s="161" t="str">
        <f>IFERROR(IF(Datos_Origen[[#This Row],[Salarios Año]]=12,Datos_Origen[[#This Row],[Básico]]/Datos_Origen[[#This Row],[Salario Integral Pol]],""),"")</f>
        <v/>
      </c>
      <c r="CT80" s="155" t="str">
        <f>IFERROR(ROUND(Datos_Origen[[#This Row],[Salario Integral Pol44]],-3),"")</f>
        <v/>
      </c>
      <c r="CU80" s="155">
        <f>Datos_Origen[[#This Row],[G+Vpol]]-Datos_Origen[[#This Row],[Variable]]</f>
        <v>4771000</v>
      </c>
      <c r="CV80" s="161">
        <f>Datos_Origen[[#This Row],[G]]/Datos_Origen[[#This Row],[Gpol]]</f>
        <v>0.59289764829176272</v>
      </c>
      <c r="CW80" s="154">
        <f>Datos_Origen[[#This Row],[Ctpol]]-Datos_Origen[[#This Row],[Beneficios]]</f>
        <v>4771000</v>
      </c>
      <c r="CX80" s="161">
        <f>Datos_Origen[[#This Row],[G+V]]/Datos_Origen[[#This Row],[G+Vpol]]</f>
        <v>0.59289764829176272</v>
      </c>
      <c r="CY80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4771000</v>
      </c>
      <c r="CZ80" s="161">
        <f>Datos_Origen[[#This Row],[CT]]/Datos_Origen[[#This Row],[Ctpol]]</f>
        <v>0.59289764829176272</v>
      </c>
      <c r="DA80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2404000</v>
      </c>
      <c r="DB80" s="158">
        <f>IF(Datos_Origen[[#This Row],[Básico]]&lt;10*SMMLV,0,Datos_Origen[[#This Row],[Base Seguridad Social Actual]]*8.5%)</f>
        <v>0</v>
      </c>
      <c r="DC80" s="158">
        <f>Datos_Origen[[#This Row],[Base Seguridad Social Actual]]*12%</f>
        <v>288480</v>
      </c>
      <c r="DD80" s="158">
        <f>Datos_Origen[[#This Row],[Base Seguridad Social Actual]]*Datos_Origen[[#This Row],[%ARL]]</f>
        <v>104574</v>
      </c>
      <c r="DE80" s="158">
        <f>IF(Datos_Origen[[#This Row],[Básico]]&lt;10*SMMLV,Datos_Origen[[#This Row],[Base Seguridad Social Actual]]*4%,Datos_Origen[[#This Row],[Base Seguridad Social Actual]]*9%)</f>
        <v>96160</v>
      </c>
      <c r="DF80" s="158">
        <f>Datos_Origen[[#This Row],[Salud]]+Datos_Origen[[#This Row],[Pensión]]+Datos_Origen[[#This Row],[ARL]]+Datos_Origen[[#This Row],[Parafiscales]]</f>
        <v>489214</v>
      </c>
      <c r="DG80" s="163">
        <f>Datos_Origen[[#This Row],[Costo Laboral Actual]]+Datos_Origen[[#This Row],[CT]]</f>
        <v>3317928.68</v>
      </c>
      <c r="DH80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4054674.2209631726</v>
      </c>
      <c r="DI80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80" s="158">
        <f>Datos_Origen[[#This Row],[Base Seguridad Social Nueva]]*12%</f>
        <v>486560.90651558072</v>
      </c>
      <c r="DK80" s="158">
        <f>Datos_Origen[[#This Row],[Base Seguridad Social Nueva]]*Datos_Origen[[#This Row],[%ARL]]</f>
        <v>176378.328611898</v>
      </c>
      <c r="DL80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162186.9688385269</v>
      </c>
      <c r="DM80" s="158">
        <f>Datos_Origen[[#This Row],[Salud Nueva]]+Datos_Origen[[#This Row],[Pensión Nueva]]+Datos_Origen[[#This Row],[ARL nueva]]+Datos_Origen[[#This Row],[Parafiscales Nuevos]]</f>
        <v>825126.20396600559</v>
      </c>
      <c r="DN80" s="158">
        <f>Datos_Origen[[#This Row],[Costo Laboral Nuevo]]+Datos_Origen[[#This Row],[Ctpol]]</f>
        <v>5596126.2039660057</v>
      </c>
      <c r="DO80" s="158">
        <f>IF(Datos_Origen[[#This Row],[Ctpol]]-Datos_Origen[[#This Row],[CT]]&lt;=0,0,Datos_Origen[[#This Row],[Costo Total Nuevo]]-Datos_Origen[[#This Row],[Costo Total Actual]])</f>
        <v>2278197.5239660055</v>
      </c>
      <c r="DP80" s="158">
        <f>IF(Datos_Origen[[#This Row],[Ctpol]]-Datos_Origen[[#This Row],[CT]]&lt;=0,0,Datos_Origen[[#This Row],[Ctpol]]-Datos_Origen[[#This Row],[CT]])</f>
        <v>1942285.3199999998</v>
      </c>
      <c r="DQ80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335912.20396600559</v>
      </c>
      <c r="DR80" s="158">
        <f>ROUNDDOWN(VLOOKUP(Datos_Origen[[#This Row],[Categoria]],Competitividad_1[],7,0)*IndiceIncrementoC,-3)</f>
        <v>5301000</v>
      </c>
      <c r="DS80" s="158">
        <f>Datos_Origen[[#This Row],[CTeq]]*0.8</f>
        <v>3162579.2390753618</v>
      </c>
      <c r="DT80" s="158">
        <f>Datos_Origen[[#This Row],[CTeq]]*1.2</f>
        <v>4743868.8586130422</v>
      </c>
      <c r="DU80" s="155">
        <f>IF(Datos_Origen[[#This Row],[Gpol6]]/(1+FactorPrestacionalOrdinario)&lt;SMMLV,SMMLV,Datos_Origen[[#This Row],[Gpol6]]/(1+FactorPrestacionalOrdinario))</f>
        <v>3243739.3767705378</v>
      </c>
      <c r="DV80" s="139" t="str">
        <f>IF((Datos_Origen[[#This Row],[Gpol6]]/(1+FactorPrestacionalIntegral))&lt;(13*SMMLV),"",(Datos_Origen[[#This Row],[Gpol6]]/(1+FactorPrestacionalIntegral)))</f>
        <v/>
      </c>
      <c r="DW80" s="154">
        <f>Datos_Origen[[#This Row],[G+Vpol8]]</f>
        <v>3816800</v>
      </c>
      <c r="DX80" s="154">
        <f>Datos_Origen[[#This Row],[Ctpol10]]-Datos_Origen[[#This Row],[Beneficios]]</f>
        <v>3816800</v>
      </c>
      <c r="DY80" s="154">
        <f>Datos_Origen[[#This Row],[Ctpol]]*$CM$6</f>
        <v>3816800</v>
      </c>
      <c r="DZ80" s="155">
        <f>IF(Datos_Origen[[#This Row],[Gpol66]]/(1+FactorPrestacionalOrdinario)&lt;SMMLV,SMMLV,Datos_Origen[[#This Row],[Gpol66]]/(1+FactorPrestacionalOrdinario))</f>
        <v>4865609.065155807</v>
      </c>
      <c r="EA80" s="139" t="str">
        <f>IF((Datos_Origen[[#This Row],[Gpol66]]/(1+FactorPrestacionalIntegral))&lt;(13*SMMLV),"",(Datos_Origen[[#This Row],[Gpol66]]/(1+FactorPrestacionalIntegral)))</f>
        <v/>
      </c>
      <c r="EB80" s="154">
        <f>Datos_Origen[[#This Row],[G+Vpol88]]</f>
        <v>5725200</v>
      </c>
      <c r="EC80" s="154">
        <f>Datos_Origen[[#This Row],[Ctpol1010]]-Datos_Origen[[#This Row],[Beneficios]]</f>
        <v>5725200</v>
      </c>
      <c r="ED80" s="154">
        <f>Datos_Origen[[#This Row],[Ctpol]]*$CP$6</f>
        <v>5725200</v>
      </c>
      <c r="EE80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81" spans="2:135">
      <c r="B81" s="148"/>
      <c r="C81" s="149"/>
      <c r="D81" s="150"/>
      <c r="E81" s="151"/>
      <c r="F81" s="151"/>
      <c r="G81" s="150" t="s">
        <v>322</v>
      </c>
      <c r="H81" s="153"/>
      <c r="I81" s="152" t="s">
        <v>322</v>
      </c>
      <c r="J81" s="130" t="str">
        <f>IFERROR(VLOOKUP(Datos_Origen[[#This Row],[Cargo Tipo Valorado]],Cargos_Catalogo[[#All],[Cargo]:[Área]],2,0),"")</f>
        <v xml:space="preserve">Coordinadora de mercadeo </v>
      </c>
      <c r="K81" s="153"/>
      <c r="L81" s="153"/>
      <c r="M81" s="153"/>
      <c r="N81" s="153"/>
      <c r="O81" s="154">
        <f>Datos_Origen[[#This Row],[Segmentación Individual]]</f>
        <v>0</v>
      </c>
      <c r="P81" s="153"/>
      <c r="Q81" s="154">
        <f>VLOOKUP(Datos_Origen[[#This Row],[Cargo Tipo Valorado]],Cargos_Catalogo[#Data],MATCH(Cargos_Catalogo[[#Headers],[Puntos]],Cargos_Catalogo[#Headers],0),FALSE)</f>
        <v>339</v>
      </c>
      <c r="R81" s="130">
        <f>VLOOKUP(Datos_Origen[[#This Row],[Puntos valoración]],Categorias_Registro[#Data],MATCH(Categorias_Registro[[#Headers],[Categoria]],Categorias_Registro[#Headers],0),FALSE)</f>
        <v>10</v>
      </c>
      <c r="S81" s="130" t="str">
        <f>VLOOKUP(Datos_Origen[[#This Row],[Cargo Tipo Valorado]],Cargos_Catalogo[#Data],MATCH(Cargos_Catalogo[[#Headers],[Nivel SHR]],Cargos_Catalogo[#Headers],0),FALSE)</f>
        <v>Táctico</v>
      </c>
      <c r="T81" s="130" t="str">
        <f>VLOOKUP(Datos_Origen[[#This Row],[Cargo Tipo Valorado]],Cargos_Catalogo[#Data],MATCH(Cargos_Catalogo[[#Headers],[Criticidad]],Cargos_Catalogo[#Headers],0),FALSE)</f>
        <v>Muy Importante</v>
      </c>
      <c r="U81" s="154">
        <f>VLOOKUP(Datos_Origen[[#This Row],[Puntos valoración]],Categorias_Registro[#Data],5,FALSE)</f>
        <v>330</v>
      </c>
      <c r="V81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4457225.96</v>
      </c>
      <c r="W81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81" s="154">
        <f>SUMIF($BA$5:$BJ$5,"NCS",Datos_Origen[[#This Row],[auxilio Gasolina]:[Otro Beneficio10]])+(SUMIF($BA$5:$BJ$5,"CS",Datos_Origen[[#This Row],[auxilio Gasolina]:[Otro Beneficio10]])*1.17667)</f>
        <v>0</v>
      </c>
      <c r="Y81" s="155">
        <f>Datos_Origen[[#This Row],[Básico]]+Datos_Origen[[#This Row],[Promedio de Comisiones  ]]</f>
        <v>3788000</v>
      </c>
      <c r="Z81" s="155">
        <f>Datos_Origen[[#This Row],[Básico]]+Datos_Origen[[#This Row],[Promedio de Comisiones  ]]</f>
        <v>3788000</v>
      </c>
      <c r="AA81" s="155">
        <f>Datos_Origen[[#This Row],[Garantizado]]</f>
        <v>4457225.96</v>
      </c>
      <c r="AB81" s="155">
        <f>Datos_Origen[[#This Row],[Variable]]+Datos_Origen[[#This Row],[Garantizado]]</f>
        <v>4457225.96</v>
      </c>
      <c r="AC81" s="155">
        <f>Datos_Origen[[#This Row],[Beneficios]]+Datos_Origen[[#This Row],[Variable]]+Datos_Origen[[#This Row],[Garantizado]]</f>
        <v>4457225.96</v>
      </c>
      <c r="AD81" s="156">
        <v>14.12</v>
      </c>
      <c r="AE81" s="141">
        <v>230</v>
      </c>
      <c r="AF81" s="346">
        <v>4.3499999999999997E-2</v>
      </c>
      <c r="AG81" s="155">
        <f>Datos_Origen[[#This Row],[Básico Actual]]*230/Datos_Origen[[#This Row],['# horas mes]]</f>
        <v>3788000</v>
      </c>
      <c r="AH81" s="157">
        <v>3788000</v>
      </c>
      <c r="AI81" s="158"/>
      <c r="AJ81" s="158">
        <f>(((Datos_Origen[[#This Row],[Básico]])/30)*$AJ$6)/12</f>
        <v>0</v>
      </c>
      <c r="AK81" s="158"/>
      <c r="AL81" s="143">
        <f>((Datos_Origen[[#This Row],[Básico]])/30)*$AL$6/12</f>
        <v>0</v>
      </c>
      <c r="AM81" s="158"/>
      <c r="AN81" s="158"/>
      <c r="AO81" s="158"/>
      <c r="AP81" s="158"/>
      <c r="AQ81" s="158"/>
      <c r="AR81" s="149">
        <v>0</v>
      </c>
      <c r="AS81" s="149"/>
      <c r="AT81" s="159" t="str">
        <f>IFERROR(Datos_Origen[[#This Row],[Comisiones Target]]/Datos_Origen[[#This Row],[Promedio de Comisiones  ]],"")</f>
        <v/>
      </c>
      <c r="AU81" s="160"/>
      <c r="AV81" s="143">
        <v>0</v>
      </c>
      <c r="AW81" s="160"/>
      <c r="AX81" s="143">
        <f>Datos_Origen[[#This Row],[N Salarios de la Bonificación2]]*Datos_Origen[[#This Row],[Básico]]/12</f>
        <v>0</v>
      </c>
      <c r="AY81" s="160"/>
      <c r="AZ81" s="158"/>
      <c r="BA81" s="149">
        <v>0</v>
      </c>
      <c r="BB81" s="149"/>
      <c r="BC81" s="149"/>
      <c r="BD81" s="149"/>
      <c r="BE81" s="149"/>
      <c r="BF81" s="149"/>
      <c r="BG81" s="149"/>
      <c r="BH81" s="149"/>
      <c r="BI81" s="149"/>
      <c r="BJ81" s="149"/>
      <c r="BK81" s="159">
        <f>IFERROR(Datos_Origen[[#This Row],[Variable]]/Datos_Origen[[#This Row],[CT]],"")</f>
        <v>0</v>
      </c>
      <c r="BL81" s="159">
        <f>IFERROR(Datos_Origen[[#This Row],[Beneficios]]/Datos_Origen[[#This Row],[CT]],"")</f>
        <v>0</v>
      </c>
      <c r="BM81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4151668.5121462299</v>
      </c>
      <c r="BN81" s="161">
        <f>Datos_Origen[[#This Row],[G]]/Datos_Origen[[#This Row],[Geq]]</f>
        <v>1.0735987102438027</v>
      </c>
      <c r="BO81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4430593.4397103917</v>
      </c>
      <c r="BP81" s="161">
        <f>Datos_Origen[[#This Row],[G+V]]/Datos_Origen[[#This Row],[G+Veq]]</f>
        <v>1.0060110503597344</v>
      </c>
      <c r="BQ81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4431574.7722690385</v>
      </c>
      <c r="BR81" s="161">
        <f>Datos_Origen[[#This Row],[CT]]/Datos_Origen[[#This Row],[CTeq]]</f>
        <v>1.0057882782191729</v>
      </c>
      <c r="BS81" s="139">
        <f>ROUNDUP(VLOOKUP(Datos_Origen[[#This Row],[Categoria]],Competitividad_1[#All],2,0)*IndiceIncrementoC,-3)</f>
        <v>4095000</v>
      </c>
      <c r="BT81" s="161">
        <f>Datos_Origen[[#This Row],[G]]/Datos_Origen[[#This Row],[GQ1]]</f>
        <v>1.0884556678876678</v>
      </c>
      <c r="BU81" s="155">
        <f>ROUNDUP(VLOOKUP(Datos_Origen[[#This Row],[Categoria]],Competitividad_1[#All],3,0)*IndiceIncrementoC,-3)</f>
        <v>4211000</v>
      </c>
      <c r="BV81" s="161">
        <f>Datos_Origen[[#This Row],[G+V]]/Datos_Origen[[#This Row],[G+VQ1]]</f>
        <v>1.0584720873901685</v>
      </c>
      <c r="BW81" s="155">
        <f>ROUNDUP(VLOOKUP(Datos_Origen[[#This Row],[Categoria]],Competitividad_1[#All],4,0)*IndiceIncrementoC,-3)</f>
        <v>4385000</v>
      </c>
      <c r="BX81" s="161">
        <f>Datos_Origen[[#This Row],[CT]]/Datos_Origen[[#This Row],[CTQ1]]</f>
        <v>1.0164711425313568</v>
      </c>
      <c r="BY81" s="155">
        <f>ROUNDUP(VLOOKUP(Datos_Origen[[#This Row],[Categoria]],Competitividad_1[#All],5,0)*IndiceIncrementoC,-3)</f>
        <v>5989000</v>
      </c>
      <c r="BZ81" s="161">
        <f>Datos_Origen[[#This Row],[G]]/Datos_Origen[[#This Row],[GMd]]</f>
        <v>0.7442354249457338</v>
      </c>
      <c r="CA81" s="155">
        <f>ROUNDUP(VLOOKUP(Datos_Origen[[#This Row],[Categoria]],Competitividad_1[#All],6,0)*IndiceIncrementoC,-3)</f>
        <v>6138000</v>
      </c>
      <c r="CB81" s="161">
        <f>Datos_Origen[[#This Row],[G+V]]/Datos_Origen[[#This Row],[G+VMd]]</f>
        <v>0.72616910394265233</v>
      </c>
      <c r="CC81" s="155">
        <f>ROUNDUP(VLOOKUP(Datos_Origen[[#This Row],[Categoria]],Competitividad_1[#All],7,0)*IndiceIncrementoC,-3)</f>
        <v>6403000</v>
      </c>
      <c r="CD81" s="161">
        <f>Datos_Origen[[#This Row],[CT]]/Datos_Origen[[#This Row],[CTMd]]</f>
        <v>0.69611525222551929</v>
      </c>
      <c r="CE81" s="155">
        <f>+Datos_Origen[[#This Row],[GMd]]/1.17666666667</f>
        <v>5089801.6997022945</v>
      </c>
      <c r="CF81" s="161">
        <f>+Datos_Origen[[#This Row],[Básico Actual]]/Datos_Origen[[#This Row],[Salario Basico Md]]</f>
        <v>0.74423331663816339</v>
      </c>
      <c r="CG81" s="155">
        <f>ROUNDUP(VLOOKUP(Datos_Origen[[#This Row],[Categoria]],Competitividad_1[#All],8,0)*IndiceIncrementoC,-3)</f>
        <v>6907000</v>
      </c>
      <c r="CH81" s="161">
        <f>Datos_Origen[[#This Row],[G]]/Datos_Origen[[#This Row],[GQ3]]</f>
        <v>0.6453201042420732</v>
      </c>
      <c r="CI81" s="155">
        <f>ROUNDUP(VLOOKUP(Datos_Origen[[#This Row],[Categoria]],Competitividad_1[#All],9,0)*IndiceIncrementoC,-3)</f>
        <v>7093000</v>
      </c>
      <c r="CJ81" s="161">
        <f>Datos_Origen[[#This Row],[G+V]]/Datos_Origen[[#This Row],[G+VQ3]]</f>
        <v>0.62839785140279147</v>
      </c>
      <c r="CK81" s="155">
        <f>ROUNDUP(VLOOKUP(Datos_Origen[[#This Row],[Categoria]],Competitividad_1[#All],10,0)*IndiceIncrementoC,-3)</f>
        <v>7266000</v>
      </c>
      <c r="CL81" s="161">
        <f>Datos_Origen[[#This Row],[CT]]/Datos_Origen[[#This Row],[CTQ3]]</f>
        <v>0.6134359977979631</v>
      </c>
      <c r="CM81" s="162">
        <f>IF(ROUND(Datos_Origen[[#This Row],[Salario Ordinario Pol2]],-3)&lt;SMMLV,SMMLV,ROUND(Datos_Origen[[#This Row],[Salario Ordinario Pol2]],-3))</f>
        <v>4788000</v>
      </c>
      <c r="CN81" s="155">
        <f>IF(Datos_Origen[[#This Row],[Gpol]]/(1+FactorPrestacionalOrdinario)&lt;SMMLV,SMMLV,Datos_Origen[[#This Row],[Gpol]]/(1+FactorPrestacionalOrdinario))</f>
        <v>5985552.4079320105</v>
      </c>
      <c r="CO81" s="161">
        <f>IFERROR(IF(Datos_Origen[[#This Row],[Salarios Año]]=14.12,Datos_Origen[[#This Row],[Básico]]/Datos_Origen[[#This Row],[Salario Ordinario Pol]],""),"")</f>
        <v>0.63285721046902366</v>
      </c>
      <c r="CP81" s="155">
        <f>IF(ROUND(Datos_Origen[[#This Row],[Salario Ordinario Pol22]],-3)&lt;SMMLV,SMMLV,ROUND(Datos_Origen[[#This Row],[Salario Ordinario Pol22]],-3))</f>
        <v>7183000</v>
      </c>
      <c r="CQ81" s="155" t="str">
        <f>IFERROR(ROUND(Datos_Origen[[#This Row],[Salario Integral Pol4]],-3),"")</f>
        <v/>
      </c>
      <c r="CR81" s="139" t="str">
        <f>IF((Datos_Origen[[#This Row],[Gpol]]/(1+FactorPrestacionalIntegral))&lt;(13*SMMLV),"",(Datos_Origen[[#This Row],[Gpol]]/(1+FactorPrestacionalIntegral)))</f>
        <v/>
      </c>
      <c r="CS81" s="161" t="str">
        <f>IFERROR(IF(Datos_Origen[[#This Row],[Salarios Año]]=12,Datos_Origen[[#This Row],[Básico]]/Datos_Origen[[#This Row],[Salario Integral Pol]],""),"")</f>
        <v/>
      </c>
      <c r="CT81" s="155" t="str">
        <f>IFERROR(ROUND(Datos_Origen[[#This Row],[Salario Integral Pol44]],-3),"")</f>
        <v/>
      </c>
      <c r="CU81" s="155">
        <f>Datos_Origen[[#This Row],[G+Vpol]]-Datos_Origen[[#This Row],[Variable]]</f>
        <v>7043000</v>
      </c>
      <c r="CV81" s="161">
        <f>Datos_Origen[[#This Row],[G]]/Datos_Origen[[#This Row],[Gpol]]</f>
        <v>0.63285900326565381</v>
      </c>
      <c r="CW81" s="154">
        <f>Datos_Origen[[#This Row],[Ctpol]]-Datos_Origen[[#This Row],[Beneficios]]</f>
        <v>7043000</v>
      </c>
      <c r="CX81" s="161">
        <f>Datos_Origen[[#This Row],[G+V]]/Datos_Origen[[#This Row],[G+Vpol]]</f>
        <v>0.63285900326565381</v>
      </c>
      <c r="CY81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7043000</v>
      </c>
      <c r="CZ81" s="161">
        <f>Datos_Origen[[#This Row],[CT]]/Datos_Origen[[#This Row],[Ctpol]]</f>
        <v>0.63285900326565381</v>
      </c>
      <c r="DA81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3788000</v>
      </c>
      <c r="DB81" s="158">
        <f>IF(Datos_Origen[[#This Row],[Básico]]&lt;10*SMMLV,0,Datos_Origen[[#This Row],[Base Seguridad Social Actual]]*8.5%)</f>
        <v>0</v>
      </c>
      <c r="DC81" s="158">
        <f>Datos_Origen[[#This Row],[Base Seguridad Social Actual]]*12%</f>
        <v>454560</v>
      </c>
      <c r="DD81" s="158">
        <f>Datos_Origen[[#This Row],[Base Seguridad Social Actual]]*Datos_Origen[[#This Row],[%ARL]]</f>
        <v>164778</v>
      </c>
      <c r="DE81" s="158">
        <f>IF(Datos_Origen[[#This Row],[Básico]]&lt;10*SMMLV,Datos_Origen[[#This Row],[Base Seguridad Social Actual]]*4%,Datos_Origen[[#This Row],[Base Seguridad Social Actual]]*9%)</f>
        <v>151520</v>
      </c>
      <c r="DF81" s="158">
        <f>Datos_Origen[[#This Row],[Salud]]+Datos_Origen[[#This Row],[Pensión]]+Datos_Origen[[#This Row],[ARL]]+Datos_Origen[[#This Row],[Parafiscales]]</f>
        <v>770858</v>
      </c>
      <c r="DG81" s="163">
        <f>Datos_Origen[[#This Row],[Costo Laboral Actual]]+Datos_Origen[[#This Row],[CT]]</f>
        <v>5228083.96</v>
      </c>
      <c r="DH81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5985552.4079320105</v>
      </c>
      <c r="DI81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81" s="158">
        <f>Datos_Origen[[#This Row],[Base Seguridad Social Nueva]]*12%</f>
        <v>718266.28895184118</v>
      </c>
      <c r="DK81" s="158">
        <f>Datos_Origen[[#This Row],[Base Seguridad Social Nueva]]*Datos_Origen[[#This Row],[%ARL]]</f>
        <v>260371.52974504244</v>
      </c>
      <c r="DL81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239422.09631728043</v>
      </c>
      <c r="DM81" s="158">
        <f>Datos_Origen[[#This Row],[Salud Nueva]]+Datos_Origen[[#This Row],[Pensión Nueva]]+Datos_Origen[[#This Row],[ARL nueva]]+Datos_Origen[[#This Row],[Parafiscales Nuevos]]</f>
        <v>1218059.9150141641</v>
      </c>
      <c r="DN81" s="158">
        <f>Datos_Origen[[#This Row],[Costo Laboral Nuevo]]+Datos_Origen[[#This Row],[Ctpol]]</f>
        <v>8261059.9150141645</v>
      </c>
      <c r="DO81" s="158">
        <f>IF(Datos_Origen[[#This Row],[Ctpol]]-Datos_Origen[[#This Row],[CT]]&lt;=0,0,Datos_Origen[[#This Row],[Costo Total Nuevo]]-Datos_Origen[[#This Row],[Costo Total Actual]])</f>
        <v>3032975.9550141646</v>
      </c>
      <c r="DP81" s="158">
        <f>IF(Datos_Origen[[#This Row],[Ctpol]]-Datos_Origen[[#This Row],[CT]]&lt;=0,0,Datos_Origen[[#This Row],[Ctpol]]-Datos_Origen[[#This Row],[CT]])</f>
        <v>2585774.04</v>
      </c>
      <c r="DQ81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447201.91501416406</v>
      </c>
      <c r="DR81" s="158">
        <f>ROUNDDOWN(VLOOKUP(Datos_Origen[[#This Row],[Categoria]],Competitividad_1[],7,0)*IndiceIncrementoC,-3)</f>
        <v>6402000</v>
      </c>
      <c r="DS81" s="158">
        <f>Datos_Origen[[#This Row],[CTeq]]*0.8</f>
        <v>3545259.8178152312</v>
      </c>
      <c r="DT81" s="158">
        <f>Datos_Origen[[#This Row],[CTeq]]*1.2</f>
        <v>5317889.7267228458</v>
      </c>
      <c r="DU81" s="155">
        <f>IF(Datos_Origen[[#This Row],[Gpol6]]/(1+FactorPrestacionalOrdinario)&lt;SMMLV,SMMLV,Datos_Origen[[#This Row],[Gpol6]]/(1+FactorPrestacionalOrdinario))</f>
        <v>4788441.9263456091</v>
      </c>
      <c r="DV81" s="139" t="str">
        <f>IF((Datos_Origen[[#This Row],[Gpol6]]/(1+FactorPrestacionalIntegral))&lt;(13*SMMLV),"",(Datos_Origen[[#This Row],[Gpol6]]/(1+FactorPrestacionalIntegral)))</f>
        <v/>
      </c>
      <c r="DW81" s="154">
        <f>Datos_Origen[[#This Row],[G+Vpol8]]</f>
        <v>5634400</v>
      </c>
      <c r="DX81" s="154">
        <f>Datos_Origen[[#This Row],[Ctpol10]]-Datos_Origen[[#This Row],[Beneficios]]</f>
        <v>5634400</v>
      </c>
      <c r="DY81" s="154">
        <f>Datos_Origen[[#This Row],[Ctpol]]*$CM$6</f>
        <v>5634400</v>
      </c>
      <c r="DZ81" s="155">
        <f>IF(Datos_Origen[[#This Row],[Gpol66]]/(1+FactorPrestacionalOrdinario)&lt;SMMLV,SMMLV,Datos_Origen[[#This Row],[Gpol66]]/(1+FactorPrestacionalOrdinario))</f>
        <v>7182662.8895184128</v>
      </c>
      <c r="EA81" s="139" t="str">
        <f>IF((Datos_Origen[[#This Row],[Gpol66]]/(1+FactorPrestacionalIntegral))&lt;(13*SMMLV),"",(Datos_Origen[[#This Row],[Gpol66]]/(1+FactorPrestacionalIntegral)))</f>
        <v/>
      </c>
      <c r="EB81" s="154">
        <f>Datos_Origen[[#This Row],[G+Vpol88]]</f>
        <v>8451600</v>
      </c>
      <c r="EC81" s="154">
        <f>Datos_Origen[[#This Row],[Ctpol1010]]-Datos_Origen[[#This Row],[Beneficios]]</f>
        <v>8451600</v>
      </c>
      <c r="ED81" s="154">
        <f>Datos_Origen[[#This Row],[Ctpol]]*$CP$6</f>
        <v>8451600</v>
      </c>
      <c r="EE81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82" spans="2:135">
      <c r="B82" s="132"/>
      <c r="C82" s="149"/>
      <c r="D82" s="150"/>
      <c r="E82" s="151"/>
      <c r="F82" s="151"/>
      <c r="G82" s="150" t="s">
        <v>323</v>
      </c>
      <c r="H82" s="153"/>
      <c r="I82" s="152" t="s">
        <v>323</v>
      </c>
      <c r="J82" s="130" t="str">
        <f>IFERROR(VLOOKUP(Datos_Origen[[#This Row],[Cargo Tipo Valorado]],Cargos_Catalogo[[#All],[Cargo]:[Área]],2,0),"")</f>
        <v>Director de ventas Nacional</v>
      </c>
      <c r="K82" s="153"/>
      <c r="L82" s="153"/>
      <c r="M82" s="153"/>
      <c r="N82" s="153"/>
      <c r="O82" s="154">
        <f>Datos_Origen[[#This Row],[Segmentación Individual]]</f>
        <v>0</v>
      </c>
      <c r="P82" s="153"/>
      <c r="Q82" s="154">
        <f>VLOOKUP(Datos_Origen[[#This Row],[Cargo Tipo Valorado]],Cargos_Catalogo[#Data],MATCH(Cargos_Catalogo[[#Headers],[Puntos]],Cargos_Catalogo[#Headers],0),FALSE)</f>
        <v>351</v>
      </c>
      <c r="R82" s="130">
        <f>VLOOKUP(Datos_Origen[[#This Row],[Puntos valoración]],Categorias_Registro[#Data],MATCH(Categorias_Registro[[#Headers],[Categoria]],Categorias_Registro[#Headers],0),FALSE)</f>
        <v>10</v>
      </c>
      <c r="S82" s="130" t="str">
        <f>VLOOKUP(Datos_Origen[[#This Row],[Cargo Tipo Valorado]],Cargos_Catalogo[#Data],MATCH(Cargos_Catalogo[[#Headers],[Nivel SHR]],Cargos_Catalogo[#Headers],0),FALSE)</f>
        <v>Táctico</v>
      </c>
      <c r="T82" s="130" t="str">
        <f>VLOOKUP(Datos_Origen[[#This Row],[Cargo Tipo Valorado]],Cargos_Catalogo[#Data],MATCH(Cargos_Catalogo[[#Headers],[Criticidad]],Cargos_Catalogo[#Headers],0),FALSE)</f>
        <v>Importante</v>
      </c>
      <c r="U82" s="154">
        <f>VLOOKUP(Datos_Origen[[#This Row],[Puntos valoración]],Categorias_Registro[#Data],5,FALSE)</f>
        <v>330</v>
      </c>
      <c r="V82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3177009.0000000005</v>
      </c>
      <c r="W82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1176670</v>
      </c>
      <c r="X82" s="154">
        <f>SUMIF($BA$5:$BJ$5,"NCS",Datos_Origen[[#This Row],[auxilio Gasolina]:[Otro Beneficio10]])+(SUMIF($BA$5:$BJ$5,"CS",Datos_Origen[[#This Row],[auxilio Gasolina]:[Otro Beneficio10]])*1.17667)</f>
        <v>0</v>
      </c>
      <c r="Y82" s="155">
        <f>Datos_Origen[[#This Row],[Básico]]+Datos_Origen[[#This Row],[Promedio de Comisiones  ]]</f>
        <v>3700000</v>
      </c>
      <c r="Z82" s="155">
        <f>Datos_Origen[[#This Row],[Básico]]+Datos_Origen[[#This Row],[Promedio de Comisiones  ]]</f>
        <v>3700000</v>
      </c>
      <c r="AA82" s="155">
        <f>Datos_Origen[[#This Row],[Garantizado]]</f>
        <v>3177009.0000000005</v>
      </c>
      <c r="AB82" s="155">
        <f>Datos_Origen[[#This Row],[Variable]]+Datos_Origen[[#This Row],[Garantizado]]</f>
        <v>4353679</v>
      </c>
      <c r="AC82" s="155">
        <f>Datos_Origen[[#This Row],[Beneficios]]+Datos_Origen[[#This Row],[Variable]]+Datos_Origen[[#This Row],[Garantizado]]</f>
        <v>4353679</v>
      </c>
      <c r="AD82" s="156">
        <v>14.12</v>
      </c>
      <c r="AE82" s="141">
        <v>230</v>
      </c>
      <c r="AF82" s="345">
        <v>4.3499999999999997E-2</v>
      </c>
      <c r="AG82" s="155">
        <f>Datos_Origen[[#This Row],[Básico Actual]]*230/Datos_Origen[[#This Row],['# horas mes]]</f>
        <v>2700000</v>
      </c>
      <c r="AH82" s="157">
        <v>2700000</v>
      </c>
      <c r="AI82" s="158"/>
      <c r="AJ82" s="158">
        <f>(((Datos_Origen[[#This Row],[Básico]])/30)*$AJ$6)/12</f>
        <v>0</v>
      </c>
      <c r="AK82" s="158"/>
      <c r="AL82" s="143">
        <f>((Datos_Origen[[#This Row],[Básico]])/30)*$AL$6/12</f>
        <v>0</v>
      </c>
      <c r="AM82" s="158"/>
      <c r="AN82" s="158"/>
      <c r="AO82" s="158"/>
      <c r="AP82" s="158"/>
      <c r="AQ82" s="158"/>
      <c r="AR82" s="149">
        <v>1000000</v>
      </c>
      <c r="AS82" s="149"/>
      <c r="AT82" s="159">
        <f>IFERROR(Datos_Origen[[#This Row],[Comisiones Target]]/Datos_Origen[[#This Row],[Promedio de Comisiones  ]],"")</f>
        <v>0</v>
      </c>
      <c r="AU82" s="160"/>
      <c r="AV82" s="143">
        <v>0</v>
      </c>
      <c r="AW82" s="160"/>
      <c r="AX82" s="143">
        <f>Datos_Origen[[#This Row],[N Salarios de la Bonificación2]]*Datos_Origen[[#This Row],[Básico]]/12</f>
        <v>0</v>
      </c>
      <c r="AY82" s="160"/>
      <c r="AZ82" s="158"/>
      <c r="BA82" s="149">
        <v>0</v>
      </c>
      <c r="BB82" s="149"/>
      <c r="BC82" s="149"/>
      <c r="BD82" s="149"/>
      <c r="BE82" s="149"/>
      <c r="BF82" s="149"/>
      <c r="BG82" s="149"/>
      <c r="BH82" s="149"/>
      <c r="BI82" s="149"/>
      <c r="BJ82" s="149"/>
      <c r="BK82" s="159">
        <f>IFERROR(Datos_Origen[[#This Row],[Variable]]/Datos_Origen[[#This Row],[CT]],"")</f>
        <v>0.27027027027027029</v>
      </c>
      <c r="BL82" s="159">
        <f>IFERROR(Datos_Origen[[#This Row],[Beneficios]]/Datos_Origen[[#This Row],[CT]],"")</f>
        <v>0</v>
      </c>
      <c r="BM82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4151668.5121462299</v>
      </c>
      <c r="BN82" s="161">
        <f>Datos_Origen[[#This Row],[G]]/Datos_Origen[[#This Row],[Geq]]</f>
        <v>0.76523667308824395</v>
      </c>
      <c r="BO82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4430593.4397103917</v>
      </c>
      <c r="BP82" s="161">
        <f>Datos_Origen[[#This Row],[G+V]]/Datos_Origen[[#This Row],[G+Veq]]</f>
        <v>0.98264014950660439</v>
      </c>
      <c r="BQ82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4431574.7722690385</v>
      </c>
      <c r="BR82" s="161">
        <f>Datos_Origen[[#This Row],[CT]]/Datos_Origen[[#This Row],[CTeq]]</f>
        <v>0.98242255264280365</v>
      </c>
      <c r="BS82" s="139">
        <f>ROUNDUP(VLOOKUP(Datos_Origen[[#This Row],[Categoria]],Competitividad_1[#All],2,0)*IndiceIncrementoC,-3)</f>
        <v>4095000</v>
      </c>
      <c r="BT82" s="161">
        <f>Datos_Origen[[#This Row],[G]]/Datos_Origen[[#This Row],[GQ1]]</f>
        <v>0.77582637362637374</v>
      </c>
      <c r="BU82" s="155">
        <f>ROUNDUP(VLOOKUP(Datos_Origen[[#This Row],[Categoria]],Competitividad_1[#All],3,0)*IndiceIncrementoC,-3)</f>
        <v>4211000</v>
      </c>
      <c r="BV82" s="161">
        <f>Datos_Origen[[#This Row],[G+V]]/Datos_Origen[[#This Row],[G+VQ1]]</f>
        <v>1.0338824507242934</v>
      </c>
      <c r="BW82" s="155">
        <f>ROUNDUP(VLOOKUP(Datos_Origen[[#This Row],[Categoria]],Competitividad_1[#All],4,0)*IndiceIncrementoC,-3)</f>
        <v>4385000</v>
      </c>
      <c r="BX82" s="161">
        <f>Datos_Origen[[#This Row],[CT]]/Datos_Origen[[#This Row],[CTQ1]]</f>
        <v>0.99285724059293046</v>
      </c>
      <c r="BY82" s="155">
        <f>ROUNDUP(VLOOKUP(Datos_Origen[[#This Row],[Categoria]],Competitividad_1[#All],5,0)*IndiceIncrementoC,-3)</f>
        <v>5989000</v>
      </c>
      <c r="BZ82" s="161">
        <f>Datos_Origen[[#This Row],[G]]/Datos_Origen[[#This Row],[GMd]]</f>
        <v>0.53047403573217577</v>
      </c>
      <c r="CA82" s="155">
        <f>ROUNDUP(VLOOKUP(Datos_Origen[[#This Row],[Categoria]],Competitividad_1[#All],6,0)*IndiceIncrementoC,-3)</f>
        <v>6138000</v>
      </c>
      <c r="CB82" s="161">
        <f>Datos_Origen[[#This Row],[G+V]]/Datos_Origen[[#This Row],[G+VMd]]</f>
        <v>0.70929928315412183</v>
      </c>
      <c r="CC82" s="155">
        <f>ROUNDUP(VLOOKUP(Datos_Origen[[#This Row],[Categoria]],Competitividad_1[#All],7,0)*IndiceIncrementoC,-3)</f>
        <v>6403000</v>
      </c>
      <c r="CD82" s="161">
        <f>Datos_Origen[[#This Row],[CT]]/Datos_Origen[[#This Row],[CTMd]]</f>
        <v>0.67994362017804155</v>
      </c>
      <c r="CE82" s="155">
        <f>+Datos_Origen[[#This Row],[GMd]]/1.17666666667</f>
        <v>5089801.6997022945</v>
      </c>
      <c r="CF82" s="161">
        <f>+Datos_Origen[[#This Row],[Básico Actual]]/Datos_Origen[[#This Row],[Salario Basico Md]]</f>
        <v>0.53047253297862751</v>
      </c>
      <c r="CG82" s="155">
        <f>ROUNDUP(VLOOKUP(Datos_Origen[[#This Row],[Categoria]],Competitividad_1[#All],8,0)*IndiceIncrementoC,-3)</f>
        <v>6907000</v>
      </c>
      <c r="CH82" s="161">
        <f>Datos_Origen[[#This Row],[G]]/Datos_Origen[[#This Row],[GQ3]]</f>
        <v>0.45996945128130889</v>
      </c>
      <c r="CI82" s="155">
        <f>ROUNDUP(VLOOKUP(Datos_Origen[[#This Row],[Categoria]],Competitividad_1[#All],9,0)*IndiceIncrementoC,-3)</f>
        <v>7093000</v>
      </c>
      <c r="CJ82" s="161">
        <f>Datos_Origen[[#This Row],[G+V]]/Datos_Origen[[#This Row],[G+VQ3]]</f>
        <v>0.61379937967009723</v>
      </c>
      <c r="CK82" s="155">
        <f>ROUNDUP(VLOOKUP(Datos_Origen[[#This Row],[Categoria]],Competitividad_1[#All],10,0)*IndiceIncrementoC,-3)</f>
        <v>7266000</v>
      </c>
      <c r="CL82" s="161">
        <f>Datos_Origen[[#This Row],[CT]]/Datos_Origen[[#This Row],[CTQ3]]</f>
        <v>0.59918510872557118</v>
      </c>
      <c r="CM82" s="162">
        <f>IF(ROUND(Datos_Origen[[#This Row],[Salario Ordinario Pol2]],-3)&lt;SMMLV,SMMLV,ROUND(Datos_Origen[[#This Row],[Salario Ordinario Pol2]],-3))</f>
        <v>4353000</v>
      </c>
      <c r="CN82" s="155">
        <f>IF(Datos_Origen[[#This Row],[Gpol]]/(1+FactorPrestacionalOrdinario)&lt;SMMLV,SMMLV,Datos_Origen[[#This Row],[Gpol]]/(1+FactorPrestacionalOrdinario))</f>
        <v>4441640.2266288949</v>
      </c>
      <c r="CO82" s="161">
        <f>IFERROR(IF(Datos_Origen[[#This Row],[Salarios Año]]=14.12,Datos_Origen[[#This Row],[Básico]]/Datos_Origen[[#This Row],[Salario Ordinario Pol]],""),"")</f>
        <v>0.60788354351906604</v>
      </c>
      <c r="CP82" s="155">
        <f>IF(ROUND(Datos_Origen[[#This Row],[Salario Ordinario Pol22]],-3)&lt;SMMLV,SMMLV,ROUND(Datos_Origen[[#This Row],[Salario Ordinario Pol22]],-3))</f>
        <v>6530000</v>
      </c>
      <c r="CQ82" s="155" t="str">
        <f>IFERROR(ROUND(Datos_Origen[[#This Row],[Salario Integral Pol4]],-3),"")</f>
        <v/>
      </c>
      <c r="CR82" s="139" t="str">
        <f>IF((Datos_Origen[[#This Row],[Gpol]]/(1+FactorPrestacionalIntegral))&lt;(13*SMMLV),"",(Datos_Origen[[#This Row],[Gpol]]/(1+FactorPrestacionalIntegral)))</f>
        <v/>
      </c>
      <c r="CS82" s="161" t="str">
        <f>IFERROR(IF(Datos_Origen[[#This Row],[Salarios Año]]=12,Datos_Origen[[#This Row],[Básico]]/Datos_Origen[[#This Row],[Salario Integral Pol]],""),"")</f>
        <v/>
      </c>
      <c r="CT82" s="155" t="str">
        <f>IFERROR(ROUND(Datos_Origen[[#This Row],[Salario Integral Pol44]],-3),"")</f>
        <v/>
      </c>
      <c r="CU82" s="155">
        <f>Datos_Origen[[#This Row],[G+Vpol]]-Datos_Origen[[#This Row],[Variable]]</f>
        <v>5226330</v>
      </c>
      <c r="CV82" s="161">
        <f>Datos_Origen[[#This Row],[G]]/Datos_Origen[[#This Row],[Gpol]]</f>
        <v>0.60788526556876443</v>
      </c>
      <c r="CW82" s="154">
        <f>Datos_Origen[[#This Row],[Ctpol]]-Datos_Origen[[#This Row],[Beneficios]]</f>
        <v>6403000</v>
      </c>
      <c r="CX82" s="161">
        <f>Datos_Origen[[#This Row],[G+V]]/Datos_Origen[[#This Row],[G+Vpol]]</f>
        <v>0.67994362017804155</v>
      </c>
      <c r="CY82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6403000</v>
      </c>
      <c r="CZ82" s="161">
        <f>Datos_Origen[[#This Row],[CT]]/Datos_Origen[[#This Row],[Ctpol]]</f>
        <v>0.67994362017804155</v>
      </c>
      <c r="DA82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3700000</v>
      </c>
      <c r="DB82" s="158">
        <f>IF(Datos_Origen[[#This Row],[Básico]]&lt;10*SMMLV,0,Datos_Origen[[#This Row],[Base Seguridad Social Actual]]*8.5%)</f>
        <v>0</v>
      </c>
      <c r="DC82" s="158">
        <f>Datos_Origen[[#This Row],[Base Seguridad Social Actual]]*12%</f>
        <v>444000</v>
      </c>
      <c r="DD82" s="158">
        <f>Datos_Origen[[#This Row],[Base Seguridad Social Actual]]*Datos_Origen[[#This Row],[%ARL]]</f>
        <v>160950</v>
      </c>
      <c r="DE82" s="158">
        <f>IF(Datos_Origen[[#This Row],[Básico]]&lt;10*SMMLV,Datos_Origen[[#This Row],[Base Seguridad Social Actual]]*4%,Datos_Origen[[#This Row],[Base Seguridad Social Actual]]*9%)</f>
        <v>148000</v>
      </c>
      <c r="DF82" s="158">
        <f>Datos_Origen[[#This Row],[Salud]]+Datos_Origen[[#This Row],[Pensión]]+Datos_Origen[[#This Row],[ARL]]+Datos_Origen[[#This Row],[Parafiscales]]</f>
        <v>752950</v>
      </c>
      <c r="DG82" s="158">
        <f>Datos_Origen[[#This Row],[Costo Laboral Actual]]+Datos_Origen[[#This Row],[CT]]</f>
        <v>5106629</v>
      </c>
      <c r="DH82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4441640.2266288949</v>
      </c>
      <c r="DI82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82" s="158">
        <f>Datos_Origen[[#This Row],[Base Seguridad Social Nueva]]*12%</f>
        <v>532996.82719546743</v>
      </c>
      <c r="DK82" s="158">
        <f>Datos_Origen[[#This Row],[Base Seguridad Social Nueva]]*Datos_Origen[[#This Row],[%ARL]]</f>
        <v>193211.3498583569</v>
      </c>
      <c r="DL82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177665.60906515579</v>
      </c>
      <c r="DM82" s="158">
        <f>Datos_Origen[[#This Row],[Salud Nueva]]+Datos_Origen[[#This Row],[Pensión Nueva]]+Datos_Origen[[#This Row],[ARL nueva]]+Datos_Origen[[#This Row],[Parafiscales Nuevos]]</f>
        <v>903873.78611898003</v>
      </c>
      <c r="DN82" s="158">
        <f>Datos_Origen[[#This Row],[Costo Laboral Nuevo]]+Datos_Origen[[#This Row],[Ctpol]]</f>
        <v>7306873.7861189805</v>
      </c>
      <c r="DO82" s="158">
        <f>IF(Datos_Origen[[#This Row],[Ctpol]]-Datos_Origen[[#This Row],[CT]]&lt;=0,0,Datos_Origen[[#This Row],[Costo Total Nuevo]]-Datos_Origen[[#This Row],[Costo Total Actual]])</f>
        <v>2200244.7861189805</v>
      </c>
      <c r="DP82" s="158">
        <f>IF(Datos_Origen[[#This Row],[Ctpol]]-Datos_Origen[[#This Row],[CT]]&lt;=0,0,Datos_Origen[[#This Row],[Ctpol]]-Datos_Origen[[#This Row],[CT]])</f>
        <v>2049321</v>
      </c>
      <c r="DQ82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150923.78611898003</v>
      </c>
      <c r="DR82" s="158">
        <f>ROUNDDOWN(VLOOKUP(Datos_Origen[[#This Row],[Categoria]],Competitividad_1[],7,0)*IndiceIncrementoC,-3)</f>
        <v>6402000</v>
      </c>
      <c r="DS82" s="158">
        <f>Datos_Origen[[#This Row],[CTeq]]*0.8</f>
        <v>3545259.8178152312</v>
      </c>
      <c r="DT82" s="158">
        <f>Datos_Origen[[#This Row],[CTeq]]*1.2</f>
        <v>5317889.7267228458</v>
      </c>
      <c r="DU82" s="155">
        <f>IF(Datos_Origen[[#This Row],[Gpol6]]/(1+FactorPrestacionalOrdinario)&lt;SMMLV,SMMLV,Datos_Origen[[#This Row],[Gpol6]]/(1+FactorPrestacionalOrdinario))</f>
        <v>4353314.4475920675</v>
      </c>
      <c r="DV82" s="139" t="str">
        <f>IF((Datos_Origen[[#This Row],[Gpol6]]/(1+FactorPrestacionalIntegral))&lt;(13*SMMLV),"",(Datos_Origen[[#This Row],[Gpol6]]/(1+FactorPrestacionalIntegral)))</f>
        <v/>
      </c>
      <c r="DW82" s="154">
        <f>Datos_Origen[[#This Row],[G+Vpol8]]</f>
        <v>5122400</v>
      </c>
      <c r="DX82" s="154">
        <f>Datos_Origen[[#This Row],[Ctpol10]]-Datos_Origen[[#This Row],[Beneficios]]</f>
        <v>5122400</v>
      </c>
      <c r="DY82" s="154">
        <f>Datos_Origen[[#This Row],[Ctpol]]*$CM$6</f>
        <v>5122400</v>
      </c>
      <c r="DZ82" s="155">
        <f>IF(Datos_Origen[[#This Row],[Gpol66]]/(1+FactorPrestacionalOrdinario)&lt;SMMLV,SMMLV,Datos_Origen[[#This Row],[Gpol66]]/(1+FactorPrestacionalOrdinario))</f>
        <v>6529971.6713881018</v>
      </c>
      <c r="EA82" s="139" t="str">
        <f>IF((Datos_Origen[[#This Row],[Gpol66]]/(1+FactorPrestacionalIntegral))&lt;(13*SMMLV),"",(Datos_Origen[[#This Row],[Gpol66]]/(1+FactorPrestacionalIntegral)))</f>
        <v/>
      </c>
      <c r="EB82" s="154">
        <f>Datos_Origen[[#This Row],[G+Vpol88]]</f>
        <v>7683600</v>
      </c>
      <c r="EC82" s="154">
        <f>Datos_Origen[[#This Row],[Ctpol1010]]-Datos_Origen[[#This Row],[Beneficios]]</f>
        <v>7683600</v>
      </c>
      <c r="ED82" s="154">
        <f>Datos_Origen[[#This Row],[Ctpol]]*$CP$6</f>
        <v>7683600</v>
      </c>
      <c r="EE82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83" spans="2:135">
      <c r="B83" s="132"/>
      <c r="C83" s="149"/>
      <c r="D83" s="150"/>
      <c r="E83" s="151"/>
      <c r="F83" s="151"/>
      <c r="G83" s="150" t="s">
        <v>532</v>
      </c>
      <c r="H83" s="153"/>
      <c r="I83" s="152" t="s">
        <v>312</v>
      </c>
      <c r="J83" s="130" t="str">
        <f>IFERROR(VLOOKUP(Datos_Origen[[#This Row],[Cargo Tipo Valorado]],Cargos_Catalogo[[#All],[Cargo]:[Área]],2,0),"")</f>
        <v/>
      </c>
      <c r="K83" s="153"/>
      <c r="L83" s="153"/>
      <c r="M83" s="153"/>
      <c r="N83" s="153"/>
      <c r="O83" s="154">
        <f>Datos_Origen[[#This Row],[Segmentación Individual]]</f>
        <v>0</v>
      </c>
      <c r="P83" s="153"/>
      <c r="Q83" s="154">
        <f>VLOOKUP(Datos_Origen[[#This Row],[Cargo Tipo Valorado]],Cargos_Catalogo[#Data],MATCH(Cargos_Catalogo[[#Headers],[Puntos]],Cargos_Catalogo[#Headers],0),FALSE)</f>
        <v>357</v>
      </c>
      <c r="R83" s="130">
        <f>VLOOKUP(Datos_Origen[[#This Row],[Puntos valoración]],Categorias_Registro[#Data],MATCH(Categorias_Registro[[#Headers],[Categoria]],Categorias_Registro[#Headers],0),FALSE)</f>
        <v>11</v>
      </c>
      <c r="S83" s="130" t="str">
        <f>VLOOKUP(Datos_Origen[[#This Row],[Cargo Tipo Valorado]],Cargos_Catalogo[#Data],MATCH(Cargos_Catalogo[[#Headers],[Nivel SHR]],Cargos_Catalogo[#Headers],0),FALSE)</f>
        <v>Táctico</v>
      </c>
      <c r="T83" s="130" t="str">
        <f>VLOOKUP(Datos_Origen[[#This Row],[Cargo Tipo Valorado]],Cargos_Catalogo[#Data],MATCH(Cargos_Catalogo[[#Headers],[Criticidad]],Cargos_Catalogo[#Headers],0),FALSE)</f>
        <v>Relevante</v>
      </c>
      <c r="U83" s="154">
        <f>VLOOKUP(Datos_Origen[[#This Row],[Puntos valoración]],Categorias_Registro[#Data],5,FALSE)</f>
        <v>379</v>
      </c>
      <c r="V83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3218192.45</v>
      </c>
      <c r="W83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83" s="154">
        <f>SUMIF($BA$5:$BJ$5,"NCS",Datos_Origen[[#This Row],[auxilio Gasolina]:[Otro Beneficio10]])+(SUMIF($BA$5:$BJ$5,"CS",Datos_Origen[[#This Row],[auxilio Gasolina]:[Otro Beneficio10]])*1.17667)</f>
        <v>0</v>
      </c>
      <c r="Y83" s="155">
        <f>Datos_Origen[[#This Row],[Básico]]+Datos_Origen[[#This Row],[Promedio de Comisiones  ]]</f>
        <v>2735000</v>
      </c>
      <c r="Z83" s="155">
        <f>Datos_Origen[[#This Row],[Básico]]+Datos_Origen[[#This Row],[Promedio de Comisiones  ]]</f>
        <v>2735000</v>
      </c>
      <c r="AA83" s="155">
        <f>Datos_Origen[[#This Row],[Garantizado]]</f>
        <v>3218192.45</v>
      </c>
      <c r="AB83" s="155">
        <f>Datos_Origen[[#This Row],[Variable]]+Datos_Origen[[#This Row],[Garantizado]]</f>
        <v>3218192.45</v>
      </c>
      <c r="AC83" s="155">
        <f>Datos_Origen[[#This Row],[Beneficios]]+Datos_Origen[[#This Row],[Variable]]+Datos_Origen[[#This Row],[Garantizado]]</f>
        <v>3218192.45</v>
      </c>
      <c r="AD83" s="156">
        <v>14.12</v>
      </c>
      <c r="AE83" s="141">
        <v>230</v>
      </c>
      <c r="AF83" s="345">
        <v>5.2199999999999998E-3</v>
      </c>
      <c r="AG83" s="155">
        <f>Datos_Origen[[#This Row],[Básico Actual]]*230/Datos_Origen[[#This Row],['# horas mes]]</f>
        <v>2735000</v>
      </c>
      <c r="AH83" s="157">
        <v>2735000</v>
      </c>
      <c r="AI83" s="158"/>
      <c r="AJ83" s="158">
        <f>(((Datos_Origen[[#This Row],[Básico]])/30)*$AJ$6)/12</f>
        <v>0</v>
      </c>
      <c r="AK83" s="158"/>
      <c r="AL83" s="143">
        <f>((Datos_Origen[[#This Row],[Básico]])/30)*$AL$6/12</f>
        <v>0</v>
      </c>
      <c r="AM83" s="158"/>
      <c r="AN83" s="158"/>
      <c r="AO83" s="158"/>
      <c r="AP83" s="158"/>
      <c r="AQ83" s="158"/>
      <c r="AR83" s="149">
        <v>0</v>
      </c>
      <c r="AS83" s="149"/>
      <c r="AT83" s="159" t="str">
        <f>IFERROR(Datos_Origen[[#This Row],[Comisiones Target]]/Datos_Origen[[#This Row],[Promedio de Comisiones  ]],"")</f>
        <v/>
      </c>
      <c r="AU83" s="160"/>
      <c r="AV83" s="143">
        <v>0</v>
      </c>
      <c r="AW83" s="160"/>
      <c r="AX83" s="143">
        <f>Datos_Origen[[#This Row],[N Salarios de la Bonificación2]]*Datos_Origen[[#This Row],[Básico]]/12</f>
        <v>0</v>
      </c>
      <c r="AY83" s="160"/>
      <c r="AZ83" s="158"/>
      <c r="BA83" s="149">
        <v>0</v>
      </c>
      <c r="BB83" s="149"/>
      <c r="BC83" s="149"/>
      <c r="BD83" s="149"/>
      <c r="BE83" s="149"/>
      <c r="BF83" s="149"/>
      <c r="BG83" s="149"/>
      <c r="BH83" s="149"/>
      <c r="BI83" s="149"/>
      <c r="BJ83" s="149"/>
      <c r="BK83" s="159">
        <f>IFERROR(Datos_Origen[[#This Row],[Variable]]/Datos_Origen[[#This Row],[CT]],"")</f>
        <v>0</v>
      </c>
      <c r="BL83" s="159">
        <f>IFERROR(Datos_Origen[[#This Row],[Beneficios]]/Datos_Origen[[#This Row],[CT]],"")</f>
        <v>0</v>
      </c>
      <c r="BM83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4674516.2048216574</v>
      </c>
      <c r="BN83" s="161">
        <f>Datos_Origen[[#This Row],[G]]/Datos_Origen[[#This Row],[Geq]]</f>
        <v>0.68845465690770469</v>
      </c>
      <c r="BO83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4976340.5769949695</v>
      </c>
      <c r="BP83" s="161">
        <f>Datos_Origen[[#This Row],[G+V]]/Datos_Origen[[#This Row],[G+Veq]]</f>
        <v>0.64669859311424971</v>
      </c>
      <c r="BQ83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4976672.1082647825</v>
      </c>
      <c r="BR83" s="161">
        <f>Datos_Origen[[#This Row],[CT]]/Datos_Origen[[#This Row],[CTeq]]</f>
        <v>0.6466555119545716</v>
      </c>
      <c r="BS83" s="139">
        <f>ROUNDUP(VLOOKUP(Datos_Origen[[#This Row],[Categoria]],Competitividad_1[#All],2,0)*IndiceIncrementoC,-3)</f>
        <v>4750000</v>
      </c>
      <c r="BT83" s="161">
        <f>Datos_Origen[[#This Row],[G]]/Datos_Origen[[#This Row],[GQ1]]</f>
        <v>0.67751420000000007</v>
      </c>
      <c r="BU83" s="155">
        <f>ROUNDUP(VLOOKUP(Datos_Origen[[#This Row],[Categoria]],Competitividad_1[#All],3,0)*IndiceIncrementoC,-3)</f>
        <v>4888000</v>
      </c>
      <c r="BV83" s="161">
        <f>Datos_Origen[[#This Row],[G+V]]/Datos_Origen[[#This Row],[G+VQ1]]</f>
        <v>0.65838634410801966</v>
      </c>
      <c r="BW83" s="155">
        <f>ROUNDUP(VLOOKUP(Datos_Origen[[#This Row],[Categoria]],Competitividad_1[#All],4,0)*IndiceIncrementoC,-3)</f>
        <v>5109000</v>
      </c>
      <c r="BX83" s="161">
        <f>Datos_Origen[[#This Row],[CT]]/Datos_Origen[[#This Row],[CTQ1]]</f>
        <v>0.62990652769622235</v>
      </c>
      <c r="BY83" s="155">
        <f>ROUNDUP(VLOOKUP(Datos_Origen[[#This Row],[Categoria]],Competitividad_1[#All],5,0)*IndiceIncrementoC,-3)</f>
        <v>7139000</v>
      </c>
      <c r="BZ83" s="161">
        <f>Datos_Origen[[#This Row],[G]]/Datos_Origen[[#This Row],[GMd]]</f>
        <v>0.45079036979969184</v>
      </c>
      <c r="CA83" s="155">
        <f>ROUNDUP(VLOOKUP(Datos_Origen[[#This Row],[Categoria]],Competitividad_1[#All],6,0)*IndiceIncrementoC,-3)</f>
        <v>7348000</v>
      </c>
      <c r="CB83" s="161">
        <f>Datos_Origen[[#This Row],[G+V]]/Datos_Origen[[#This Row],[G+VMd]]</f>
        <v>0.43796848802395211</v>
      </c>
      <c r="CC83" s="155">
        <f>ROUNDUP(VLOOKUP(Datos_Origen[[#This Row],[Categoria]],Competitividad_1[#All],7,0)*IndiceIncrementoC,-3)</f>
        <v>7657000</v>
      </c>
      <c r="CD83" s="161">
        <f>Datos_Origen[[#This Row],[CT]]/Datos_Origen[[#This Row],[CTMd]]</f>
        <v>0.42029416873449132</v>
      </c>
      <c r="CE83" s="155">
        <f>+Datos_Origen[[#This Row],[GMd]]/1.17666666667</f>
        <v>6067138.810181112</v>
      </c>
      <c r="CF83" s="161">
        <f>+Datos_Origen[[#This Row],[Básico Actual]]/Datos_Origen[[#This Row],[Salario Basico Md]]</f>
        <v>0.45078909277804319</v>
      </c>
      <c r="CG83" s="155">
        <f>ROUNDUP(VLOOKUP(Datos_Origen[[#This Row],[Categoria]],Competitividad_1[#All],8,0)*IndiceIncrementoC,-3)</f>
        <v>7858000</v>
      </c>
      <c r="CH83" s="161">
        <f>Datos_Origen[[#This Row],[G]]/Datos_Origen[[#This Row],[GQ3]]</f>
        <v>0.409543452532451</v>
      </c>
      <c r="CI83" s="155">
        <f>ROUNDUP(VLOOKUP(Datos_Origen[[#This Row],[Categoria]],Competitividad_1[#All],9,0)*IndiceIncrementoC,-3)</f>
        <v>8067000</v>
      </c>
      <c r="CJ83" s="161">
        <f>Datos_Origen[[#This Row],[G+V]]/Datos_Origen[[#This Row],[G+VQ3]]</f>
        <v>0.39893299243832903</v>
      </c>
      <c r="CK83" s="155">
        <f>ROUNDUP(VLOOKUP(Datos_Origen[[#This Row],[Categoria]],Competitividad_1[#All],10,0)*IndiceIncrementoC,-3)</f>
        <v>8258000</v>
      </c>
      <c r="CL83" s="161">
        <f>Datos_Origen[[#This Row],[CT]]/Datos_Origen[[#This Row],[CTQ3]]</f>
        <v>0.38970603657059821</v>
      </c>
      <c r="CM83" s="162">
        <f>IF(ROUND(Datos_Origen[[#This Row],[Salario Ordinario Pol2]],-3)&lt;SMMLV,SMMLV,ROUND(Datos_Origen[[#This Row],[Salario Ordinario Pol2]],-3))</f>
        <v>4686000</v>
      </c>
      <c r="CN83" s="155">
        <f>IF(Datos_Origen[[#This Row],[Gpol]]/(1+FactorPrestacionalOrdinario)&lt;SMMLV,SMMLV,Datos_Origen[[#This Row],[Gpol]]/(1+FactorPrestacionalOrdinario))</f>
        <v>5857223.7960339943</v>
      </c>
      <c r="CO83" s="161">
        <f>IFERROR(IF(Datos_Origen[[#This Row],[Salarios Año]]=14.12,Datos_Origen[[#This Row],[Básico]]/Datos_Origen[[#This Row],[Salario Ordinario Pol]],""),"")</f>
        <v>0.46694476687947378</v>
      </c>
      <c r="CP83" s="155">
        <f>IF(ROUND(Datos_Origen[[#This Row],[Salario Ordinario Pol22]],-3)&lt;SMMLV,SMMLV,ROUND(Datos_Origen[[#This Row],[Salario Ordinario Pol22]],-3))</f>
        <v>7029000</v>
      </c>
      <c r="CQ83" s="155" t="str">
        <f>IFERROR(ROUND(Datos_Origen[[#This Row],[Salario Integral Pol4]],-3),"")</f>
        <v/>
      </c>
      <c r="CR83" s="139" t="str">
        <f>IF((Datos_Origen[[#This Row],[Gpol]]/(1+FactorPrestacionalIntegral))&lt;(13*SMMLV),"",(Datos_Origen[[#This Row],[Gpol]]/(1+FactorPrestacionalIntegral)))</f>
        <v/>
      </c>
      <c r="CS83" s="161" t="str">
        <f>IFERROR(IF(Datos_Origen[[#This Row],[Salarios Año]]=12,Datos_Origen[[#This Row],[Básico]]/Datos_Origen[[#This Row],[Salario Integral Pol]],""),"")</f>
        <v/>
      </c>
      <c r="CT83" s="155" t="str">
        <f>IFERROR(ROUND(Datos_Origen[[#This Row],[Salario Integral Pol44]],-3),"")</f>
        <v/>
      </c>
      <c r="CU83" s="155">
        <f>Datos_Origen[[#This Row],[G+Vpol]]-Datos_Origen[[#This Row],[Variable]]</f>
        <v>6892000</v>
      </c>
      <c r="CV83" s="161">
        <f>Datos_Origen[[#This Row],[G]]/Datos_Origen[[#This Row],[Gpol]]</f>
        <v>0.46694608966918166</v>
      </c>
      <c r="CW83" s="154">
        <f>Datos_Origen[[#This Row],[Ctpol]]-Datos_Origen[[#This Row],[Beneficios]]</f>
        <v>6892000</v>
      </c>
      <c r="CX83" s="161">
        <f>Datos_Origen[[#This Row],[G+V]]/Datos_Origen[[#This Row],[G+Vpol]]</f>
        <v>0.46694608966918166</v>
      </c>
      <c r="CY83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6892000</v>
      </c>
      <c r="CZ83" s="161">
        <f>Datos_Origen[[#This Row],[CT]]/Datos_Origen[[#This Row],[Ctpol]]</f>
        <v>0.46694608966918166</v>
      </c>
      <c r="DA83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2735000</v>
      </c>
      <c r="DB83" s="158">
        <f>IF(Datos_Origen[[#This Row],[Básico]]&lt;10*SMMLV,0,Datos_Origen[[#This Row],[Base Seguridad Social Actual]]*8.5%)</f>
        <v>0</v>
      </c>
      <c r="DC83" s="158">
        <f>Datos_Origen[[#This Row],[Base Seguridad Social Actual]]*12%</f>
        <v>328200</v>
      </c>
      <c r="DD83" s="158">
        <f>Datos_Origen[[#This Row],[Base Seguridad Social Actual]]*Datos_Origen[[#This Row],[%ARL]]</f>
        <v>14276.699999999999</v>
      </c>
      <c r="DE83" s="158">
        <f>IF(Datos_Origen[[#This Row],[Básico]]&lt;10*SMMLV,Datos_Origen[[#This Row],[Base Seguridad Social Actual]]*4%,Datos_Origen[[#This Row],[Base Seguridad Social Actual]]*9%)</f>
        <v>109400</v>
      </c>
      <c r="DF83" s="158">
        <f>Datos_Origen[[#This Row],[Salud]]+Datos_Origen[[#This Row],[Pensión]]+Datos_Origen[[#This Row],[ARL]]+Datos_Origen[[#This Row],[Parafiscales]]</f>
        <v>451876.7</v>
      </c>
      <c r="DG83" s="163">
        <f>Datos_Origen[[#This Row],[Costo Laboral Actual]]+Datos_Origen[[#This Row],[CT]]</f>
        <v>3670069.1500000004</v>
      </c>
      <c r="DH83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5857223.7960339943</v>
      </c>
      <c r="DI83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83" s="158">
        <f>Datos_Origen[[#This Row],[Base Seguridad Social Nueva]]*12%</f>
        <v>702866.85552407929</v>
      </c>
      <c r="DK83" s="158">
        <f>Datos_Origen[[#This Row],[Base Seguridad Social Nueva]]*Datos_Origen[[#This Row],[%ARL]]</f>
        <v>30574.708215297451</v>
      </c>
      <c r="DL83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234288.95184135978</v>
      </c>
      <c r="DM83" s="158">
        <f>Datos_Origen[[#This Row],[Salud Nueva]]+Datos_Origen[[#This Row],[Pensión Nueva]]+Datos_Origen[[#This Row],[ARL nueva]]+Datos_Origen[[#This Row],[Parafiscales Nuevos]]</f>
        <v>967730.51558073657</v>
      </c>
      <c r="DN83" s="158">
        <f>Datos_Origen[[#This Row],[Costo Laboral Nuevo]]+Datos_Origen[[#This Row],[Ctpol]]</f>
        <v>7859730.5155807361</v>
      </c>
      <c r="DO83" s="158">
        <f>IF(Datos_Origen[[#This Row],[Ctpol]]-Datos_Origen[[#This Row],[CT]]&lt;=0,0,Datos_Origen[[#This Row],[Costo Total Nuevo]]-Datos_Origen[[#This Row],[Costo Total Actual]])</f>
        <v>4189661.3655807357</v>
      </c>
      <c r="DP83" s="158">
        <f>IF(Datos_Origen[[#This Row],[Ctpol]]-Datos_Origen[[#This Row],[CT]]&lt;=0,0,Datos_Origen[[#This Row],[Ctpol]]-Datos_Origen[[#This Row],[CT]])</f>
        <v>3673807.55</v>
      </c>
      <c r="DQ83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515853.81558073655</v>
      </c>
      <c r="DR83" s="158">
        <f>ROUNDDOWN(VLOOKUP(Datos_Origen[[#This Row],[Categoria]],Competitividad_1[],7,0)*IndiceIncrementoC,-3)</f>
        <v>7656000</v>
      </c>
      <c r="DS83" s="158">
        <f>Datos_Origen[[#This Row],[CTeq]]*0.8</f>
        <v>3981337.6866118261</v>
      </c>
      <c r="DT83" s="158">
        <f>Datos_Origen[[#This Row],[CTeq]]*1.2</f>
        <v>5972006.5299177384</v>
      </c>
      <c r="DU83" s="155">
        <f>IF(Datos_Origen[[#This Row],[Gpol6]]/(1+FactorPrestacionalOrdinario)&lt;SMMLV,SMMLV,Datos_Origen[[#This Row],[Gpol6]]/(1+FactorPrestacionalOrdinario))</f>
        <v>4685779.0368271954</v>
      </c>
      <c r="DV83" s="139" t="str">
        <f>IF((Datos_Origen[[#This Row],[Gpol6]]/(1+FactorPrestacionalIntegral))&lt;(13*SMMLV),"",(Datos_Origen[[#This Row],[Gpol6]]/(1+FactorPrestacionalIntegral)))</f>
        <v/>
      </c>
      <c r="DW83" s="154">
        <f>Datos_Origen[[#This Row],[G+Vpol8]]</f>
        <v>5513600</v>
      </c>
      <c r="DX83" s="154">
        <f>Datos_Origen[[#This Row],[Ctpol10]]-Datos_Origen[[#This Row],[Beneficios]]</f>
        <v>5513600</v>
      </c>
      <c r="DY83" s="154">
        <f>Datos_Origen[[#This Row],[Ctpol]]*$CM$6</f>
        <v>5513600</v>
      </c>
      <c r="DZ83" s="155">
        <f>IF(Datos_Origen[[#This Row],[Gpol66]]/(1+FactorPrestacionalOrdinario)&lt;SMMLV,SMMLV,Datos_Origen[[#This Row],[Gpol66]]/(1+FactorPrestacionalOrdinario))</f>
        <v>7028668.5552407932</v>
      </c>
      <c r="EA83" s="139" t="str">
        <f>IF((Datos_Origen[[#This Row],[Gpol66]]/(1+FactorPrestacionalIntegral))&lt;(13*SMMLV),"",(Datos_Origen[[#This Row],[Gpol66]]/(1+FactorPrestacionalIntegral)))</f>
        <v/>
      </c>
      <c r="EB83" s="154">
        <f>Datos_Origen[[#This Row],[G+Vpol88]]</f>
        <v>8270400</v>
      </c>
      <c r="EC83" s="154">
        <f>Datos_Origen[[#This Row],[Ctpol1010]]-Datos_Origen[[#This Row],[Beneficios]]</f>
        <v>8270400</v>
      </c>
      <c r="ED83" s="154">
        <f>Datos_Origen[[#This Row],[Ctpol]]*$CP$6</f>
        <v>8270400</v>
      </c>
      <c r="EE83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84" spans="2:135">
      <c r="B84" s="132"/>
      <c r="C84" s="149"/>
      <c r="D84" s="150"/>
      <c r="E84" s="151"/>
      <c r="F84" s="151"/>
      <c r="G84" s="150" t="s">
        <v>313</v>
      </c>
      <c r="H84" s="153"/>
      <c r="I84" s="152" t="s">
        <v>313</v>
      </c>
      <c r="J84" s="130">
        <f>IFERROR(VLOOKUP(Datos_Origen[[#This Row],[Cargo Tipo Valorado]],Cargos_Catalogo[[#All],[Cargo]:[Área]],2,0),"")</f>
        <v>0</v>
      </c>
      <c r="K84" s="153"/>
      <c r="L84" s="153"/>
      <c r="M84" s="153"/>
      <c r="N84" s="153"/>
      <c r="O84" s="154">
        <f>Datos_Origen[[#This Row],[Segmentación Individual]]</f>
        <v>0</v>
      </c>
      <c r="P84" s="153"/>
      <c r="Q84" s="154">
        <f>VLOOKUP(Datos_Origen[[#This Row],[Cargo Tipo Valorado]],Cargos_Catalogo[#Data],MATCH(Cargos_Catalogo[[#Headers],[Puntos]],Cargos_Catalogo[#Headers],0),FALSE)</f>
        <v>362</v>
      </c>
      <c r="R84" s="130">
        <f>VLOOKUP(Datos_Origen[[#This Row],[Puntos valoración]],Categorias_Registro[#Data],MATCH(Categorias_Registro[[#Headers],[Categoria]],Categorias_Registro[#Headers],0),FALSE)</f>
        <v>11</v>
      </c>
      <c r="S84" s="130" t="str">
        <f>VLOOKUP(Datos_Origen[[#This Row],[Cargo Tipo Valorado]],Cargos_Catalogo[#Data],MATCH(Cargos_Catalogo[[#Headers],[Nivel SHR]],Cargos_Catalogo[#Headers],0),FALSE)</f>
        <v>Táctico</v>
      </c>
      <c r="T84" s="130" t="str">
        <f>VLOOKUP(Datos_Origen[[#This Row],[Cargo Tipo Valorado]],Cargos_Catalogo[#Data],MATCH(Cargos_Catalogo[[#Headers],[Criticidad]],Cargos_Catalogo[#Headers],0),FALSE)</f>
        <v>Importante</v>
      </c>
      <c r="U84" s="154">
        <f>VLOOKUP(Datos_Origen[[#This Row],[Puntos valoración]],Categorias_Registro[#Data],5,FALSE)</f>
        <v>379</v>
      </c>
      <c r="V84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4236012</v>
      </c>
      <c r="W84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84" s="154">
        <f>SUMIF($BA$5:$BJ$5,"NCS",Datos_Origen[[#This Row],[auxilio Gasolina]:[Otro Beneficio10]])+(SUMIF($BA$5:$BJ$5,"CS",Datos_Origen[[#This Row],[auxilio Gasolina]:[Otro Beneficio10]])*1.17667)</f>
        <v>0</v>
      </c>
      <c r="Y84" s="155">
        <f>Datos_Origen[[#This Row],[Básico]]+Datos_Origen[[#This Row],[Promedio de Comisiones  ]]</f>
        <v>3600000</v>
      </c>
      <c r="Z84" s="155">
        <f>Datos_Origen[[#This Row],[Básico]]+Datos_Origen[[#This Row],[Promedio de Comisiones  ]]</f>
        <v>3600000</v>
      </c>
      <c r="AA84" s="155">
        <f>Datos_Origen[[#This Row],[Garantizado]]</f>
        <v>4236012</v>
      </c>
      <c r="AB84" s="155">
        <f>Datos_Origen[[#This Row],[Variable]]+Datos_Origen[[#This Row],[Garantizado]]</f>
        <v>4236012</v>
      </c>
      <c r="AC84" s="155">
        <f>Datos_Origen[[#This Row],[Beneficios]]+Datos_Origen[[#This Row],[Variable]]+Datos_Origen[[#This Row],[Garantizado]]</f>
        <v>4236012</v>
      </c>
      <c r="AD84" s="156">
        <v>14.12</v>
      </c>
      <c r="AE84" s="141">
        <v>230</v>
      </c>
      <c r="AF84" s="345">
        <v>4.3499999999999997E-2</v>
      </c>
      <c r="AG84" s="155">
        <f>Datos_Origen[[#This Row],[Básico Actual]]*230/Datos_Origen[[#This Row],['# horas mes]]</f>
        <v>3600000</v>
      </c>
      <c r="AH84" s="157">
        <v>3600000</v>
      </c>
      <c r="AI84" s="158"/>
      <c r="AJ84" s="158">
        <f>(((Datos_Origen[[#This Row],[Básico]])/30)*$AJ$6)/12</f>
        <v>0</v>
      </c>
      <c r="AK84" s="158"/>
      <c r="AL84" s="143">
        <f>((Datos_Origen[[#This Row],[Básico]])/30)*$AL$6/12</f>
        <v>0</v>
      </c>
      <c r="AM84" s="158"/>
      <c r="AN84" s="158"/>
      <c r="AO84" s="158"/>
      <c r="AP84" s="158"/>
      <c r="AQ84" s="158"/>
      <c r="AR84" s="149">
        <v>0</v>
      </c>
      <c r="AS84" s="149"/>
      <c r="AT84" s="159" t="str">
        <f>IFERROR(Datos_Origen[[#This Row],[Comisiones Target]]/Datos_Origen[[#This Row],[Promedio de Comisiones  ]],"")</f>
        <v/>
      </c>
      <c r="AU84" s="160"/>
      <c r="AV84" s="143">
        <v>0</v>
      </c>
      <c r="AW84" s="160"/>
      <c r="AX84" s="143">
        <f>Datos_Origen[[#This Row],[N Salarios de la Bonificación2]]*Datos_Origen[[#This Row],[Básico]]/12</f>
        <v>0</v>
      </c>
      <c r="AY84" s="160"/>
      <c r="AZ84" s="158"/>
      <c r="BA84" s="149">
        <v>0</v>
      </c>
      <c r="BB84" s="149"/>
      <c r="BC84" s="149"/>
      <c r="BD84" s="149"/>
      <c r="BE84" s="149"/>
      <c r="BF84" s="149"/>
      <c r="BG84" s="149"/>
      <c r="BH84" s="149"/>
      <c r="BI84" s="149"/>
      <c r="BJ84" s="149"/>
      <c r="BK84" s="159">
        <f>IFERROR(Datos_Origen[[#This Row],[Variable]]/Datos_Origen[[#This Row],[CT]],"")</f>
        <v>0</v>
      </c>
      <c r="BL84" s="159">
        <f>IFERROR(Datos_Origen[[#This Row],[Beneficios]]/Datos_Origen[[#This Row],[CT]],"")</f>
        <v>0</v>
      </c>
      <c r="BM84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4674516.2048216574</v>
      </c>
      <c r="BN84" s="161">
        <f>Datos_Origen[[#This Row],[G]]/Datos_Origen[[#This Row],[Geq]]</f>
        <v>0.90619260141416336</v>
      </c>
      <c r="BO84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4976340.5769949695</v>
      </c>
      <c r="BP84" s="161">
        <f>Datos_Origen[[#This Row],[G+V]]/Datos_Origen[[#This Row],[G+Veq]]</f>
        <v>0.85123032366043827</v>
      </c>
      <c r="BQ84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4976672.1082647825</v>
      </c>
      <c r="BR84" s="161">
        <f>Datos_Origen[[#This Row],[CT]]/Datos_Origen[[#This Row],[CTeq]]</f>
        <v>0.85117361719797358</v>
      </c>
      <c r="BS84" s="139">
        <f>ROUNDUP(VLOOKUP(Datos_Origen[[#This Row],[Categoria]],Competitividad_1[#All],2,0)*IndiceIncrementoC,-3)</f>
        <v>4750000</v>
      </c>
      <c r="BT84" s="161">
        <f>Datos_Origen[[#This Row],[G]]/Datos_Origen[[#This Row],[GQ1]]</f>
        <v>0.89179200000000003</v>
      </c>
      <c r="BU84" s="155">
        <f>ROUNDUP(VLOOKUP(Datos_Origen[[#This Row],[Categoria]],Competitividad_1[#All],3,0)*IndiceIncrementoC,-3)</f>
        <v>4888000</v>
      </c>
      <c r="BV84" s="161">
        <f>Datos_Origen[[#This Row],[G+V]]/Datos_Origen[[#This Row],[G+VQ1]]</f>
        <v>0.86661456628477906</v>
      </c>
      <c r="BW84" s="155">
        <f>ROUNDUP(VLOOKUP(Datos_Origen[[#This Row],[Categoria]],Competitividad_1[#All],4,0)*IndiceIncrementoC,-3)</f>
        <v>5109000</v>
      </c>
      <c r="BX84" s="161">
        <f>Datos_Origen[[#This Row],[CT]]/Datos_Origen[[#This Row],[CTQ1]]</f>
        <v>0.82912742219612445</v>
      </c>
      <c r="BY84" s="155">
        <f>ROUNDUP(VLOOKUP(Datos_Origen[[#This Row],[Categoria]],Competitividad_1[#All],5,0)*IndiceIncrementoC,-3)</f>
        <v>7139000</v>
      </c>
      <c r="BZ84" s="161">
        <f>Datos_Origen[[#This Row],[G]]/Datos_Origen[[#This Row],[GMd]]</f>
        <v>0.59336209553158703</v>
      </c>
      <c r="CA84" s="155">
        <f>ROUNDUP(VLOOKUP(Datos_Origen[[#This Row],[Categoria]],Competitividad_1[#All],6,0)*IndiceIncrementoC,-3)</f>
        <v>7348000</v>
      </c>
      <c r="CB84" s="161">
        <f>Datos_Origen[[#This Row],[G+V]]/Datos_Origen[[#This Row],[G+VMd]]</f>
        <v>0.57648502994011974</v>
      </c>
      <c r="CC84" s="155">
        <f>ROUNDUP(VLOOKUP(Datos_Origen[[#This Row],[Categoria]],Competitividad_1[#All],7,0)*IndiceIncrementoC,-3)</f>
        <v>7657000</v>
      </c>
      <c r="CD84" s="161">
        <f>Datos_Origen[[#This Row],[CT]]/Datos_Origen[[#This Row],[CTMd]]</f>
        <v>0.55322084367245661</v>
      </c>
      <c r="CE84" s="155">
        <f>+Datos_Origen[[#This Row],[GMd]]/1.17666666667</f>
        <v>6067138.810181112</v>
      </c>
      <c r="CF84" s="161">
        <f>+Datos_Origen[[#This Row],[Básico Actual]]/Datos_Origen[[#This Row],[Salario Basico Md]]</f>
        <v>0.59336041462557787</v>
      </c>
      <c r="CG84" s="155">
        <f>ROUNDUP(VLOOKUP(Datos_Origen[[#This Row],[Categoria]],Competitividad_1[#All],8,0)*IndiceIncrementoC,-3)</f>
        <v>7858000</v>
      </c>
      <c r="CH84" s="161">
        <f>Datos_Origen[[#This Row],[G]]/Datos_Origen[[#This Row],[GQ3]]</f>
        <v>0.53906999236446929</v>
      </c>
      <c r="CI84" s="155">
        <f>ROUNDUP(VLOOKUP(Datos_Origen[[#This Row],[Categoria]],Competitividad_1[#All],9,0)*IndiceIncrementoC,-3)</f>
        <v>8067000</v>
      </c>
      <c r="CJ84" s="161">
        <f>Datos_Origen[[#This Row],[G+V]]/Datos_Origen[[#This Row],[G+VQ3]]</f>
        <v>0.52510375604313875</v>
      </c>
      <c r="CK84" s="155">
        <f>ROUNDUP(VLOOKUP(Datos_Origen[[#This Row],[Categoria]],Competitividad_1[#All],10,0)*IndiceIncrementoC,-3)</f>
        <v>8258000</v>
      </c>
      <c r="CL84" s="161">
        <f>Datos_Origen[[#This Row],[CT]]/Datos_Origen[[#This Row],[CTQ3]]</f>
        <v>0.51295858561395014</v>
      </c>
      <c r="CM84" s="162">
        <f>IF(ROUND(Datos_Origen[[#This Row],[Salario Ordinario Pol2]],-3)&lt;SMMLV,SMMLV,ROUND(Datos_Origen[[#This Row],[Salario Ordinario Pol2]],-3))</f>
        <v>5206000</v>
      </c>
      <c r="CN84" s="155">
        <f>IF(Datos_Origen[[#This Row],[Gpol]]/(1+FactorPrestacionalOrdinario)&lt;SMMLV,SMMLV,Datos_Origen[[#This Row],[Gpol]]/(1+FactorPrestacionalOrdinario))</f>
        <v>6507365.4390934836</v>
      </c>
      <c r="CO84" s="161">
        <f>IFERROR(IF(Datos_Origen[[#This Row],[Salarios Año]]=14.12,Datos_Origen[[#This Row],[Básico]]/Datos_Origen[[#This Row],[Salario Ordinario Pol]],""),"")</f>
        <v>0.5532192764790389</v>
      </c>
      <c r="CP84" s="155">
        <f>IF(ROUND(Datos_Origen[[#This Row],[Salario Ordinario Pol22]],-3)&lt;SMMLV,SMMLV,ROUND(Datos_Origen[[#This Row],[Salario Ordinario Pol22]],-3))</f>
        <v>7809000</v>
      </c>
      <c r="CQ84" s="155" t="str">
        <f>IFERROR(ROUND(Datos_Origen[[#This Row],[Salario Integral Pol4]],-3),"")</f>
        <v/>
      </c>
      <c r="CR84" s="139" t="str">
        <f>IF((Datos_Origen[[#This Row],[Gpol]]/(1+FactorPrestacionalIntegral))&lt;(13*SMMLV),"",(Datos_Origen[[#This Row],[Gpol]]/(1+FactorPrestacionalIntegral)))</f>
        <v/>
      </c>
      <c r="CS84" s="161" t="str">
        <f>IFERROR(IF(Datos_Origen[[#This Row],[Salarios Año]]=12,Datos_Origen[[#This Row],[Básico]]/Datos_Origen[[#This Row],[Salario Integral Pol]],""),"")</f>
        <v/>
      </c>
      <c r="CT84" s="155" t="str">
        <f>IFERROR(ROUND(Datos_Origen[[#This Row],[Salario Integral Pol44]],-3),"")</f>
        <v/>
      </c>
      <c r="CU84" s="155">
        <f>Datos_Origen[[#This Row],[G+Vpol]]-Datos_Origen[[#This Row],[Variable]]</f>
        <v>7657000</v>
      </c>
      <c r="CV84" s="161">
        <f>Datos_Origen[[#This Row],[G]]/Datos_Origen[[#This Row],[Gpol]]</f>
        <v>0.55322084367245661</v>
      </c>
      <c r="CW84" s="154">
        <f>Datos_Origen[[#This Row],[Ctpol]]-Datos_Origen[[#This Row],[Beneficios]]</f>
        <v>7657000</v>
      </c>
      <c r="CX84" s="161">
        <f>Datos_Origen[[#This Row],[G+V]]/Datos_Origen[[#This Row],[G+Vpol]]</f>
        <v>0.55322084367245661</v>
      </c>
      <c r="CY84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7657000</v>
      </c>
      <c r="CZ84" s="161">
        <f>Datos_Origen[[#This Row],[CT]]/Datos_Origen[[#This Row],[Ctpol]]</f>
        <v>0.55322084367245661</v>
      </c>
      <c r="DA84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3600000</v>
      </c>
      <c r="DB84" s="158">
        <f>IF(Datos_Origen[[#This Row],[Básico]]&lt;10*SMMLV,0,Datos_Origen[[#This Row],[Base Seguridad Social Actual]]*8.5%)</f>
        <v>0</v>
      </c>
      <c r="DC84" s="158">
        <f>Datos_Origen[[#This Row],[Base Seguridad Social Actual]]*12%</f>
        <v>432000</v>
      </c>
      <c r="DD84" s="158">
        <f>Datos_Origen[[#This Row],[Base Seguridad Social Actual]]*Datos_Origen[[#This Row],[%ARL]]</f>
        <v>156600</v>
      </c>
      <c r="DE84" s="158">
        <f>IF(Datos_Origen[[#This Row],[Básico]]&lt;10*SMMLV,Datos_Origen[[#This Row],[Base Seguridad Social Actual]]*4%,Datos_Origen[[#This Row],[Base Seguridad Social Actual]]*9%)</f>
        <v>144000</v>
      </c>
      <c r="DF84" s="158">
        <f>Datos_Origen[[#This Row],[Salud]]+Datos_Origen[[#This Row],[Pensión]]+Datos_Origen[[#This Row],[ARL]]+Datos_Origen[[#This Row],[Parafiscales]]</f>
        <v>732600</v>
      </c>
      <c r="DG84" s="163">
        <f>Datos_Origen[[#This Row],[Costo Laboral Actual]]+Datos_Origen[[#This Row],[CT]]</f>
        <v>4968612</v>
      </c>
      <c r="DH84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6507365.4390934836</v>
      </c>
      <c r="DI84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84" s="158">
        <f>Datos_Origen[[#This Row],[Base Seguridad Social Nueva]]*12%</f>
        <v>780883.85269121802</v>
      </c>
      <c r="DK84" s="158">
        <f>Datos_Origen[[#This Row],[Base Seguridad Social Nueva]]*Datos_Origen[[#This Row],[%ARL]]</f>
        <v>283070.39660056651</v>
      </c>
      <c r="DL84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260294.61756373936</v>
      </c>
      <c r="DM84" s="158">
        <f>Datos_Origen[[#This Row],[Salud Nueva]]+Datos_Origen[[#This Row],[Pensión Nueva]]+Datos_Origen[[#This Row],[ARL nueva]]+Datos_Origen[[#This Row],[Parafiscales Nuevos]]</f>
        <v>1324248.866855524</v>
      </c>
      <c r="DN84" s="158">
        <f>Datos_Origen[[#This Row],[Costo Laboral Nuevo]]+Datos_Origen[[#This Row],[Ctpol]]</f>
        <v>8981248.8668555245</v>
      </c>
      <c r="DO84" s="158">
        <f>IF(Datos_Origen[[#This Row],[Ctpol]]-Datos_Origen[[#This Row],[CT]]&lt;=0,0,Datos_Origen[[#This Row],[Costo Total Nuevo]]-Datos_Origen[[#This Row],[Costo Total Actual]])</f>
        <v>4012636.8668555245</v>
      </c>
      <c r="DP84" s="158">
        <f>IF(Datos_Origen[[#This Row],[Ctpol]]-Datos_Origen[[#This Row],[CT]]&lt;=0,0,Datos_Origen[[#This Row],[Ctpol]]-Datos_Origen[[#This Row],[CT]])</f>
        <v>3420988</v>
      </c>
      <c r="DQ84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591648.86685552401</v>
      </c>
      <c r="DR84" s="158">
        <f>ROUNDDOWN(VLOOKUP(Datos_Origen[[#This Row],[Categoria]],Competitividad_1[],7,0)*IndiceIncrementoC,-3)</f>
        <v>7656000</v>
      </c>
      <c r="DS84" s="158">
        <f>Datos_Origen[[#This Row],[CTeq]]*0.8</f>
        <v>3981337.6866118261</v>
      </c>
      <c r="DT84" s="158">
        <f>Datos_Origen[[#This Row],[CTeq]]*1.2</f>
        <v>5972006.5299177384</v>
      </c>
      <c r="DU84" s="155">
        <f>IF(Datos_Origen[[#This Row],[Gpol6]]/(1+FactorPrestacionalOrdinario)&lt;SMMLV,SMMLV,Datos_Origen[[#This Row],[Gpol6]]/(1+FactorPrestacionalOrdinario))</f>
        <v>5205892.3512747874</v>
      </c>
      <c r="DV84" s="139" t="str">
        <f>IF((Datos_Origen[[#This Row],[Gpol6]]/(1+FactorPrestacionalIntegral))&lt;(13*SMMLV),"",(Datos_Origen[[#This Row],[Gpol6]]/(1+FactorPrestacionalIntegral)))</f>
        <v/>
      </c>
      <c r="DW84" s="154">
        <f>Datos_Origen[[#This Row],[G+Vpol8]]</f>
        <v>6125600</v>
      </c>
      <c r="DX84" s="154">
        <f>Datos_Origen[[#This Row],[Ctpol10]]-Datos_Origen[[#This Row],[Beneficios]]</f>
        <v>6125600</v>
      </c>
      <c r="DY84" s="154">
        <f>Datos_Origen[[#This Row],[Ctpol]]*$CM$6</f>
        <v>6125600</v>
      </c>
      <c r="DZ84" s="155">
        <f>IF(Datos_Origen[[#This Row],[Gpol66]]/(1+FactorPrestacionalOrdinario)&lt;SMMLV,SMMLV,Datos_Origen[[#This Row],[Gpol66]]/(1+FactorPrestacionalOrdinario))</f>
        <v>7808838.5269121807</v>
      </c>
      <c r="EA84" s="139" t="str">
        <f>IF((Datos_Origen[[#This Row],[Gpol66]]/(1+FactorPrestacionalIntegral))&lt;(13*SMMLV),"",(Datos_Origen[[#This Row],[Gpol66]]/(1+FactorPrestacionalIntegral)))</f>
        <v/>
      </c>
      <c r="EB84" s="154">
        <f>Datos_Origen[[#This Row],[G+Vpol88]]</f>
        <v>9188400</v>
      </c>
      <c r="EC84" s="154">
        <f>Datos_Origen[[#This Row],[Ctpol1010]]-Datos_Origen[[#This Row],[Beneficios]]</f>
        <v>9188400</v>
      </c>
      <c r="ED84" s="154">
        <f>Datos_Origen[[#This Row],[Ctpol]]*$CP$6</f>
        <v>9188400</v>
      </c>
      <c r="EE84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85" spans="2:135">
      <c r="B85" s="148"/>
      <c r="C85" s="149"/>
      <c r="D85" s="150"/>
      <c r="E85" s="151"/>
      <c r="F85" s="151"/>
      <c r="G85" s="150" t="s">
        <v>314</v>
      </c>
      <c r="H85" s="153"/>
      <c r="I85" s="152" t="s">
        <v>314</v>
      </c>
      <c r="J85" s="130" t="str">
        <f>IFERROR(VLOOKUP(Datos_Origen[[#This Row],[Cargo Tipo Valorado]],Cargos_Catalogo[[#All],[Cargo]:[Área]],2,0),"")</f>
        <v>Director de calidad</v>
      </c>
      <c r="K85" s="153"/>
      <c r="L85" s="153"/>
      <c r="M85" s="153"/>
      <c r="N85" s="153"/>
      <c r="O85" s="154">
        <f>Datos_Origen[[#This Row],[Segmentación Individual]]</f>
        <v>0</v>
      </c>
      <c r="P85" s="153"/>
      <c r="Q85" s="154">
        <f>VLOOKUP(Datos_Origen[[#This Row],[Cargo Tipo Valorado]],Cargos_Catalogo[#Data],MATCH(Cargos_Catalogo[[#Headers],[Puntos]],Cargos_Catalogo[#Headers],0),FALSE)</f>
        <v>370</v>
      </c>
      <c r="R85" s="130">
        <f>VLOOKUP(Datos_Origen[[#This Row],[Puntos valoración]],Categorias_Registro[#Data],MATCH(Categorias_Registro[[#Headers],[Categoria]],Categorias_Registro[#Headers],0),FALSE)</f>
        <v>11</v>
      </c>
      <c r="S85" s="130" t="str">
        <f>VLOOKUP(Datos_Origen[[#This Row],[Cargo Tipo Valorado]],Cargos_Catalogo[#Data],MATCH(Cargos_Catalogo[[#Headers],[Nivel SHR]],Cargos_Catalogo[#Headers],0),FALSE)</f>
        <v>Táctico</v>
      </c>
      <c r="T85" s="130" t="str">
        <f>VLOOKUP(Datos_Origen[[#This Row],[Cargo Tipo Valorado]],Cargos_Catalogo[#Data],MATCH(Cargos_Catalogo[[#Headers],[Criticidad]],Cargos_Catalogo[#Headers],0),FALSE)</f>
        <v>Importante</v>
      </c>
      <c r="U85" s="154">
        <f>VLOOKUP(Datos_Origen[[#This Row],[Puntos valoración]],Categorias_Registro[#Data],5,FALSE)</f>
        <v>379</v>
      </c>
      <c r="V85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5072624.37</v>
      </c>
      <c r="W85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85" s="154">
        <f>SUMIF($BA$5:$BJ$5,"NCS",Datos_Origen[[#This Row],[auxilio Gasolina]:[Otro Beneficio10]])+(SUMIF($BA$5:$BJ$5,"CS",Datos_Origen[[#This Row],[auxilio Gasolina]:[Otro Beneficio10]])*1.17667)</f>
        <v>0</v>
      </c>
      <c r="Y85" s="155">
        <f>Datos_Origen[[#This Row],[Básico]]+Datos_Origen[[#This Row],[Promedio de Comisiones  ]]</f>
        <v>4311000</v>
      </c>
      <c r="Z85" s="155">
        <f>Datos_Origen[[#This Row],[Básico]]+Datos_Origen[[#This Row],[Promedio de Comisiones  ]]</f>
        <v>4311000</v>
      </c>
      <c r="AA85" s="155">
        <f>Datos_Origen[[#This Row],[Garantizado]]</f>
        <v>5072624.37</v>
      </c>
      <c r="AB85" s="155">
        <f>Datos_Origen[[#This Row],[Variable]]+Datos_Origen[[#This Row],[Garantizado]]</f>
        <v>5072624.37</v>
      </c>
      <c r="AC85" s="155">
        <f>Datos_Origen[[#This Row],[Beneficios]]+Datos_Origen[[#This Row],[Variable]]+Datos_Origen[[#This Row],[Garantizado]]</f>
        <v>5072624.37</v>
      </c>
      <c r="AD85" s="156">
        <v>14.12</v>
      </c>
      <c r="AE85" s="141">
        <v>230</v>
      </c>
      <c r="AF85" s="345">
        <v>4.3499999999999997E-2</v>
      </c>
      <c r="AG85" s="155">
        <f>Datos_Origen[[#This Row],[Básico Actual]]*230/Datos_Origen[[#This Row],['# horas mes]]</f>
        <v>4311000</v>
      </c>
      <c r="AH85" s="157">
        <v>4311000</v>
      </c>
      <c r="AI85" s="158"/>
      <c r="AJ85" s="158">
        <f>(((Datos_Origen[[#This Row],[Básico]])/30)*$AJ$6)/12</f>
        <v>0</v>
      </c>
      <c r="AK85" s="158"/>
      <c r="AL85" s="143">
        <f>((Datos_Origen[[#This Row],[Básico]])/30)*$AL$6/12</f>
        <v>0</v>
      </c>
      <c r="AM85" s="158"/>
      <c r="AN85" s="158"/>
      <c r="AO85" s="158"/>
      <c r="AP85" s="158"/>
      <c r="AQ85" s="158"/>
      <c r="AR85" s="149">
        <v>0</v>
      </c>
      <c r="AS85" s="149"/>
      <c r="AT85" s="159" t="str">
        <f>IFERROR(Datos_Origen[[#This Row],[Comisiones Target]]/Datos_Origen[[#This Row],[Promedio de Comisiones  ]],"")</f>
        <v/>
      </c>
      <c r="AU85" s="160"/>
      <c r="AV85" s="143">
        <v>0</v>
      </c>
      <c r="AW85" s="160"/>
      <c r="AX85" s="143">
        <f>Datos_Origen[[#This Row],[N Salarios de la Bonificación2]]*Datos_Origen[[#This Row],[Básico]]/12</f>
        <v>0</v>
      </c>
      <c r="AY85" s="160"/>
      <c r="AZ85" s="158"/>
      <c r="BA85" s="149">
        <v>0</v>
      </c>
      <c r="BB85" s="149"/>
      <c r="BC85" s="149"/>
      <c r="BD85" s="149"/>
      <c r="BE85" s="149"/>
      <c r="BF85" s="149"/>
      <c r="BG85" s="149"/>
      <c r="BH85" s="149"/>
      <c r="BI85" s="149"/>
      <c r="BJ85" s="149"/>
      <c r="BK85" s="159">
        <f>IFERROR(Datos_Origen[[#This Row],[Variable]]/Datos_Origen[[#This Row],[CT]],"")</f>
        <v>0</v>
      </c>
      <c r="BL85" s="159">
        <f>IFERROR(Datos_Origen[[#This Row],[Beneficios]]/Datos_Origen[[#This Row],[CT]],"")</f>
        <v>0</v>
      </c>
      <c r="BM85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4674516.2048216574</v>
      </c>
      <c r="BN85" s="161">
        <f>Datos_Origen[[#This Row],[G]]/Datos_Origen[[#This Row],[Geq]]</f>
        <v>1.0851656401934606</v>
      </c>
      <c r="BO85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4976340.5769949695</v>
      </c>
      <c r="BP85" s="161">
        <f>Datos_Origen[[#This Row],[G+V]]/Datos_Origen[[#This Row],[G+Veq]]</f>
        <v>1.0193483125833749</v>
      </c>
      <c r="BQ85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4976672.1082647825</v>
      </c>
      <c r="BR85" s="161">
        <f>Datos_Origen[[#This Row],[CT]]/Datos_Origen[[#This Row],[CTeq]]</f>
        <v>1.0192804065945733</v>
      </c>
      <c r="BS85" s="139">
        <f>ROUNDUP(VLOOKUP(Datos_Origen[[#This Row],[Categoria]],Competitividad_1[#All],2,0)*IndiceIncrementoC,-3)</f>
        <v>4750000</v>
      </c>
      <c r="BT85" s="161">
        <f>Datos_Origen[[#This Row],[G]]/Datos_Origen[[#This Row],[GQ1]]</f>
        <v>1.0679209199999999</v>
      </c>
      <c r="BU85" s="155">
        <f>ROUNDUP(VLOOKUP(Datos_Origen[[#This Row],[Categoria]],Competitividad_1[#All],3,0)*IndiceIncrementoC,-3)</f>
        <v>4888000</v>
      </c>
      <c r="BV85" s="161">
        <f>Datos_Origen[[#This Row],[G+V]]/Datos_Origen[[#This Row],[G+VQ1]]</f>
        <v>1.0377709431260229</v>
      </c>
      <c r="BW85" s="155">
        <f>ROUNDUP(VLOOKUP(Datos_Origen[[#This Row],[Categoria]],Competitividad_1[#All],4,0)*IndiceIncrementoC,-3)</f>
        <v>5109000</v>
      </c>
      <c r="BX85" s="161">
        <f>Datos_Origen[[#This Row],[CT]]/Datos_Origen[[#This Row],[CTQ1]]</f>
        <v>0.99288008807985906</v>
      </c>
      <c r="BY85" s="155">
        <f>ROUNDUP(VLOOKUP(Datos_Origen[[#This Row],[Categoria]],Competitividad_1[#All],5,0)*IndiceIncrementoC,-3)</f>
        <v>7139000</v>
      </c>
      <c r="BZ85" s="161">
        <f>Datos_Origen[[#This Row],[G]]/Datos_Origen[[#This Row],[GMd]]</f>
        <v>0.71055110939907551</v>
      </c>
      <c r="CA85" s="155">
        <f>ROUNDUP(VLOOKUP(Datos_Origen[[#This Row],[Categoria]],Competitividad_1[#All],6,0)*IndiceIncrementoC,-3)</f>
        <v>7348000</v>
      </c>
      <c r="CB85" s="161">
        <f>Datos_Origen[[#This Row],[G+V]]/Datos_Origen[[#This Row],[G+VMd]]</f>
        <v>0.69034082335329339</v>
      </c>
      <c r="CC85" s="155">
        <f>ROUNDUP(VLOOKUP(Datos_Origen[[#This Row],[Categoria]],Competitividad_1[#All],7,0)*IndiceIncrementoC,-3)</f>
        <v>7657000</v>
      </c>
      <c r="CD85" s="161">
        <f>Datos_Origen[[#This Row],[CT]]/Datos_Origen[[#This Row],[CTMd]]</f>
        <v>0.66248196029776674</v>
      </c>
      <c r="CE85" s="155">
        <f>+Datos_Origen[[#This Row],[GMd]]/1.17666666667</f>
        <v>6067138.810181112</v>
      </c>
      <c r="CF85" s="161">
        <f>+Datos_Origen[[#This Row],[Básico Actual]]/Datos_Origen[[#This Row],[Salario Basico Md]]</f>
        <v>0.71054909651412956</v>
      </c>
      <c r="CG85" s="155">
        <f>ROUNDUP(VLOOKUP(Datos_Origen[[#This Row],[Categoria]],Competitividad_1[#All],8,0)*IndiceIncrementoC,-3)</f>
        <v>7858000</v>
      </c>
      <c r="CH85" s="161">
        <f>Datos_Origen[[#This Row],[G]]/Datos_Origen[[#This Row],[GQ3]]</f>
        <v>0.64553631585645199</v>
      </c>
      <c r="CI85" s="155">
        <f>ROUNDUP(VLOOKUP(Datos_Origen[[#This Row],[Categoria]],Competitividad_1[#All],9,0)*IndiceIncrementoC,-3)</f>
        <v>8067000</v>
      </c>
      <c r="CJ85" s="161">
        <f>Datos_Origen[[#This Row],[G+V]]/Datos_Origen[[#This Row],[G+VQ3]]</f>
        <v>0.62881174786165861</v>
      </c>
      <c r="CK85" s="155">
        <f>ROUNDUP(VLOOKUP(Datos_Origen[[#This Row],[Categoria]],Competitividad_1[#All],10,0)*IndiceIncrementoC,-3)</f>
        <v>8258000</v>
      </c>
      <c r="CL85" s="161">
        <f>Datos_Origen[[#This Row],[CT]]/Datos_Origen[[#This Row],[CTQ3]]</f>
        <v>0.61426790627270522</v>
      </c>
      <c r="CM85" s="162">
        <f>IF(ROUND(Datos_Origen[[#This Row],[Salario Ordinario Pol2]],-3)&lt;SMMLV,SMMLV,ROUND(Datos_Origen[[#This Row],[Salario Ordinario Pol2]],-3))</f>
        <v>5206000</v>
      </c>
      <c r="CN85" s="155">
        <f>IF(Datos_Origen[[#This Row],[Gpol]]/(1+FactorPrestacionalOrdinario)&lt;SMMLV,SMMLV,Datos_Origen[[#This Row],[Gpol]]/(1+FactorPrestacionalOrdinario))</f>
        <v>6507365.4390934836</v>
      </c>
      <c r="CO85" s="161">
        <f>IFERROR(IF(Datos_Origen[[#This Row],[Salarios Año]]=14.12,Datos_Origen[[#This Row],[Básico]]/Datos_Origen[[#This Row],[Salario Ordinario Pol]],""),"")</f>
        <v>0.66248008358364907</v>
      </c>
      <c r="CP85" s="155">
        <f>IF(ROUND(Datos_Origen[[#This Row],[Salario Ordinario Pol22]],-3)&lt;SMMLV,SMMLV,ROUND(Datos_Origen[[#This Row],[Salario Ordinario Pol22]],-3))</f>
        <v>7809000</v>
      </c>
      <c r="CQ85" s="155" t="str">
        <f>IFERROR(ROUND(Datos_Origen[[#This Row],[Salario Integral Pol4]],-3),"")</f>
        <v/>
      </c>
      <c r="CR85" s="139" t="str">
        <f>IF((Datos_Origen[[#This Row],[Gpol]]/(1+FactorPrestacionalIntegral))&lt;(13*SMMLV),"",(Datos_Origen[[#This Row],[Gpol]]/(1+FactorPrestacionalIntegral)))</f>
        <v/>
      </c>
      <c r="CS85" s="161" t="str">
        <f>IFERROR(IF(Datos_Origen[[#This Row],[Salarios Año]]=12,Datos_Origen[[#This Row],[Básico]]/Datos_Origen[[#This Row],[Salario Integral Pol]],""),"")</f>
        <v/>
      </c>
      <c r="CT85" s="155" t="str">
        <f>IFERROR(ROUND(Datos_Origen[[#This Row],[Salario Integral Pol44]],-3),"")</f>
        <v/>
      </c>
      <c r="CU85" s="155">
        <f>Datos_Origen[[#This Row],[G+Vpol]]-Datos_Origen[[#This Row],[Variable]]</f>
        <v>7657000</v>
      </c>
      <c r="CV85" s="161">
        <f>Datos_Origen[[#This Row],[G]]/Datos_Origen[[#This Row],[Gpol]]</f>
        <v>0.66248196029776674</v>
      </c>
      <c r="CW85" s="154">
        <f>Datos_Origen[[#This Row],[Ctpol]]-Datos_Origen[[#This Row],[Beneficios]]</f>
        <v>7657000</v>
      </c>
      <c r="CX85" s="161">
        <f>Datos_Origen[[#This Row],[G+V]]/Datos_Origen[[#This Row],[G+Vpol]]</f>
        <v>0.66248196029776674</v>
      </c>
      <c r="CY85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7657000</v>
      </c>
      <c r="CZ85" s="161">
        <f>Datos_Origen[[#This Row],[CT]]/Datos_Origen[[#This Row],[Ctpol]]</f>
        <v>0.66248196029776674</v>
      </c>
      <c r="DA85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4311000</v>
      </c>
      <c r="DB85" s="158">
        <f>IF(Datos_Origen[[#This Row],[Básico]]&lt;10*SMMLV,0,Datos_Origen[[#This Row],[Base Seguridad Social Actual]]*8.5%)</f>
        <v>0</v>
      </c>
      <c r="DC85" s="158">
        <f>Datos_Origen[[#This Row],[Base Seguridad Social Actual]]*12%</f>
        <v>517320</v>
      </c>
      <c r="DD85" s="158">
        <f>Datos_Origen[[#This Row],[Base Seguridad Social Actual]]*Datos_Origen[[#This Row],[%ARL]]</f>
        <v>187528.5</v>
      </c>
      <c r="DE85" s="158">
        <f>IF(Datos_Origen[[#This Row],[Básico]]&lt;10*SMMLV,Datos_Origen[[#This Row],[Base Seguridad Social Actual]]*4%,Datos_Origen[[#This Row],[Base Seguridad Social Actual]]*9%)</f>
        <v>172440</v>
      </c>
      <c r="DF85" s="158">
        <f>Datos_Origen[[#This Row],[Salud]]+Datos_Origen[[#This Row],[Pensión]]+Datos_Origen[[#This Row],[ARL]]+Datos_Origen[[#This Row],[Parafiscales]]</f>
        <v>877288.5</v>
      </c>
      <c r="DG85" s="163">
        <f>Datos_Origen[[#This Row],[Costo Laboral Actual]]+Datos_Origen[[#This Row],[CT]]</f>
        <v>5949912.8700000001</v>
      </c>
      <c r="DH85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6507365.4390934836</v>
      </c>
      <c r="DI85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85" s="158">
        <f>Datos_Origen[[#This Row],[Base Seguridad Social Nueva]]*12%</f>
        <v>780883.85269121802</v>
      </c>
      <c r="DK85" s="158">
        <f>Datos_Origen[[#This Row],[Base Seguridad Social Nueva]]*Datos_Origen[[#This Row],[%ARL]]</f>
        <v>283070.39660056651</v>
      </c>
      <c r="DL85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260294.61756373936</v>
      </c>
      <c r="DM85" s="158">
        <f>Datos_Origen[[#This Row],[Salud Nueva]]+Datos_Origen[[#This Row],[Pensión Nueva]]+Datos_Origen[[#This Row],[ARL nueva]]+Datos_Origen[[#This Row],[Parafiscales Nuevos]]</f>
        <v>1324248.866855524</v>
      </c>
      <c r="DN85" s="158">
        <f>Datos_Origen[[#This Row],[Costo Laboral Nuevo]]+Datos_Origen[[#This Row],[Ctpol]]</f>
        <v>8981248.8668555245</v>
      </c>
      <c r="DO85" s="158">
        <f>IF(Datos_Origen[[#This Row],[Ctpol]]-Datos_Origen[[#This Row],[CT]]&lt;=0,0,Datos_Origen[[#This Row],[Costo Total Nuevo]]-Datos_Origen[[#This Row],[Costo Total Actual]])</f>
        <v>3031335.9968555244</v>
      </c>
      <c r="DP85" s="158">
        <f>IF(Datos_Origen[[#This Row],[Ctpol]]-Datos_Origen[[#This Row],[CT]]&lt;=0,0,Datos_Origen[[#This Row],[Ctpol]]-Datos_Origen[[#This Row],[CT]])</f>
        <v>2584375.63</v>
      </c>
      <c r="DQ85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446960.36685552401</v>
      </c>
      <c r="DR85" s="158">
        <f>ROUNDDOWN(VLOOKUP(Datos_Origen[[#This Row],[Categoria]],Competitividad_1[],7,0)*IndiceIncrementoC,-3)</f>
        <v>7656000</v>
      </c>
      <c r="DS85" s="158">
        <f>Datos_Origen[[#This Row],[CTeq]]*0.8</f>
        <v>3981337.6866118261</v>
      </c>
      <c r="DT85" s="158">
        <f>Datos_Origen[[#This Row],[CTeq]]*1.2</f>
        <v>5972006.5299177384</v>
      </c>
      <c r="DU85" s="155">
        <f>IF(Datos_Origen[[#This Row],[Gpol6]]/(1+FactorPrestacionalOrdinario)&lt;SMMLV,SMMLV,Datos_Origen[[#This Row],[Gpol6]]/(1+FactorPrestacionalOrdinario))</f>
        <v>5205892.3512747874</v>
      </c>
      <c r="DV85" s="139" t="str">
        <f>IF((Datos_Origen[[#This Row],[Gpol6]]/(1+FactorPrestacionalIntegral))&lt;(13*SMMLV),"",(Datos_Origen[[#This Row],[Gpol6]]/(1+FactorPrestacionalIntegral)))</f>
        <v/>
      </c>
      <c r="DW85" s="154">
        <f>Datos_Origen[[#This Row],[G+Vpol8]]</f>
        <v>6125600</v>
      </c>
      <c r="DX85" s="154">
        <f>Datos_Origen[[#This Row],[Ctpol10]]-Datos_Origen[[#This Row],[Beneficios]]</f>
        <v>6125600</v>
      </c>
      <c r="DY85" s="154">
        <f>Datos_Origen[[#This Row],[Ctpol]]*$CM$6</f>
        <v>6125600</v>
      </c>
      <c r="DZ85" s="155">
        <f>IF(Datos_Origen[[#This Row],[Gpol66]]/(1+FactorPrestacionalOrdinario)&lt;SMMLV,SMMLV,Datos_Origen[[#This Row],[Gpol66]]/(1+FactorPrestacionalOrdinario))</f>
        <v>7808838.5269121807</v>
      </c>
      <c r="EA85" s="139" t="str">
        <f>IF((Datos_Origen[[#This Row],[Gpol66]]/(1+FactorPrestacionalIntegral))&lt;(13*SMMLV),"",(Datos_Origen[[#This Row],[Gpol66]]/(1+FactorPrestacionalIntegral)))</f>
        <v/>
      </c>
      <c r="EB85" s="154">
        <f>Datos_Origen[[#This Row],[G+Vpol88]]</f>
        <v>9188400</v>
      </c>
      <c r="EC85" s="154">
        <f>Datos_Origen[[#This Row],[Ctpol1010]]-Datos_Origen[[#This Row],[Beneficios]]</f>
        <v>9188400</v>
      </c>
      <c r="ED85" s="154">
        <f>Datos_Origen[[#This Row],[Ctpol]]*$CP$6</f>
        <v>9188400</v>
      </c>
      <c r="EE85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86" spans="2:135">
      <c r="B86" s="132"/>
      <c r="C86" s="149"/>
      <c r="D86" s="150"/>
      <c r="E86" s="151"/>
      <c r="F86" s="151"/>
      <c r="G86" s="150" t="s">
        <v>315</v>
      </c>
      <c r="H86" s="153"/>
      <c r="I86" s="152" t="s">
        <v>315</v>
      </c>
      <c r="J86" s="130" t="str">
        <f>IFERROR(VLOOKUP(Datos_Origen[[#This Row],[Cargo Tipo Valorado]],Cargos_Catalogo[[#All],[Cargo]:[Área]],2,0),"")</f>
        <v xml:space="preserve">Director de producción </v>
      </c>
      <c r="K86" s="153"/>
      <c r="L86" s="153"/>
      <c r="M86" s="153"/>
      <c r="N86" s="153"/>
      <c r="O86" s="154">
        <f>Datos_Origen[[#This Row],[Segmentación Individual]]</f>
        <v>0</v>
      </c>
      <c r="P86" s="153"/>
      <c r="Q86" s="154">
        <f>VLOOKUP(Datos_Origen[[#This Row],[Cargo Tipo Valorado]],Cargos_Catalogo[#Data],MATCH(Cargos_Catalogo[[#Headers],[Puntos]],Cargos_Catalogo[#Headers],0),FALSE)</f>
        <v>370</v>
      </c>
      <c r="R86" s="130">
        <f>VLOOKUP(Datos_Origen[[#This Row],[Puntos valoración]],Categorias_Registro[#Data],MATCH(Categorias_Registro[[#Headers],[Categoria]],Categorias_Registro[#Headers],0),FALSE)</f>
        <v>11</v>
      </c>
      <c r="S86" s="130" t="str">
        <f>VLOOKUP(Datos_Origen[[#This Row],[Cargo Tipo Valorado]],Cargos_Catalogo[#Data],MATCH(Cargos_Catalogo[[#Headers],[Nivel SHR]],Cargos_Catalogo[#Headers],0),FALSE)</f>
        <v>Táctico</v>
      </c>
      <c r="T86" s="130" t="str">
        <f>VLOOKUP(Datos_Origen[[#This Row],[Cargo Tipo Valorado]],Cargos_Catalogo[#Data],MATCH(Cargos_Catalogo[[#Headers],[Criticidad]],Cargos_Catalogo[#Headers],0),FALSE)</f>
        <v>Relevante</v>
      </c>
      <c r="U86" s="154">
        <f>VLOOKUP(Datos_Origen[[#This Row],[Puntos valoración]],Categorias_Registro[#Data],5,FALSE)</f>
        <v>379</v>
      </c>
      <c r="V86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7441261.080000001</v>
      </c>
      <c r="W86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86" s="154">
        <f>SUMIF($BA$5:$BJ$5,"NCS",Datos_Origen[[#This Row],[auxilio Gasolina]:[Otro Beneficio10]])+(SUMIF($BA$5:$BJ$5,"CS",Datos_Origen[[#This Row],[auxilio Gasolina]:[Otro Beneficio10]])*1.17667)</f>
        <v>0</v>
      </c>
      <c r="Y86" s="155">
        <f>Datos_Origen[[#This Row],[Básico]]+Datos_Origen[[#This Row],[Promedio de Comisiones  ]]</f>
        <v>6324000</v>
      </c>
      <c r="Z86" s="155">
        <f>Datos_Origen[[#This Row],[Básico]]+Datos_Origen[[#This Row],[Promedio de Comisiones  ]]</f>
        <v>6324000</v>
      </c>
      <c r="AA86" s="155">
        <f>Datos_Origen[[#This Row],[Garantizado]]</f>
        <v>7441261.080000001</v>
      </c>
      <c r="AB86" s="155">
        <f>Datos_Origen[[#This Row],[Variable]]+Datos_Origen[[#This Row],[Garantizado]]</f>
        <v>7441261.080000001</v>
      </c>
      <c r="AC86" s="155">
        <f>Datos_Origen[[#This Row],[Beneficios]]+Datos_Origen[[#This Row],[Variable]]+Datos_Origen[[#This Row],[Garantizado]]</f>
        <v>7441261.080000001</v>
      </c>
      <c r="AD86" s="156">
        <v>14.12</v>
      </c>
      <c r="AE86" s="141">
        <v>230</v>
      </c>
      <c r="AF86" s="345">
        <v>4.3499999999999997E-2</v>
      </c>
      <c r="AG86" s="155">
        <f>Datos_Origen[[#This Row],[Básico Actual]]*230/Datos_Origen[[#This Row],['# horas mes]]</f>
        <v>6324000</v>
      </c>
      <c r="AH86" s="157">
        <v>6324000</v>
      </c>
      <c r="AI86" s="158"/>
      <c r="AJ86" s="158">
        <f>(((Datos_Origen[[#This Row],[Básico]])/30)*$AJ$6)/12</f>
        <v>0</v>
      </c>
      <c r="AK86" s="158"/>
      <c r="AL86" s="143">
        <f>((Datos_Origen[[#This Row],[Básico]])/30)*$AL$6/12</f>
        <v>0</v>
      </c>
      <c r="AM86" s="158"/>
      <c r="AN86" s="158"/>
      <c r="AO86" s="158"/>
      <c r="AP86" s="158"/>
      <c r="AQ86" s="158"/>
      <c r="AR86" s="149">
        <v>0</v>
      </c>
      <c r="AS86" s="149"/>
      <c r="AT86" s="159" t="str">
        <f>IFERROR(Datos_Origen[[#This Row],[Comisiones Target]]/Datos_Origen[[#This Row],[Promedio de Comisiones  ]],"")</f>
        <v/>
      </c>
      <c r="AU86" s="160"/>
      <c r="AV86" s="143">
        <v>0</v>
      </c>
      <c r="AW86" s="160"/>
      <c r="AX86" s="143">
        <f>Datos_Origen[[#This Row],[N Salarios de la Bonificación2]]*Datos_Origen[[#This Row],[Básico]]/12</f>
        <v>0</v>
      </c>
      <c r="AY86" s="160"/>
      <c r="AZ86" s="158"/>
      <c r="BA86" s="149">
        <v>0</v>
      </c>
      <c r="BB86" s="149"/>
      <c r="BC86" s="149"/>
      <c r="BD86" s="149"/>
      <c r="BE86" s="149"/>
      <c r="BF86" s="149"/>
      <c r="BG86" s="149"/>
      <c r="BH86" s="149"/>
      <c r="BI86" s="149"/>
      <c r="BJ86" s="149"/>
      <c r="BK86" s="159">
        <f>IFERROR(Datos_Origen[[#This Row],[Variable]]/Datos_Origen[[#This Row],[CT]],"")</f>
        <v>0</v>
      </c>
      <c r="BL86" s="159">
        <f>IFERROR(Datos_Origen[[#This Row],[Beneficios]]/Datos_Origen[[#This Row],[CT]],"")</f>
        <v>0</v>
      </c>
      <c r="BM86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4674516.2048216574</v>
      </c>
      <c r="BN86" s="161">
        <f>Datos_Origen[[#This Row],[G]]/Datos_Origen[[#This Row],[Geq]]</f>
        <v>1.591878336484214</v>
      </c>
      <c r="BO86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4976340.5769949695</v>
      </c>
      <c r="BP86" s="161">
        <f>Datos_Origen[[#This Row],[G+V]]/Datos_Origen[[#This Row],[G+Veq]]</f>
        <v>1.49532793523017</v>
      </c>
      <c r="BQ86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4976672.1082647825</v>
      </c>
      <c r="BR86" s="161">
        <f>Datos_Origen[[#This Row],[CT]]/Datos_Origen[[#This Row],[CTeq]]</f>
        <v>1.4952283208777737</v>
      </c>
      <c r="BS86" s="139">
        <f>ROUNDUP(VLOOKUP(Datos_Origen[[#This Row],[Categoria]],Competitividad_1[#All],2,0)*IndiceIncrementoC,-3)</f>
        <v>4750000</v>
      </c>
      <c r="BT86" s="161">
        <f>Datos_Origen[[#This Row],[G]]/Datos_Origen[[#This Row],[GQ1]]</f>
        <v>1.5665812800000003</v>
      </c>
      <c r="BU86" s="155">
        <f>ROUNDUP(VLOOKUP(Datos_Origen[[#This Row],[Categoria]],Competitividad_1[#All],3,0)*IndiceIncrementoC,-3)</f>
        <v>4888000</v>
      </c>
      <c r="BV86" s="161">
        <f>Datos_Origen[[#This Row],[G+V]]/Datos_Origen[[#This Row],[G+VQ1]]</f>
        <v>1.522352921440262</v>
      </c>
      <c r="BW86" s="155">
        <f>ROUNDUP(VLOOKUP(Datos_Origen[[#This Row],[Categoria]],Competitividad_1[#All],4,0)*IndiceIncrementoC,-3)</f>
        <v>5109000</v>
      </c>
      <c r="BX86" s="161">
        <f>Datos_Origen[[#This Row],[CT]]/Datos_Origen[[#This Row],[CTQ1]]</f>
        <v>1.4565005049911921</v>
      </c>
      <c r="BY86" s="155">
        <f>ROUNDUP(VLOOKUP(Datos_Origen[[#This Row],[Categoria]],Competitividad_1[#All],5,0)*IndiceIncrementoC,-3)</f>
        <v>7139000</v>
      </c>
      <c r="BZ86" s="161">
        <f>Datos_Origen[[#This Row],[G]]/Datos_Origen[[#This Row],[GMd]]</f>
        <v>1.0423394144838214</v>
      </c>
      <c r="CA86" s="155">
        <f>ROUNDUP(VLOOKUP(Datos_Origen[[#This Row],[Categoria]],Competitividad_1[#All],6,0)*IndiceIncrementoC,-3)</f>
        <v>7348000</v>
      </c>
      <c r="CB86" s="161">
        <f>Datos_Origen[[#This Row],[G+V]]/Datos_Origen[[#This Row],[G+VMd]]</f>
        <v>1.0126920359281439</v>
      </c>
      <c r="CC86" s="155">
        <f>ROUNDUP(VLOOKUP(Datos_Origen[[#This Row],[Categoria]],Competitividad_1[#All],7,0)*IndiceIncrementoC,-3)</f>
        <v>7657000</v>
      </c>
      <c r="CD86" s="161">
        <f>Datos_Origen[[#This Row],[CT]]/Datos_Origen[[#This Row],[CTMd]]</f>
        <v>0.97182461538461551</v>
      </c>
      <c r="CE86" s="155">
        <f>+Datos_Origen[[#This Row],[GMd]]/1.17666666667</f>
        <v>6067138.810181112</v>
      </c>
      <c r="CF86" s="161">
        <f>+Datos_Origen[[#This Row],[Básico Actual]]/Datos_Origen[[#This Row],[Salario Basico Md]]</f>
        <v>1.0423364616922652</v>
      </c>
      <c r="CG86" s="155">
        <f>ROUNDUP(VLOOKUP(Datos_Origen[[#This Row],[Categoria]],Competitividad_1[#All],8,0)*IndiceIncrementoC,-3)</f>
        <v>7858000</v>
      </c>
      <c r="CH86" s="161">
        <f>Datos_Origen[[#This Row],[G]]/Datos_Origen[[#This Row],[GQ3]]</f>
        <v>0.94696628658691795</v>
      </c>
      <c r="CI86" s="155">
        <f>ROUNDUP(VLOOKUP(Datos_Origen[[#This Row],[Categoria]],Competitividad_1[#All],9,0)*IndiceIncrementoC,-3)</f>
        <v>8067000</v>
      </c>
      <c r="CJ86" s="161">
        <f>Datos_Origen[[#This Row],[G+V]]/Datos_Origen[[#This Row],[G+VQ3]]</f>
        <v>0.92243226478244711</v>
      </c>
      <c r="CK86" s="155">
        <f>ROUNDUP(VLOOKUP(Datos_Origen[[#This Row],[Categoria]],Competitividad_1[#All],10,0)*IndiceIncrementoC,-3)</f>
        <v>8258000</v>
      </c>
      <c r="CL86" s="161">
        <f>Datos_Origen[[#This Row],[CT]]/Datos_Origen[[#This Row],[CTQ3]]</f>
        <v>0.90109724872850583</v>
      </c>
      <c r="CM86" s="162">
        <f>IF(ROUND(Datos_Origen[[#This Row],[Salario Ordinario Pol2]],-3)&lt;SMMLV,SMMLV,ROUND(Datos_Origen[[#This Row],[Salario Ordinario Pol2]],-3))</f>
        <v>4686000</v>
      </c>
      <c r="CN86" s="155">
        <f>IF(Datos_Origen[[#This Row],[Gpol]]/(1+FactorPrestacionalOrdinario)&lt;SMMLV,SMMLV,Datos_Origen[[#This Row],[Gpol]]/(1+FactorPrestacionalOrdinario))</f>
        <v>5857223.7960339943</v>
      </c>
      <c r="CO86" s="161">
        <f>IFERROR(IF(Datos_Origen[[#This Row],[Salarios Año]]=14.12,Datos_Origen[[#This Row],[Básico]]/Datos_Origen[[#This Row],[Salario Ordinario Pol]],""),"")</f>
        <v>1.079692396982008</v>
      </c>
      <c r="CP86" s="155">
        <f>IF(ROUND(Datos_Origen[[#This Row],[Salario Ordinario Pol22]],-3)&lt;SMMLV,SMMLV,ROUND(Datos_Origen[[#This Row],[Salario Ordinario Pol22]],-3))</f>
        <v>7029000</v>
      </c>
      <c r="CQ86" s="155" t="str">
        <f>IFERROR(ROUND(Datos_Origen[[#This Row],[Salario Integral Pol4]],-3),"")</f>
        <v/>
      </c>
      <c r="CR86" s="139" t="str">
        <f>IF((Datos_Origen[[#This Row],[Gpol]]/(1+FactorPrestacionalIntegral))&lt;(13*SMMLV),"",(Datos_Origen[[#This Row],[Gpol]]/(1+FactorPrestacionalIntegral)))</f>
        <v/>
      </c>
      <c r="CS86" s="161" t="str">
        <f>IFERROR(IF(Datos_Origen[[#This Row],[Salarios Año]]=12,Datos_Origen[[#This Row],[Básico]]/Datos_Origen[[#This Row],[Salario Integral Pol]],""),"")</f>
        <v/>
      </c>
      <c r="CT86" s="155" t="str">
        <f>IFERROR(ROUND(Datos_Origen[[#This Row],[Salario Integral Pol44]],-3),"")</f>
        <v/>
      </c>
      <c r="CU86" s="155">
        <f>Datos_Origen[[#This Row],[G+Vpol]]-Datos_Origen[[#This Row],[Variable]]</f>
        <v>6892000</v>
      </c>
      <c r="CV86" s="161">
        <f>Datos_Origen[[#This Row],[G]]/Datos_Origen[[#This Row],[Gpol]]</f>
        <v>1.0796954556006966</v>
      </c>
      <c r="CW86" s="154">
        <f>Datos_Origen[[#This Row],[Ctpol]]-Datos_Origen[[#This Row],[Beneficios]]</f>
        <v>6892000</v>
      </c>
      <c r="CX86" s="161">
        <f>Datos_Origen[[#This Row],[G+V]]/Datos_Origen[[#This Row],[G+Vpol]]</f>
        <v>1.0796954556006966</v>
      </c>
      <c r="CY86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6892000</v>
      </c>
      <c r="CZ86" s="161">
        <f>Datos_Origen[[#This Row],[CT]]/Datos_Origen[[#This Row],[Ctpol]]</f>
        <v>1.0796954556006966</v>
      </c>
      <c r="DA86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6324000</v>
      </c>
      <c r="DB86" s="158">
        <f>IF(Datos_Origen[[#This Row],[Básico]]&lt;10*SMMLV,0,Datos_Origen[[#This Row],[Base Seguridad Social Actual]]*8.5%)</f>
        <v>0</v>
      </c>
      <c r="DC86" s="158">
        <f>Datos_Origen[[#This Row],[Base Seguridad Social Actual]]*12%</f>
        <v>758880</v>
      </c>
      <c r="DD86" s="158">
        <f>Datos_Origen[[#This Row],[Base Seguridad Social Actual]]*Datos_Origen[[#This Row],[%ARL]]</f>
        <v>275094</v>
      </c>
      <c r="DE86" s="158">
        <f>IF(Datos_Origen[[#This Row],[Básico]]&lt;10*SMMLV,Datos_Origen[[#This Row],[Base Seguridad Social Actual]]*4%,Datos_Origen[[#This Row],[Base Seguridad Social Actual]]*9%)</f>
        <v>252960</v>
      </c>
      <c r="DF86" s="158">
        <f>Datos_Origen[[#This Row],[Salud]]+Datos_Origen[[#This Row],[Pensión]]+Datos_Origen[[#This Row],[ARL]]+Datos_Origen[[#This Row],[Parafiscales]]</f>
        <v>1286934</v>
      </c>
      <c r="DG86" s="163">
        <f>Datos_Origen[[#This Row],[Costo Laboral Actual]]+Datos_Origen[[#This Row],[CT]]</f>
        <v>8728195.0800000019</v>
      </c>
      <c r="DH86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5857223.7960339943</v>
      </c>
      <c r="DI86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86" s="158">
        <f>Datos_Origen[[#This Row],[Base Seguridad Social Nueva]]*12%</f>
        <v>702866.85552407929</v>
      </c>
      <c r="DK86" s="158">
        <f>Datos_Origen[[#This Row],[Base Seguridad Social Nueva]]*Datos_Origen[[#This Row],[%ARL]]</f>
        <v>254789.23512747872</v>
      </c>
      <c r="DL86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234288.95184135978</v>
      </c>
      <c r="DM86" s="158">
        <f>Datos_Origen[[#This Row],[Salud Nueva]]+Datos_Origen[[#This Row],[Pensión Nueva]]+Datos_Origen[[#This Row],[ARL nueva]]+Datos_Origen[[#This Row],[Parafiscales Nuevos]]</f>
        <v>1191945.0424929177</v>
      </c>
      <c r="DN86" s="158">
        <f>Datos_Origen[[#This Row],[Costo Laboral Nuevo]]+Datos_Origen[[#This Row],[Ctpol]]</f>
        <v>8083945.0424929177</v>
      </c>
      <c r="DO86" s="158">
        <f>IF(Datos_Origen[[#This Row],[Ctpol]]-Datos_Origen[[#This Row],[CT]]&lt;=0,0,Datos_Origen[[#This Row],[Costo Total Nuevo]]-Datos_Origen[[#This Row],[Costo Total Actual]])</f>
        <v>0</v>
      </c>
      <c r="DP86" s="158">
        <f>IF(Datos_Origen[[#This Row],[Ctpol]]-Datos_Origen[[#This Row],[CT]]&lt;=0,0,Datos_Origen[[#This Row],[Ctpol]]-Datos_Origen[[#This Row],[CT]])</f>
        <v>0</v>
      </c>
      <c r="DQ86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0</v>
      </c>
      <c r="DR86" s="158">
        <f>ROUNDDOWN(VLOOKUP(Datos_Origen[[#This Row],[Categoria]],Competitividad_1[],7,0)*IndiceIncrementoC,-3)</f>
        <v>7656000</v>
      </c>
      <c r="DS86" s="158">
        <f>Datos_Origen[[#This Row],[CTeq]]*0.8</f>
        <v>3981337.6866118261</v>
      </c>
      <c r="DT86" s="158">
        <f>Datos_Origen[[#This Row],[CTeq]]*1.2</f>
        <v>5972006.5299177384</v>
      </c>
      <c r="DU86" s="155">
        <f>IF(Datos_Origen[[#This Row],[Gpol6]]/(1+FactorPrestacionalOrdinario)&lt;SMMLV,SMMLV,Datos_Origen[[#This Row],[Gpol6]]/(1+FactorPrestacionalOrdinario))</f>
        <v>4685779.0368271954</v>
      </c>
      <c r="DV86" s="139" t="str">
        <f>IF((Datos_Origen[[#This Row],[Gpol6]]/(1+FactorPrestacionalIntegral))&lt;(13*SMMLV),"",(Datos_Origen[[#This Row],[Gpol6]]/(1+FactorPrestacionalIntegral)))</f>
        <v/>
      </c>
      <c r="DW86" s="154">
        <f>Datos_Origen[[#This Row],[G+Vpol8]]</f>
        <v>5513600</v>
      </c>
      <c r="DX86" s="154">
        <f>Datos_Origen[[#This Row],[Ctpol10]]-Datos_Origen[[#This Row],[Beneficios]]</f>
        <v>5513600</v>
      </c>
      <c r="DY86" s="154">
        <f>Datos_Origen[[#This Row],[Ctpol]]*$CM$6</f>
        <v>5513600</v>
      </c>
      <c r="DZ86" s="155">
        <f>IF(Datos_Origen[[#This Row],[Gpol66]]/(1+FactorPrestacionalOrdinario)&lt;SMMLV,SMMLV,Datos_Origen[[#This Row],[Gpol66]]/(1+FactorPrestacionalOrdinario))</f>
        <v>7028668.5552407932</v>
      </c>
      <c r="EA86" s="139" t="str">
        <f>IF((Datos_Origen[[#This Row],[Gpol66]]/(1+FactorPrestacionalIntegral))&lt;(13*SMMLV),"",(Datos_Origen[[#This Row],[Gpol66]]/(1+FactorPrestacionalIntegral)))</f>
        <v/>
      </c>
      <c r="EB86" s="154">
        <f>Datos_Origen[[#This Row],[G+Vpol88]]</f>
        <v>8270400</v>
      </c>
      <c r="EC86" s="154">
        <f>Datos_Origen[[#This Row],[Ctpol1010]]-Datos_Origen[[#This Row],[Beneficios]]</f>
        <v>8270400</v>
      </c>
      <c r="ED86" s="154">
        <f>Datos_Origen[[#This Row],[Ctpol]]*$CP$6</f>
        <v>8270400</v>
      </c>
      <c r="EE86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87" spans="2:135">
      <c r="B87" s="148"/>
      <c r="C87" s="149"/>
      <c r="D87" s="150"/>
      <c r="E87" s="151"/>
      <c r="F87" s="151"/>
      <c r="G87" s="150" t="s">
        <v>316</v>
      </c>
      <c r="H87" s="153"/>
      <c r="I87" s="152" t="s">
        <v>316</v>
      </c>
      <c r="J87" s="130" t="str">
        <f>IFERROR(VLOOKUP(Datos_Origen[[#This Row],[Cargo Tipo Valorado]],Cargos_Catalogo[[#All],[Cargo]:[Área]],2,0),"")</f>
        <v xml:space="preserve">Director de materiales </v>
      </c>
      <c r="K87" s="153"/>
      <c r="L87" s="153"/>
      <c r="M87" s="153"/>
      <c r="N87" s="153"/>
      <c r="O87" s="154">
        <f>Datos_Origen[[#This Row],[Segmentación Individual]]</f>
        <v>0</v>
      </c>
      <c r="P87" s="153"/>
      <c r="Q87" s="154">
        <f>VLOOKUP(Datos_Origen[[#This Row],[Cargo Tipo Valorado]],Cargos_Catalogo[#Data],MATCH(Cargos_Catalogo[[#Headers],[Puntos]],Cargos_Catalogo[#Headers],0),FALSE)</f>
        <v>376</v>
      </c>
      <c r="R87" s="130">
        <f>VLOOKUP(Datos_Origen[[#This Row],[Puntos valoración]],Categorias_Registro[#Data],MATCH(Categorias_Registro[[#Headers],[Categoria]],Categorias_Registro[#Headers],0),FALSE)</f>
        <v>11</v>
      </c>
      <c r="S87" s="130" t="str">
        <f>VLOOKUP(Datos_Origen[[#This Row],[Cargo Tipo Valorado]],Cargos_Catalogo[#Data],MATCH(Cargos_Catalogo[[#Headers],[Nivel SHR]],Cargos_Catalogo[#Headers],0),FALSE)</f>
        <v>Táctico</v>
      </c>
      <c r="T87" s="130" t="str">
        <f>VLOOKUP(Datos_Origen[[#This Row],[Cargo Tipo Valorado]],Cargos_Catalogo[#Data],MATCH(Cargos_Catalogo[[#Headers],[Criticidad]],Cargos_Catalogo[#Headers],0),FALSE)</f>
        <v>Importante</v>
      </c>
      <c r="U87" s="154">
        <f>VLOOKUP(Datos_Origen[[#This Row],[Puntos valoración]],Categorias_Registro[#Data],5,FALSE)</f>
        <v>379</v>
      </c>
      <c r="V87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5424448.7000000002</v>
      </c>
      <c r="W87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87" s="154">
        <f>SUMIF($BA$5:$BJ$5,"NCS",Datos_Origen[[#This Row],[auxilio Gasolina]:[Otro Beneficio10]])+(SUMIF($BA$5:$BJ$5,"CS",Datos_Origen[[#This Row],[auxilio Gasolina]:[Otro Beneficio10]])*1.17667)</f>
        <v>0</v>
      </c>
      <c r="Y87" s="155">
        <f>Datos_Origen[[#This Row],[Básico]]+Datos_Origen[[#This Row],[Promedio de Comisiones  ]]</f>
        <v>4610000</v>
      </c>
      <c r="Z87" s="155">
        <f>Datos_Origen[[#This Row],[Básico]]+Datos_Origen[[#This Row],[Promedio de Comisiones  ]]</f>
        <v>4610000</v>
      </c>
      <c r="AA87" s="155">
        <f>Datos_Origen[[#This Row],[Garantizado]]</f>
        <v>5424448.7000000002</v>
      </c>
      <c r="AB87" s="155">
        <f>Datos_Origen[[#This Row],[Variable]]+Datos_Origen[[#This Row],[Garantizado]]</f>
        <v>5424448.7000000002</v>
      </c>
      <c r="AC87" s="155">
        <f>Datos_Origen[[#This Row],[Beneficios]]+Datos_Origen[[#This Row],[Variable]]+Datos_Origen[[#This Row],[Garantizado]]</f>
        <v>5424448.7000000002</v>
      </c>
      <c r="AD87" s="156">
        <v>14.12</v>
      </c>
      <c r="AE87" s="141">
        <v>230</v>
      </c>
      <c r="AF87" s="345">
        <v>5.2199999999999998E-3</v>
      </c>
      <c r="AG87" s="155">
        <f>Datos_Origen[[#This Row],[Básico Actual]]*230/Datos_Origen[[#This Row],['# horas mes]]</f>
        <v>4610000</v>
      </c>
      <c r="AH87" s="157">
        <v>4610000</v>
      </c>
      <c r="AI87" s="158"/>
      <c r="AJ87" s="158">
        <f>(((Datos_Origen[[#This Row],[Básico]])/30)*$AJ$6)/12</f>
        <v>0</v>
      </c>
      <c r="AK87" s="158"/>
      <c r="AL87" s="143">
        <f>((Datos_Origen[[#This Row],[Básico]])/30)*$AL$6/12</f>
        <v>0</v>
      </c>
      <c r="AM87" s="158"/>
      <c r="AN87" s="158"/>
      <c r="AO87" s="158"/>
      <c r="AP87" s="158"/>
      <c r="AQ87" s="158"/>
      <c r="AR87" s="149">
        <v>0</v>
      </c>
      <c r="AS87" s="149"/>
      <c r="AT87" s="159" t="str">
        <f>IFERROR(Datos_Origen[[#This Row],[Comisiones Target]]/Datos_Origen[[#This Row],[Promedio de Comisiones  ]],"")</f>
        <v/>
      </c>
      <c r="AU87" s="160"/>
      <c r="AV87" s="143">
        <v>0</v>
      </c>
      <c r="AW87" s="160"/>
      <c r="AX87" s="143">
        <f>Datos_Origen[[#This Row],[N Salarios de la Bonificación2]]*Datos_Origen[[#This Row],[Básico]]/12</f>
        <v>0</v>
      </c>
      <c r="AY87" s="160"/>
      <c r="AZ87" s="158"/>
      <c r="BA87" s="149">
        <v>0</v>
      </c>
      <c r="BB87" s="149"/>
      <c r="BC87" s="149"/>
      <c r="BD87" s="149"/>
      <c r="BE87" s="149"/>
      <c r="BF87" s="149"/>
      <c r="BG87" s="149"/>
      <c r="BH87" s="149"/>
      <c r="BI87" s="149"/>
      <c r="BJ87" s="149"/>
      <c r="BK87" s="159">
        <f>IFERROR(Datos_Origen[[#This Row],[Variable]]/Datos_Origen[[#This Row],[CT]],"")</f>
        <v>0</v>
      </c>
      <c r="BL87" s="159">
        <f>IFERROR(Datos_Origen[[#This Row],[Beneficios]]/Datos_Origen[[#This Row],[CT]],"")</f>
        <v>0</v>
      </c>
      <c r="BM87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4674516.2048216574</v>
      </c>
      <c r="BN87" s="161">
        <f>Datos_Origen[[#This Row],[G]]/Datos_Origen[[#This Row],[Geq]]</f>
        <v>1.1604299701442482</v>
      </c>
      <c r="BO87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4976340.5769949695</v>
      </c>
      <c r="BP87" s="161">
        <f>Datos_Origen[[#This Row],[G+V]]/Datos_Origen[[#This Row],[G+Veq]]</f>
        <v>1.0900477200207279</v>
      </c>
      <c r="BQ87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4976672.1082647825</v>
      </c>
      <c r="BR87" s="161">
        <f>Datos_Origen[[#This Row],[CT]]/Datos_Origen[[#This Row],[CTeq]]</f>
        <v>1.0899751042451828</v>
      </c>
      <c r="BS87" s="139">
        <f>ROUNDUP(VLOOKUP(Datos_Origen[[#This Row],[Categoria]],Competitividad_1[#All],2,0)*IndiceIncrementoC,-3)</f>
        <v>4750000</v>
      </c>
      <c r="BT87" s="161">
        <f>Datos_Origen[[#This Row],[G]]/Datos_Origen[[#This Row],[GQ1]]</f>
        <v>1.1419892</v>
      </c>
      <c r="BU87" s="155">
        <f>ROUNDUP(VLOOKUP(Datos_Origen[[#This Row],[Categoria]],Competitividad_1[#All],3,0)*IndiceIncrementoC,-3)</f>
        <v>4888000</v>
      </c>
      <c r="BV87" s="161">
        <f>Datos_Origen[[#This Row],[G+V]]/Datos_Origen[[#This Row],[G+VQ1]]</f>
        <v>1.1097480973813421</v>
      </c>
      <c r="BW87" s="155">
        <f>ROUNDUP(VLOOKUP(Datos_Origen[[#This Row],[Categoria]],Competitividad_1[#All],4,0)*IndiceIncrementoC,-3)</f>
        <v>5109000</v>
      </c>
      <c r="BX87" s="161">
        <f>Datos_Origen[[#This Row],[CT]]/Datos_Origen[[#This Row],[CTQ1]]</f>
        <v>1.0617437267567038</v>
      </c>
      <c r="BY87" s="155">
        <f>ROUNDUP(VLOOKUP(Datos_Origen[[#This Row],[Categoria]],Competitividad_1[#All],5,0)*IndiceIncrementoC,-3)</f>
        <v>7139000</v>
      </c>
      <c r="BZ87" s="161">
        <f>Datos_Origen[[#This Row],[G]]/Datos_Origen[[#This Row],[GMd]]</f>
        <v>0.7598331278890601</v>
      </c>
      <c r="CA87" s="155">
        <f>ROUNDUP(VLOOKUP(Datos_Origen[[#This Row],[Categoria]],Competitividad_1[#All],6,0)*IndiceIncrementoC,-3)</f>
        <v>7348000</v>
      </c>
      <c r="CB87" s="161">
        <f>Datos_Origen[[#This Row],[G+V]]/Datos_Origen[[#This Row],[G+VMd]]</f>
        <v>0.73822110778443117</v>
      </c>
      <c r="CC87" s="155">
        <f>ROUNDUP(VLOOKUP(Datos_Origen[[#This Row],[Categoria]],Competitividad_1[#All],7,0)*IndiceIncrementoC,-3)</f>
        <v>7657000</v>
      </c>
      <c r="CD87" s="161">
        <f>Datos_Origen[[#This Row],[CT]]/Datos_Origen[[#This Row],[CTMd]]</f>
        <v>0.70843002481389583</v>
      </c>
      <c r="CE87" s="155">
        <f>+Datos_Origen[[#This Row],[GMd]]/1.17666666667</f>
        <v>6067138.810181112</v>
      </c>
      <c r="CF87" s="161">
        <f>+Datos_Origen[[#This Row],[Básico Actual]]/Datos_Origen[[#This Row],[Salario Basico Md]]</f>
        <v>0.75983097539553168</v>
      </c>
      <c r="CG87" s="155">
        <f>ROUNDUP(VLOOKUP(Datos_Origen[[#This Row],[Categoria]],Competitividad_1[#All],8,0)*IndiceIncrementoC,-3)</f>
        <v>7858000</v>
      </c>
      <c r="CH87" s="161">
        <f>Datos_Origen[[#This Row],[G]]/Datos_Origen[[#This Row],[GQ3]]</f>
        <v>0.69030907355561211</v>
      </c>
      <c r="CI87" s="155">
        <f>ROUNDUP(VLOOKUP(Datos_Origen[[#This Row],[Categoria]],Competitividad_1[#All],9,0)*IndiceIncrementoC,-3)</f>
        <v>8067000</v>
      </c>
      <c r="CJ87" s="161">
        <f>Datos_Origen[[#This Row],[G+V]]/Datos_Origen[[#This Row],[G+VQ3]]</f>
        <v>0.67242453204413044</v>
      </c>
      <c r="CK87" s="155">
        <f>ROUNDUP(VLOOKUP(Datos_Origen[[#This Row],[Categoria]],Competitividad_1[#All],10,0)*IndiceIncrementoC,-3)</f>
        <v>8258000</v>
      </c>
      <c r="CL87" s="161">
        <f>Datos_Origen[[#This Row],[CT]]/Datos_Origen[[#This Row],[CTQ3]]</f>
        <v>0.65687196657786395</v>
      </c>
      <c r="CM87" s="162">
        <f>IF(ROUND(Datos_Origen[[#This Row],[Salario Ordinario Pol2]],-3)&lt;SMMLV,SMMLV,ROUND(Datos_Origen[[#This Row],[Salario Ordinario Pol2]],-3))</f>
        <v>5206000</v>
      </c>
      <c r="CN87" s="155">
        <f>IF(Datos_Origen[[#This Row],[Gpol]]/(1+FactorPrestacionalOrdinario)&lt;SMMLV,SMMLV,Datos_Origen[[#This Row],[Gpol]]/(1+FactorPrestacionalOrdinario))</f>
        <v>6507365.4390934836</v>
      </c>
      <c r="CO87" s="161">
        <f>IFERROR(IF(Datos_Origen[[#This Row],[Salarios Año]]=14.12,Datos_Origen[[#This Row],[Básico]]/Datos_Origen[[#This Row],[Salario Ordinario Pol]],""),"")</f>
        <v>0.70842801793565813</v>
      </c>
      <c r="CP87" s="155">
        <f>IF(ROUND(Datos_Origen[[#This Row],[Salario Ordinario Pol22]],-3)&lt;SMMLV,SMMLV,ROUND(Datos_Origen[[#This Row],[Salario Ordinario Pol22]],-3))</f>
        <v>7809000</v>
      </c>
      <c r="CQ87" s="155" t="str">
        <f>IFERROR(ROUND(Datos_Origen[[#This Row],[Salario Integral Pol4]],-3),"")</f>
        <v/>
      </c>
      <c r="CR87" s="139" t="str">
        <f>IF((Datos_Origen[[#This Row],[Gpol]]/(1+FactorPrestacionalIntegral))&lt;(13*SMMLV),"",(Datos_Origen[[#This Row],[Gpol]]/(1+FactorPrestacionalIntegral)))</f>
        <v/>
      </c>
      <c r="CS87" s="161" t="str">
        <f>IFERROR(IF(Datos_Origen[[#This Row],[Salarios Año]]=12,Datos_Origen[[#This Row],[Básico]]/Datos_Origen[[#This Row],[Salario Integral Pol]],""),"")</f>
        <v/>
      </c>
      <c r="CT87" s="155" t="str">
        <f>IFERROR(ROUND(Datos_Origen[[#This Row],[Salario Integral Pol44]],-3),"")</f>
        <v/>
      </c>
      <c r="CU87" s="155">
        <f>Datos_Origen[[#This Row],[G+Vpol]]-Datos_Origen[[#This Row],[Variable]]</f>
        <v>7657000</v>
      </c>
      <c r="CV87" s="161">
        <f>Datos_Origen[[#This Row],[G]]/Datos_Origen[[#This Row],[Gpol]]</f>
        <v>0.70843002481389583</v>
      </c>
      <c r="CW87" s="154">
        <f>Datos_Origen[[#This Row],[Ctpol]]-Datos_Origen[[#This Row],[Beneficios]]</f>
        <v>7657000</v>
      </c>
      <c r="CX87" s="161">
        <f>Datos_Origen[[#This Row],[G+V]]/Datos_Origen[[#This Row],[G+Vpol]]</f>
        <v>0.70843002481389583</v>
      </c>
      <c r="CY87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7657000</v>
      </c>
      <c r="CZ87" s="161">
        <f>Datos_Origen[[#This Row],[CT]]/Datos_Origen[[#This Row],[Ctpol]]</f>
        <v>0.70843002481389583</v>
      </c>
      <c r="DA87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4610000</v>
      </c>
      <c r="DB87" s="158">
        <f>IF(Datos_Origen[[#This Row],[Básico]]&lt;10*SMMLV,0,Datos_Origen[[#This Row],[Base Seguridad Social Actual]]*8.5%)</f>
        <v>0</v>
      </c>
      <c r="DC87" s="158">
        <f>Datos_Origen[[#This Row],[Base Seguridad Social Actual]]*12%</f>
        <v>553200</v>
      </c>
      <c r="DD87" s="158">
        <f>Datos_Origen[[#This Row],[Base Seguridad Social Actual]]*Datos_Origen[[#This Row],[%ARL]]</f>
        <v>24064.2</v>
      </c>
      <c r="DE87" s="158">
        <f>IF(Datos_Origen[[#This Row],[Básico]]&lt;10*SMMLV,Datos_Origen[[#This Row],[Base Seguridad Social Actual]]*4%,Datos_Origen[[#This Row],[Base Seguridad Social Actual]]*9%)</f>
        <v>184400</v>
      </c>
      <c r="DF87" s="158">
        <f>Datos_Origen[[#This Row],[Salud]]+Datos_Origen[[#This Row],[Pensión]]+Datos_Origen[[#This Row],[ARL]]+Datos_Origen[[#This Row],[Parafiscales]]</f>
        <v>761664.2</v>
      </c>
      <c r="DG87" s="158">
        <f>Datos_Origen[[#This Row],[Costo Laboral Actual]]+Datos_Origen[[#This Row],[CT]]</f>
        <v>6186112.9000000004</v>
      </c>
      <c r="DH87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6507365.4390934836</v>
      </c>
      <c r="DI87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87" s="158">
        <f>Datos_Origen[[#This Row],[Base Seguridad Social Nueva]]*12%</f>
        <v>780883.85269121802</v>
      </c>
      <c r="DK87" s="158">
        <f>Datos_Origen[[#This Row],[Base Seguridad Social Nueva]]*Datos_Origen[[#This Row],[%ARL]]</f>
        <v>33968.447592067983</v>
      </c>
      <c r="DL87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260294.61756373936</v>
      </c>
      <c r="DM87" s="158">
        <f>Datos_Origen[[#This Row],[Salud Nueva]]+Datos_Origen[[#This Row],[Pensión Nueva]]+Datos_Origen[[#This Row],[ARL nueva]]+Datos_Origen[[#This Row],[Parafiscales Nuevos]]</f>
        <v>1075146.9178470254</v>
      </c>
      <c r="DN87" s="158">
        <f>Datos_Origen[[#This Row],[Costo Laboral Nuevo]]+Datos_Origen[[#This Row],[Ctpol]]</f>
        <v>8732146.9178470261</v>
      </c>
      <c r="DO87" s="158">
        <f>IF(Datos_Origen[[#This Row],[Ctpol]]-Datos_Origen[[#This Row],[CT]]&lt;=0,0,Datos_Origen[[#This Row],[Costo Total Nuevo]]-Datos_Origen[[#This Row],[Costo Total Actual]])</f>
        <v>2546034.0178470258</v>
      </c>
      <c r="DP87" s="158">
        <f>IF(Datos_Origen[[#This Row],[Ctpol]]-Datos_Origen[[#This Row],[CT]]&lt;=0,0,Datos_Origen[[#This Row],[Ctpol]]-Datos_Origen[[#This Row],[CT]])</f>
        <v>2232551.2999999998</v>
      </c>
      <c r="DQ87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313482.71784702549</v>
      </c>
      <c r="DR87" s="158">
        <f>ROUNDDOWN(VLOOKUP(Datos_Origen[[#This Row],[Categoria]],Competitividad_1[],7,0)*IndiceIncrementoC,-3)</f>
        <v>7656000</v>
      </c>
      <c r="DS87" s="158">
        <f>Datos_Origen[[#This Row],[CTeq]]*0.8</f>
        <v>3981337.6866118261</v>
      </c>
      <c r="DT87" s="158">
        <f>Datos_Origen[[#This Row],[CTeq]]*1.2</f>
        <v>5972006.5299177384</v>
      </c>
      <c r="DU87" s="155">
        <f>IF(Datos_Origen[[#This Row],[Gpol6]]/(1+FactorPrestacionalOrdinario)&lt;SMMLV,SMMLV,Datos_Origen[[#This Row],[Gpol6]]/(1+FactorPrestacionalOrdinario))</f>
        <v>5205892.3512747874</v>
      </c>
      <c r="DV87" s="139" t="str">
        <f>IF((Datos_Origen[[#This Row],[Gpol6]]/(1+FactorPrestacionalIntegral))&lt;(13*SMMLV),"",(Datos_Origen[[#This Row],[Gpol6]]/(1+FactorPrestacionalIntegral)))</f>
        <v/>
      </c>
      <c r="DW87" s="154">
        <f>Datos_Origen[[#This Row],[G+Vpol8]]</f>
        <v>6125600</v>
      </c>
      <c r="DX87" s="154">
        <f>Datos_Origen[[#This Row],[Ctpol10]]-Datos_Origen[[#This Row],[Beneficios]]</f>
        <v>6125600</v>
      </c>
      <c r="DY87" s="154">
        <f>Datos_Origen[[#This Row],[Ctpol]]*$CM$6</f>
        <v>6125600</v>
      </c>
      <c r="DZ87" s="155">
        <f>IF(Datos_Origen[[#This Row],[Gpol66]]/(1+FactorPrestacionalOrdinario)&lt;SMMLV,SMMLV,Datos_Origen[[#This Row],[Gpol66]]/(1+FactorPrestacionalOrdinario))</f>
        <v>7808838.5269121807</v>
      </c>
      <c r="EA87" s="139" t="str">
        <f>IF((Datos_Origen[[#This Row],[Gpol66]]/(1+FactorPrestacionalIntegral))&lt;(13*SMMLV),"",(Datos_Origen[[#This Row],[Gpol66]]/(1+FactorPrestacionalIntegral)))</f>
        <v/>
      </c>
      <c r="EB87" s="154">
        <f>Datos_Origen[[#This Row],[G+Vpol88]]</f>
        <v>9188400</v>
      </c>
      <c r="EC87" s="154">
        <f>Datos_Origen[[#This Row],[Ctpol1010]]-Datos_Origen[[#This Row],[Beneficios]]</f>
        <v>9188400</v>
      </c>
      <c r="ED87" s="154">
        <f>Datos_Origen[[#This Row],[Ctpol]]*$CP$6</f>
        <v>9188400</v>
      </c>
      <c r="EE87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88" spans="2:135">
      <c r="B88" s="148"/>
      <c r="C88" s="149"/>
      <c r="D88" s="150"/>
      <c r="E88" s="151"/>
      <c r="F88" s="151"/>
      <c r="G88" s="150" t="s">
        <v>317</v>
      </c>
      <c r="H88" s="153"/>
      <c r="I88" s="152" t="s">
        <v>317</v>
      </c>
      <c r="J88" s="130" t="str">
        <f>IFERROR(VLOOKUP(Datos_Origen[[#This Row],[Cargo Tipo Valorado]],Cargos_Catalogo[[#All],[Cargo]:[Área]],2,0),"")</f>
        <v xml:space="preserve">Director de Logistica </v>
      </c>
      <c r="K88" s="153"/>
      <c r="L88" s="153"/>
      <c r="M88" s="153"/>
      <c r="N88" s="153"/>
      <c r="O88" s="154">
        <f>Datos_Origen[[#This Row],[Segmentación Individual]]</f>
        <v>0</v>
      </c>
      <c r="P88" s="153"/>
      <c r="Q88" s="154">
        <f>VLOOKUP(Datos_Origen[[#This Row],[Cargo Tipo Valorado]],Cargos_Catalogo[#Data],MATCH(Cargos_Catalogo[[#Headers],[Puntos]],Cargos_Catalogo[#Headers],0),FALSE)</f>
        <v>376</v>
      </c>
      <c r="R88" s="130">
        <f>VLOOKUP(Datos_Origen[[#This Row],[Puntos valoración]],Categorias_Registro[#Data],MATCH(Categorias_Registro[[#Headers],[Categoria]],Categorias_Registro[#Headers],0),FALSE)</f>
        <v>11</v>
      </c>
      <c r="S88" s="130" t="str">
        <f>VLOOKUP(Datos_Origen[[#This Row],[Cargo Tipo Valorado]],Cargos_Catalogo[#Data],MATCH(Cargos_Catalogo[[#Headers],[Nivel SHR]],Cargos_Catalogo[#Headers],0),FALSE)</f>
        <v>Táctico</v>
      </c>
      <c r="T88" s="130" t="str">
        <f>VLOOKUP(Datos_Origen[[#This Row],[Cargo Tipo Valorado]],Cargos_Catalogo[#Data],MATCH(Cargos_Catalogo[[#Headers],[Criticidad]],Cargos_Catalogo[#Headers],0),FALSE)</f>
        <v>Crítico</v>
      </c>
      <c r="U88" s="154">
        <f>VLOOKUP(Datos_Origen[[#This Row],[Puntos valoración]],Categorias_Registro[#Data],5,FALSE)</f>
        <v>379</v>
      </c>
      <c r="V88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4745510.1100000003</v>
      </c>
      <c r="W88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88" s="154">
        <f>SUMIF($BA$5:$BJ$5,"NCS",Datos_Origen[[#This Row],[auxilio Gasolina]:[Otro Beneficio10]])+(SUMIF($BA$5:$BJ$5,"CS",Datos_Origen[[#This Row],[auxilio Gasolina]:[Otro Beneficio10]])*1.17667)</f>
        <v>0</v>
      </c>
      <c r="Y88" s="155">
        <f>Datos_Origen[[#This Row],[Básico]]+Datos_Origen[[#This Row],[Promedio de Comisiones  ]]</f>
        <v>4033000</v>
      </c>
      <c r="Z88" s="155">
        <f>Datos_Origen[[#This Row],[Básico]]+Datos_Origen[[#This Row],[Promedio de Comisiones  ]]</f>
        <v>4033000</v>
      </c>
      <c r="AA88" s="155">
        <f>Datos_Origen[[#This Row],[Garantizado]]</f>
        <v>4745510.1100000003</v>
      </c>
      <c r="AB88" s="155">
        <f>Datos_Origen[[#This Row],[Variable]]+Datos_Origen[[#This Row],[Garantizado]]</f>
        <v>4745510.1100000003</v>
      </c>
      <c r="AC88" s="155">
        <f>Datos_Origen[[#This Row],[Beneficios]]+Datos_Origen[[#This Row],[Variable]]+Datos_Origen[[#This Row],[Garantizado]]</f>
        <v>4745510.1100000003</v>
      </c>
      <c r="AD88" s="156">
        <v>14.12</v>
      </c>
      <c r="AE88" s="141">
        <v>230</v>
      </c>
      <c r="AF88" s="345">
        <v>4.3499999999999997E-2</v>
      </c>
      <c r="AG88" s="155">
        <f>Datos_Origen[[#This Row],[Básico Actual]]*230/Datos_Origen[[#This Row],['# horas mes]]</f>
        <v>4033000</v>
      </c>
      <c r="AH88" s="157">
        <v>4033000</v>
      </c>
      <c r="AI88" s="158"/>
      <c r="AJ88" s="158">
        <f>(((Datos_Origen[[#This Row],[Básico]])/30)*$AJ$6)/12</f>
        <v>0</v>
      </c>
      <c r="AK88" s="158"/>
      <c r="AL88" s="143">
        <f>((Datos_Origen[[#This Row],[Básico]])/30)*$AL$6/12</f>
        <v>0</v>
      </c>
      <c r="AM88" s="158"/>
      <c r="AN88" s="158"/>
      <c r="AO88" s="158"/>
      <c r="AP88" s="158"/>
      <c r="AQ88" s="158"/>
      <c r="AR88" s="149">
        <v>0</v>
      </c>
      <c r="AS88" s="149"/>
      <c r="AT88" s="159" t="str">
        <f>IFERROR(Datos_Origen[[#This Row],[Comisiones Target]]/Datos_Origen[[#This Row],[Promedio de Comisiones  ]],"")</f>
        <v/>
      </c>
      <c r="AU88" s="160"/>
      <c r="AV88" s="143">
        <v>0</v>
      </c>
      <c r="AW88" s="160"/>
      <c r="AX88" s="143">
        <f>Datos_Origen[[#This Row],[N Salarios de la Bonificación2]]*Datos_Origen[[#This Row],[Básico]]/12</f>
        <v>0</v>
      </c>
      <c r="AY88" s="160"/>
      <c r="AZ88" s="158"/>
      <c r="BA88" s="149">
        <v>0</v>
      </c>
      <c r="BB88" s="149"/>
      <c r="BC88" s="149"/>
      <c r="BD88" s="149"/>
      <c r="BE88" s="149"/>
      <c r="BF88" s="149"/>
      <c r="BG88" s="149"/>
      <c r="BH88" s="149"/>
      <c r="BI88" s="149"/>
      <c r="BJ88" s="149"/>
      <c r="BK88" s="159">
        <f>IFERROR(Datos_Origen[[#This Row],[Variable]]/Datos_Origen[[#This Row],[CT]],"")</f>
        <v>0</v>
      </c>
      <c r="BL88" s="159">
        <f>IFERROR(Datos_Origen[[#This Row],[Beneficios]]/Datos_Origen[[#This Row],[CT]],"")</f>
        <v>0</v>
      </c>
      <c r="BM88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4674516.2048216574</v>
      </c>
      <c r="BN88" s="161">
        <f>Datos_Origen[[#This Row],[G]]/Datos_Origen[[#This Row],[Geq]]</f>
        <v>1.0151874337509226</v>
      </c>
      <c r="BO88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4976340.5769949695</v>
      </c>
      <c r="BP88" s="161">
        <f>Datos_Origen[[#This Row],[G+V]]/Datos_Origen[[#This Row],[G+Veq]]</f>
        <v>0.95361441536737435</v>
      </c>
      <c r="BQ88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4976672.1082647825</v>
      </c>
      <c r="BR88" s="161">
        <f>Datos_Origen[[#This Row],[CT]]/Datos_Origen[[#This Row],[CTeq]]</f>
        <v>0.95355088837761881</v>
      </c>
      <c r="BS88" s="139">
        <f>ROUNDUP(VLOOKUP(Datos_Origen[[#This Row],[Categoria]],Competitividad_1[#All],2,0)*IndiceIncrementoC,-3)</f>
        <v>4750000</v>
      </c>
      <c r="BT88" s="161">
        <f>Datos_Origen[[#This Row],[G]]/Datos_Origen[[#This Row],[GQ1]]</f>
        <v>0.99905476000000004</v>
      </c>
      <c r="BU88" s="155">
        <f>ROUNDUP(VLOOKUP(Datos_Origen[[#This Row],[Categoria]],Competitividad_1[#All],3,0)*IndiceIncrementoC,-3)</f>
        <v>4888000</v>
      </c>
      <c r="BV88" s="161">
        <f>Datos_Origen[[#This Row],[G+V]]/Datos_Origen[[#This Row],[G+VQ1]]</f>
        <v>0.97084904050736509</v>
      </c>
      <c r="BW88" s="155">
        <f>ROUNDUP(VLOOKUP(Datos_Origen[[#This Row],[Categoria]],Competitividad_1[#All],4,0)*IndiceIncrementoC,-3)</f>
        <v>5109000</v>
      </c>
      <c r="BX88" s="161">
        <f>Datos_Origen[[#This Row],[CT]]/Datos_Origen[[#This Row],[CTQ1]]</f>
        <v>0.92885302603249176</v>
      </c>
      <c r="BY88" s="155">
        <f>ROUNDUP(VLOOKUP(Datos_Origen[[#This Row],[Categoria]],Competitividad_1[#All],5,0)*IndiceIncrementoC,-3)</f>
        <v>7139000</v>
      </c>
      <c r="BZ88" s="161">
        <f>Datos_Origen[[#This Row],[G]]/Datos_Origen[[#This Row],[GMd]]</f>
        <v>0.66473036979969191</v>
      </c>
      <c r="CA88" s="155">
        <f>ROUNDUP(VLOOKUP(Datos_Origen[[#This Row],[Categoria]],Competitividad_1[#All],6,0)*IndiceIncrementoC,-3)</f>
        <v>7348000</v>
      </c>
      <c r="CB88" s="161">
        <f>Datos_Origen[[#This Row],[G+V]]/Datos_Origen[[#This Row],[G+VMd]]</f>
        <v>0.64582336826347309</v>
      </c>
      <c r="CC88" s="155">
        <f>ROUNDUP(VLOOKUP(Datos_Origen[[#This Row],[Categoria]],Competitividad_1[#All],7,0)*IndiceIncrementoC,-3)</f>
        <v>7657000</v>
      </c>
      <c r="CD88" s="161">
        <f>Datos_Origen[[#This Row],[CT]]/Datos_Origen[[#This Row],[CTMd]]</f>
        <v>0.61976101736972711</v>
      </c>
      <c r="CE88" s="155">
        <f>+Datos_Origen[[#This Row],[GMd]]/1.17666666667</f>
        <v>6067138.810181112</v>
      </c>
      <c r="CF88" s="161">
        <f>+Datos_Origen[[#This Row],[Básico Actual]]/Datos_Origen[[#This Row],[Salario Basico Md]]</f>
        <v>0.66472848671804319</v>
      </c>
      <c r="CG88" s="155">
        <f>ROUNDUP(VLOOKUP(Datos_Origen[[#This Row],[Categoria]],Competitividad_1[#All],8,0)*IndiceIncrementoC,-3)</f>
        <v>7858000</v>
      </c>
      <c r="CH88" s="161">
        <f>Datos_Origen[[#This Row],[G]]/Datos_Origen[[#This Row],[GQ3]]</f>
        <v>0.60390813311275138</v>
      </c>
      <c r="CI88" s="155">
        <f>ROUNDUP(VLOOKUP(Datos_Origen[[#This Row],[Categoria]],Competitividad_1[#All],9,0)*IndiceIncrementoC,-3)</f>
        <v>8067000</v>
      </c>
      <c r="CJ88" s="161">
        <f>Datos_Origen[[#This Row],[G+V]]/Datos_Origen[[#This Row],[G+VQ3]]</f>
        <v>0.58826206892277177</v>
      </c>
      <c r="CK88" s="155">
        <f>ROUNDUP(VLOOKUP(Datos_Origen[[#This Row],[Categoria]],Competitividad_1[#All],10,0)*IndiceIncrementoC,-3)</f>
        <v>8258000</v>
      </c>
      <c r="CL88" s="161">
        <f>Datos_Origen[[#This Row],[CT]]/Datos_Origen[[#This Row],[CTQ3]]</f>
        <v>0.57465610438362802</v>
      </c>
      <c r="CM88" s="162">
        <f>IF(ROUND(Datos_Origen[[#This Row],[Salario Ordinario Pol2]],-3)&lt;SMMLV,SMMLV,ROUND(Datos_Origen[[#This Row],[Salario Ordinario Pol2]],-3))</f>
        <v>6247000</v>
      </c>
      <c r="CN88" s="155">
        <f>IF(Datos_Origen[[#This Row],[Gpol]]/(1+FactorPrestacionalOrdinario)&lt;SMMLV,SMMLV,Datos_Origen[[#This Row],[Gpol]]/(1+FactorPrestacionalOrdinario))</f>
        <v>7809348.4419263452</v>
      </c>
      <c r="CO88" s="161">
        <f>IFERROR(IF(Datos_Origen[[#This Row],[Salarios Año]]=14.12,Datos_Origen[[#This Row],[Básico]]/Datos_Origen[[#This Row],[Salario Ordinario Pol]],""),"")</f>
        <v>0.51643232850872423</v>
      </c>
      <c r="CP88" s="155">
        <f>IF(ROUND(Datos_Origen[[#This Row],[Salario Ordinario Pol22]],-3)&lt;SMMLV,SMMLV,ROUND(Datos_Origen[[#This Row],[Salario Ordinario Pol22]],-3))</f>
        <v>9371000</v>
      </c>
      <c r="CQ88" s="155" t="str">
        <f>IFERROR(ROUND(Datos_Origen[[#This Row],[Salario Integral Pol4]],-3),"")</f>
        <v/>
      </c>
      <c r="CR88" s="139" t="str">
        <f>IF((Datos_Origen[[#This Row],[Gpol]]/(1+FactorPrestacionalIntegral))&lt;(13*SMMLV),"",(Datos_Origen[[#This Row],[Gpol]]/(1+FactorPrestacionalIntegral)))</f>
        <v/>
      </c>
      <c r="CS88" s="161" t="str">
        <f>IFERROR(IF(Datos_Origen[[#This Row],[Salarios Año]]=12,Datos_Origen[[#This Row],[Básico]]/Datos_Origen[[#This Row],[Salario Integral Pol]],""),"")</f>
        <v/>
      </c>
      <c r="CT88" s="155" t="str">
        <f>IFERROR(ROUND(Datos_Origen[[#This Row],[Salario Integral Pol44]],-3),"")</f>
        <v/>
      </c>
      <c r="CU88" s="155">
        <f>Datos_Origen[[#This Row],[G+Vpol]]-Datos_Origen[[#This Row],[Variable]]</f>
        <v>9189000</v>
      </c>
      <c r="CV88" s="161">
        <f>Datos_Origen[[#This Row],[G]]/Datos_Origen[[#This Row],[Gpol]]</f>
        <v>0.51643379148982482</v>
      </c>
      <c r="CW88" s="154">
        <f>Datos_Origen[[#This Row],[Ctpol]]-Datos_Origen[[#This Row],[Beneficios]]</f>
        <v>9189000</v>
      </c>
      <c r="CX88" s="161">
        <f>Datos_Origen[[#This Row],[G+V]]/Datos_Origen[[#This Row],[G+Vpol]]</f>
        <v>0.51643379148982482</v>
      </c>
      <c r="CY88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9189000</v>
      </c>
      <c r="CZ88" s="161">
        <f>Datos_Origen[[#This Row],[CT]]/Datos_Origen[[#This Row],[Ctpol]]</f>
        <v>0.51643379148982482</v>
      </c>
      <c r="DA88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4033000</v>
      </c>
      <c r="DB88" s="158">
        <f>IF(Datos_Origen[[#This Row],[Básico]]&lt;10*SMMLV,0,Datos_Origen[[#This Row],[Base Seguridad Social Actual]]*8.5%)</f>
        <v>0</v>
      </c>
      <c r="DC88" s="158">
        <f>Datos_Origen[[#This Row],[Base Seguridad Social Actual]]*12%</f>
        <v>483960</v>
      </c>
      <c r="DD88" s="158">
        <f>Datos_Origen[[#This Row],[Base Seguridad Social Actual]]*Datos_Origen[[#This Row],[%ARL]]</f>
        <v>175435.5</v>
      </c>
      <c r="DE88" s="158">
        <f>IF(Datos_Origen[[#This Row],[Básico]]&lt;10*SMMLV,Datos_Origen[[#This Row],[Base Seguridad Social Actual]]*4%,Datos_Origen[[#This Row],[Base Seguridad Social Actual]]*9%)</f>
        <v>161320</v>
      </c>
      <c r="DF88" s="158">
        <f>Datos_Origen[[#This Row],[Salud]]+Datos_Origen[[#This Row],[Pensión]]+Datos_Origen[[#This Row],[ARL]]+Datos_Origen[[#This Row],[Parafiscales]]</f>
        <v>820715.5</v>
      </c>
      <c r="DG88" s="158">
        <f>Datos_Origen[[#This Row],[Costo Laboral Actual]]+Datos_Origen[[#This Row],[CT]]</f>
        <v>5566225.6100000003</v>
      </c>
      <c r="DH88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7809348.4419263452</v>
      </c>
      <c r="DI88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88" s="158">
        <f>Datos_Origen[[#This Row],[Base Seguridad Social Nueva]]*12%</f>
        <v>937121.81303116144</v>
      </c>
      <c r="DK88" s="158">
        <f>Datos_Origen[[#This Row],[Base Seguridad Social Nueva]]*Datos_Origen[[#This Row],[%ARL]]</f>
        <v>339706.65722379601</v>
      </c>
      <c r="DL88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312373.93767705379</v>
      </c>
      <c r="DM88" s="158">
        <f>Datos_Origen[[#This Row],[Salud Nueva]]+Datos_Origen[[#This Row],[Pensión Nueva]]+Datos_Origen[[#This Row],[ARL nueva]]+Datos_Origen[[#This Row],[Parafiscales Nuevos]]</f>
        <v>1589202.4079320112</v>
      </c>
      <c r="DN88" s="158">
        <f>Datos_Origen[[#This Row],[Costo Laboral Nuevo]]+Datos_Origen[[#This Row],[Ctpol]]</f>
        <v>10778202.407932011</v>
      </c>
      <c r="DO88" s="158">
        <f>IF(Datos_Origen[[#This Row],[Ctpol]]-Datos_Origen[[#This Row],[CT]]&lt;=0,0,Datos_Origen[[#This Row],[Costo Total Nuevo]]-Datos_Origen[[#This Row],[Costo Total Actual]])</f>
        <v>5211976.7979320111</v>
      </c>
      <c r="DP88" s="158">
        <f>IF(Datos_Origen[[#This Row],[Ctpol]]-Datos_Origen[[#This Row],[CT]]&lt;=0,0,Datos_Origen[[#This Row],[Ctpol]]-Datos_Origen[[#This Row],[CT]])</f>
        <v>4443489.8899999997</v>
      </c>
      <c r="DQ88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768486.90793201118</v>
      </c>
      <c r="DR88" s="158">
        <f>ROUNDDOWN(VLOOKUP(Datos_Origen[[#This Row],[Categoria]],Competitividad_1[],7,0)*IndiceIncrementoC,-3)</f>
        <v>7656000</v>
      </c>
      <c r="DS88" s="158">
        <f>Datos_Origen[[#This Row],[CTeq]]*0.8</f>
        <v>3981337.6866118261</v>
      </c>
      <c r="DT88" s="158">
        <f>Datos_Origen[[#This Row],[CTeq]]*1.2</f>
        <v>5972006.5299177384</v>
      </c>
      <c r="DU88" s="155">
        <f>IF(Datos_Origen[[#This Row],[Gpol6]]/(1+FactorPrestacionalOrdinario)&lt;SMMLV,SMMLV,Datos_Origen[[#This Row],[Gpol6]]/(1+FactorPrestacionalOrdinario))</f>
        <v>6247478.7535410756</v>
      </c>
      <c r="DV88" s="139" t="str">
        <f>IF((Datos_Origen[[#This Row],[Gpol6]]/(1+FactorPrestacionalIntegral))&lt;(13*SMMLV),"",(Datos_Origen[[#This Row],[Gpol6]]/(1+FactorPrestacionalIntegral)))</f>
        <v/>
      </c>
      <c r="DW88" s="154">
        <f>Datos_Origen[[#This Row],[G+Vpol8]]</f>
        <v>7351200</v>
      </c>
      <c r="DX88" s="154">
        <f>Datos_Origen[[#This Row],[Ctpol10]]-Datos_Origen[[#This Row],[Beneficios]]</f>
        <v>7351200</v>
      </c>
      <c r="DY88" s="154">
        <f>Datos_Origen[[#This Row],[Ctpol]]*$CM$6</f>
        <v>7351200</v>
      </c>
      <c r="DZ88" s="155">
        <f>IF(Datos_Origen[[#This Row],[Gpol66]]/(1+FactorPrestacionalOrdinario)&lt;SMMLV,SMMLV,Datos_Origen[[#This Row],[Gpol66]]/(1+FactorPrestacionalOrdinario))</f>
        <v>9371218.1303116139</v>
      </c>
      <c r="EA88" s="139" t="str">
        <f>IF((Datos_Origen[[#This Row],[Gpol66]]/(1+FactorPrestacionalIntegral))&lt;(13*SMMLV),"",(Datos_Origen[[#This Row],[Gpol66]]/(1+FactorPrestacionalIntegral)))</f>
        <v/>
      </c>
      <c r="EB88" s="154">
        <f>Datos_Origen[[#This Row],[G+Vpol88]]</f>
        <v>11026800</v>
      </c>
      <c r="EC88" s="154">
        <f>Datos_Origen[[#This Row],[Ctpol1010]]-Datos_Origen[[#This Row],[Beneficios]]</f>
        <v>11026800</v>
      </c>
      <c r="ED88" s="154">
        <f>Datos_Origen[[#This Row],[Ctpol]]*$CP$6</f>
        <v>11026800</v>
      </c>
      <c r="EE88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89" spans="2:135">
      <c r="B89" s="132"/>
      <c r="C89" s="149"/>
      <c r="D89" s="150"/>
      <c r="E89" s="151"/>
      <c r="F89" s="151"/>
      <c r="G89" s="150" t="s">
        <v>318</v>
      </c>
      <c r="H89" s="153"/>
      <c r="I89" s="152" t="s">
        <v>318</v>
      </c>
      <c r="J89" s="130" t="str">
        <f>IFERROR(VLOOKUP(Datos_Origen[[#This Row],[Cargo Tipo Valorado]],Cargos_Catalogo[[#All],[Cargo]:[Área]],2,0),"")</f>
        <v>Jefe de mejora continua</v>
      </c>
      <c r="K89" s="153"/>
      <c r="L89" s="153"/>
      <c r="M89" s="153"/>
      <c r="N89" s="153"/>
      <c r="O89" s="154">
        <f>Datos_Origen[[#This Row],[Segmentación Individual]]</f>
        <v>0</v>
      </c>
      <c r="P89" s="153"/>
      <c r="Q89" s="154">
        <f>VLOOKUP(Datos_Origen[[#This Row],[Cargo Tipo Valorado]],Cargos_Catalogo[#Data],MATCH(Cargos_Catalogo[[#Headers],[Puntos]],Cargos_Catalogo[#Headers],0),FALSE)</f>
        <v>381</v>
      </c>
      <c r="R89" s="130">
        <f>VLOOKUP(Datos_Origen[[#This Row],[Puntos valoración]],Categorias_Registro[#Data],MATCH(Categorias_Registro[[#Headers],[Categoria]],Categorias_Registro[#Headers],0),FALSE)</f>
        <v>11</v>
      </c>
      <c r="S89" s="130" t="str">
        <f>VLOOKUP(Datos_Origen[[#This Row],[Cargo Tipo Valorado]],Cargos_Catalogo[#Data],MATCH(Cargos_Catalogo[[#Headers],[Nivel SHR]],Cargos_Catalogo[#Headers],0),FALSE)</f>
        <v>Táctico</v>
      </c>
      <c r="T89" s="130" t="str">
        <f>VLOOKUP(Datos_Origen[[#This Row],[Cargo Tipo Valorado]],Cargos_Catalogo[#Data],MATCH(Cargos_Catalogo[[#Headers],[Criticidad]],Cargos_Catalogo[#Headers],0),FALSE)</f>
        <v>Crítico</v>
      </c>
      <c r="U89" s="154">
        <f>VLOOKUP(Datos_Origen[[#This Row],[Puntos valoración]],Categorias_Registro[#Data],5,FALSE)</f>
        <v>379</v>
      </c>
      <c r="V89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9295693</v>
      </c>
      <c r="W89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89" s="154">
        <f>SUMIF($BA$5:$BJ$5,"NCS",Datos_Origen[[#This Row],[auxilio Gasolina]:[Otro Beneficio10]])+(SUMIF($BA$5:$BJ$5,"CS",Datos_Origen[[#This Row],[auxilio Gasolina]:[Otro Beneficio10]])*1.17667)</f>
        <v>0</v>
      </c>
      <c r="Y89" s="155">
        <f>Datos_Origen[[#This Row],[Básico]]+Datos_Origen[[#This Row],[Promedio de Comisiones  ]]</f>
        <v>7900000</v>
      </c>
      <c r="Z89" s="155">
        <f>Datos_Origen[[#This Row],[Básico]]+Datos_Origen[[#This Row],[Promedio de Comisiones  ]]</f>
        <v>7900000</v>
      </c>
      <c r="AA89" s="155">
        <f>Datos_Origen[[#This Row],[Garantizado]]</f>
        <v>9295693</v>
      </c>
      <c r="AB89" s="155">
        <f>Datos_Origen[[#This Row],[Variable]]+Datos_Origen[[#This Row],[Garantizado]]</f>
        <v>9295693</v>
      </c>
      <c r="AC89" s="155">
        <f>Datos_Origen[[#This Row],[Beneficios]]+Datos_Origen[[#This Row],[Variable]]+Datos_Origen[[#This Row],[Garantizado]]</f>
        <v>9295693</v>
      </c>
      <c r="AD89" s="156">
        <v>14.12</v>
      </c>
      <c r="AE89" s="141">
        <v>230</v>
      </c>
      <c r="AF89" s="345">
        <v>4.3499999999999997E-2</v>
      </c>
      <c r="AG89" s="155">
        <f>Datos_Origen[[#This Row],[Básico Actual]]*230/Datos_Origen[[#This Row],['# horas mes]]</f>
        <v>7900000</v>
      </c>
      <c r="AH89" s="157">
        <v>7900000</v>
      </c>
      <c r="AI89" s="158"/>
      <c r="AJ89" s="158">
        <f>(((Datos_Origen[[#This Row],[Básico]])/30)*$AJ$6)/12</f>
        <v>0</v>
      </c>
      <c r="AK89" s="158"/>
      <c r="AL89" s="143">
        <f>((Datos_Origen[[#This Row],[Básico]])/30)*$AL$6/12</f>
        <v>0</v>
      </c>
      <c r="AM89" s="158"/>
      <c r="AN89" s="158"/>
      <c r="AO89" s="158"/>
      <c r="AP89" s="158"/>
      <c r="AQ89" s="158"/>
      <c r="AR89" s="149">
        <v>0</v>
      </c>
      <c r="AS89" s="149"/>
      <c r="AT89" s="159" t="str">
        <f>IFERROR(Datos_Origen[[#This Row],[Comisiones Target]]/Datos_Origen[[#This Row],[Promedio de Comisiones  ]],"")</f>
        <v/>
      </c>
      <c r="AU89" s="160"/>
      <c r="AV89" s="143">
        <v>0</v>
      </c>
      <c r="AW89" s="160"/>
      <c r="AX89" s="143">
        <f>Datos_Origen[[#This Row],[N Salarios de la Bonificación2]]*Datos_Origen[[#This Row],[Básico]]/12</f>
        <v>0</v>
      </c>
      <c r="AY89" s="160"/>
      <c r="AZ89" s="158"/>
      <c r="BA89" s="149">
        <v>0</v>
      </c>
      <c r="BB89" s="149"/>
      <c r="BC89" s="149"/>
      <c r="BD89" s="149"/>
      <c r="BE89" s="149"/>
      <c r="BF89" s="149"/>
      <c r="BG89" s="149"/>
      <c r="BH89" s="149"/>
      <c r="BI89" s="149"/>
      <c r="BJ89" s="149"/>
      <c r="BK89" s="159">
        <f>IFERROR(Datos_Origen[[#This Row],[Variable]]/Datos_Origen[[#This Row],[CT]],"")</f>
        <v>0</v>
      </c>
      <c r="BL89" s="159">
        <f>IFERROR(Datos_Origen[[#This Row],[Beneficios]]/Datos_Origen[[#This Row],[CT]],"")</f>
        <v>0</v>
      </c>
      <c r="BM89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4674516.2048216574</v>
      </c>
      <c r="BN89" s="161">
        <f>Datos_Origen[[#This Row],[G]]/Datos_Origen[[#This Row],[Geq]]</f>
        <v>1.9885893197699698</v>
      </c>
      <c r="BO89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4976340.5769949695</v>
      </c>
      <c r="BP89" s="161">
        <f>Datos_Origen[[#This Row],[G+V]]/Datos_Origen[[#This Row],[G+Veq]]</f>
        <v>1.867977654699295</v>
      </c>
      <c r="BQ89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4976672.1082647825</v>
      </c>
      <c r="BR89" s="161">
        <f>Datos_Origen[[#This Row],[CT]]/Datos_Origen[[#This Row],[CTeq]]</f>
        <v>1.8678532155177754</v>
      </c>
      <c r="BS89" s="139">
        <f>ROUNDUP(VLOOKUP(Datos_Origen[[#This Row],[Categoria]],Competitividad_1[#All],2,0)*IndiceIncrementoC,-3)</f>
        <v>4750000</v>
      </c>
      <c r="BT89" s="161">
        <f>Datos_Origen[[#This Row],[G]]/Datos_Origen[[#This Row],[GQ1]]</f>
        <v>1.9569879999999999</v>
      </c>
      <c r="BU89" s="155">
        <f>ROUNDUP(VLOOKUP(Datos_Origen[[#This Row],[Categoria]],Competitividad_1[#All],3,0)*IndiceIncrementoC,-3)</f>
        <v>4888000</v>
      </c>
      <c r="BV89" s="161">
        <f>Datos_Origen[[#This Row],[G+V]]/Datos_Origen[[#This Row],[G+VQ1]]</f>
        <v>1.9017375204582652</v>
      </c>
      <c r="BW89" s="155">
        <f>ROUNDUP(VLOOKUP(Datos_Origen[[#This Row],[Categoria]],Competitividad_1[#All],4,0)*IndiceIncrementoC,-3)</f>
        <v>5109000</v>
      </c>
      <c r="BX89" s="161">
        <f>Datos_Origen[[#This Row],[CT]]/Datos_Origen[[#This Row],[CTQ1]]</f>
        <v>1.8194740653748287</v>
      </c>
      <c r="BY89" s="155">
        <f>ROUNDUP(VLOOKUP(Datos_Origen[[#This Row],[Categoria]],Competitividad_1[#All],5,0)*IndiceIncrementoC,-3)</f>
        <v>7139000</v>
      </c>
      <c r="BZ89" s="161">
        <f>Datos_Origen[[#This Row],[G]]/Datos_Origen[[#This Row],[GMd]]</f>
        <v>1.3021001540832049</v>
      </c>
      <c r="CA89" s="155">
        <f>ROUNDUP(VLOOKUP(Datos_Origen[[#This Row],[Categoria]],Competitividad_1[#All],6,0)*IndiceIncrementoC,-3)</f>
        <v>7348000</v>
      </c>
      <c r="CB89" s="161">
        <f>Datos_Origen[[#This Row],[G+V]]/Datos_Origen[[#This Row],[G+VMd]]</f>
        <v>1.2650643712574849</v>
      </c>
      <c r="CC89" s="155">
        <f>ROUNDUP(VLOOKUP(Datos_Origen[[#This Row],[Categoria]],Competitividad_1[#All],7,0)*IndiceIncrementoC,-3)</f>
        <v>7657000</v>
      </c>
      <c r="CD89" s="161">
        <f>Datos_Origen[[#This Row],[CT]]/Datos_Origen[[#This Row],[CTMd]]</f>
        <v>1.2140124069478908</v>
      </c>
      <c r="CE89" s="155">
        <f>+Datos_Origen[[#This Row],[GMd]]/1.17666666667</f>
        <v>6067138.810181112</v>
      </c>
      <c r="CF89" s="161">
        <f>+Datos_Origen[[#This Row],[Básico Actual]]/Datos_Origen[[#This Row],[Salario Basico Md]]</f>
        <v>1.3020964654283516</v>
      </c>
      <c r="CG89" s="155">
        <f>ROUNDUP(VLOOKUP(Datos_Origen[[#This Row],[Categoria]],Competitividad_1[#All],8,0)*IndiceIncrementoC,-3)</f>
        <v>7858000</v>
      </c>
      <c r="CH89" s="161">
        <f>Datos_Origen[[#This Row],[G]]/Datos_Origen[[#This Row],[GQ3]]</f>
        <v>1.1829591499109189</v>
      </c>
      <c r="CI89" s="155">
        <f>ROUNDUP(VLOOKUP(Datos_Origen[[#This Row],[Categoria]],Competitividad_1[#All],9,0)*IndiceIncrementoC,-3)</f>
        <v>8067000</v>
      </c>
      <c r="CJ89" s="161">
        <f>Datos_Origen[[#This Row],[G+V]]/Datos_Origen[[#This Row],[G+VQ3]]</f>
        <v>1.1523110202057767</v>
      </c>
      <c r="CK89" s="155">
        <f>ROUNDUP(VLOOKUP(Datos_Origen[[#This Row],[Categoria]],Competitividad_1[#All],10,0)*IndiceIncrementoC,-3)</f>
        <v>8258000</v>
      </c>
      <c r="CL89" s="161">
        <f>Datos_Origen[[#This Row],[CT]]/Datos_Origen[[#This Row],[CTQ3]]</f>
        <v>1.1256591184306128</v>
      </c>
      <c r="CM89" s="162">
        <f>IF(ROUND(Datos_Origen[[#This Row],[Salario Ordinario Pol2]],-3)&lt;SMMLV,SMMLV,ROUND(Datos_Origen[[#This Row],[Salario Ordinario Pol2]],-3))</f>
        <v>6247000</v>
      </c>
      <c r="CN89" s="155">
        <f>IF(Datos_Origen[[#This Row],[Gpol]]/(1+FactorPrestacionalOrdinario)&lt;SMMLV,SMMLV,Datos_Origen[[#This Row],[Gpol]]/(1+FactorPrestacionalOrdinario))</f>
        <v>7809348.4419263452</v>
      </c>
      <c r="CO89" s="161">
        <f>IFERROR(IF(Datos_Origen[[#This Row],[Salarios Año]]=14.12,Datos_Origen[[#This Row],[Básico]]/Datos_Origen[[#This Row],[Salario Ordinario Pol]],""),"")</f>
        <v>1.0116080821271811</v>
      </c>
      <c r="CP89" s="155">
        <f>IF(ROUND(Datos_Origen[[#This Row],[Salario Ordinario Pol22]],-3)&lt;SMMLV,SMMLV,ROUND(Datos_Origen[[#This Row],[Salario Ordinario Pol22]],-3))</f>
        <v>9371000</v>
      </c>
      <c r="CQ89" s="155" t="str">
        <f>IFERROR(ROUND(Datos_Origen[[#This Row],[Salario Integral Pol4]],-3),"")</f>
        <v/>
      </c>
      <c r="CR89" s="139" t="str">
        <f>IF((Datos_Origen[[#This Row],[Gpol]]/(1+FactorPrestacionalIntegral))&lt;(13*SMMLV),"",(Datos_Origen[[#This Row],[Gpol]]/(1+FactorPrestacionalIntegral)))</f>
        <v/>
      </c>
      <c r="CS89" s="161" t="str">
        <f>IFERROR(IF(Datos_Origen[[#This Row],[Salarios Año]]=12,Datos_Origen[[#This Row],[Básico]]/Datos_Origen[[#This Row],[Salario Integral Pol]],""),"")</f>
        <v/>
      </c>
      <c r="CT89" s="155" t="str">
        <f>IFERROR(ROUND(Datos_Origen[[#This Row],[Salario Integral Pol44]],-3),"")</f>
        <v/>
      </c>
      <c r="CU89" s="155">
        <f>Datos_Origen[[#This Row],[G+Vpol]]-Datos_Origen[[#This Row],[Variable]]</f>
        <v>9189000</v>
      </c>
      <c r="CV89" s="161">
        <f>Datos_Origen[[#This Row],[G]]/Datos_Origen[[#This Row],[Gpol]]</f>
        <v>1.0116109478724562</v>
      </c>
      <c r="CW89" s="154">
        <f>Datos_Origen[[#This Row],[Ctpol]]-Datos_Origen[[#This Row],[Beneficios]]</f>
        <v>9189000</v>
      </c>
      <c r="CX89" s="161">
        <f>Datos_Origen[[#This Row],[G+V]]/Datos_Origen[[#This Row],[G+Vpol]]</f>
        <v>1.0116109478724562</v>
      </c>
      <c r="CY89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9189000</v>
      </c>
      <c r="CZ89" s="161">
        <f>Datos_Origen[[#This Row],[CT]]/Datos_Origen[[#This Row],[Ctpol]]</f>
        <v>1.0116109478724562</v>
      </c>
      <c r="DA89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7900000</v>
      </c>
      <c r="DB89" s="158">
        <f>IF(Datos_Origen[[#This Row],[Básico]]&lt;10*SMMLV,0,Datos_Origen[[#This Row],[Base Seguridad Social Actual]]*8.5%)</f>
        <v>0</v>
      </c>
      <c r="DC89" s="158">
        <f>Datos_Origen[[#This Row],[Base Seguridad Social Actual]]*12%</f>
        <v>948000</v>
      </c>
      <c r="DD89" s="158">
        <f>Datos_Origen[[#This Row],[Base Seguridad Social Actual]]*Datos_Origen[[#This Row],[%ARL]]</f>
        <v>343650</v>
      </c>
      <c r="DE89" s="158">
        <f>IF(Datos_Origen[[#This Row],[Básico]]&lt;10*SMMLV,Datos_Origen[[#This Row],[Base Seguridad Social Actual]]*4%,Datos_Origen[[#This Row],[Base Seguridad Social Actual]]*9%)</f>
        <v>316000</v>
      </c>
      <c r="DF89" s="158">
        <f>Datos_Origen[[#This Row],[Salud]]+Datos_Origen[[#This Row],[Pensión]]+Datos_Origen[[#This Row],[ARL]]+Datos_Origen[[#This Row],[Parafiscales]]</f>
        <v>1607650</v>
      </c>
      <c r="DG89" s="158">
        <f>Datos_Origen[[#This Row],[Costo Laboral Actual]]+Datos_Origen[[#This Row],[CT]]</f>
        <v>10903343</v>
      </c>
      <c r="DH89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7809348.4419263452</v>
      </c>
      <c r="DI89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89" s="158">
        <f>Datos_Origen[[#This Row],[Base Seguridad Social Nueva]]*12%</f>
        <v>937121.81303116144</v>
      </c>
      <c r="DK89" s="158">
        <f>Datos_Origen[[#This Row],[Base Seguridad Social Nueva]]*Datos_Origen[[#This Row],[%ARL]]</f>
        <v>339706.65722379601</v>
      </c>
      <c r="DL89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312373.93767705379</v>
      </c>
      <c r="DM89" s="158">
        <f>Datos_Origen[[#This Row],[Salud Nueva]]+Datos_Origen[[#This Row],[Pensión Nueva]]+Datos_Origen[[#This Row],[ARL nueva]]+Datos_Origen[[#This Row],[Parafiscales Nuevos]]</f>
        <v>1589202.4079320112</v>
      </c>
      <c r="DN89" s="158">
        <f>Datos_Origen[[#This Row],[Costo Laboral Nuevo]]+Datos_Origen[[#This Row],[Ctpol]]</f>
        <v>10778202.407932011</v>
      </c>
      <c r="DO89" s="158">
        <f>IF(Datos_Origen[[#This Row],[Ctpol]]-Datos_Origen[[#This Row],[CT]]&lt;=0,0,Datos_Origen[[#This Row],[Costo Total Nuevo]]-Datos_Origen[[#This Row],[Costo Total Actual]])</f>
        <v>0</v>
      </c>
      <c r="DP89" s="158">
        <f>IF(Datos_Origen[[#This Row],[Ctpol]]-Datos_Origen[[#This Row],[CT]]&lt;=0,0,Datos_Origen[[#This Row],[Ctpol]]-Datos_Origen[[#This Row],[CT]])</f>
        <v>0</v>
      </c>
      <c r="DQ89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0</v>
      </c>
      <c r="DR89" s="158">
        <f>ROUNDDOWN(VLOOKUP(Datos_Origen[[#This Row],[Categoria]],Competitividad_1[],7,0)*IndiceIncrementoC,-3)</f>
        <v>7656000</v>
      </c>
      <c r="DS89" s="158">
        <f>Datos_Origen[[#This Row],[CTeq]]*0.8</f>
        <v>3981337.6866118261</v>
      </c>
      <c r="DT89" s="158">
        <f>Datos_Origen[[#This Row],[CTeq]]*1.2</f>
        <v>5972006.5299177384</v>
      </c>
      <c r="DU89" s="155">
        <f>IF(Datos_Origen[[#This Row],[Gpol6]]/(1+FactorPrestacionalOrdinario)&lt;SMMLV,SMMLV,Datos_Origen[[#This Row],[Gpol6]]/(1+FactorPrestacionalOrdinario))</f>
        <v>6247478.7535410756</v>
      </c>
      <c r="DV89" s="139" t="str">
        <f>IF((Datos_Origen[[#This Row],[Gpol6]]/(1+FactorPrestacionalIntegral))&lt;(13*SMMLV),"",(Datos_Origen[[#This Row],[Gpol6]]/(1+FactorPrestacionalIntegral)))</f>
        <v/>
      </c>
      <c r="DW89" s="154">
        <f>Datos_Origen[[#This Row],[G+Vpol8]]</f>
        <v>7351200</v>
      </c>
      <c r="DX89" s="154">
        <f>Datos_Origen[[#This Row],[Ctpol10]]-Datos_Origen[[#This Row],[Beneficios]]</f>
        <v>7351200</v>
      </c>
      <c r="DY89" s="154">
        <f>Datos_Origen[[#This Row],[Ctpol]]*$CM$6</f>
        <v>7351200</v>
      </c>
      <c r="DZ89" s="155">
        <f>IF(Datos_Origen[[#This Row],[Gpol66]]/(1+FactorPrestacionalOrdinario)&lt;SMMLV,SMMLV,Datos_Origen[[#This Row],[Gpol66]]/(1+FactorPrestacionalOrdinario))</f>
        <v>9371218.1303116139</v>
      </c>
      <c r="EA89" s="139" t="str">
        <f>IF((Datos_Origen[[#This Row],[Gpol66]]/(1+FactorPrestacionalIntegral))&lt;(13*SMMLV),"",(Datos_Origen[[#This Row],[Gpol66]]/(1+FactorPrestacionalIntegral)))</f>
        <v/>
      </c>
      <c r="EB89" s="154">
        <f>Datos_Origen[[#This Row],[G+Vpol88]]</f>
        <v>11026800</v>
      </c>
      <c r="EC89" s="154">
        <f>Datos_Origen[[#This Row],[Ctpol1010]]-Datos_Origen[[#This Row],[Beneficios]]</f>
        <v>11026800</v>
      </c>
      <c r="ED89" s="154">
        <f>Datos_Origen[[#This Row],[Ctpol]]*$CP$6</f>
        <v>11026800</v>
      </c>
      <c r="EE89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90" spans="2:135">
      <c r="B90" s="148"/>
      <c r="C90" s="149"/>
      <c r="D90" s="150"/>
      <c r="E90" s="151"/>
      <c r="F90" s="151"/>
      <c r="G90" s="150" t="s">
        <v>319</v>
      </c>
      <c r="H90" s="153"/>
      <c r="I90" s="152" t="s">
        <v>319</v>
      </c>
      <c r="J90" s="130" t="str">
        <f>IFERROR(VLOOKUP(Datos_Origen[[#This Row],[Cargo Tipo Valorado]],Cargos_Catalogo[[#All],[Cargo]:[Área]],2,0),"")</f>
        <v>Coordinador de comercio exterior</v>
      </c>
      <c r="K90" s="153"/>
      <c r="L90" s="153"/>
      <c r="M90" s="153"/>
      <c r="N90" s="153"/>
      <c r="O90" s="154">
        <f>Datos_Origen[[#This Row],[Segmentación Individual]]</f>
        <v>0</v>
      </c>
      <c r="P90" s="153"/>
      <c r="Q90" s="154">
        <f>VLOOKUP(Datos_Origen[[#This Row],[Cargo Tipo Valorado]],Cargos_Catalogo[#Data],MATCH(Cargos_Catalogo[[#Headers],[Puntos]],Cargos_Catalogo[#Headers],0),FALSE)</f>
        <v>384</v>
      </c>
      <c r="R90" s="130">
        <f>VLOOKUP(Datos_Origen[[#This Row],[Puntos valoración]],Categorias_Registro[#Data],MATCH(Categorias_Registro[[#Headers],[Categoria]],Categorias_Registro[#Headers],0),FALSE)</f>
        <v>11</v>
      </c>
      <c r="S90" s="130" t="str">
        <f>VLOOKUP(Datos_Origen[[#This Row],[Cargo Tipo Valorado]],Cargos_Catalogo[#Data],MATCH(Cargos_Catalogo[[#Headers],[Nivel SHR]],Cargos_Catalogo[#Headers],0),FALSE)</f>
        <v>Táctico</v>
      </c>
      <c r="T90" s="130" t="str">
        <f>VLOOKUP(Datos_Origen[[#This Row],[Cargo Tipo Valorado]],Cargos_Catalogo[#Data],MATCH(Cargos_Catalogo[[#Headers],[Criticidad]],Cargos_Catalogo[#Headers],0),FALSE)</f>
        <v>Importante</v>
      </c>
      <c r="U90" s="154">
        <f>VLOOKUP(Datos_Origen[[#This Row],[Puntos valoración]],Categorias_Registro[#Data],5,FALSE)</f>
        <v>379</v>
      </c>
      <c r="V90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5356201.8400000008</v>
      </c>
      <c r="W90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90" s="154">
        <f>SUMIF($BA$5:$BJ$5,"NCS",Datos_Origen[[#This Row],[auxilio Gasolina]:[Otro Beneficio10]])+(SUMIF($BA$5:$BJ$5,"CS",Datos_Origen[[#This Row],[auxilio Gasolina]:[Otro Beneficio10]])*1.17667)</f>
        <v>0</v>
      </c>
      <c r="Y90" s="155">
        <f>Datos_Origen[[#This Row],[Básico]]+Datos_Origen[[#This Row],[Promedio de Comisiones  ]]</f>
        <v>4552000</v>
      </c>
      <c r="Z90" s="155">
        <f>Datos_Origen[[#This Row],[Básico]]+Datos_Origen[[#This Row],[Promedio de Comisiones  ]]</f>
        <v>4552000</v>
      </c>
      <c r="AA90" s="155">
        <f>Datos_Origen[[#This Row],[Garantizado]]</f>
        <v>5356201.8400000008</v>
      </c>
      <c r="AB90" s="155">
        <f>Datos_Origen[[#This Row],[Variable]]+Datos_Origen[[#This Row],[Garantizado]]</f>
        <v>5356201.8400000008</v>
      </c>
      <c r="AC90" s="155">
        <f>Datos_Origen[[#This Row],[Beneficios]]+Datos_Origen[[#This Row],[Variable]]+Datos_Origen[[#This Row],[Garantizado]]</f>
        <v>5356201.8400000008</v>
      </c>
      <c r="AD90" s="156">
        <v>14.12</v>
      </c>
      <c r="AE90" s="141">
        <v>230</v>
      </c>
      <c r="AF90" s="345">
        <v>5.2199999999999998E-3</v>
      </c>
      <c r="AG90" s="155">
        <f>Datos_Origen[[#This Row],[Básico Actual]]*230/Datos_Origen[[#This Row],['# horas mes]]</f>
        <v>4552000</v>
      </c>
      <c r="AH90" s="157">
        <v>4552000</v>
      </c>
      <c r="AI90" s="158"/>
      <c r="AJ90" s="158">
        <f>(((Datos_Origen[[#This Row],[Básico]])/30)*$AJ$6)/12</f>
        <v>0</v>
      </c>
      <c r="AK90" s="158"/>
      <c r="AL90" s="143">
        <f>((Datos_Origen[[#This Row],[Básico]])/30)*$AL$6/12</f>
        <v>0</v>
      </c>
      <c r="AM90" s="158"/>
      <c r="AN90" s="158"/>
      <c r="AO90" s="158"/>
      <c r="AP90" s="158"/>
      <c r="AQ90" s="158"/>
      <c r="AR90" s="149">
        <v>0</v>
      </c>
      <c r="AS90" s="149"/>
      <c r="AT90" s="159" t="str">
        <f>IFERROR(Datos_Origen[[#This Row],[Comisiones Target]]/Datos_Origen[[#This Row],[Promedio de Comisiones  ]],"")</f>
        <v/>
      </c>
      <c r="AU90" s="160"/>
      <c r="AV90" s="143">
        <v>0</v>
      </c>
      <c r="AW90" s="160"/>
      <c r="AX90" s="143">
        <f>Datos_Origen[[#This Row],[N Salarios de la Bonificación2]]*Datos_Origen[[#This Row],[Básico]]/12</f>
        <v>0</v>
      </c>
      <c r="AY90" s="160"/>
      <c r="AZ90" s="158"/>
      <c r="BA90" s="149">
        <v>0</v>
      </c>
      <c r="BB90" s="149"/>
      <c r="BC90" s="149"/>
      <c r="BD90" s="149"/>
      <c r="BE90" s="149"/>
      <c r="BF90" s="149"/>
      <c r="BG90" s="149"/>
      <c r="BH90" s="149"/>
      <c r="BI90" s="149"/>
      <c r="BJ90" s="149"/>
      <c r="BK90" s="159">
        <f>IFERROR(Datos_Origen[[#This Row],[Variable]]/Datos_Origen[[#This Row],[CT]],"")</f>
        <v>0</v>
      </c>
      <c r="BL90" s="159">
        <f>IFERROR(Datos_Origen[[#This Row],[Beneficios]]/Datos_Origen[[#This Row],[CT]],"")</f>
        <v>0</v>
      </c>
      <c r="BM90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4674516.2048216574</v>
      </c>
      <c r="BN90" s="161">
        <f>Datos_Origen[[#This Row],[G]]/Datos_Origen[[#This Row],[Geq]]</f>
        <v>1.145830200454798</v>
      </c>
      <c r="BO90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4976340.5769949695</v>
      </c>
      <c r="BP90" s="161">
        <f>Datos_Origen[[#This Row],[G+V]]/Datos_Origen[[#This Row],[G+Veq]]</f>
        <v>1.0763334536950877</v>
      </c>
      <c r="BQ90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4976672.1082647825</v>
      </c>
      <c r="BR90" s="161">
        <f>Datos_Origen[[#This Row],[CT]]/Datos_Origen[[#This Row],[CTeq]]</f>
        <v>1.0762617515236601</v>
      </c>
      <c r="BS90" s="139">
        <f>ROUNDUP(VLOOKUP(Datos_Origen[[#This Row],[Categoria]],Competitividad_1[#All],2,0)*IndiceIncrementoC,-3)</f>
        <v>4750000</v>
      </c>
      <c r="BT90" s="161">
        <f>Datos_Origen[[#This Row],[G]]/Datos_Origen[[#This Row],[GQ1]]</f>
        <v>1.1276214400000002</v>
      </c>
      <c r="BU90" s="155">
        <f>ROUNDUP(VLOOKUP(Datos_Origen[[#This Row],[Categoria]],Competitividad_1[#All],3,0)*IndiceIncrementoC,-3)</f>
        <v>4888000</v>
      </c>
      <c r="BV90" s="161">
        <f>Datos_Origen[[#This Row],[G+V]]/Datos_Origen[[#This Row],[G+VQ1]]</f>
        <v>1.0957859738134208</v>
      </c>
      <c r="BW90" s="155">
        <f>ROUNDUP(VLOOKUP(Datos_Origen[[#This Row],[Categoria]],Competitividad_1[#All],4,0)*IndiceIncrementoC,-3)</f>
        <v>5109000</v>
      </c>
      <c r="BX90" s="161">
        <f>Datos_Origen[[#This Row],[CT]]/Datos_Origen[[#This Row],[CTQ1]]</f>
        <v>1.0483855627324332</v>
      </c>
      <c r="BY90" s="155">
        <f>ROUNDUP(VLOOKUP(Datos_Origen[[#This Row],[Categoria]],Competitividad_1[#All],5,0)*IndiceIncrementoC,-3)</f>
        <v>7139000</v>
      </c>
      <c r="BZ90" s="161">
        <f>Datos_Origen[[#This Row],[G]]/Datos_Origen[[#This Row],[GMd]]</f>
        <v>0.75027340523882913</v>
      </c>
      <c r="CA90" s="155">
        <f>ROUNDUP(VLOOKUP(Datos_Origen[[#This Row],[Categoria]],Competitividad_1[#All],6,0)*IndiceIncrementoC,-3)</f>
        <v>7348000</v>
      </c>
      <c r="CB90" s="161">
        <f>Datos_Origen[[#This Row],[G+V]]/Datos_Origen[[#This Row],[G+VMd]]</f>
        <v>0.72893329341317381</v>
      </c>
      <c r="CC90" s="155">
        <f>ROUNDUP(VLOOKUP(Datos_Origen[[#This Row],[Categoria]],Competitividad_1[#All],7,0)*IndiceIncrementoC,-3)</f>
        <v>7657000</v>
      </c>
      <c r="CD90" s="161">
        <f>Datos_Origen[[#This Row],[CT]]/Datos_Origen[[#This Row],[CTMd]]</f>
        <v>0.69951702233250634</v>
      </c>
      <c r="CE90" s="155">
        <f>+Datos_Origen[[#This Row],[GMd]]/1.17666666667</f>
        <v>6067138.810181112</v>
      </c>
      <c r="CF90" s="161">
        <f>+Datos_Origen[[#This Row],[Básico Actual]]/Datos_Origen[[#This Row],[Salario Basico Md]]</f>
        <v>0.75027127982656405</v>
      </c>
      <c r="CG90" s="155">
        <f>ROUNDUP(VLOOKUP(Datos_Origen[[#This Row],[Categoria]],Competitividad_1[#All],8,0)*IndiceIncrementoC,-3)</f>
        <v>7858000</v>
      </c>
      <c r="CH90" s="161">
        <f>Datos_Origen[[#This Row],[G]]/Datos_Origen[[#This Row],[GQ3]]</f>
        <v>0.68162405701196238</v>
      </c>
      <c r="CI90" s="155">
        <f>ROUNDUP(VLOOKUP(Datos_Origen[[#This Row],[Categoria]],Competitividad_1[#All],9,0)*IndiceIncrementoC,-3)</f>
        <v>8067000</v>
      </c>
      <c r="CJ90" s="161">
        <f>Datos_Origen[[#This Row],[G+V]]/Datos_Origen[[#This Row],[G+VQ3]]</f>
        <v>0.66396452708565767</v>
      </c>
      <c r="CK90" s="155">
        <f>ROUNDUP(VLOOKUP(Datos_Origen[[#This Row],[Categoria]],Competitividad_1[#All],10,0)*IndiceIncrementoC,-3)</f>
        <v>8258000</v>
      </c>
      <c r="CL90" s="161">
        <f>Datos_Origen[[#This Row],[CT]]/Datos_Origen[[#This Row],[CTQ3]]</f>
        <v>0.64860763380963926</v>
      </c>
      <c r="CM90" s="162">
        <f>IF(ROUND(Datos_Origen[[#This Row],[Salario Ordinario Pol2]],-3)&lt;SMMLV,SMMLV,ROUND(Datos_Origen[[#This Row],[Salario Ordinario Pol2]],-3))</f>
        <v>5206000</v>
      </c>
      <c r="CN90" s="155">
        <f>IF(Datos_Origen[[#This Row],[Gpol]]/(1+FactorPrestacionalOrdinario)&lt;SMMLV,SMMLV,Datos_Origen[[#This Row],[Gpol]]/(1+FactorPrestacionalOrdinario))</f>
        <v>6507365.4390934836</v>
      </c>
      <c r="CO90" s="161">
        <f>IFERROR(IF(Datos_Origen[[#This Row],[Salarios Año]]=14.12,Datos_Origen[[#This Row],[Básico]]/Datos_Origen[[#This Row],[Salario Ordinario Pol]],""),"")</f>
        <v>0.69951504070349579</v>
      </c>
      <c r="CP90" s="155">
        <f>IF(ROUND(Datos_Origen[[#This Row],[Salario Ordinario Pol22]],-3)&lt;SMMLV,SMMLV,ROUND(Datos_Origen[[#This Row],[Salario Ordinario Pol22]],-3))</f>
        <v>7809000</v>
      </c>
      <c r="CQ90" s="155" t="str">
        <f>IFERROR(ROUND(Datos_Origen[[#This Row],[Salario Integral Pol4]],-3),"")</f>
        <v/>
      </c>
      <c r="CR90" s="139" t="str">
        <f>IF((Datos_Origen[[#This Row],[Gpol]]/(1+FactorPrestacionalIntegral))&lt;(13*SMMLV),"",(Datos_Origen[[#This Row],[Gpol]]/(1+FactorPrestacionalIntegral)))</f>
        <v/>
      </c>
      <c r="CS90" s="161" t="str">
        <f>IFERROR(IF(Datos_Origen[[#This Row],[Salarios Año]]=12,Datos_Origen[[#This Row],[Básico]]/Datos_Origen[[#This Row],[Salario Integral Pol]],""),"")</f>
        <v/>
      </c>
      <c r="CT90" s="155" t="str">
        <f>IFERROR(ROUND(Datos_Origen[[#This Row],[Salario Integral Pol44]],-3),"")</f>
        <v/>
      </c>
      <c r="CU90" s="155">
        <f>Datos_Origen[[#This Row],[G+Vpol]]-Datos_Origen[[#This Row],[Variable]]</f>
        <v>7657000</v>
      </c>
      <c r="CV90" s="161">
        <f>Datos_Origen[[#This Row],[G]]/Datos_Origen[[#This Row],[Gpol]]</f>
        <v>0.69951702233250634</v>
      </c>
      <c r="CW90" s="154">
        <f>Datos_Origen[[#This Row],[Ctpol]]-Datos_Origen[[#This Row],[Beneficios]]</f>
        <v>7657000</v>
      </c>
      <c r="CX90" s="161">
        <f>Datos_Origen[[#This Row],[G+V]]/Datos_Origen[[#This Row],[G+Vpol]]</f>
        <v>0.69951702233250634</v>
      </c>
      <c r="CY90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7657000</v>
      </c>
      <c r="CZ90" s="161">
        <f>Datos_Origen[[#This Row],[CT]]/Datos_Origen[[#This Row],[Ctpol]]</f>
        <v>0.69951702233250634</v>
      </c>
      <c r="DA90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4552000</v>
      </c>
      <c r="DB90" s="158">
        <f>IF(Datos_Origen[[#This Row],[Básico]]&lt;10*SMMLV,0,Datos_Origen[[#This Row],[Base Seguridad Social Actual]]*8.5%)</f>
        <v>0</v>
      </c>
      <c r="DC90" s="158">
        <f>Datos_Origen[[#This Row],[Base Seguridad Social Actual]]*12%</f>
        <v>546240</v>
      </c>
      <c r="DD90" s="158">
        <f>Datos_Origen[[#This Row],[Base Seguridad Social Actual]]*Datos_Origen[[#This Row],[%ARL]]</f>
        <v>23761.439999999999</v>
      </c>
      <c r="DE90" s="158">
        <f>IF(Datos_Origen[[#This Row],[Básico]]&lt;10*SMMLV,Datos_Origen[[#This Row],[Base Seguridad Social Actual]]*4%,Datos_Origen[[#This Row],[Base Seguridad Social Actual]]*9%)</f>
        <v>182080</v>
      </c>
      <c r="DF90" s="158">
        <f>Datos_Origen[[#This Row],[Salud]]+Datos_Origen[[#This Row],[Pensión]]+Datos_Origen[[#This Row],[ARL]]+Datos_Origen[[#This Row],[Parafiscales]]</f>
        <v>752081.44</v>
      </c>
      <c r="DG90" s="163">
        <f>Datos_Origen[[#This Row],[Costo Laboral Actual]]+Datos_Origen[[#This Row],[CT]]</f>
        <v>6108283.2800000012</v>
      </c>
      <c r="DH90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6507365.4390934836</v>
      </c>
      <c r="DI90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90" s="158">
        <f>Datos_Origen[[#This Row],[Base Seguridad Social Nueva]]*12%</f>
        <v>780883.85269121802</v>
      </c>
      <c r="DK90" s="158">
        <f>Datos_Origen[[#This Row],[Base Seguridad Social Nueva]]*Datos_Origen[[#This Row],[%ARL]]</f>
        <v>33968.447592067983</v>
      </c>
      <c r="DL90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260294.61756373936</v>
      </c>
      <c r="DM90" s="158">
        <f>Datos_Origen[[#This Row],[Salud Nueva]]+Datos_Origen[[#This Row],[Pensión Nueva]]+Datos_Origen[[#This Row],[ARL nueva]]+Datos_Origen[[#This Row],[Parafiscales Nuevos]]</f>
        <v>1075146.9178470254</v>
      </c>
      <c r="DN90" s="158">
        <f>Datos_Origen[[#This Row],[Costo Laboral Nuevo]]+Datos_Origen[[#This Row],[Ctpol]]</f>
        <v>8732146.9178470261</v>
      </c>
      <c r="DO90" s="158">
        <f>IF(Datos_Origen[[#This Row],[Ctpol]]-Datos_Origen[[#This Row],[CT]]&lt;=0,0,Datos_Origen[[#This Row],[Costo Total Nuevo]]-Datos_Origen[[#This Row],[Costo Total Actual]])</f>
        <v>2623863.6378470249</v>
      </c>
      <c r="DP90" s="158">
        <f>IF(Datos_Origen[[#This Row],[Ctpol]]-Datos_Origen[[#This Row],[CT]]&lt;=0,0,Datos_Origen[[#This Row],[Ctpol]]-Datos_Origen[[#This Row],[CT]])</f>
        <v>2300798.1599999992</v>
      </c>
      <c r="DQ90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323065.4778470255</v>
      </c>
      <c r="DR90" s="158">
        <f>ROUNDDOWN(VLOOKUP(Datos_Origen[[#This Row],[Categoria]],Competitividad_1[],7,0)*IndiceIncrementoC,-3)</f>
        <v>7656000</v>
      </c>
      <c r="DS90" s="158">
        <f>Datos_Origen[[#This Row],[CTeq]]*0.8</f>
        <v>3981337.6866118261</v>
      </c>
      <c r="DT90" s="158">
        <f>Datos_Origen[[#This Row],[CTeq]]*1.2</f>
        <v>5972006.5299177384</v>
      </c>
      <c r="DU90" s="155">
        <f>IF(Datos_Origen[[#This Row],[Gpol6]]/(1+FactorPrestacionalOrdinario)&lt;SMMLV,SMMLV,Datos_Origen[[#This Row],[Gpol6]]/(1+FactorPrestacionalOrdinario))</f>
        <v>5205892.3512747874</v>
      </c>
      <c r="DV90" s="139" t="str">
        <f>IF((Datos_Origen[[#This Row],[Gpol6]]/(1+FactorPrestacionalIntegral))&lt;(13*SMMLV),"",(Datos_Origen[[#This Row],[Gpol6]]/(1+FactorPrestacionalIntegral)))</f>
        <v/>
      </c>
      <c r="DW90" s="154">
        <f>Datos_Origen[[#This Row],[G+Vpol8]]</f>
        <v>6125600</v>
      </c>
      <c r="DX90" s="154">
        <f>Datos_Origen[[#This Row],[Ctpol10]]-Datos_Origen[[#This Row],[Beneficios]]</f>
        <v>6125600</v>
      </c>
      <c r="DY90" s="154">
        <f>Datos_Origen[[#This Row],[Ctpol]]*$CM$6</f>
        <v>6125600</v>
      </c>
      <c r="DZ90" s="155">
        <f>IF(Datos_Origen[[#This Row],[Gpol66]]/(1+FactorPrestacionalOrdinario)&lt;SMMLV,SMMLV,Datos_Origen[[#This Row],[Gpol66]]/(1+FactorPrestacionalOrdinario))</f>
        <v>7808838.5269121807</v>
      </c>
      <c r="EA90" s="139" t="str">
        <f>IF((Datos_Origen[[#This Row],[Gpol66]]/(1+FactorPrestacionalIntegral))&lt;(13*SMMLV),"",(Datos_Origen[[#This Row],[Gpol66]]/(1+FactorPrestacionalIntegral)))</f>
        <v/>
      </c>
      <c r="EB90" s="154">
        <f>Datos_Origen[[#This Row],[G+Vpol88]]</f>
        <v>9188400</v>
      </c>
      <c r="EC90" s="154">
        <f>Datos_Origen[[#This Row],[Ctpol1010]]-Datos_Origen[[#This Row],[Beneficios]]</f>
        <v>9188400</v>
      </c>
      <c r="ED90" s="154">
        <f>Datos_Origen[[#This Row],[Ctpol]]*$CP$6</f>
        <v>9188400</v>
      </c>
      <c r="EE90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91" spans="2:135">
      <c r="B91" s="132"/>
      <c r="C91" s="149"/>
      <c r="D91" s="150"/>
      <c r="E91" s="151"/>
      <c r="F91" s="151"/>
      <c r="G91" s="150" t="s">
        <v>320</v>
      </c>
      <c r="H91" s="153"/>
      <c r="I91" s="152" t="s">
        <v>320</v>
      </c>
      <c r="J91" s="130" t="str">
        <f>IFERROR(VLOOKUP(Datos_Origen[[#This Row],[Cargo Tipo Valorado]],Cargos_Catalogo[[#All],[Cargo]:[Área]],2,0),"")</f>
        <v xml:space="preserve">Director de gestón humana </v>
      </c>
      <c r="K91" s="153"/>
      <c r="L91" s="153"/>
      <c r="M91" s="153"/>
      <c r="N91" s="153"/>
      <c r="O91" s="154">
        <f>Datos_Origen[[#This Row],[Segmentación Individual]]</f>
        <v>0</v>
      </c>
      <c r="P91" s="153"/>
      <c r="Q91" s="154">
        <f>VLOOKUP(Datos_Origen[[#This Row],[Cargo Tipo Valorado]],Cargos_Catalogo[#Data],MATCH(Cargos_Catalogo[[#Headers],[Puntos]],Cargos_Catalogo[#Headers],0),FALSE)</f>
        <v>384</v>
      </c>
      <c r="R91" s="130">
        <f>VLOOKUP(Datos_Origen[[#This Row],[Puntos valoración]],Categorias_Registro[#Data],MATCH(Categorias_Registro[[#Headers],[Categoria]],Categorias_Registro[#Headers],0),FALSE)</f>
        <v>11</v>
      </c>
      <c r="S91" s="130" t="str">
        <f>VLOOKUP(Datos_Origen[[#This Row],[Cargo Tipo Valorado]],Cargos_Catalogo[#Data],MATCH(Cargos_Catalogo[[#Headers],[Nivel SHR]],Cargos_Catalogo[#Headers],0),FALSE)</f>
        <v>Táctico</v>
      </c>
      <c r="T91" s="130" t="str">
        <f>VLOOKUP(Datos_Origen[[#This Row],[Cargo Tipo Valorado]],Cargos_Catalogo[#Data],MATCH(Cargos_Catalogo[[#Headers],[Criticidad]],Cargos_Catalogo[#Headers],0),FALSE)</f>
        <v>Relevante</v>
      </c>
      <c r="U91" s="154">
        <f>VLOOKUP(Datos_Origen[[#This Row],[Puntos valoración]],Categorias_Registro[#Data],5,FALSE)</f>
        <v>379</v>
      </c>
      <c r="V91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4457225.96</v>
      </c>
      <c r="W91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91" s="154">
        <f>SUMIF($BA$5:$BJ$5,"NCS",Datos_Origen[[#This Row],[auxilio Gasolina]:[Otro Beneficio10]])+(SUMIF($BA$5:$BJ$5,"CS",Datos_Origen[[#This Row],[auxilio Gasolina]:[Otro Beneficio10]])*1.17667)</f>
        <v>0</v>
      </c>
      <c r="Y91" s="155">
        <f>Datos_Origen[[#This Row],[Básico]]+Datos_Origen[[#This Row],[Promedio de Comisiones  ]]</f>
        <v>3788000</v>
      </c>
      <c r="Z91" s="155">
        <f>Datos_Origen[[#This Row],[Básico]]+Datos_Origen[[#This Row],[Promedio de Comisiones  ]]</f>
        <v>3788000</v>
      </c>
      <c r="AA91" s="155">
        <f>Datos_Origen[[#This Row],[Garantizado]]</f>
        <v>4457225.96</v>
      </c>
      <c r="AB91" s="155">
        <f>Datos_Origen[[#This Row],[Variable]]+Datos_Origen[[#This Row],[Garantizado]]</f>
        <v>4457225.96</v>
      </c>
      <c r="AC91" s="155">
        <f>Datos_Origen[[#This Row],[Beneficios]]+Datos_Origen[[#This Row],[Variable]]+Datos_Origen[[#This Row],[Garantizado]]</f>
        <v>4457225.96</v>
      </c>
      <c r="AD91" s="156">
        <v>14.12</v>
      </c>
      <c r="AE91" s="141">
        <v>230</v>
      </c>
      <c r="AF91" s="345">
        <v>5.2199999999999998E-3</v>
      </c>
      <c r="AG91" s="155">
        <f>Datos_Origen[[#This Row],[Básico Actual]]*230/Datos_Origen[[#This Row],['# horas mes]]</f>
        <v>3788000</v>
      </c>
      <c r="AH91" s="157">
        <v>3788000</v>
      </c>
      <c r="AI91" s="158"/>
      <c r="AJ91" s="158">
        <f>(((Datos_Origen[[#This Row],[Básico]])/30)*$AJ$6)/12</f>
        <v>0</v>
      </c>
      <c r="AK91" s="158"/>
      <c r="AL91" s="143">
        <f>((Datos_Origen[[#This Row],[Básico]])/30)*$AL$6/12</f>
        <v>0</v>
      </c>
      <c r="AM91" s="158"/>
      <c r="AN91" s="158"/>
      <c r="AO91" s="158"/>
      <c r="AP91" s="158"/>
      <c r="AQ91" s="158"/>
      <c r="AR91" s="149">
        <v>0</v>
      </c>
      <c r="AS91" s="149"/>
      <c r="AT91" s="159" t="str">
        <f>IFERROR(Datos_Origen[[#This Row],[Comisiones Target]]/Datos_Origen[[#This Row],[Promedio de Comisiones  ]],"")</f>
        <v/>
      </c>
      <c r="AU91" s="160"/>
      <c r="AV91" s="143">
        <v>0</v>
      </c>
      <c r="AW91" s="160"/>
      <c r="AX91" s="143">
        <f>Datos_Origen[[#This Row],[N Salarios de la Bonificación2]]*Datos_Origen[[#This Row],[Básico]]/12</f>
        <v>0</v>
      </c>
      <c r="AY91" s="160"/>
      <c r="AZ91" s="158"/>
      <c r="BA91" s="149">
        <v>0</v>
      </c>
      <c r="BB91" s="149"/>
      <c r="BC91" s="149"/>
      <c r="BD91" s="149"/>
      <c r="BE91" s="149"/>
      <c r="BF91" s="149"/>
      <c r="BG91" s="149"/>
      <c r="BH91" s="149"/>
      <c r="BI91" s="149"/>
      <c r="BJ91" s="149"/>
      <c r="BK91" s="159">
        <f>IFERROR(Datos_Origen[[#This Row],[Variable]]/Datos_Origen[[#This Row],[CT]],"")</f>
        <v>0</v>
      </c>
      <c r="BL91" s="159">
        <f>IFERROR(Datos_Origen[[#This Row],[Beneficios]]/Datos_Origen[[#This Row],[CT]],"")</f>
        <v>0</v>
      </c>
      <c r="BM91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4674516.2048216574</v>
      </c>
      <c r="BN91" s="161">
        <f>Datos_Origen[[#This Row],[G]]/Datos_Origen[[#This Row],[Geq]]</f>
        <v>0.95351599282134747</v>
      </c>
      <c r="BO91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4976340.5769949695</v>
      </c>
      <c r="BP91" s="161">
        <f>Datos_Origen[[#This Row],[G+V]]/Datos_Origen[[#This Row],[G+Veq]]</f>
        <v>0.89568346278492783</v>
      </c>
      <c r="BQ91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4976672.1082647825</v>
      </c>
      <c r="BR91" s="161">
        <f>Datos_Origen[[#This Row],[CT]]/Datos_Origen[[#This Row],[CTeq]]</f>
        <v>0.89562379498497879</v>
      </c>
      <c r="BS91" s="139">
        <f>ROUNDUP(VLOOKUP(Datos_Origen[[#This Row],[Categoria]],Competitividad_1[#All],2,0)*IndiceIncrementoC,-3)</f>
        <v>4750000</v>
      </c>
      <c r="BT91" s="161">
        <f>Datos_Origen[[#This Row],[G]]/Datos_Origen[[#This Row],[GQ1]]</f>
        <v>0.93836335999999998</v>
      </c>
      <c r="BU91" s="155">
        <f>ROUNDUP(VLOOKUP(Datos_Origen[[#This Row],[Categoria]],Competitividad_1[#All],3,0)*IndiceIncrementoC,-3)</f>
        <v>4888000</v>
      </c>
      <c r="BV91" s="161">
        <f>Datos_Origen[[#This Row],[G+V]]/Datos_Origen[[#This Row],[G+VQ1]]</f>
        <v>0.9118711047463175</v>
      </c>
      <c r="BW91" s="155">
        <f>ROUNDUP(VLOOKUP(Datos_Origen[[#This Row],[Categoria]],Competitividad_1[#All],4,0)*IndiceIncrementoC,-3)</f>
        <v>5109000</v>
      </c>
      <c r="BX91" s="161">
        <f>Datos_Origen[[#This Row],[CT]]/Datos_Origen[[#This Row],[CTQ1]]</f>
        <v>0.87242629868858879</v>
      </c>
      <c r="BY91" s="155">
        <f>ROUNDUP(VLOOKUP(Datos_Origen[[#This Row],[Categoria]],Competitividad_1[#All],5,0)*IndiceIncrementoC,-3)</f>
        <v>7139000</v>
      </c>
      <c r="BZ91" s="161">
        <f>Datos_Origen[[#This Row],[G]]/Datos_Origen[[#This Row],[GMd]]</f>
        <v>0.62434878274268102</v>
      </c>
      <c r="CA91" s="155">
        <f>ROUNDUP(VLOOKUP(Datos_Origen[[#This Row],[Categoria]],Competitividad_1[#All],6,0)*IndiceIncrementoC,-3)</f>
        <v>7348000</v>
      </c>
      <c r="CB91" s="161">
        <f>Datos_Origen[[#This Row],[G+V]]/Datos_Origen[[#This Row],[G+VMd]]</f>
        <v>0.60659035928143712</v>
      </c>
      <c r="CC91" s="155">
        <f>ROUNDUP(VLOOKUP(Datos_Origen[[#This Row],[Categoria]],Competitividad_1[#All],7,0)*IndiceIncrementoC,-3)</f>
        <v>7657000</v>
      </c>
      <c r="CD91" s="161">
        <f>Datos_Origen[[#This Row],[CT]]/Datos_Origen[[#This Row],[CTMd]]</f>
        <v>0.58211126550868486</v>
      </c>
      <c r="CE91" s="155">
        <f>+Datos_Origen[[#This Row],[GMd]]/1.17666666667</f>
        <v>6067138.810181112</v>
      </c>
      <c r="CF91" s="161">
        <f>+Datos_Origen[[#This Row],[Básico Actual]]/Datos_Origen[[#This Row],[Salario Basico Md]]</f>
        <v>0.62434701405602477</v>
      </c>
      <c r="CG91" s="155">
        <f>ROUNDUP(VLOOKUP(Datos_Origen[[#This Row],[Categoria]],Competitividad_1[#All],8,0)*IndiceIncrementoC,-3)</f>
        <v>7858000</v>
      </c>
      <c r="CH91" s="161">
        <f>Datos_Origen[[#This Row],[G]]/Datos_Origen[[#This Row],[GQ3]]</f>
        <v>0.56722142529905828</v>
      </c>
      <c r="CI91" s="155">
        <f>ROUNDUP(VLOOKUP(Datos_Origen[[#This Row],[Categoria]],Competitividad_1[#All],9,0)*IndiceIncrementoC,-3)</f>
        <v>8067000</v>
      </c>
      <c r="CJ91" s="161">
        <f>Datos_Origen[[#This Row],[G+V]]/Datos_Origen[[#This Row],[G+VQ3]]</f>
        <v>0.55252584108094704</v>
      </c>
      <c r="CK91" s="155">
        <f>ROUNDUP(VLOOKUP(Datos_Origen[[#This Row],[Categoria]],Competitividad_1[#All],10,0)*IndiceIncrementoC,-3)</f>
        <v>8258000</v>
      </c>
      <c r="CL91" s="161">
        <f>Datos_Origen[[#This Row],[CT]]/Datos_Origen[[#This Row],[CTQ3]]</f>
        <v>0.5397464228626786</v>
      </c>
      <c r="CM91" s="162">
        <f>IF(ROUND(Datos_Origen[[#This Row],[Salario Ordinario Pol2]],-3)&lt;SMMLV,SMMLV,ROUND(Datos_Origen[[#This Row],[Salario Ordinario Pol2]],-3))</f>
        <v>4686000</v>
      </c>
      <c r="CN91" s="155">
        <f>IF(Datos_Origen[[#This Row],[Gpol]]/(1+FactorPrestacionalOrdinario)&lt;SMMLV,SMMLV,Datos_Origen[[#This Row],[Gpol]]/(1+FactorPrestacionalOrdinario))</f>
        <v>5857223.7960339943</v>
      </c>
      <c r="CO91" s="161">
        <f>IFERROR(IF(Datos_Origen[[#This Row],[Salarios Año]]=14.12,Datos_Origen[[#This Row],[Básico]]/Datos_Origen[[#This Row],[Salario Ordinario Pol]],""),"")</f>
        <v>0.64672277036177206</v>
      </c>
      <c r="CP91" s="155">
        <f>IF(ROUND(Datos_Origen[[#This Row],[Salario Ordinario Pol22]],-3)&lt;SMMLV,SMMLV,ROUND(Datos_Origen[[#This Row],[Salario Ordinario Pol22]],-3))</f>
        <v>7029000</v>
      </c>
      <c r="CQ91" s="155" t="str">
        <f>IFERROR(ROUND(Datos_Origen[[#This Row],[Salario Integral Pol4]],-3),"")</f>
        <v/>
      </c>
      <c r="CR91" s="139" t="str">
        <f>IF((Datos_Origen[[#This Row],[Gpol]]/(1+FactorPrestacionalIntegral))&lt;(13*SMMLV),"",(Datos_Origen[[#This Row],[Gpol]]/(1+FactorPrestacionalIntegral)))</f>
        <v/>
      </c>
      <c r="CS91" s="161" t="str">
        <f>IFERROR(IF(Datos_Origen[[#This Row],[Salarios Año]]=12,Datos_Origen[[#This Row],[Básico]]/Datos_Origen[[#This Row],[Salario Integral Pol]],""),"")</f>
        <v/>
      </c>
      <c r="CT91" s="155" t="str">
        <f>IFERROR(ROUND(Datos_Origen[[#This Row],[Salario Integral Pol44]],-3),"")</f>
        <v/>
      </c>
      <c r="CU91" s="155">
        <f>Datos_Origen[[#This Row],[G+Vpol]]-Datos_Origen[[#This Row],[Variable]]</f>
        <v>6892000</v>
      </c>
      <c r="CV91" s="161">
        <f>Datos_Origen[[#This Row],[G]]/Datos_Origen[[#This Row],[Gpol]]</f>
        <v>0.64672460243760876</v>
      </c>
      <c r="CW91" s="154">
        <f>Datos_Origen[[#This Row],[Ctpol]]-Datos_Origen[[#This Row],[Beneficios]]</f>
        <v>6892000</v>
      </c>
      <c r="CX91" s="161">
        <f>Datos_Origen[[#This Row],[G+V]]/Datos_Origen[[#This Row],[G+Vpol]]</f>
        <v>0.64672460243760876</v>
      </c>
      <c r="CY91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6892000</v>
      </c>
      <c r="CZ91" s="161">
        <f>Datos_Origen[[#This Row],[CT]]/Datos_Origen[[#This Row],[Ctpol]]</f>
        <v>0.64672460243760876</v>
      </c>
      <c r="DA91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3788000</v>
      </c>
      <c r="DB91" s="158">
        <f>IF(Datos_Origen[[#This Row],[Básico]]&lt;10*SMMLV,0,Datos_Origen[[#This Row],[Base Seguridad Social Actual]]*8.5%)</f>
        <v>0</v>
      </c>
      <c r="DC91" s="158">
        <f>Datos_Origen[[#This Row],[Base Seguridad Social Actual]]*12%</f>
        <v>454560</v>
      </c>
      <c r="DD91" s="158">
        <f>Datos_Origen[[#This Row],[Base Seguridad Social Actual]]*Datos_Origen[[#This Row],[%ARL]]</f>
        <v>19773.36</v>
      </c>
      <c r="DE91" s="158">
        <f>IF(Datos_Origen[[#This Row],[Básico]]&lt;10*SMMLV,Datos_Origen[[#This Row],[Base Seguridad Social Actual]]*4%,Datos_Origen[[#This Row],[Base Seguridad Social Actual]]*9%)</f>
        <v>151520</v>
      </c>
      <c r="DF91" s="158">
        <f>Datos_Origen[[#This Row],[Salud]]+Datos_Origen[[#This Row],[Pensión]]+Datos_Origen[[#This Row],[ARL]]+Datos_Origen[[#This Row],[Parafiscales]]</f>
        <v>625853.36</v>
      </c>
      <c r="DG91" s="163">
        <f>Datos_Origen[[#This Row],[Costo Laboral Actual]]+Datos_Origen[[#This Row],[CT]]</f>
        <v>5083079.32</v>
      </c>
      <c r="DH91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5857223.7960339943</v>
      </c>
      <c r="DI91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91" s="158">
        <f>Datos_Origen[[#This Row],[Base Seguridad Social Nueva]]*12%</f>
        <v>702866.85552407929</v>
      </c>
      <c r="DK91" s="158">
        <f>Datos_Origen[[#This Row],[Base Seguridad Social Nueva]]*Datos_Origen[[#This Row],[%ARL]]</f>
        <v>30574.708215297451</v>
      </c>
      <c r="DL91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234288.95184135978</v>
      </c>
      <c r="DM91" s="158">
        <f>Datos_Origen[[#This Row],[Salud Nueva]]+Datos_Origen[[#This Row],[Pensión Nueva]]+Datos_Origen[[#This Row],[ARL nueva]]+Datos_Origen[[#This Row],[Parafiscales Nuevos]]</f>
        <v>967730.51558073657</v>
      </c>
      <c r="DN91" s="158">
        <f>Datos_Origen[[#This Row],[Costo Laboral Nuevo]]+Datos_Origen[[#This Row],[Ctpol]]</f>
        <v>7859730.5155807361</v>
      </c>
      <c r="DO91" s="158">
        <f>IF(Datos_Origen[[#This Row],[Ctpol]]-Datos_Origen[[#This Row],[CT]]&lt;=0,0,Datos_Origen[[#This Row],[Costo Total Nuevo]]-Datos_Origen[[#This Row],[Costo Total Actual]])</f>
        <v>2776651.1955807358</v>
      </c>
      <c r="DP91" s="158">
        <f>IF(Datos_Origen[[#This Row],[Ctpol]]-Datos_Origen[[#This Row],[CT]]&lt;=0,0,Datos_Origen[[#This Row],[Ctpol]]-Datos_Origen[[#This Row],[CT]])</f>
        <v>2434774.04</v>
      </c>
      <c r="DQ91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341877.15558073658</v>
      </c>
      <c r="DR91" s="158">
        <f>ROUNDDOWN(VLOOKUP(Datos_Origen[[#This Row],[Categoria]],Competitividad_1[],7,0)*IndiceIncrementoC,-3)</f>
        <v>7656000</v>
      </c>
      <c r="DS91" s="158">
        <f>Datos_Origen[[#This Row],[CTeq]]*0.8</f>
        <v>3981337.6866118261</v>
      </c>
      <c r="DT91" s="158">
        <f>Datos_Origen[[#This Row],[CTeq]]*1.2</f>
        <v>5972006.5299177384</v>
      </c>
      <c r="DU91" s="155">
        <f>IF(Datos_Origen[[#This Row],[Gpol6]]/(1+FactorPrestacionalOrdinario)&lt;SMMLV,SMMLV,Datos_Origen[[#This Row],[Gpol6]]/(1+FactorPrestacionalOrdinario))</f>
        <v>4685779.0368271954</v>
      </c>
      <c r="DV91" s="139" t="str">
        <f>IF((Datos_Origen[[#This Row],[Gpol6]]/(1+FactorPrestacionalIntegral))&lt;(13*SMMLV),"",(Datos_Origen[[#This Row],[Gpol6]]/(1+FactorPrestacionalIntegral)))</f>
        <v/>
      </c>
      <c r="DW91" s="154">
        <f>Datos_Origen[[#This Row],[G+Vpol8]]</f>
        <v>5513600</v>
      </c>
      <c r="DX91" s="154">
        <f>Datos_Origen[[#This Row],[Ctpol10]]-Datos_Origen[[#This Row],[Beneficios]]</f>
        <v>5513600</v>
      </c>
      <c r="DY91" s="154">
        <f>Datos_Origen[[#This Row],[Ctpol]]*$CM$6</f>
        <v>5513600</v>
      </c>
      <c r="DZ91" s="155">
        <f>IF(Datos_Origen[[#This Row],[Gpol66]]/(1+FactorPrestacionalOrdinario)&lt;SMMLV,SMMLV,Datos_Origen[[#This Row],[Gpol66]]/(1+FactorPrestacionalOrdinario))</f>
        <v>7028668.5552407932</v>
      </c>
      <c r="EA91" s="139" t="str">
        <f>IF((Datos_Origen[[#This Row],[Gpol66]]/(1+FactorPrestacionalIntegral))&lt;(13*SMMLV),"",(Datos_Origen[[#This Row],[Gpol66]]/(1+FactorPrestacionalIntegral)))</f>
        <v/>
      </c>
      <c r="EB91" s="154">
        <f>Datos_Origen[[#This Row],[G+Vpol88]]</f>
        <v>8270400</v>
      </c>
      <c r="EC91" s="154">
        <f>Datos_Origen[[#This Row],[Ctpol1010]]-Datos_Origen[[#This Row],[Beneficios]]</f>
        <v>8270400</v>
      </c>
      <c r="ED91" s="154">
        <f>Datos_Origen[[#This Row],[Ctpol]]*$CP$6</f>
        <v>8270400</v>
      </c>
      <c r="EE91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92" spans="2:135">
      <c r="B92" s="148"/>
      <c r="C92" s="149"/>
      <c r="D92" s="150"/>
      <c r="E92" s="151"/>
      <c r="F92" s="151"/>
      <c r="G92" s="150" t="s">
        <v>311</v>
      </c>
      <c r="H92" s="153"/>
      <c r="I92" s="152" t="s">
        <v>311</v>
      </c>
      <c r="J92" s="130" t="str">
        <f>IFERROR(VLOOKUP(Datos_Origen[[#This Row],[Cargo Tipo Valorado]],Cargos_Catalogo[[#All],[Cargo]:[Área]],2,0),"")</f>
        <v xml:space="preserve">Director de producción </v>
      </c>
      <c r="K92" s="153"/>
      <c r="L92" s="153"/>
      <c r="M92" s="153"/>
      <c r="N92" s="153"/>
      <c r="O92" s="154">
        <f>Datos_Origen[[#This Row],[Segmentación Individual]]</f>
        <v>0</v>
      </c>
      <c r="P92" s="153"/>
      <c r="Q92" s="154">
        <f>VLOOKUP(Datos_Origen[[#This Row],[Cargo Tipo Valorado]],Cargos_Catalogo[#Data],MATCH(Cargos_Catalogo[[#Headers],[Puntos]],Cargos_Catalogo[#Headers],0),FALSE)</f>
        <v>396</v>
      </c>
      <c r="R92" s="130">
        <f>VLOOKUP(Datos_Origen[[#This Row],[Puntos valoración]],Categorias_Registro[#Data],MATCH(Categorias_Registro[[#Headers],[Categoria]],Categorias_Registro[#Headers],0),FALSE)</f>
        <v>11</v>
      </c>
      <c r="S92" s="130" t="str">
        <f>VLOOKUP(Datos_Origen[[#This Row],[Cargo Tipo Valorado]],Cargos_Catalogo[#Data],MATCH(Cargos_Catalogo[[#Headers],[Nivel SHR]],Cargos_Catalogo[#Headers],0),FALSE)</f>
        <v>Táctico</v>
      </c>
      <c r="T92" s="130" t="str">
        <f>VLOOKUP(Datos_Origen[[#This Row],[Cargo Tipo Valorado]],Cargos_Catalogo[#Data],MATCH(Cargos_Catalogo[[#Headers],[Criticidad]],Cargos_Catalogo[#Headers],0),FALSE)</f>
        <v>Importante</v>
      </c>
      <c r="U92" s="154">
        <f>VLOOKUP(Datos_Origen[[#This Row],[Puntos valoración]],Categorias_Registro[#Data],5,FALSE)</f>
        <v>379</v>
      </c>
      <c r="V92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4745510.1100000003</v>
      </c>
      <c r="W92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92" s="154">
        <f>SUMIF($BA$5:$BJ$5,"NCS",Datos_Origen[[#This Row],[auxilio Gasolina]:[Otro Beneficio10]])+(SUMIF($BA$5:$BJ$5,"CS",Datos_Origen[[#This Row],[auxilio Gasolina]:[Otro Beneficio10]])*1.17667)</f>
        <v>0</v>
      </c>
      <c r="Y92" s="155">
        <f>Datos_Origen[[#This Row],[Básico]]+Datos_Origen[[#This Row],[Promedio de Comisiones  ]]</f>
        <v>4033000</v>
      </c>
      <c r="Z92" s="155">
        <f>Datos_Origen[[#This Row],[Básico]]+Datos_Origen[[#This Row],[Promedio de Comisiones  ]]</f>
        <v>4033000</v>
      </c>
      <c r="AA92" s="155">
        <f>Datos_Origen[[#This Row],[Garantizado]]</f>
        <v>4745510.1100000003</v>
      </c>
      <c r="AB92" s="155">
        <f>Datos_Origen[[#This Row],[Variable]]+Datos_Origen[[#This Row],[Garantizado]]</f>
        <v>4745510.1100000003</v>
      </c>
      <c r="AC92" s="155">
        <f>Datos_Origen[[#This Row],[Beneficios]]+Datos_Origen[[#This Row],[Variable]]+Datos_Origen[[#This Row],[Garantizado]]</f>
        <v>4745510.1100000003</v>
      </c>
      <c r="AD92" s="156">
        <v>14.12</v>
      </c>
      <c r="AE92" s="141">
        <v>230</v>
      </c>
      <c r="AF92" s="345">
        <v>4.3499999999999997E-2</v>
      </c>
      <c r="AG92" s="155">
        <f>Datos_Origen[[#This Row],[Básico Actual]]*230/Datos_Origen[[#This Row],['# horas mes]]</f>
        <v>4033000</v>
      </c>
      <c r="AH92" s="157">
        <v>4033000</v>
      </c>
      <c r="AI92" s="158"/>
      <c r="AJ92" s="158">
        <f>(((Datos_Origen[[#This Row],[Básico]])/30)*$AJ$6)/12</f>
        <v>0</v>
      </c>
      <c r="AK92" s="158"/>
      <c r="AL92" s="143">
        <f>((Datos_Origen[[#This Row],[Básico]])/30)*$AL$6/12</f>
        <v>0</v>
      </c>
      <c r="AM92" s="158"/>
      <c r="AN92" s="158"/>
      <c r="AO92" s="158"/>
      <c r="AP92" s="158"/>
      <c r="AQ92" s="158"/>
      <c r="AR92" s="149">
        <v>0</v>
      </c>
      <c r="AS92" s="149"/>
      <c r="AT92" s="159" t="str">
        <f>IFERROR(Datos_Origen[[#This Row],[Comisiones Target]]/Datos_Origen[[#This Row],[Promedio de Comisiones  ]],"")</f>
        <v/>
      </c>
      <c r="AU92" s="160"/>
      <c r="AV92" s="143">
        <v>0</v>
      </c>
      <c r="AW92" s="160"/>
      <c r="AX92" s="143">
        <f>Datos_Origen[[#This Row],[N Salarios de la Bonificación2]]*Datos_Origen[[#This Row],[Básico]]/12</f>
        <v>0</v>
      </c>
      <c r="AY92" s="160"/>
      <c r="AZ92" s="158"/>
      <c r="BA92" s="149">
        <v>0</v>
      </c>
      <c r="BB92" s="149"/>
      <c r="BC92" s="149"/>
      <c r="BD92" s="149"/>
      <c r="BE92" s="149"/>
      <c r="BF92" s="149"/>
      <c r="BG92" s="149"/>
      <c r="BH92" s="149"/>
      <c r="BI92" s="149"/>
      <c r="BJ92" s="149"/>
      <c r="BK92" s="159">
        <f>IFERROR(Datos_Origen[[#This Row],[Variable]]/Datos_Origen[[#This Row],[CT]],"")</f>
        <v>0</v>
      </c>
      <c r="BL92" s="159">
        <f>IFERROR(Datos_Origen[[#This Row],[Beneficios]]/Datos_Origen[[#This Row],[CT]],"")</f>
        <v>0</v>
      </c>
      <c r="BM92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4674516.2048216574</v>
      </c>
      <c r="BN92" s="161">
        <f>Datos_Origen[[#This Row],[G]]/Datos_Origen[[#This Row],[Geq]]</f>
        <v>1.0151874337509226</v>
      </c>
      <c r="BO92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4976340.5769949695</v>
      </c>
      <c r="BP92" s="161">
        <f>Datos_Origen[[#This Row],[G+V]]/Datos_Origen[[#This Row],[G+Veq]]</f>
        <v>0.95361441536737435</v>
      </c>
      <c r="BQ92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4976672.1082647825</v>
      </c>
      <c r="BR92" s="161">
        <f>Datos_Origen[[#This Row],[CT]]/Datos_Origen[[#This Row],[CTeq]]</f>
        <v>0.95355088837761881</v>
      </c>
      <c r="BS92" s="139">
        <f>ROUNDUP(VLOOKUP(Datos_Origen[[#This Row],[Categoria]],Competitividad_1[#All],2,0)*IndiceIncrementoC,-3)</f>
        <v>4750000</v>
      </c>
      <c r="BT92" s="161">
        <f>Datos_Origen[[#This Row],[G]]/Datos_Origen[[#This Row],[GQ1]]</f>
        <v>0.99905476000000004</v>
      </c>
      <c r="BU92" s="155">
        <f>ROUNDUP(VLOOKUP(Datos_Origen[[#This Row],[Categoria]],Competitividad_1[#All],3,0)*IndiceIncrementoC,-3)</f>
        <v>4888000</v>
      </c>
      <c r="BV92" s="161">
        <f>Datos_Origen[[#This Row],[G+V]]/Datos_Origen[[#This Row],[G+VQ1]]</f>
        <v>0.97084904050736509</v>
      </c>
      <c r="BW92" s="155">
        <f>ROUNDUP(VLOOKUP(Datos_Origen[[#This Row],[Categoria]],Competitividad_1[#All],4,0)*IndiceIncrementoC,-3)</f>
        <v>5109000</v>
      </c>
      <c r="BX92" s="161">
        <f>Datos_Origen[[#This Row],[CT]]/Datos_Origen[[#This Row],[CTQ1]]</f>
        <v>0.92885302603249176</v>
      </c>
      <c r="BY92" s="155">
        <f>ROUNDUP(VLOOKUP(Datos_Origen[[#This Row],[Categoria]],Competitividad_1[#All],5,0)*IndiceIncrementoC,-3)</f>
        <v>7139000</v>
      </c>
      <c r="BZ92" s="161">
        <f>Datos_Origen[[#This Row],[G]]/Datos_Origen[[#This Row],[GMd]]</f>
        <v>0.66473036979969191</v>
      </c>
      <c r="CA92" s="155">
        <f>ROUNDUP(VLOOKUP(Datos_Origen[[#This Row],[Categoria]],Competitividad_1[#All],6,0)*IndiceIncrementoC,-3)</f>
        <v>7348000</v>
      </c>
      <c r="CB92" s="161">
        <f>Datos_Origen[[#This Row],[G+V]]/Datos_Origen[[#This Row],[G+VMd]]</f>
        <v>0.64582336826347309</v>
      </c>
      <c r="CC92" s="155">
        <f>ROUNDUP(VLOOKUP(Datos_Origen[[#This Row],[Categoria]],Competitividad_1[#All],7,0)*IndiceIncrementoC,-3)</f>
        <v>7657000</v>
      </c>
      <c r="CD92" s="161">
        <f>Datos_Origen[[#This Row],[CT]]/Datos_Origen[[#This Row],[CTMd]]</f>
        <v>0.61976101736972711</v>
      </c>
      <c r="CE92" s="155">
        <f>+Datos_Origen[[#This Row],[GMd]]/1.17666666667</f>
        <v>6067138.810181112</v>
      </c>
      <c r="CF92" s="161">
        <f>+Datos_Origen[[#This Row],[Básico Actual]]/Datos_Origen[[#This Row],[Salario Basico Md]]</f>
        <v>0.66472848671804319</v>
      </c>
      <c r="CG92" s="155">
        <f>ROUNDUP(VLOOKUP(Datos_Origen[[#This Row],[Categoria]],Competitividad_1[#All],8,0)*IndiceIncrementoC,-3)</f>
        <v>7858000</v>
      </c>
      <c r="CH92" s="161">
        <f>Datos_Origen[[#This Row],[G]]/Datos_Origen[[#This Row],[GQ3]]</f>
        <v>0.60390813311275138</v>
      </c>
      <c r="CI92" s="155">
        <f>ROUNDUP(VLOOKUP(Datos_Origen[[#This Row],[Categoria]],Competitividad_1[#All],9,0)*IndiceIncrementoC,-3)</f>
        <v>8067000</v>
      </c>
      <c r="CJ92" s="161">
        <f>Datos_Origen[[#This Row],[G+V]]/Datos_Origen[[#This Row],[G+VQ3]]</f>
        <v>0.58826206892277177</v>
      </c>
      <c r="CK92" s="155">
        <f>ROUNDUP(VLOOKUP(Datos_Origen[[#This Row],[Categoria]],Competitividad_1[#All],10,0)*IndiceIncrementoC,-3)</f>
        <v>8258000</v>
      </c>
      <c r="CL92" s="161">
        <f>Datos_Origen[[#This Row],[CT]]/Datos_Origen[[#This Row],[CTQ3]]</f>
        <v>0.57465610438362802</v>
      </c>
      <c r="CM92" s="162">
        <f>IF(ROUND(Datos_Origen[[#This Row],[Salario Ordinario Pol2]],-3)&lt;SMMLV,SMMLV,ROUND(Datos_Origen[[#This Row],[Salario Ordinario Pol2]],-3))</f>
        <v>5206000</v>
      </c>
      <c r="CN92" s="155">
        <f>IF(Datos_Origen[[#This Row],[Gpol]]/(1+FactorPrestacionalOrdinario)&lt;SMMLV,SMMLV,Datos_Origen[[#This Row],[Gpol]]/(1+FactorPrestacionalOrdinario))</f>
        <v>6507365.4390934836</v>
      </c>
      <c r="CO92" s="161">
        <f>IFERROR(IF(Datos_Origen[[#This Row],[Salarios Año]]=14.12,Datos_Origen[[#This Row],[Básico]]/Datos_Origen[[#This Row],[Salario Ordinario Pol]],""),"")</f>
        <v>0.61975926167776774</v>
      </c>
      <c r="CP92" s="155">
        <f>IF(ROUND(Datos_Origen[[#This Row],[Salario Ordinario Pol22]],-3)&lt;SMMLV,SMMLV,ROUND(Datos_Origen[[#This Row],[Salario Ordinario Pol22]],-3))</f>
        <v>7809000</v>
      </c>
      <c r="CQ92" s="155" t="str">
        <f>IFERROR(ROUND(Datos_Origen[[#This Row],[Salario Integral Pol4]],-3),"")</f>
        <v/>
      </c>
      <c r="CR92" s="139" t="str">
        <f>IF((Datos_Origen[[#This Row],[Gpol]]/(1+FactorPrestacionalIntegral))&lt;(13*SMMLV),"",(Datos_Origen[[#This Row],[Gpol]]/(1+FactorPrestacionalIntegral)))</f>
        <v/>
      </c>
      <c r="CS92" s="161" t="str">
        <f>IFERROR(IF(Datos_Origen[[#This Row],[Salarios Año]]=12,Datos_Origen[[#This Row],[Básico]]/Datos_Origen[[#This Row],[Salario Integral Pol]],""),"")</f>
        <v/>
      </c>
      <c r="CT92" s="155" t="str">
        <f>IFERROR(ROUND(Datos_Origen[[#This Row],[Salario Integral Pol44]],-3),"")</f>
        <v/>
      </c>
      <c r="CU92" s="155">
        <f>Datos_Origen[[#This Row],[G+Vpol]]-Datos_Origen[[#This Row],[Variable]]</f>
        <v>7657000</v>
      </c>
      <c r="CV92" s="161">
        <f>Datos_Origen[[#This Row],[G]]/Datos_Origen[[#This Row],[Gpol]]</f>
        <v>0.61976101736972711</v>
      </c>
      <c r="CW92" s="154">
        <f>Datos_Origen[[#This Row],[Ctpol]]-Datos_Origen[[#This Row],[Beneficios]]</f>
        <v>7657000</v>
      </c>
      <c r="CX92" s="161">
        <f>Datos_Origen[[#This Row],[G+V]]/Datos_Origen[[#This Row],[G+Vpol]]</f>
        <v>0.61976101736972711</v>
      </c>
      <c r="CY92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7657000</v>
      </c>
      <c r="CZ92" s="161">
        <f>Datos_Origen[[#This Row],[CT]]/Datos_Origen[[#This Row],[Ctpol]]</f>
        <v>0.61976101736972711</v>
      </c>
      <c r="DA92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4033000</v>
      </c>
      <c r="DB92" s="158">
        <f>IF(Datos_Origen[[#This Row],[Básico]]&lt;10*SMMLV,0,Datos_Origen[[#This Row],[Base Seguridad Social Actual]]*8.5%)</f>
        <v>0</v>
      </c>
      <c r="DC92" s="158">
        <f>Datos_Origen[[#This Row],[Base Seguridad Social Actual]]*12%</f>
        <v>483960</v>
      </c>
      <c r="DD92" s="158">
        <f>Datos_Origen[[#This Row],[Base Seguridad Social Actual]]*Datos_Origen[[#This Row],[%ARL]]</f>
        <v>175435.5</v>
      </c>
      <c r="DE92" s="158">
        <f>IF(Datos_Origen[[#This Row],[Básico]]&lt;10*SMMLV,Datos_Origen[[#This Row],[Base Seguridad Social Actual]]*4%,Datos_Origen[[#This Row],[Base Seguridad Social Actual]]*9%)</f>
        <v>161320</v>
      </c>
      <c r="DF92" s="158">
        <f>Datos_Origen[[#This Row],[Salud]]+Datos_Origen[[#This Row],[Pensión]]+Datos_Origen[[#This Row],[ARL]]+Datos_Origen[[#This Row],[Parafiscales]]</f>
        <v>820715.5</v>
      </c>
      <c r="DG92" s="158">
        <f>Datos_Origen[[#This Row],[Costo Laboral Actual]]+Datos_Origen[[#This Row],[CT]]</f>
        <v>5566225.6100000003</v>
      </c>
      <c r="DH92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6507365.4390934836</v>
      </c>
      <c r="DI92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92" s="158">
        <f>Datos_Origen[[#This Row],[Base Seguridad Social Nueva]]*12%</f>
        <v>780883.85269121802</v>
      </c>
      <c r="DK92" s="158">
        <f>Datos_Origen[[#This Row],[Base Seguridad Social Nueva]]*Datos_Origen[[#This Row],[%ARL]]</f>
        <v>283070.39660056651</v>
      </c>
      <c r="DL92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260294.61756373936</v>
      </c>
      <c r="DM92" s="158">
        <f>Datos_Origen[[#This Row],[Salud Nueva]]+Datos_Origen[[#This Row],[Pensión Nueva]]+Datos_Origen[[#This Row],[ARL nueva]]+Datos_Origen[[#This Row],[Parafiscales Nuevos]]</f>
        <v>1324248.866855524</v>
      </c>
      <c r="DN92" s="158">
        <f>Datos_Origen[[#This Row],[Costo Laboral Nuevo]]+Datos_Origen[[#This Row],[Ctpol]]</f>
        <v>8981248.8668555245</v>
      </c>
      <c r="DO92" s="158">
        <f>IF(Datos_Origen[[#This Row],[Ctpol]]-Datos_Origen[[#This Row],[CT]]&lt;=0,0,Datos_Origen[[#This Row],[Costo Total Nuevo]]-Datos_Origen[[#This Row],[Costo Total Actual]])</f>
        <v>3415023.2568555241</v>
      </c>
      <c r="DP92" s="158">
        <f>IF(Datos_Origen[[#This Row],[Ctpol]]-Datos_Origen[[#This Row],[CT]]&lt;=0,0,Datos_Origen[[#This Row],[Ctpol]]-Datos_Origen[[#This Row],[CT]])</f>
        <v>2911489.8899999997</v>
      </c>
      <c r="DQ92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503533.36685552401</v>
      </c>
      <c r="DR92" s="158">
        <f>ROUNDDOWN(VLOOKUP(Datos_Origen[[#This Row],[Categoria]],Competitividad_1[],7,0)*IndiceIncrementoC,-3)</f>
        <v>7656000</v>
      </c>
      <c r="DS92" s="158">
        <f>Datos_Origen[[#This Row],[CTeq]]*0.8</f>
        <v>3981337.6866118261</v>
      </c>
      <c r="DT92" s="158">
        <f>Datos_Origen[[#This Row],[CTeq]]*1.2</f>
        <v>5972006.5299177384</v>
      </c>
      <c r="DU92" s="155">
        <f>IF(Datos_Origen[[#This Row],[Gpol6]]/(1+FactorPrestacionalOrdinario)&lt;SMMLV,SMMLV,Datos_Origen[[#This Row],[Gpol6]]/(1+FactorPrestacionalOrdinario))</f>
        <v>5205892.3512747874</v>
      </c>
      <c r="DV92" s="139" t="str">
        <f>IF((Datos_Origen[[#This Row],[Gpol6]]/(1+FactorPrestacionalIntegral))&lt;(13*SMMLV),"",(Datos_Origen[[#This Row],[Gpol6]]/(1+FactorPrestacionalIntegral)))</f>
        <v/>
      </c>
      <c r="DW92" s="154">
        <f>Datos_Origen[[#This Row],[G+Vpol8]]</f>
        <v>6125600</v>
      </c>
      <c r="DX92" s="154">
        <f>Datos_Origen[[#This Row],[Ctpol10]]-Datos_Origen[[#This Row],[Beneficios]]</f>
        <v>6125600</v>
      </c>
      <c r="DY92" s="154">
        <f>Datos_Origen[[#This Row],[Ctpol]]*$CM$6</f>
        <v>6125600</v>
      </c>
      <c r="DZ92" s="155">
        <f>IF(Datos_Origen[[#This Row],[Gpol66]]/(1+FactorPrestacionalOrdinario)&lt;SMMLV,SMMLV,Datos_Origen[[#This Row],[Gpol66]]/(1+FactorPrestacionalOrdinario))</f>
        <v>7808838.5269121807</v>
      </c>
      <c r="EA92" s="139" t="str">
        <f>IF((Datos_Origen[[#This Row],[Gpol66]]/(1+FactorPrestacionalIntegral))&lt;(13*SMMLV),"",(Datos_Origen[[#This Row],[Gpol66]]/(1+FactorPrestacionalIntegral)))</f>
        <v/>
      </c>
      <c r="EB92" s="154">
        <f>Datos_Origen[[#This Row],[G+Vpol88]]</f>
        <v>9188400</v>
      </c>
      <c r="EC92" s="154">
        <f>Datos_Origen[[#This Row],[Ctpol1010]]-Datos_Origen[[#This Row],[Beneficios]]</f>
        <v>9188400</v>
      </c>
      <c r="ED92" s="154">
        <f>Datos_Origen[[#This Row],[Ctpol]]*$CP$6</f>
        <v>9188400</v>
      </c>
      <c r="EE92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93" spans="2:135">
      <c r="B93" s="148"/>
      <c r="C93" s="149"/>
      <c r="D93" s="150"/>
      <c r="E93" s="151"/>
      <c r="F93" s="151"/>
      <c r="G93" s="150" t="s">
        <v>311</v>
      </c>
      <c r="H93" s="153"/>
      <c r="I93" s="152" t="s">
        <v>311</v>
      </c>
      <c r="J93" s="130" t="str">
        <f>IFERROR(VLOOKUP(Datos_Origen[[#This Row],[Cargo Tipo Valorado]],Cargos_Catalogo[[#All],[Cargo]:[Área]],2,0),"")</f>
        <v xml:space="preserve">Director de producción </v>
      </c>
      <c r="K93" s="153"/>
      <c r="L93" s="153"/>
      <c r="M93" s="153"/>
      <c r="N93" s="153"/>
      <c r="O93" s="154">
        <f>Datos_Origen[[#This Row],[Segmentación Individual]]</f>
        <v>0</v>
      </c>
      <c r="P93" s="153"/>
      <c r="Q93" s="154">
        <f>VLOOKUP(Datos_Origen[[#This Row],[Cargo Tipo Valorado]],Cargos_Catalogo[#Data],MATCH(Cargos_Catalogo[[#Headers],[Puntos]],Cargos_Catalogo[#Headers],0),FALSE)</f>
        <v>396</v>
      </c>
      <c r="R93" s="130">
        <f>VLOOKUP(Datos_Origen[[#This Row],[Puntos valoración]],Categorias_Registro[#Data],MATCH(Categorias_Registro[[#Headers],[Categoria]],Categorias_Registro[#Headers],0),FALSE)</f>
        <v>11</v>
      </c>
      <c r="S93" s="130" t="str">
        <f>VLOOKUP(Datos_Origen[[#This Row],[Cargo Tipo Valorado]],Cargos_Catalogo[#Data],MATCH(Cargos_Catalogo[[#Headers],[Nivel SHR]],Cargos_Catalogo[#Headers],0),FALSE)</f>
        <v>Táctico</v>
      </c>
      <c r="T93" s="130" t="str">
        <f>VLOOKUP(Datos_Origen[[#This Row],[Cargo Tipo Valorado]],Cargos_Catalogo[#Data],MATCH(Cargos_Catalogo[[#Headers],[Criticidad]],Cargos_Catalogo[#Headers],0),FALSE)</f>
        <v>Importante</v>
      </c>
      <c r="U93" s="154">
        <f>VLOOKUP(Datos_Origen[[#This Row],[Puntos valoración]],Categorias_Registro[#Data],5,FALSE)</f>
        <v>379</v>
      </c>
      <c r="V93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4745510.1100000003</v>
      </c>
      <c r="W93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93" s="154">
        <f>SUMIF($BA$5:$BJ$5,"NCS",Datos_Origen[[#This Row],[auxilio Gasolina]:[Otro Beneficio10]])+(SUMIF($BA$5:$BJ$5,"CS",Datos_Origen[[#This Row],[auxilio Gasolina]:[Otro Beneficio10]])*1.17667)</f>
        <v>0</v>
      </c>
      <c r="Y93" s="155">
        <f>Datos_Origen[[#This Row],[Básico]]+Datos_Origen[[#This Row],[Promedio de Comisiones  ]]</f>
        <v>4033000</v>
      </c>
      <c r="Z93" s="155">
        <f>Datos_Origen[[#This Row],[Básico]]+Datos_Origen[[#This Row],[Promedio de Comisiones  ]]</f>
        <v>4033000</v>
      </c>
      <c r="AA93" s="155">
        <f>Datos_Origen[[#This Row],[Garantizado]]</f>
        <v>4745510.1100000003</v>
      </c>
      <c r="AB93" s="155">
        <f>Datos_Origen[[#This Row],[Variable]]+Datos_Origen[[#This Row],[Garantizado]]</f>
        <v>4745510.1100000003</v>
      </c>
      <c r="AC93" s="155">
        <f>Datos_Origen[[#This Row],[Beneficios]]+Datos_Origen[[#This Row],[Variable]]+Datos_Origen[[#This Row],[Garantizado]]</f>
        <v>4745510.1100000003</v>
      </c>
      <c r="AD93" s="156">
        <v>14.12</v>
      </c>
      <c r="AE93" s="141">
        <v>230</v>
      </c>
      <c r="AF93" s="345">
        <v>4.3499999999999997E-2</v>
      </c>
      <c r="AG93" s="155">
        <f>Datos_Origen[[#This Row],[Básico Actual]]*230/Datos_Origen[[#This Row],['# horas mes]]</f>
        <v>4033000</v>
      </c>
      <c r="AH93" s="157">
        <v>4033000</v>
      </c>
      <c r="AI93" s="158"/>
      <c r="AJ93" s="158">
        <f>(((Datos_Origen[[#This Row],[Básico]])/30)*$AJ$6)/12</f>
        <v>0</v>
      </c>
      <c r="AK93" s="158"/>
      <c r="AL93" s="143">
        <f>((Datos_Origen[[#This Row],[Básico]])/30)*$AL$6/12</f>
        <v>0</v>
      </c>
      <c r="AM93" s="158"/>
      <c r="AN93" s="158"/>
      <c r="AO93" s="158"/>
      <c r="AP93" s="158"/>
      <c r="AQ93" s="158"/>
      <c r="AR93" s="149">
        <v>0</v>
      </c>
      <c r="AS93" s="149"/>
      <c r="AT93" s="159" t="str">
        <f>IFERROR(Datos_Origen[[#This Row],[Comisiones Target]]/Datos_Origen[[#This Row],[Promedio de Comisiones  ]],"")</f>
        <v/>
      </c>
      <c r="AU93" s="160"/>
      <c r="AV93" s="143">
        <v>0</v>
      </c>
      <c r="AW93" s="160"/>
      <c r="AX93" s="143">
        <f>Datos_Origen[[#This Row],[N Salarios de la Bonificación2]]*Datos_Origen[[#This Row],[Básico]]/12</f>
        <v>0</v>
      </c>
      <c r="AY93" s="160"/>
      <c r="AZ93" s="158"/>
      <c r="BA93" s="149">
        <v>0</v>
      </c>
      <c r="BB93" s="149"/>
      <c r="BC93" s="149"/>
      <c r="BD93" s="149"/>
      <c r="BE93" s="149"/>
      <c r="BF93" s="149"/>
      <c r="BG93" s="149"/>
      <c r="BH93" s="149"/>
      <c r="BI93" s="149"/>
      <c r="BJ93" s="149"/>
      <c r="BK93" s="159">
        <f>IFERROR(Datos_Origen[[#This Row],[Variable]]/Datos_Origen[[#This Row],[CT]],"")</f>
        <v>0</v>
      </c>
      <c r="BL93" s="159">
        <f>IFERROR(Datos_Origen[[#This Row],[Beneficios]]/Datos_Origen[[#This Row],[CT]],"")</f>
        <v>0</v>
      </c>
      <c r="BM93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4674516.2048216574</v>
      </c>
      <c r="BN93" s="161">
        <f>Datos_Origen[[#This Row],[G]]/Datos_Origen[[#This Row],[Geq]]</f>
        <v>1.0151874337509226</v>
      </c>
      <c r="BO93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4976340.5769949695</v>
      </c>
      <c r="BP93" s="161">
        <f>Datos_Origen[[#This Row],[G+V]]/Datos_Origen[[#This Row],[G+Veq]]</f>
        <v>0.95361441536737435</v>
      </c>
      <c r="BQ93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4976672.1082647825</v>
      </c>
      <c r="BR93" s="161">
        <f>Datos_Origen[[#This Row],[CT]]/Datos_Origen[[#This Row],[CTeq]]</f>
        <v>0.95355088837761881</v>
      </c>
      <c r="BS93" s="139">
        <f>ROUNDUP(VLOOKUP(Datos_Origen[[#This Row],[Categoria]],Competitividad_1[#All],2,0)*IndiceIncrementoC,-3)</f>
        <v>4750000</v>
      </c>
      <c r="BT93" s="161">
        <f>Datos_Origen[[#This Row],[G]]/Datos_Origen[[#This Row],[GQ1]]</f>
        <v>0.99905476000000004</v>
      </c>
      <c r="BU93" s="155">
        <f>ROUNDUP(VLOOKUP(Datos_Origen[[#This Row],[Categoria]],Competitividad_1[#All],3,0)*IndiceIncrementoC,-3)</f>
        <v>4888000</v>
      </c>
      <c r="BV93" s="161">
        <f>Datos_Origen[[#This Row],[G+V]]/Datos_Origen[[#This Row],[G+VQ1]]</f>
        <v>0.97084904050736509</v>
      </c>
      <c r="BW93" s="155">
        <f>ROUNDUP(VLOOKUP(Datos_Origen[[#This Row],[Categoria]],Competitividad_1[#All],4,0)*IndiceIncrementoC,-3)</f>
        <v>5109000</v>
      </c>
      <c r="BX93" s="161">
        <f>Datos_Origen[[#This Row],[CT]]/Datos_Origen[[#This Row],[CTQ1]]</f>
        <v>0.92885302603249176</v>
      </c>
      <c r="BY93" s="155">
        <f>ROUNDUP(VLOOKUP(Datos_Origen[[#This Row],[Categoria]],Competitividad_1[#All],5,0)*IndiceIncrementoC,-3)</f>
        <v>7139000</v>
      </c>
      <c r="BZ93" s="161">
        <f>Datos_Origen[[#This Row],[G]]/Datos_Origen[[#This Row],[GMd]]</f>
        <v>0.66473036979969191</v>
      </c>
      <c r="CA93" s="155">
        <f>ROUNDUP(VLOOKUP(Datos_Origen[[#This Row],[Categoria]],Competitividad_1[#All],6,0)*IndiceIncrementoC,-3)</f>
        <v>7348000</v>
      </c>
      <c r="CB93" s="161">
        <f>Datos_Origen[[#This Row],[G+V]]/Datos_Origen[[#This Row],[G+VMd]]</f>
        <v>0.64582336826347309</v>
      </c>
      <c r="CC93" s="155">
        <f>ROUNDUP(VLOOKUP(Datos_Origen[[#This Row],[Categoria]],Competitividad_1[#All],7,0)*IndiceIncrementoC,-3)</f>
        <v>7657000</v>
      </c>
      <c r="CD93" s="161">
        <f>Datos_Origen[[#This Row],[CT]]/Datos_Origen[[#This Row],[CTMd]]</f>
        <v>0.61976101736972711</v>
      </c>
      <c r="CE93" s="155">
        <f>+Datos_Origen[[#This Row],[GMd]]/1.17666666667</f>
        <v>6067138.810181112</v>
      </c>
      <c r="CF93" s="161">
        <f>+Datos_Origen[[#This Row],[Básico Actual]]/Datos_Origen[[#This Row],[Salario Basico Md]]</f>
        <v>0.66472848671804319</v>
      </c>
      <c r="CG93" s="155">
        <f>ROUNDUP(VLOOKUP(Datos_Origen[[#This Row],[Categoria]],Competitividad_1[#All],8,0)*IndiceIncrementoC,-3)</f>
        <v>7858000</v>
      </c>
      <c r="CH93" s="161">
        <f>Datos_Origen[[#This Row],[G]]/Datos_Origen[[#This Row],[GQ3]]</f>
        <v>0.60390813311275138</v>
      </c>
      <c r="CI93" s="155">
        <f>ROUNDUP(VLOOKUP(Datos_Origen[[#This Row],[Categoria]],Competitividad_1[#All],9,0)*IndiceIncrementoC,-3)</f>
        <v>8067000</v>
      </c>
      <c r="CJ93" s="161">
        <f>Datos_Origen[[#This Row],[G+V]]/Datos_Origen[[#This Row],[G+VQ3]]</f>
        <v>0.58826206892277177</v>
      </c>
      <c r="CK93" s="155">
        <f>ROUNDUP(VLOOKUP(Datos_Origen[[#This Row],[Categoria]],Competitividad_1[#All],10,0)*IndiceIncrementoC,-3)</f>
        <v>8258000</v>
      </c>
      <c r="CL93" s="161">
        <f>Datos_Origen[[#This Row],[CT]]/Datos_Origen[[#This Row],[CTQ3]]</f>
        <v>0.57465610438362802</v>
      </c>
      <c r="CM93" s="162">
        <f>IF(ROUND(Datos_Origen[[#This Row],[Salario Ordinario Pol2]],-3)&lt;SMMLV,SMMLV,ROUND(Datos_Origen[[#This Row],[Salario Ordinario Pol2]],-3))</f>
        <v>5206000</v>
      </c>
      <c r="CN93" s="155">
        <f>IF(Datos_Origen[[#This Row],[Gpol]]/(1+FactorPrestacionalOrdinario)&lt;SMMLV,SMMLV,Datos_Origen[[#This Row],[Gpol]]/(1+FactorPrestacionalOrdinario))</f>
        <v>6507365.4390934836</v>
      </c>
      <c r="CO93" s="161">
        <f>IFERROR(IF(Datos_Origen[[#This Row],[Salarios Año]]=14.12,Datos_Origen[[#This Row],[Básico]]/Datos_Origen[[#This Row],[Salario Ordinario Pol]],""),"")</f>
        <v>0.61975926167776774</v>
      </c>
      <c r="CP93" s="155">
        <f>IF(ROUND(Datos_Origen[[#This Row],[Salario Ordinario Pol22]],-3)&lt;SMMLV,SMMLV,ROUND(Datos_Origen[[#This Row],[Salario Ordinario Pol22]],-3))</f>
        <v>7809000</v>
      </c>
      <c r="CQ93" s="155" t="str">
        <f>IFERROR(ROUND(Datos_Origen[[#This Row],[Salario Integral Pol4]],-3),"")</f>
        <v/>
      </c>
      <c r="CR93" s="139" t="str">
        <f>IF((Datos_Origen[[#This Row],[Gpol]]/(1+FactorPrestacionalIntegral))&lt;(13*SMMLV),"",(Datos_Origen[[#This Row],[Gpol]]/(1+FactorPrestacionalIntegral)))</f>
        <v/>
      </c>
      <c r="CS93" s="161" t="str">
        <f>IFERROR(IF(Datos_Origen[[#This Row],[Salarios Año]]=12,Datos_Origen[[#This Row],[Básico]]/Datos_Origen[[#This Row],[Salario Integral Pol]],""),"")</f>
        <v/>
      </c>
      <c r="CT93" s="155" t="str">
        <f>IFERROR(ROUND(Datos_Origen[[#This Row],[Salario Integral Pol44]],-3),"")</f>
        <v/>
      </c>
      <c r="CU93" s="155">
        <f>Datos_Origen[[#This Row],[G+Vpol]]-Datos_Origen[[#This Row],[Variable]]</f>
        <v>7657000</v>
      </c>
      <c r="CV93" s="161">
        <f>Datos_Origen[[#This Row],[G]]/Datos_Origen[[#This Row],[Gpol]]</f>
        <v>0.61976101736972711</v>
      </c>
      <c r="CW93" s="154">
        <f>Datos_Origen[[#This Row],[Ctpol]]-Datos_Origen[[#This Row],[Beneficios]]</f>
        <v>7657000</v>
      </c>
      <c r="CX93" s="161">
        <f>Datos_Origen[[#This Row],[G+V]]/Datos_Origen[[#This Row],[G+Vpol]]</f>
        <v>0.61976101736972711</v>
      </c>
      <c r="CY93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7657000</v>
      </c>
      <c r="CZ93" s="161">
        <f>Datos_Origen[[#This Row],[CT]]/Datos_Origen[[#This Row],[Ctpol]]</f>
        <v>0.61976101736972711</v>
      </c>
      <c r="DA93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4033000</v>
      </c>
      <c r="DB93" s="158">
        <f>IF(Datos_Origen[[#This Row],[Básico]]&lt;10*SMMLV,0,Datos_Origen[[#This Row],[Base Seguridad Social Actual]]*8.5%)</f>
        <v>0</v>
      </c>
      <c r="DC93" s="158">
        <f>Datos_Origen[[#This Row],[Base Seguridad Social Actual]]*12%</f>
        <v>483960</v>
      </c>
      <c r="DD93" s="158">
        <f>Datos_Origen[[#This Row],[Base Seguridad Social Actual]]*Datos_Origen[[#This Row],[%ARL]]</f>
        <v>175435.5</v>
      </c>
      <c r="DE93" s="158">
        <f>IF(Datos_Origen[[#This Row],[Básico]]&lt;10*SMMLV,Datos_Origen[[#This Row],[Base Seguridad Social Actual]]*4%,Datos_Origen[[#This Row],[Base Seguridad Social Actual]]*9%)</f>
        <v>161320</v>
      </c>
      <c r="DF93" s="158">
        <f>Datos_Origen[[#This Row],[Salud]]+Datos_Origen[[#This Row],[Pensión]]+Datos_Origen[[#This Row],[ARL]]+Datos_Origen[[#This Row],[Parafiscales]]</f>
        <v>820715.5</v>
      </c>
      <c r="DG93" s="158">
        <f>Datos_Origen[[#This Row],[Costo Laboral Actual]]+Datos_Origen[[#This Row],[CT]]</f>
        <v>5566225.6100000003</v>
      </c>
      <c r="DH93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6507365.4390934836</v>
      </c>
      <c r="DI93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93" s="158">
        <f>Datos_Origen[[#This Row],[Base Seguridad Social Nueva]]*12%</f>
        <v>780883.85269121802</v>
      </c>
      <c r="DK93" s="158">
        <f>Datos_Origen[[#This Row],[Base Seguridad Social Nueva]]*Datos_Origen[[#This Row],[%ARL]]</f>
        <v>283070.39660056651</v>
      </c>
      <c r="DL93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260294.61756373936</v>
      </c>
      <c r="DM93" s="158">
        <f>Datos_Origen[[#This Row],[Salud Nueva]]+Datos_Origen[[#This Row],[Pensión Nueva]]+Datos_Origen[[#This Row],[ARL nueva]]+Datos_Origen[[#This Row],[Parafiscales Nuevos]]</f>
        <v>1324248.866855524</v>
      </c>
      <c r="DN93" s="158">
        <f>Datos_Origen[[#This Row],[Costo Laboral Nuevo]]+Datos_Origen[[#This Row],[Ctpol]]</f>
        <v>8981248.8668555245</v>
      </c>
      <c r="DO93" s="158">
        <f>IF(Datos_Origen[[#This Row],[Ctpol]]-Datos_Origen[[#This Row],[CT]]&lt;=0,0,Datos_Origen[[#This Row],[Costo Total Nuevo]]-Datos_Origen[[#This Row],[Costo Total Actual]])</f>
        <v>3415023.2568555241</v>
      </c>
      <c r="DP93" s="158">
        <f>IF(Datos_Origen[[#This Row],[Ctpol]]-Datos_Origen[[#This Row],[CT]]&lt;=0,0,Datos_Origen[[#This Row],[Ctpol]]-Datos_Origen[[#This Row],[CT]])</f>
        <v>2911489.8899999997</v>
      </c>
      <c r="DQ93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503533.36685552401</v>
      </c>
      <c r="DR93" s="158">
        <f>ROUNDDOWN(VLOOKUP(Datos_Origen[[#This Row],[Categoria]],Competitividad_1[],7,0)*IndiceIncrementoC,-3)</f>
        <v>7656000</v>
      </c>
      <c r="DS93" s="158">
        <f>Datos_Origen[[#This Row],[CTeq]]*0.8</f>
        <v>3981337.6866118261</v>
      </c>
      <c r="DT93" s="158">
        <f>Datos_Origen[[#This Row],[CTeq]]*1.2</f>
        <v>5972006.5299177384</v>
      </c>
      <c r="DU93" s="155">
        <f>IF(Datos_Origen[[#This Row],[Gpol6]]/(1+FactorPrestacionalOrdinario)&lt;SMMLV,SMMLV,Datos_Origen[[#This Row],[Gpol6]]/(1+FactorPrestacionalOrdinario))</f>
        <v>5205892.3512747874</v>
      </c>
      <c r="DV93" s="139" t="str">
        <f>IF((Datos_Origen[[#This Row],[Gpol6]]/(1+FactorPrestacionalIntegral))&lt;(13*SMMLV),"",(Datos_Origen[[#This Row],[Gpol6]]/(1+FactorPrestacionalIntegral)))</f>
        <v/>
      </c>
      <c r="DW93" s="154">
        <f>Datos_Origen[[#This Row],[G+Vpol8]]</f>
        <v>6125600</v>
      </c>
      <c r="DX93" s="154">
        <f>Datos_Origen[[#This Row],[Ctpol10]]-Datos_Origen[[#This Row],[Beneficios]]</f>
        <v>6125600</v>
      </c>
      <c r="DY93" s="154">
        <f>Datos_Origen[[#This Row],[Ctpol]]*$CM$6</f>
        <v>6125600</v>
      </c>
      <c r="DZ93" s="155">
        <f>IF(Datos_Origen[[#This Row],[Gpol66]]/(1+FactorPrestacionalOrdinario)&lt;SMMLV,SMMLV,Datos_Origen[[#This Row],[Gpol66]]/(1+FactorPrestacionalOrdinario))</f>
        <v>7808838.5269121807</v>
      </c>
      <c r="EA93" s="139" t="str">
        <f>IF((Datos_Origen[[#This Row],[Gpol66]]/(1+FactorPrestacionalIntegral))&lt;(13*SMMLV),"",(Datos_Origen[[#This Row],[Gpol66]]/(1+FactorPrestacionalIntegral)))</f>
        <v/>
      </c>
      <c r="EB93" s="154">
        <f>Datos_Origen[[#This Row],[G+Vpol88]]</f>
        <v>9188400</v>
      </c>
      <c r="EC93" s="154">
        <f>Datos_Origen[[#This Row],[Ctpol1010]]-Datos_Origen[[#This Row],[Beneficios]]</f>
        <v>9188400</v>
      </c>
      <c r="ED93" s="154">
        <f>Datos_Origen[[#This Row],[Ctpol]]*$CP$6</f>
        <v>9188400</v>
      </c>
      <c r="EE93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94" spans="2:135">
      <c r="B94" s="148"/>
      <c r="C94" s="149"/>
      <c r="D94" s="150"/>
      <c r="E94" s="151"/>
      <c r="F94" s="151"/>
      <c r="G94" s="150" t="s">
        <v>311</v>
      </c>
      <c r="H94" s="153"/>
      <c r="I94" s="152" t="s">
        <v>311</v>
      </c>
      <c r="J94" s="130" t="str">
        <f>IFERROR(VLOOKUP(Datos_Origen[[#This Row],[Cargo Tipo Valorado]],Cargos_Catalogo[[#All],[Cargo]:[Área]],2,0),"")</f>
        <v xml:space="preserve">Director de producción </v>
      </c>
      <c r="K94" s="153"/>
      <c r="L94" s="153"/>
      <c r="M94" s="153"/>
      <c r="N94" s="153"/>
      <c r="O94" s="154">
        <f>Datos_Origen[[#This Row],[Segmentación Individual]]</f>
        <v>0</v>
      </c>
      <c r="P94" s="153"/>
      <c r="Q94" s="154">
        <f>VLOOKUP(Datos_Origen[[#This Row],[Cargo Tipo Valorado]],Cargos_Catalogo[#Data],MATCH(Cargos_Catalogo[[#Headers],[Puntos]],Cargos_Catalogo[#Headers],0),FALSE)</f>
        <v>396</v>
      </c>
      <c r="R94" s="130">
        <f>VLOOKUP(Datos_Origen[[#This Row],[Puntos valoración]],Categorias_Registro[#Data],MATCH(Categorias_Registro[[#Headers],[Categoria]],Categorias_Registro[#Headers],0),FALSE)</f>
        <v>11</v>
      </c>
      <c r="S94" s="130" t="str">
        <f>VLOOKUP(Datos_Origen[[#This Row],[Cargo Tipo Valorado]],Cargos_Catalogo[#Data],MATCH(Cargos_Catalogo[[#Headers],[Nivel SHR]],Cargos_Catalogo[#Headers],0),FALSE)</f>
        <v>Táctico</v>
      </c>
      <c r="T94" s="130" t="str">
        <f>VLOOKUP(Datos_Origen[[#This Row],[Cargo Tipo Valorado]],Cargos_Catalogo[#Data],MATCH(Cargos_Catalogo[[#Headers],[Criticidad]],Cargos_Catalogo[#Headers],0),FALSE)</f>
        <v>Importante</v>
      </c>
      <c r="U94" s="154">
        <f>VLOOKUP(Datos_Origen[[#This Row],[Puntos valoración]],Categorias_Registro[#Data],5,FALSE)</f>
        <v>379</v>
      </c>
      <c r="V94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4745510.1100000003</v>
      </c>
      <c r="W94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94" s="154">
        <f>SUMIF($BA$5:$BJ$5,"NCS",Datos_Origen[[#This Row],[auxilio Gasolina]:[Otro Beneficio10]])+(SUMIF($BA$5:$BJ$5,"CS",Datos_Origen[[#This Row],[auxilio Gasolina]:[Otro Beneficio10]])*1.17667)</f>
        <v>0</v>
      </c>
      <c r="Y94" s="155">
        <f>Datos_Origen[[#This Row],[Básico]]+Datos_Origen[[#This Row],[Promedio de Comisiones  ]]</f>
        <v>4033000</v>
      </c>
      <c r="Z94" s="155">
        <f>Datos_Origen[[#This Row],[Básico]]+Datos_Origen[[#This Row],[Promedio de Comisiones  ]]</f>
        <v>4033000</v>
      </c>
      <c r="AA94" s="155">
        <f>Datos_Origen[[#This Row],[Garantizado]]</f>
        <v>4745510.1100000003</v>
      </c>
      <c r="AB94" s="155">
        <f>Datos_Origen[[#This Row],[Variable]]+Datos_Origen[[#This Row],[Garantizado]]</f>
        <v>4745510.1100000003</v>
      </c>
      <c r="AC94" s="155">
        <f>Datos_Origen[[#This Row],[Beneficios]]+Datos_Origen[[#This Row],[Variable]]+Datos_Origen[[#This Row],[Garantizado]]</f>
        <v>4745510.1100000003</v>
      </c>
      <c r="AD94" s="156">
        <v>14.12</v>
      </c>
      <c r="AE94" s="141">
        <v>230</v>
      </c>
      <c r="AF94" s="345">
        <v>4.3499999999999997E-2</v>
      </c>
      <c r="AG94" s="155">
        <f>Datos_Origen[[#This Row],[Básico Actual]]*230/Datos_Origen[[#This Row],['# horas mes]]</f>
        <v>4033000</v>
      </c>
      <c r="AH94" s="157">
        <v>4033000</v>
      </c>
      <c r="AI94" s="158"/>
      <c r="AJ94" s="158">
        <f>(((Datos_Origen[[#This Row],[Básico]])/30)*$AJ$6)/12</f>
        <v>0</v>
      </c>
      <c r="AK94" s="158"/>
      <c r="AL94" s="143">
        <f>((Datos_Origen[[#This Row],[Básico]])/30)*$AL$6/12</f>
        <v>0</v>
      </c>
      <c r="AM94" s="158"/>
      <c r="AN94" s="158"/>
      <c r="AO94" s="158"/>
      <c r="AP94" s="158"/>
      <c r="AQ94" s="158"/>
      <c r="AR94" s="149">
        <v>0</v>
      </c>
      <c r="AS94" s="149"/>
      <c r="AT94" s="159" t="str">
        <f>IFERROR(Datos_Origen[[#This Row],[Comisiones Target]]/Datos_Origen[[#This Row],[Promedio de Comisiones  ]],"")</f>
        <v/>
      </c>
      <c r="AU94" s="160"/>
      <c r="AV94" s="143">
        <v>0</v>
      </c>
      <c r="AW94" s="160"/>
      <c r="AX94" s="143">
        <f>Datos_Origen[[#This Row],[N Salarios de la Bonificación2]]*Datos_Origen[[#This Row],[Básico]]/12</f>
        <v>0</v>
      </c>
      <c r="AY94" s="160"/>
      <c r="AZ94" s="158"/>
      <c r="BA94" s="149">
        <v>0</v>
      </c>
      <c r="BB94" s="149"/>
      <c r="BC94" s="149"/>
      <c r="BD94" s="149"/>
      <c r="BE94" s="149"/>
      <c r="BF94" s="149"/>
      <c r="BG94" s="149"/>
      <c r="BH94" s="149"/>
      <c r="BI94" s="149"/>
      <c r="BJ94" s="149"/>
      <c r="BK94" s="159">
        <f>IFERROR(Datos_Origen[[#This Row],[Variable]]/Datos_Origen[[#This Row],[CT]],"")</f>
        <v>0</v>
      </c>
      <c r="BL94" s="159">
        <f>IFERROR(Datos_Origen[[#This Row],[Beneficios]]/Datos_Origen[[#This Row],[CT]],"")</f>
        <v>0</v>
      </c>
      <c r="BM94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4674516.2048216574</v>
      </c>
      <c r="BN94" s="161">
        <f>Datos_Origen[[#This Row],[G]]/Datos_Origen[[#This Row],[Geq]]</f>
        <v>1.0151874337509226</v>
      </c>
      <c r="BO94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4976340.5769949695</v>
      </c>
      <c r="BP94" s="161">
        <f>Datos_Origen[[#This Row],[G+V]]/Datos_Origen[[#This Row],[G+Veq]]</f>
        <v>0.95361441536737435</v>
      </c>
      <c r="BQ94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4976672.1082647825</v>
      </c>
      <c r="BR94" s="161">
        <f>Datos_Origen[[#This Row],[CT]]/Datos_Origen[[#This Row],[CTeq]]</f>
        <v>0.95355088837761881</v>
      </c>
      <c r="BS94" s="139">
        <f>ROUNDUP(VLOOKUP(Datos_Origen[[#This Row],[Categoria]],Competitividad_1[#All],2,0)*IndiceIncrementoC,-3)</f>
        <v>4750000</v>
      </c>
      <c r="BT94" s="161">
        <f>Datos_Origen[[#This Row],[G]]/Datos_Origen[[#This Row],[GQ1]]</f>
        <v>0.99905476000000004</v>
      </c>
      <c r="BU94" s="155">
        <f>ROUNDUP(VLOOKUP(Datos_Origen[[#This Row],[Categoria]],Competitividad_1[#All],3,0)*IndiceIncrementoC,-3)</f>
        <v>4888000</v>
      </c>
      <c r="BV94" s="161">
        <f>Datos_Origen[[#This Row],[G+V]]/Datos_Origen[[#This Row],[G+VQ1]]</f>
        <v>0.97084904050736509</v>
      </c>
      <c r="BW94" s="155">
        <f>ROUNDUP(VLOOKUP(Datos_Origen[[#This Row],[Categoria]],Competitividad_1[#All],4,0)*IndiceIncrementoC,-3)</f>
        <v>5109000</v>
      </c>
      <c r="BX94" s="161">
        <f>Datos_Origen[[#This Row],[CT]]/Datos_Origen[[#This Row],[CTQ1]]</f>
        <v>0.92885302603249176</v>
      </c>
      <c r="BY94" s="155">
        <f>ROUNDUP(VLOOKUP(Datos_Origen[[#This Row],[Categoria]],Competitividad_1[#All],5,0)*IndiceIncrementoC,-3)</f>
        <v>7139000</v>
      </c>
      <c r="BZ94" s="161">
        <f>Datos_Origen[[#This Row],[G]]/Datos_Origen[[#This Row],[GMd]]</f>
        <v>0.66473036979969191</v>
      </c>
      <c r="CA94" s="155">
        <f>ROUNDUP(VLOOKUP(Datos_Origen[[#This Row],[Categoria]],Competitividad_1[#All],6,0)*IndiceIncrementoC,-3)</f>
        <v>7348000</v>
      </c>
      <c r="CB94" s="161">
        <f>Datos_Origen[[#This Row],[G+V]]/Datos_Origen[[#This Row],[G+VMd]]</f>
        <v>0.64582336826347309</v>
      </c>
      <c r="CC94" s="155">
        <f>ROUNDUP(VLOOKUP(Datos_Origen[[#This Row],[Categoria]],Competitividad_1[#All],7,0)*IndiceIncrementoC,-3)</f>
        <v>7657000</v>
      </c>
      <c r="CD94" s="161">
        <f>Datos_Origen[[#This Row],[CT]]/Datos_Origen[[#This Row],[CTMd]]</f>
        <v>0.61976101736972711</v>
      </c>
      <c r="CE94" s="155">
        <f>+Datos_Origen[[#This Row],[GMd]]/1.17666666667</f>
        <v>6067138.810181112</v>
      </c>
      <c r="CF94" s="161">
        <f>+Datos_Origen[[#This Row],[Básico Actual]]/Datos_Origen[[#This Row],[Salario Basico Md]]</f>
        <v>0.66472848671804319</v>
      </c>
      <c r="CG94" s="155">
        <f>ROUNDUP(VLOOKUP(Datos_Origen[[#This Row],[Categoria]],Competitividad_1[#All],8,0)*IndiceIncrementoC,-3)</f>
        <v>7858000</v>
      </c>
      <c r="CH94" s="161">
        <f>Datos_Origen[[#This Row],[G]]/Datos_Origen[[#This Row],[GQ3]]</f>
        <v>0.60390813311275138</v>
      </c>
      <c r="CI94" s="155">
        <f>ROUNDUP(VLOOKUP(Datos_Origen[[#This Row],[Categoria]],Competitividad_1[#All],9,0)*IndiceIncrementoC,-3)</f>
        <v>8067000</v>
      </c>
      <c r="CJ94" s="161">
        <f>Datos_Origen[[#This Row],[G+V]]/Datos_Origen[[#This Row],[G+VQ3]]</f>
        <v>0.58826206892277177</v>
      </c>
      <c r="CK94" s="155">
        <f>ROUNDUP(VLOOKUP(Datos_Origen[[#This Row],[Categoria]],Competitividad_1[#All],10,0)*IndiceIncrementoC,-3)</f>
        <v>8258000</v>
      </c>
      <c r="CL94" s="161">
        <f>Datos_Origen[[#This Row],[CT]]/Datos_Origen[[#This Row],[CTQ3]]</f>
        <v>0.57465610438362802</v>
      </c>
      <c r="CM94" s="162">
        <f>IF(ROUND(Datos_Origen[[#This Row],[Salario Ordinario Pol2]],-3)&lt;SMMLV,SMMLV,ROUND(Datos_Origen[[#This Row],[Salario Ordinario Pol2]],-3))</f>
        <v>5206000</v>
      </c>
      <c r="CN94" s="155">
        <f>IF(Datos_Origen[[#This Row],[Gpol]]/(1+FactorPrestacionalOrdinario)&lt;SMMLV,SMMLV,Datos_Origen[[#This Row],[Gpol]]/(1+FactorPrestacionalOrdinario))</f>
        <v>6507365.4390934836</v>
      </c>
      <c r="CO94" s="161">
        <f>IFERROR(IF(Datos_Origen[[#This Row],[Salarios Año]]=14.12,Datos_Origen[[#This Row],[Básico]]/Datos_Origen[[#This Row],[Salario Ordinario Pol]],""),"")</f>
        <v>0.61975926167776774</v>
      </c>
      <c r="CP94" s="155">
        <f>IF(ROUND(Datos_Origen[[#This Row],[Salario Ordinario Pol22]],-3)&lt;SMMLV,SMMLV,ROUND(Datos_Origen[[#This Row],[Salario Ordinario Pol22]],-3))</f>
        <v>7809000</v>
      </c>
      <c r="CQ94" s="155" t="str">
        <f>IFERROR(ROUND(Datos_Origen[[#This Row],[Salario Integral Pol4]],-3),"")</f>
        <v/>
      </c>
      <c r="CR94" s="139" t="str">
        <f>IF((Datos_Origen[[#This Row],[Gpol]]/(1+FactorPrestacionalIntegral))&lt;(13*SMMLV),"",(Datos_Origen[[#This Row],[Gpol]]/(1+FactorPrestacionalIntegral)))</f>
        <v/>
      </c>
      <c r="CS94" s="161" t="str">
        <f>IFERROR(IF(Datos_Origen[[#This Row],[Salarios Año]]=12,Datos_Origen[[#This Row],[Básico]]/Datos_Origen[[#This Row],[Salario Integral Pol]],""),"")</f>
        <v/>
      </c>
      <c r="CT94" s="155" t="str">
        <f>IFERROR(ROUND(Datos_Origen[[#This Row],[Salario Integral Pol44]],-3),"")</f>
        <v/>
      </c>
      <c r="CU94" s="155">
        <f>Datos_Origen[[#This Row],[G+Vpol]]-Datos_Origen[[#This Row],[Variable]]</f>
        <v>7657000</v>
      </c>
      <c r="CV94" s="161">
        <f>Datos_Origen[[#This Row],[G]]/Datos_Origen[[#This Row],[Gpol]]</f>
        <v>0.61976101736972711</v>
      </c>
      <c r="CW94" s="154">
        <f>Datos_Origen[[#This Row],[Ctpol]]-Datos_Origen[[#This Row],[Beneficios]]</f>
        <v>7657000</v>
      </c>
      <c r="CX94" s="161">
        <f>Datos_Origen[[#This Row],[G+V]]/Datos_Origen[[#This Row],[G+Vpol]]</f>
        <v>0.61976101736972711</v>
      </c>
      <c r="CY94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7657000</v>
      </c>
      <c r="CZ94" s="161">
        <f>Datos_Origen[[#This Row],[CT]]/Datos_Origen[[#This Row],[Ctpol]]</f>
        <v>0.61976101736972711</v>
      </c>
      <c r="DA94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4033000</v>
      </c>
      <c r="DB94" s="158">
        <f>IF(Datos_Origen[[#This Row],[Básico]]&lt;10*SMMLV,0,Datos_Origen[[#This Row],[Base Seguridad Social Actual]]*8.5%)</f>
        <v>0</v>
      </c>
      <c r="DC94" s="158">
        <f>Datos_Origen[[#This Row],[Base Seguridad Social Actual]]*12%</f>
        <v>483960</v>
      </c>
      <c r="DD94" s="158">
        <f>Datos_Origen[[#This Row],[Base Seguridad Social Actual]]*Datos_Origen[[#This Row],[%ARL]]</f>
        <v>175435.5</v>
      </c>
      <c r="DE94" s="158">
        <f>IF(Datos_Origen[[#This Row],[Básico]]&lt;10*SMMLV,Datos_Origen[[#This Row],[Base Seguridad Social Actual]]*4%,Datos_Origen[[#This Row],[Base Seguridad Social Actual]]*9%)</f>
        <v>161320</v>
      </c>
      <c r="DF94" s="158">
        <f>Datos_Origen[[#This Row],[Salud]]+Datos_Origen[[#This Row],[Pensión]]+Datos_Origen[[#This Row],[ARL]]+Datos_Origen[[#This Row],[Parafiscales]]</f>
        <v>820715.5</v>
      </c>
      <c r="DG94" s="158">
        <f>Datos_Origen[[#This Row],[Costo Laboral Actual]]+Datos_Origen[[#This Row],[CT]]</f>
        <v>5566225.6100000003</v>
      </c>
      <c r="DH94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6507365.4390934836</v>
      </c>
      <c r="DI94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94" s="158">
        <f>Datos_Origen[[#This Row],[Base Seguridad Social Nueva]]*12%</f>
        <v>780883.85269121802</v>
      </c>
      <c r="DK94" s="158">
        <f>Datos_Origen[[#This Row],[Base Seguridad Social Nueva]]*Datos_Origen[[#This Row],[%ARL]]</f>
        <v>283070.39660056651</v>
      </c>
      <c r="DL94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260294.61756373936</v>
      </c>
      <c r="DM94" s="158">
        <f>Datos_Origen[[#This Row],[Salud Nueva]]+Datos_Origen[[#This Row],[Pensión Nueva]]+Datos_Origen[[#This Row],[ARL nueva]]+Datos_Origen[[#This Row],[Parafiscales Nuevos]]</f>
        <v>1324248.866855524</v>
      </c>
      <c r="DN94" s="158">
        <f>Datos_Origen[[#This Row],[Costo Laboral Nuevo]]+Datos_Origen[[#This Row],[Ctpol]]</f>
        <v>8981248.8668555245</v>
      </c>
      <c r="DO94" s="158">
        <f>IF(Datos_Origen[[#This Row],[Ctpol]]-Datos_Origen[[#This Row],[CT]]&lt;=0,0,Datos_Origen[[#This Row],[Costo Total Nuevo]]-Datos_Origen[[#This Row],[Costo Total Actual]])</f>
        <v>3415023.2568555241</v>
      </c>
      <c r="DP94" s="158">
        <f>IF(Datos_Origen[[#This Row],[Ctpol]]-Datos_Origen[[#This Row],[CT]]&lt;=0,0,Datos_Origen[[#This Row],[Ctpol]]-Datos_Origen[[#This Row],[CT]])</f>
        <v>2911489.8899999997</v>
      </c>
      <c r="DQ94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503533.36685552401</v>
      </c>
      <c r="DR94" s="158">
        <f>ROUNDDOWN(VLOOKUP(Datos_Origen[[#This Row],[Categoria]],Competitividad_1[],7,0)*IndiceIncrementoC,-3)</f>
        <v>7656000</v>
      </c>
      <c r="DS94" s="158">
        <f>Datos_Origen[[#This Row],[CTeq]]*0.8</f>
        <v>3981337.6866118261</v>
      </c>
      <c r="DT94" s="158">
        <f>Datos_Origen[[#This Row],[CTeq]]*1.2</f>
        <v>5972006.5299177384</v>
      </c>
      <c r="DU94" s="155">
        <f>IF(Datos_Origen[[#This Row],[Gpol6]]/(1+FactorPrestacionalOrdinario)&lt;SMMLV,SMMLV,Datos_Origen[[#This Row],[Gpol6]]/(1+FactorPrestacionalOrdinario))</f>
        <v>5205892.3512747874</v>
      </c>
      <c r="DV94" s="139" t="str">
        <f>IF((Datos_Origen[[#This Row],[Gpol6]]/(1+FactorPrestacionalIntegral))&lt;(13*SMMLV),"",(Datos_Origen[[#This Row],[Gpol6]]/(1+FactorPrestacionalIntegral)))</f>
        <v/>
      </c>
      <c r="DW94" s="154">
        <f>Datos_Origen[[#This Row],[G+Vpol8]]</f>
        <v>6125600</v>
      </c>
      <c r="DX94" s="154">
        <f>Datos_Origen[[#This Row],[Ctpol10]]-Datos_Origen[[#This Row],[Beneficios]]</f>
        <v>6125600</v>
      </c>
      <c r="DY94" s="154">
        <f>Datos_Origen[[#This Row],[Ctpol]]*$CM$6</f>
        <v>6125600</v>
      </c>
      <c r="DZ94" s="155">
        <f>IF(Datos_Origen[[#This Row],[Gpol66]]/(1+FactorPrestacionalOrdinario)&lt;SMMLV,SMMLV,Datos_Origen[[#This Row],[Gpol66]]/(1+FactorPrestacionalOrdinario))</f>
        <v>7808838.5269121807</v>
      </c>
      <c r="EA94" s="139" t="str">
        <f>IF((Datos_Origen[[#This Row],[Gpol66]]/(1+FactorPrestacionalIntegral))&lt;(13*SMMLV),"",(Datos_Origen[[#This Row],[Gpol66]]/(1+FactorPrestacionalIntegral)))</f>
        <v/>
      </c>
      <c r="EB94" s="154">
        <f>Datos_Origen[[#This Row],[G+Vpol88]]</f>
        <v>9188400</v>
      </c>
      <c r="EC94" s="154">
        <f>Datos_Origen[[#This Row],[Ctpol1010]]-Datos_Origen[[#This Row],[Beneficios]]</f>
        <v>9188400</v>
      </c>
      <c r="ED94" s="154">
        <f>Datos_Origen[[#This Row],[Ctpol]]*$CP$6</f>
        <v>9188400</v>
      </c>
      <c r="EE94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95" spans="2:135">
      <c r="B95" s="132"/>
      <c r="C95" s="149"/>
      <c r="D95" s="150"/>
      <c r="E95" s="151"/>
      <c r="F95" s="151"/>
      <c r="G95" s="150" t="s">
        <v>311</v>
      </c>
      <c r="H95" s="153"/>
      <c r="I95" s="152" t="s">
        <v>311</v>
      </c>
      <c r="J95" s="130" t="str">
        <f>IFERROR(VLOOKUP(Datos_Origen[[#This Row],[Cargo Tipo Valorado]],Cargos_Catalogo[[#All],[Cargo]:[Área]],2,0),"")</f>
        <v xml:space="preserve">Director de producción </v>
      </c>
      <c r="K95" s="153"/>
      <c r="L95" s="153"/>
      <c r="M95" s="153"/>
      <c r="N95" s="153"/>
      <c r="O95" s="154">
        <f>Datos_Origen[[#This Row],[Segmentación Individual]]</f>
        <v>0</v>
      </c>
      <c r="P95" s="153"/>
      <c r="Q95" s="154">
        <f>VLOOKUP(Datos_Origen[[#This Row],[Cargo Tipo Valorado]],Cargos_Catalogo[#Data],MATCH(Cargos_Catalogo[[#Headers],[Puntos]],Cargos_Catalogo[#Headers],0),FALSE)</f>
        <v>396</v>
      </c>
      <c r="R95" s="130">
        <f>VLOOKUP(Datos_Origen[[#This Row],[Puntos valoración]],Categorias_Registro[#Data],MATCH(Categorias_Registro[[#Headers],[Categoria]],Categorias_Registro[#Headers],0),FALSE)</f>
        <v>11</v>
      </c>
      <c r="S95" s="130" t="str">
        <f>VLOOKUP(Datos_Origen[[#This Row],[Cargo Tipo Valorado]],Cargos_Catalogo[#Data],MATCH(Cargos_Catalogo[[#Headers],[Nivel SHR]],Cargos_Catalogo[#Headers],0),FALSE)</f>
        <v>Táctico</v>
      </c>
      <c r="T95" s="130" t="str">
        <f>VLOOKUP(Datos_Origen[[#This Row],[Cargo Tipo Valorado]],Cargos_Catalogo[#Data],MATCH(Cargos_Catalogo[[#Headers],[Criticidad]],Cargos_Catalogo[#Headers],0),FALSE)</f>
        <v>Importante</v>
      </c>
      <c r="U95" s="154">
        <f>VLOOKUP(Datos_Origen[[#This Row],[Puntos valoración]],Categorias_Registro[#Data],5,FALSE)</f>
        <v>379</v>
      </c>
      <c r="V95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4745510.1100000003</v>
      </c>
      <c r="W95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95" s="154">
        <f>SUMIF($BA$5:$BJ$5,"NCS",Datos_Origen[[#This Row],[auxilio Gasolina]:[Otro Beneficio10]])+(SUMIF($BA$5:$BJ$5,"CS",Datos_Origen[[#This Row],[auxilio Gasolina]:[Otro Beneficio10]])*1.17667)</f>
        <v>0</v>
      </c>
      <c r="Y95" s="155">
        <f>Datos_Origen[[#This Row],[Básico]]+Datos_Origen[[#This Row],[Promedio de Comisiones  ]]</f>
        <v>4033000</v>
      </c>
      <c r="Z95" s="155">
        <f>Datos_Origen[[#This Row],[Básico]]+Datos_Origen[[#This Row],[Promedio de Comisiones  ]]</f>
        <v>4033000</v>
      </c>
      <c r="AA95" s="155">
        <f>Datos_Origen[[#This Row],[Garantizado]]</f>
        <v>4745510.1100000003</v>
      </c>
      <c r="AB95" s="155">
        <f>Datos_Origen[[#This Row],[Variable]]+Datos_Origen[[#This Row],[Garantizado]]</f>
        <v>4745510.1100000003</v>
      </c>
      <c r="AC95" s="155">
        <f>Datos_Origen[[#This Row],[Beneficios]]+Datos_Origen[[#This Row],[Variable]]+Datos_Origen[[#This Row],[Garantizado]]</f>
        <v>4745510.1100000003</v>
      </c>
      <c r="AD95" s="156">
        <v>14.12</v>
      </c>
      <c r="AE95" s="141">
        <v>230</v>
      </c>
      <c r="AF95" s="345">
        <v>4.3499999999999997E-2</v>
      </c>
      <c r="AG95" s="155">
        <f>Datos_Origen[[#This Row],[Básico Actual]]*230/Datos_Origen[[#This Row],['# horas mes]]</f>
        <v>4033000</v>
      </c>
      <c r="AH95" s="157">
        <v>4033000</v>
      </c>
      <c r="AI95" s="158"/>
      <c r="AJ95" s="158">
        <f>(((Datos_Origen[[#This Row],[Básico]])/30)*$AJ$6)/12</f>
        <v>0</v>
      </c>
      <c r="AK95" s="158"/>
      <c r="AL95" s="143">
        <f>((Datos_Origen[[#This Row],[Básico]])/30)*$AL$6/12</f>
        <v>0</v>
      </c>
      <c r="AM95" s="158"/>
      <c r="AN95" s="158"/>
      <c r="AO95" s="158"/>
      <c r="AP95" s="158"/>
      <c r="AQ95" s="158"/>
      <c r="AR95" s="149">
        <v>0</v>
      </c>
      <c r="AS95" s="149"/>
      <c r="AT95" s="159" t="str">
        <f>IFERROR(Datos_Origen[[#This Row],[Comisiones Target]]/Datos_Origen[[#This Row],[Promedio de Comisiones  ]],"")</f>
        <v/>
      </c>
      <c r="AU95" s="160"/>
      <c r="AV95" s="143">
        <v>0</v>
      </c>
      <c r="AW95" s="160"/>
      <c r="AX95" s="143">
        <f>Datos_Origen[[#This Row],[N Salarios de la Bonificación2]]*Datos_Origen[[#This Row],[Básico]]/12</f>
        <v>0</v>
      </c>
      <c r="AY95" s="160"/>
      <c r="AZ95" s="158"/>
      <c r="BA95" s="149">
        <v>0</v>
      </c>
      <c r="BB95" s="149"/>
      <c r="BC95" s="149"/>
      <c r="BD95" s="149"/>
      <c r="BE95" s="149"/>
      <c r="BF95" s="149"/>
      <c r="BG95" s="149"/>
      <c r="BH95" s="149"/>
      <c r="BI95" s="149"/>
      <c r="BJ95" s="149"/>
      <c r="BK95" s="159">
        <f>IFERROR(Datos_Origen[[#This Row],[Variable]]/Datos_Origen[[#This Row],[CT]],"")</f>
        <v>0</v>
      </c>
      <c r="BL95" s="159">
        <f>IFERROR(Datos_Origen[[#This Row],[Beneficios]]/Datos_Origen[[#This Row],[CT]],"")</f>
        <v>0</v>
      </c>
      <c r="BM95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4674516.2048216574</v>
      </c>
      <c r="BN95" s="161">
        <f>Datos_Origen[[#This Row],[G]]/Datos_Origen[[#This Row],[Geq]]</f>
        <v>1.0151874337509226</v>
      </c>
      <c r="BO95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4976340.5769949695</v>
      </c>
      <c r="BP95" s="161">
        <f>Datos_Origen[[#This Row],[G+V]]/Datos_Origen[[#This Row],[G+Veq]]</f>
        <v>0.95361441536737435</v>
      </c>
      <c r="BQ95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4976672.1082647825</v>
      </c>
      <c r="BR95" s="161">
        <f>Datos_Origen[[#This Row],[CT]]/Datos_Origen[[#This Row],[CTeq]]</f>
        <v>0.95355088837761881</v>
      </c>
      <c r="BS95" s="139">
        <f>ROUNDUP(VLOOKUP(Datos_Origen[[#This Row],[Categoria]],Competitividad_1[#All],2,0)*IndiceIncrementoC,-3)</f>
        <v>4750000</v>
      </c>
      <c r="BT95" s="161">
        <f>Datos_Origen[[#This Row],[G]]/Datos_Origen[[#This Row],[GQ1]]</f>
        <v>0.99905476000000004</v>
      </c>
      <c r="BU95" s="155">
        <f>ROUNDUP(VLOOKUP(Datos_Origen[[#This Row],[Categoria]],Competitividad_1[#All],3,0)*IndiceIncrementoC,-3)</f>
        <v>4888000</v>
      </c>
      <c r="BV95" s="161">
        <f>Datos_Origen[[#This Row],[G+V]]/Datos_Origen[[#This Row],[G+VQ1]]</f>
        <v>0.97084904050736509</v>
      </c>
      <c r="BW95" s="155">
        <f>ROUNDUP(VLOOKUP(Datos_Origen[[#This Row],[Categoria]],Competitividad_1[#All],4,0)*IndiceIncrementoC,-3)</f>
        <v>5109000</v>
      </c>
      <c r="BX95" s="161">
        <f>Datos_Origen[[#This Row],[CT]]/Datos_Origen[[#This Row],[CTQ1]]</f>
        <v>0.92885302603249176</v>
      </c>
      <c r="BY95" s="155">
        <f>ROUNDUP(VLOOKUP(Datos_Origen[[#This Row],[Categoria]],Competitividad_1[#All],5,0)*IndiceIncrementoC,-3)</f>
        <v>7139000</v>
      </c>
      <c r="BZ95" s="161">
        <f>Datos_Origen[[#This Row],[G]]/Datos_Origen[[#This Row],[GMd]]</f>
        <v>0.66473036979969191</v>
      </c>
      <c r="CA95" s="155">
        <f>ROUNDUP(VLOOKUP(Datos_Origen[[#This Row],[Categoria]],Competitividad_1[#All],6,0)*IndiceIncrementoC,-3)</f>
        <v>7348000</v>
      </c>
      <c r="CB95" s="161">
        <f>Datos_Origen[[#This Row],[G+V]]/Datos_Origen[[#This Row],[G+VMd]]</f>
        <v>0.64582336826347309</v>
      </c>
      <c r="CC95" s="155">
        <f>ROUNDUP(VLOOKUP(Datos_Origen[[#This Row],[Categoria]],Competitividad_1[#All],7,0)*IndiceIncrementoC,-3)</f>
        <v>7657000</v>
      </c>
      <c r="CD95" s="161">
        <f>Datos_Origen[[#This Row],[CT]]/Datos_Origen[[#This Row],[CTMd]]</f>
        <v>0.61976101736972711</v>
      </c>
      <c r="CE95" s="155">
        <f>+Datos_Origen[[#This Row],[GMd]]/1.17666666667</f>
        <v>6067138.810181112</v>
      </c>
      <c r="CF95" s="161">
        <f>+Datos_Origen[[#This Row],[Básico Actual]]/Datos_Origen[[#This Row],[Salario Basico Md]]</f>
        <v>0.66472848671804319</v>
      </c>
      <c r="CG95" s="155">
        <f>ROUNDUP(VLOOKUP(Datos_Origen[[#This Row],[Categoria]],Competitividad_1[#All],8,0)*IndiceIncrementoC,-3)</f>
        <v>7858000</v>
      </c>
      <c r="CH95" s="161">
        <f>Datos_Origen[[#This Row],[G]]/Datos_Origen[[#This Row],[GQ3]]</f>
        <v>0.60390813311275138</v>
      </c>
      <c r="CI95" s="155">
        <f>ROUNDUP(VLOOKUP(Datos_Origen[[#This Row],[Categoria]],Competitividad_1[#All],9,0)*IndiceIncrementoC,-3)</f>
        <v>8067000</v>
      </c>
      <c r="CJ95" s="161">
        <f>Datos_Origen[[#This Row],[G+V]]/Datos_Origen[[#This Row],[G+VQ3]]</f>
        <v>0.58826206892277177</v>
      </c>
      <c r="CK95" s="155">
        <f>ROUNDUP(VLOOKUP(Datos_Origen[[#This Row],[Categoria]],Competitividad_1[#All],10,0)*IndiceIncrementoC,-3)</f>
        <v>8258000</v>
      </c>
      <c r="CL95" s="161">
        <f>Datos_Origen[[#This Row],[CT]]/Datos_Origen[[#This Row],[CTQ3]]</f>
        <v>0.57465610438362802</v>
      </c>
      <c r="CM95" s="162">
        <f>IF(ROUND(Datos_Origen[[#This Row],[Salario Ordinario Pol2]],-3)&lt;SMMLV,SMMLV,ROUND(Datos_Origen[[#This Row],[Salario Ordinario Pol2]],-3))</f>
        <v>5206000</v>
      </c>
      <c r="CN95" s="155">
        <f>IF(Datos_Origen[[#This Row],[Gpol]]/(1+FactorPrestacionalOrdinario)&lt;SMMLV,SMMLV,Datos_Origen[[#This Row],[Gpol]]/(1+FactorPrestacionalOrdinario))</f>
        <v>6507365.4390934836</v>
      </c>
      <c r="CO95" s="161">
        <f>IFERROR(IF(Datos_Origen[[#This Row],[Salarios Año]]=14.12,Datos_Origen[[#This Row],[Básico]]/Datos_Origen[[#This Row],[Salario Ordinario Pol]],""),"")</f>
        <v>0.61975926167776774</v>
      </c>
      <c r="CP95" s="155">
        <f>IF(ROUND(Datos_Origen[[#This Row],[Salario Ordinario Pol22]],-3)&lt;SMMLV,SMMLV,ROUND(Datos_Origen[[#This Row],[Salario Ordinario Pol22]],-3))</f>
        <v>7809000</v>
      </c>
      <c r="CQ95" s="155" t="str">
        <f>IFERROR(ROUND(Datos_Origen[[#This Row],[Salario Integral Pol4]],-3),"")</f>
        <v/>
      </c>
      <c r="CR95" s="139" t="str">
        <f>IF((Datos_Origen[[#This Row],[Gpol]]/(1+FactorPrestacionalIntegral))&lt;(13*SMMLV),"",(Datos_Origen[[#This Row],[Gpol]]/(1+FactorPrestacionalIntegral)))</f>
        <v/>
      </c>
      <c r="CS95" s="161" t="str">
        <f>IFERROR(IF(Datos_Origen[[#This Row],[Salarios Año]]=12,Datos_Origen[[#This Row],[Básico]]/Datos_Origen[[#This Row],[Salario Integral Pol]],""),"")</f>
        <v/>
      </c>
      <c r="CT95" s="155" t="str">
        <f>IFERROR(ROUND(Datos_Origen[[#This Row],[Salario Integral Pol44]],-3),"")</f>
        <v/>
      </c>
      <c r="CU95" s="155">
        <f>Datos_Origen[[#This Row],[G+Vpol]]-Datos_Origen[[#This Row],[Variable]]</f>
        <v>7657000</v>
      </c>
      <c r="CV95" s="161">
        <f>Datos_Origen[[#This Row],[G]]/Datos_Origen[[#This Row],[Gpol]]</f>
        <v>0.61976101736972711</v>
      </c>
      <c r="CW95" s="154">
        <f>Datos_Origen[[#This Row],[Ctpol]]-Datos_Origen[[#This Row],[Beneficios]]</f>
        <v>7657000</v>
      </c>
      <c r="CX95" s="161">
        <f>Datos_Origen[[#This Row],[G+V]]/Datos_Origen[[#This Row],[G+Vpol]]</f>
        <v>0.61976101736972711</v>
      </c>
      <c r="CY95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7657000</v>
      </c>
      <c r="CZ95" s="161">
        <f>Datos_Origen[[#This Row],[CT]]/Datos_Origen[[#This Row],[Ctpol]]</f>
        <v>0.61976101736972711</v>
      </c>
      <c r="DA95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4033000</v>
      </c>
      <c r="DB95" s="158">
        <f>IF(Datos_Origen[[#This Row],[Básico]]&lt;10*SMMLV,0,Datos_Origen[[#This Row],[Base Seguridad Social Actual]]*8.5%)</f>
        <v>0</v>
      </c>
      <c r="DC95" s="158">
        <f>Datos_Origen[[#This Row],[Base Seguridad Social Actual]]*12%</f>
        <v>483960</v>
      </c>
      <c r="DD95" s="158">
        <f>Datos_Origen[[#This Row],[Base Seguridad Social Actual]]*Datos_Origen[[#This Row],[%ARL]]</f>
        <v>175435.5</v>
      </c>
      <c r="DE95" s="158">
        <f>IF(Datos_Origen[[#This Row],[Básico]]&lt;10*SMMLV,Datos_Origen[[#This Row],[Base Seguridad Social Actual]]*4%,Datos_Origen[[#This Row],[Base Seguridad Social Actual]]*9%)</f>
        <v>161320</v>
      </c>
      <c r="DF95" s="158">
        <f>Datos_Origen[[#This Row],[Salud]]+Datos_Origen[[#This Row],[Pensión]]+Datos_Origen[[#This Row],[ARL]]+Datos_Origen[[#This Row],[Parafiscales]]</f>
        <v>820715.5</v>
      </c>
      <c r="DG95" s="158">
        <f>Datos_Origen[[#This Row],[Costo Laboral Actual]]+Datos_Origen[[#This Row],[CT]]</f>
        <v>5566225.6100000003</v>
      </c>
      <c r="DH95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6507365.4390934836</v>
      </c>
      <c r="DI95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95" s="158">
        <f>Datos_Origen[[#This Row],[Base Seguridad Social Nueva]]*12%</f>
        <v>780883.85269121802</v>
      </c>
      <c r="DK95" s="158">
        <f>Datos_Origen[[#This Row],[Base Seguridad Social Nueva]]*Datos_Origen[[#This Row],[%ARL]]</f>
        <v>283070.39660056651</v>
      </c>
      <c r="DL95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260294.61756373936</v>
      </c>
      <c r="DM95" s="158">
        <f>Datos_Origen[[#This Row],[Salud Nueva]]+Datos_Origen[[#This Row],[Pensión Nueva]]+Datos_Origen[[#This Row],[ARL nueva]]+Datos_Origen[[#This Row],[Parafiscales Nuevos]]</f>
        <v>1324248.866855524</v>
      </c>
      <c r="DN95" s="158">
        <f>Datos_Origen[[#This Row],[Costo Laboral Nuevo]]+Datos_Origen[[#This Row],[Ctpol]]</f>
        <v>8981248.8668555245</v>
      </c>
      <c r="DO95" s="158">
        <f>IF(Datos_Origen[[#This Row],[Ctpol]]-Datos_Origen[[#This Row],[CT]]&lt;=0,0,Datos_Origen[[#This Row],[Costo Total Nuevo]]-Datos_Origen[[#This Row],[Costo Total Actual]])</f>
        <v>3415023.2568555241</v>
      </c>
      <c r="DP95" s="158">
        <f>IF(Datos_Origen[[#This Row],[Ctpol]]-Datos_Origen[[#This Row],[CT]]&lt;=0,0,Datos_Origen[[#This Row],[Ctpol]]-Datos_Origen[[#This Row],[CT]])</f>
        <v>2911489.8899999997</v>
      </c>
      <c r="DQ95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503533.36685552401</v>
      </c>
      <c r="DR95" s="158">
        <f>ROUNDDOWN(VLOOKUP(Datos_Origen[[#This Row],[Categoria]],Competitividad_1[],7,0)*IndiceIncrementoC,-3)</f>
        <v>7656000</v>
      </c>
      <c r="DS95" s="158">
        <f>Datos_Origen[[#This Row],[CTeq]]*0.8</f>
        <v>3981337.6866118261</v>
      </c>
      <c r="DT95" s="158">
        <f>Datos_Origen[[#This Row],[CTeq]]*1.2</f>
        <v>5972006.5299177384</v>
      </c>
      <c r="DU95" s="155">
        <f>IF(Datos_Origen[[#This Row],[Gpol6]]/(1+FactorPrestacionalOrdinario)&lt;SMMLV,SMMLV,Datos_Origen[[#This Row],[Gpol6]]/(1+FactorPrestacionalOrdinario))</f>
        <v>5205892.3512747874</v>
      </c>
      <c r="DV95" s="139" t="str">
        <f>IF((Datos_Origen[[#This Row],[Gpol6]]/(1+FactorPrestacionalIntegral))&lt;(13*SMMLV),"",(Datos_Origen[[#This Row],[Gpol6]]/(1+FactorPrestacionalIntegral)))</f>
        <v/>
      </c>
      <c r="DW95" s="154">
        <f>Datos_Origen[[#This Row],[G+Vpol8]]</f>
        <v>6125600</v>
      </c>
      <c r="DX95" s="154">
        <f>Datos_Origen[[#This Row],[Ctpol10]]-Datos_Origen[[#This Row],[Beneficios]]</f>
        <v>6125600</v>
      </c>
      <c r="DY95" s="154">
        <f>Datos_Origen[[#This Row],[Ctpol]]*$CM$6</f>
        <v>6125600</v>
      </c>
      <c r="DZ95" s="155">
        <f>IF(Datos_Origen[[#This Row],[Gpol66]]/(1+FactorPrestacionalOrdinario)&lt;SMMLV,SMMLV,Datos_Origen[[#This Row],[Gpol66]]/(1+FactorPrestacionalOrdinario))</f>
        <v>7808838.5269121807</v>
      </c>
      <c r="EA95" s="139" t="str">
        <f>IF((Datos_Origen[[#This Row],[Gpol66]]/(1+FactorPrestacionalIntegral))&lt;(13*SMMLV),"",(Datos_Origen[[#This Row],[Gpol66]]/(1+FactorPrestacionalIntegral)))</f>
        <v/>
      </c>
      <c r="EB95" s="154">
        <f>Datos_Origen[[#This Row],[G+Vpol88]]</f>
        <v>9188400</v>
      </c>
      <c r="EC95" s="154">
        <f>Datos_Origen[[#This Row],[Ctpol1010]]-Datos_Origen[[#This Row],[Beneficios]]</f>
        <v>9188400</v>
      </c>
      <c r="ED95" s="154">
        <f>Datos_Origen[[#This Row],[Ctpol]]*$CP$6</f>
        <v>9188400</v>
      </c>
      <c r="EE95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96" spans="2:135">
      <c r="B96" s="132"/>
      <c r="C96" s="149"/>
      <c r="D96" s="150"/>
      <c r="E96" s="151"/>
      <c r="F96" s="151"/>
      <c r="G96" s="150" t="s">
        <v>311</v>
      </c>
      <c r="H96" s="153"/>
      <c r="I96" s="152" t="s">
        <v>311</v>
      </c>
      <c r="J96" s="130" t="str">
        <f>IFERROR(VLOOKUP(Datos_Origen[[#This Row],[Cargo Tipo Valorado]],Cargos_Catalogo[[#All],[Cargo]:[Área]],2,0),"")</f>
        <v xml:space="preserve">Director de producción </v>
      </c>
      <c r="K96" s="153"/>
      <c r="L96" s="153"/>
      <c r="M96" s="153"/>
      <c r="N96" s="153"/>
      <c r="O96" s="154">
        <f>Datos_Origen[[#This Row],[Segmentación Individual]]</f>
        <v>0</v>
      </c>
      <c r="P96" s="153"/>
      <c r="Q96" s="154">
        <f>VLOOKUP(Datos_Origen[[#This Row],[Cargo Tipo Valorado]],Cargos_Catalogo[#Data],MATCH(Cargos_Catalogo[[#Headers],[Puntos]],Cargos_Catalogo[#Headers],0),FALSE)</f>
        <v>396</v>
      </c>
      <c r="R96" s="130">
        <f>VLOOKUP(Datos_Origen[[#This Row],[Puntos valoración]],Categorias_Registro[#Data],MATCH(Categorias_Registro[[#Headers],[Categoria]],Categorias_Registro[#Headers],0),FALSE)</f>
        <v>11</v>
      </c>
      <c r="S96" s="130" t="str">
        <f>VLOOKUP(Datos_Origen[[#This Row],[Cargo Tipo Valorado]],Cargos_Catalogo[#Data],MATCH(Cargos_Catalogo[[#Headers],[Nivel SHR]],Cargos_Catalogo[#Headers],0),FALSE)</f>
        <v>Táctico</v>
      </c>
      <c r="T96" s="130" t="str">
        <f>VLOOKUP(Datos_Origen[[#This Row],[Cargo Tipo Valorado]],Cargos_Catalogo[#Data],MATCH(Cargos_Catalogo[[#Headers],[Criticidad]],Cargos_Catalogo[#Headers],0),FALSE)</f>
        <v>Importante</v>
      </c>
      <c r="U96" s="154">
        <f>VLOOKUP(Datos_Origen[[#This Row],[Puntos valoración]],Categorias_Registro[#Data],5,FALSE)</f>
        <v>379</v>
      </c>
      <c r="V96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4745510.1100000003</v>
      </c>
      <c r="W96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96" s="154">
        <f>SUMIF($BA$5:$BJ$5,"NCS",Datos_Origen[[#This Row],[auxilio Gasolina]:[Otro Beneficio10]])+(SUMIF($BA$5:$BJ$5,"CS",Datos_Origen[[#This Row],[auxilio Gasolina]:[Otro Beneficio10]])*1.17667)</f>
        <v>0</v>
      </c>
      <c r="Y96" s="155">
        <f>Datos_Origen[[#This Row],[Básico]]+Datos_Origen[[#This Row],[Promedio de Comisiones  ]]</f>
        <v>4033000</v>
      </c>
      <c r="Z96" s="155">
        <f>Datos_Origen[[#This Row],[Básico]]+Datos_Origen[[#This Row],[Promedio de Comisiones  ]]</f>
        <v>4033000</v>
      </c>
      <c r="AA96" s="155">
        <f>Datos_Origen[[#This Row],[Garantizado]]</f>
        <v>4745510.1100000003</v>
      </c>
      <c r="AB96" s="155">
        <f>Datos_Origen[[#This Row],[Variable]]+Datos_Origen[[#This Row],[Garantizado]]</f>
        <v>4745510.1100000003</v>
      </c>
      <c r="AC96" s="155">
        <f>Datos_Origen[[#This Row],[Beneficios]]+Datos_Origen[[#This Row],[Variable]]+Datos_Origen[[#This Row],[Garantizado]]</f>
        <v>4745510.1100000003</v>
      </c>
      <c r="AD96" s="156">
        <v>14.12</v>
      </c>
      <c r="AE96" s="141">
        <v>230</v>
      </c>
      <c r="AF96" s="345">
        <v>4.3499999999999997E-2</v>
      </c>
      <c r="AG96" s="155">
        <f>Datos_Origen[[#This Row],[Básico Actual]]*230/Datos_Origen[[#This Row],['# horas mes]]</f>
        <v>4033000</v>
      </c>
      <c r="AH96" s="157">
        <v>4033000</v>
      </c>
      <c r="AI96" s="158"/>
      <c r="AJ96" s="158">
        <f>(((Datos_Origen[[#This Row],[Básico]])/30)*$AJ$6)/12</f>
        <v>0</v>
      </c>
      <c r="AK96" s="158"/>
      <c r="AL96" s="143">
        <f>((Datos_Origen[[#This Row],[Básico]])/30)*$AL$6/12</f>
        <v>0</v>
      </c>
      <c r="AM96" s="158"/>
      <c r="AN96" s="158"/>
      <c r="AO96" s="158"/>
      <c r="AP96" s="158"/>
      <c r="AQ96" s="158"/>
      <c r="AR96" s="149">
        <v>0</v>
      </c>
      <c r="AS96" s="149"/>
      <c r="AT96" s="159" t="str">
        <f>IFERROR(Datos_Origen[[#This Row],[Comisiones Target]]/Datos_Origen[[#This Row],[Promedio de Comisiones  ]],"")</f>
        <v/>
      </c>
      <c r="AU96" s="160"/>
      <c r="AV96" s="143">
        <v>0</v>
      </c>
      <c r="AW96" s="160"/>
      <c r="AX96" s="143">
        <f>Datos_Origen[[#This Row],[N Salarios de la Bonificación2]]*Datos_Origen[[#This Row],[Básico]]/12</f>
        <v>0</v>
      </c>
      <c r="AY96" s="160"/>
      <c r="AZ96" s="158"/>
      <c r="BA96" s="149">
        <v>0</v>
      </c>
      <c r="BB96" s="149"/>
      <c r="BC96" s="149"/>
      <c r="BD96" s="149"/>
      <c r="BE96" s="149"/>
      <c r="BF96" s="149"/>
      <c r="BG96" s="149"/>
      <c r="BH96" s="149"/>
      <c r="BI96" s="149"/>
      <c r="BJ96" s="149"/>
      <c r="BK96" s="159">
        <f>IFERROR(Datos_Origen[[#This Row],[Variable]]/Datos_Origen[[#This Row],[CT]],"")</f>
        <v>0</v>
      </c>
      <c r="BL96" s="159">
        <f>IFERROR(Datos_Origen[[#This Row],[Beneficios]]/Datos_Origen[[#This Row],[CT]],"")</f>
        <v>0</v>
      </c>
      <c r="BM96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4674516.2048216574</v>
      </c>
      <c r="BN96" s="161">
        <f>Datos_Origen[[#This Row],[G]]/Datos_Origen[[#This Row],[Geq]]</f>
        <v>1.0151874337509226</v>
      </c>
      <c r="BO96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4976340.5769949695</v>
      </c>
      <c r="BP96" s="161">
        <f>Datos_Origen[[#This Row],[G+V]]/Datos_Origen[[#This Row],[G+Veq]]</f>
        <v>0.95361441536737435</v>
      </c>
      <c r="BQ96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4976672.1082647825</v>
      </c>
      <c r="BR96" s="161">
        <f>Datos_Origen[[#This Row],[CT]]/Datos_Origen[[#This Row],[CTeq]]</f>
        <v>0.95355088837761881</v>
      </c>
      <c r="BS96" s="139">
        <f>ROUNDUP(VLOOKUP(Datos_Origen[[#This Row],[Categoria]],Competitividad_1[#All],2,0)*IndiceIncrementoC,-3)</f>
        <v>4750000</v>
      </c>
      <c r="BT96" s="161">
        <f>Datos_Origen[[#This Row],[G]]/Datos_Origen[[#This Row],[GQ1]]</f>
        <v>0.99905476000000004</v>
      </c>
      <c r="BU96" s="155">
        <f>ROUNDUP(VLOOKUP(Datos_Origen[[#This Row],[Categoria]],Competitividad_1[#All],3,0)*IndiceIncrementoC,-3)</f>
        <v>4888000</v>
      </c>
      <c r="BV96" s="161">
        <f>Datos_Origen[[#This Row],[G+V]]/Datos_Origen[[#This Row],[G+VQ1]]</f>
        <v>0.97084904050736509</v>
      </c>
      <c r="BW96" s="155">
        <f>ROUNDUP(VLOOKUP(Datos_Origen[[#This Row],[Categoria]],Competitividad_1[#All],4,0)*IndiceIncrementoC,-3)</f>
        <v>5109000</v>
      </c>
      <c r="BX96" s="161">
        <f>Datos_Origen[[#This Row],[CT]]/Datos_Origen[[#This Row],[CTQ1]]</f>
        <v>0.92885302603249176</v>
      </c>
      <c r="BY96" s="155">
        <f>ROUNDUP(VLOOKUP(Datos_Origen[[#This Row],[Categoria]],Competitividad_1[#All],5,0)*IndiceIncrementoC,-3)</f>
        <v>7139000</v>
      </c>
      <c r="BZ96" s="161">
        <f>Datos_Origen[[#This Row],[G]]/Datos_Origen[[#This Row],[GMd]]</f>
        <v>0.66473036979969191</v>
      </c>
      <c r="CA96" s="155">
        <f>ROUNDUP(VLOOKUP(Datos_Origen[[#This Row],[Categoria]],Competitividad_1[#All],6,0)*IndiceIncrementoC,-3)</f>
        <v>7348000</v>
      </c>
      <c r="CB96" s="161">
        <f>Datos_Origen[[#This Row],[G+V]]/Datos_Origen[[#This Row],[G+VMd]]</f>
        <v>0.64582336826347309</v>
      </c>
      <c r="CC96" s="155">
        <f>ROUNDUP(VLOOKUP(Datos_Origen[[#This Row],[Categoria]],Competitividad_1[#All],7,0)*IndiceIncrementoC,-3)</f>
        <v>7657000</v>
      </c>
      <c r="CD96" s="161">
        <f>Datos_Origen[[#This Row],[CT]]/Datos_Origen[[#This Row],[CTMd]]</f>
        <v>0.61976101736972711</v>
      </c>
      <c r="CE96" s="155">
        <f>+Datos_Origen[[#This Row],[GMd]]/1.17666666667</f>
        <v>6067138.810181112</v>
      </c>
      <c r="CF96" s="161">
        <f>+Datos_Origen[[#This Row],[Básico Actual]]/Datos_Origen[[#This Row],[Salario Basico Md]]</f>
        <v>0.66472848671804319</v>
      </c>
      <c r="CG96" s="155">
        <f>ROUNDUP(VLOOKUP(Datos_Origen[[#This Row],[Categoria]],Competitividad_1[#All],8,0)*IndiceIncrementoC,-3)</f>
        <v>7858000</v>
      </c>
      <c r="CH96" s="161">
        <f>Datos_Origen[[#This Row],[G]]/Datos_Origen[[#This Row],[GQ3]]</f>
        <v>0.60390813311275138</v>
      </c>
      <c r="CI96" s="155">
        <f>ROUNDUP(VLOOKUP(Datos_Origen[[#This Row],[Categoria]],Competitividad_1[#All],9,0)*IndiceIncrementoC,-3)</f>
        <v>8067000</v>
      </c>
      <c r="CJ96" s="161">
        <f>Datos_Origen[[#This Row],[G+V]]/Datos_Origen[[#This Row],[G+VQ3]]</f>
        <v>0.58826206892277177</v>
      </c>
      <c r="CK96" s="155">
        <f>ROUNDUP(VLOOKUP(Datos_Origen[[#This Row],[Categoria]],Competitividad_1[#All],10,0)*IndiceIncrementoC,-3)</f>
        <v>8258000</v>
      </c>
      <c r="CL96" s="161">
        <f>Datos_Origen[[#This Row],[CT]]/Datos_Origen[[#This Row],[CTQ3]]</f>
        <v>0.57465610438362802</v>
      </c>
      <c r="CM96" s="162">
        <f>IF(ROUND(Datos_Origen[[#This Row],[Salario Ordinario Pol2]],-3)&lt;SMMLV,SMMLV,ROUND(Datos_Origen[[#This Row],[Salario Ordinario Pol2]],-3))</f>
        <v>5206000</v>
      </c>
      <c r="CN96" s="155">
        <f>IF(Datos_Origen[[#This Row],[Gpol]]/(1+FactorPrestacionalOrdinario)&lt;SMMLV,SMMLV,Datos_Origen[[#This Row],[Gpol]]/(1+FactorPrestacionalOrdinario))</f>
        <v>6507365.4390934836</v>
      </c>
      <c r="CO96" s="161">
        <f>IFERROR(IF(Datos_Origen[[#This Row],[Salarios Año]]=14.12,Datos_Origen[[#This Row],[Básico]]/Datos_Origen[[#This Row],[Salario Ordinario Pol]],""),"")</f>
        <v>0.61975926167776774</v>
      </c>
      <c r="CP96" s="155">
        <f>IF(ROUND(Datos_Origen[[#This Row],[Salario Ordinario Pol22]],-3)&lt;SMMLV,SMMLV,ROUND(Datos_Origen[[#This Row],[Salario Ordinario Pol22]],-3))</f>
        <v>7809000</v>
      </c>
      <c r="CQ96" s="155" t="str">
        <f>IFERROR(ROUND(Datos_Origen[[#This Row],[Salario Integral Pol4]],-3),"")</f>
        <v/>
      </c>
      <c r="CR96" s="139" t="str">
        <f>IF((Datos_Origen[[#This Row],[Gpol]]/(1+FactorPrestacionalIntegral))&lt;(13*SMMLV),"",(Datos_Origen[[#This Row],[Gpol]]/(1+FactorPrestacionalIntegral)))</f>
        <v/>
      </c>
      <c r="CS96" s="161" t="str">
        <f>IFERROR(IF(Datos_Origen[[#This Row],[Salarios Año]]=12,Datos_Origen[[#This Row],[Básico]]/Datos_Origen[[#This Row],[Salario Integral Pol]],""),"")</f>
        <v/>
      </c>
      <c r="CT96" s="155" t="str">
        <f>IFERROR(ROUND(Datos_Origen[[#This Row],[Salario Integral Pol44]],-3),"")</f>
        <v/>
      </c>
      <c r="CU96" s="155">
        <f>Datos_Origen[[#This Row],[G+Vpol]]-Datos_Origen[[#This Row],[Variable]]</f>
        <v>7657000</v>
      </c>
      <c r="CV96" s="161">
        <f>Datos_Origen[[#This Row],[G]]/Datos_Origen[[#This Row],[Gpol]]</f>
        <v>0.61976101736972711</v>
      </c>
      <c r="CW96" s="154">
        <f>Datos_Origen[[#This Row],[Ctpol]]-Datos_Origen[[#This Row],[Beneficios]]</f>
        <v>7657000</v>
      </c>
      <c r="CX96" s="161">
        <f>Datos_Origen[[#This Row],[G+V]]/Datos_Origen[[#This Row],[G+Vpol]]</f>
        <v>0.61976101736972711</v>
      </c>
      <c r="CY96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7657000</v>
      </c>
      <c r="CZ96" s="161">
        <f>Datos_Origen[[#This Row],[CT]]/Datos_Origen[[#This Row],[Ctpol]]</f>
        <v>0.61976101736972711</v>
      </c>
      <c r="DA96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4033000</v>
      </c>
      <c r="DB96" s="158">
        <f>IF(Datos_Origen[[#This Row],[Básico]]&lt;10*SMMLV,0,Datos_Origen[[#This Row],[Base Seguridad Social Actual]]*8.5%)</f>
        <v>0</v>
      </c>
      <c r="DC96" s="158">
        <f>Datos_Origen[[#This Row],[Base Seguridad Social Actual]]*12%</f>
        <v>483960</v>
      </c>
      <c r="DD96" s="158">
        <f>Datos_Origen[[#This Row],[Base Seguridad Social Actual]]*Datos_Origen[[#This Row],[%ARL]]</f>
        <v>175435.5</v>
      </c>
      <c r="DE96" s="158">
        <f>IF(Datos_Origen[[#This Row],[Básico]]&lt;10*SMMLV,Datos_Origen[[#This Row],[Base Seguridad Social Actual]]*4%,Datos_Origen[[#This Row],[Base Seguridad Social Actual]]*9%)</f>
        <v>161320</v>
      </c>
      <c r="DF96" s="158">
        <f>Datos_Origen[[#This Row],[Salud]]+Datos_Origen[[#This Row],[Pensión]]+Datos_Origen[[#This Row],[ARL]]+Datos_Origen[[#This Row],[Parafiscales]]</f>
        <v>820715.5</v>
      </c>
      <c r="DG96" s="158">
        <f>Datos_Origen[[#This Row],[Costo Laboral Actual]]+Datos_Origen[[#This Row],[CT]]</f>
        <v>5566225.6100000003</v>
      </c>
      <c r="DH96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6507365.4390934836</v>
      </c>
      <c r="DI96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96" s="158">
        <f>Datos_Origen[[#This Row],[Base Seguridad Social Nueva]]*12%</f>
        <v>780883.85269121802</v>
      </c>
      <c r="DK96" s="158">
        <f>Datos_Origen[[#This Row],[Base Seguridad Social Nueva]]*Datos_Origen[[#This Row],[%ARL]]</f>
        <v>283070.39660056651</v>
      </c>
      <c r="DL96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260294.61756373936</v>
      </c>
      <c r="DM96" s="158">
        <f>Datos_Origen[[#This Row],[Salud Nueva]]+Datos_Origen[[#This Row],[Pensión Nueva]]+Datos_Origen[[#This Row],[ARL nueva]]+Datos_Origen[[#This Row],[Parafiscales Nuevos]]</f>
        <v>1324248.866855524</v>
      </c>
      <c r="DN96" s="158">
        <f>Datos_Origen[[#This Row],[Costo Laboral Nuevo]]+Datos_Origen[[#This Row],[Ctpol]]</f>
        <v>8981248.8668555245</v>
      </c>
      <c r="DO96" s="158">
        <f>IF(Datos_Origen[[#This Row],[Ctpol]]-Datos_Origen[[#This Row],[CT]]&lt;=0,0,Datos_Origen[[#This Row],[Costo Total Nuevo]]-Datos_Origen[[#This Row],[Costo Total Actual]])</f>
        <v>3415023.2568555241</v>
      </c>
      <c r="DP96" s="158">
        <f>IF(Datos_Origen[[#This Row],[Ctpol]]-Datos_Origen[[#This Row],[CT]]&lt;=0,0,Datos_Origen[[#This Row],[Ctpol]]-Datos_Origen[[#This Row],[CT]])</f>
        <v>2911489.8899999997</v>
      </c>
      <c r="DQ96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503533.36685552401</v>
      </c>
      <c r="DR96" s="158">
        <f>ROUNDDOWN(VLOOKUP(Datos_Origen[[#This Row],[Categoria]],Competitividad_1[],7,0)*IndiceIncrementoC,-3)</f>
        <v>7656000</v>
      </c>
      <c r="DS96" s="158">
        <f>Datos_Origen[[#This Row],[CTeq]]*0.8</f>
        <v>3981337.6866118261</v>
      </c>
      <c r="DT96" s="158">
        <f>Datos_Origen[[#This Row],[CTeq]]*1.2</f>
        <v>5972006.5299177384</v>
      </c>
      <c r="DU96" s="155">
        <f>IF(Datos_Origen[[#This Row],[Gpol6]]/(1+FactorPrestacionalOrdinario)&lt;SMMLV,SMMLV,Datos_Origen[[#This Row],[Gpol6]]/(1+FactorPrestacionalOrdinario))</f>
        <v>5205892.3512747874</v>
      </c>
      <c r="DV96" s="139" t="str">
        <f>IF((Datos_Origen[[#This Row],[Gpol6]]/(1+FactorPrestacionalIntegral))&lt;(13*SMMLV),"",(Datos_Origen[[#This Row],[Gpol6]]/(1+FactorPrestacionalIntegral)))</f>
        <v/>
      </c>
      <c r="DW96" s="154">
        <f>Datos_Origen[[#This Row],[G+Vpol8]]</f>
        <v>6125600</v>
      </c>
      <c r="DX96" s="154">
        <f>Datos_Origen[[#This Row],[Ctpol10]]-Datos_Origen[[#This Row],[Beneficios]]</f>
        <v>6125600</v>
      </c>
      <c r="DY96" s="154">
        <f>Datos_Origen[[#This Row],[Ctpol]]*$CM$6</f>
        <v>6125600</v>
      </c>
      <c r="DZ96" s="155">
        <f>IF(Datos_Origen[[#This Row],[Gpol66]]/(1+FactorPrestacionalOrdinario)&lt;SMMLV,SMMLV,Datos_Origen[[#This Row],[Gpol66]]/(1+FactorPrestacionalOrdinario))</f>
        <v>7808838.5269121807</v>
      </c>
      <c r="EA96" s="139" t="str">
        <f>IF((Datos_Origen[[#This Row],[Gpol66]]/(1+FactorPrestacionalIntegral))&lt;(13*SMMLV),"",(Datos_Origen[[#This Row],[Gpol66]]/(1+FactorPrestacionalIntegral)))</f>
        <v/>
      </c>
      <c r="EB96" s="154">
        <f>Datos_Origen[[#This Row],[G+Vpol88]]</f>
        <v>9188400</v>
      </c>
      <c r="EC96" s="154">
        <f>Datos_Origen[[#This Row],[Ctpol1010]]-Datos_Origen[[#This Row],[Beneficios]]</f>
        <v>9188400</v>
      </c>
      <c r="ED96" s="154">
        <f>Datos_Origen[[#This Row],[Ctpol]]*$CP$6</f>
        <v>9188400</v>
      </c>
      <c r="EE96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97" spans="2:135">
      <c r="B97" s="132"/>
      <c r="C97" s="149"/>
      <c r="D97" s="150"/>
      <c r="E97" s="151"/>
      <c r="F97" s="151"/>
      <c r="G97" s="150" t="s">
        <v>311</v>
      </c>
      <c r="H97" s="153"/>
      <c r="I97" s="152" t="s">
        <v>311</v>
      </c>
      <c r="J97" s="130" t="str">
        <f>IFERROR(VLOOKUP(Datos_Origen[[#This Row],[Cargo Tipo Valorado]],Cargos_Catalogo[[#All],[Cargo]:[Área]],2,0),"")</f>
        <v xml:space="preserve">Director de producción </v>
      </c>
      <c r="K97" s="153"/>
      <c r="L97" s="153"/>
      <c r="M97" s="153"/>
      <c r="N97" s="153"/>
      <c r="O97" s="154">
        <f>Datos_Origen[[#This Row],[Segmentación Individual]]</f>
        <v>0</v>
      </c>
      <c r="P97" s="153"/>
      <c r="Q97" s="154">
        <f>VLOOKUP(Datos_Origen[[#This Row],[Cargo Tipo Valorado]],Cargos_Catalogo[#Data],MATCH(Cargos_Catalogo[[#Headers],[Puntos]],Cargos_Catalogo[#Headers],0),FALSE)</f>
        <v>396</v>
      </c>
      <c r="R97" s="130">
        <f>VLOOKUP(Datos_Origen[[#This Row],[Puntos valoración]],Categorias_Registro[#Data],MATCH(Categorias_Registro[[#Headers],[Categoria]],Categorias_Registro[#Headers],0),FALSE)</f>
        <v>11</v>
      </c>
      <c r="S97" s="130" t="str">
        <f>VLOOKUP(Datos_Origen[[#This Row],[Cargo Tipo Valorado]],Cargos_Catalogo[#Data],MATCH(Cargos_Catalogo[[#Headers],[Nivel SHR]],Cargos_Catalogo[#Headers],0),FALSE)</f>
        <v>Táctico</v>
      </c>
      <c r="T97" s="130" t="str">
        <f>VLOOKUP(Datos_Origen[[#This Row],[Cargo Tipo Valorado]],Cargos_Catalogo[#Data],MATCH(Cargos_Catalogo[[#Headers],[Criticidad]],Cargos_Catalogo[#Headers],0),FALSE)</f>
        <v>Importante</v>
      </c>
      <c r="U97" s="154">
        <f>VLOOKUP(Datos_Origen[[#This Row],[Puntos valoración]],Categorias_Registro[#Data],5,FALSE)</f>
        <v>379</v>
      </c>
      <c r="V97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4745510.1100000003</v>
      </c>
      <c r="W97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97" s="154">
        <f>SUMIF($BA$5:$BJ$5,"NCS",Datos_Origen[[#This Row],[auxilio Gasolina]:[Otro Beneficio10]])+(SUMIF($BA$5:$BJ$5,"CS",Datos_Origen[[#This Row],[auxilio Gasolina]:[Otro Beneficio10]])*1.17667)</f>
        <v>0</v>
      </c>
      <c r="Y97" s="155">
        <f>Datos_Origen[[#This Row],[Básico]]+Datos_Origen[[#This Row],[Promedio de Comisiones  ]]</f>
        <v>4033000</v>
      </c>
      <c r="Z97" s="155">
        <f>Datos_Origen[[#This Row],[Básico]]+Datos_Origen[[#This Row],[Promedio de Comisiones  ]]</f>
        <v>4033000</v>
      </c>
      <c r="AA97" s="155">
        <f>Datos_Origen[[#This Row],[Garantizado]]</f>
        <v>4745510.1100000003</v>
      </c>
      <c r="AB97" s="155">
        <f>Datos_Origen[[#This Row],[Variable]]+Datos_Origen[[#This Row],[Garantizado]]</f>
        <v>4745510.1100000003</v>
      </c>
      <c r="AC97" s="155">
        <f>Datos_Origen[[#This Row],[Beneficios]]+Datos_Origen[[#This Row],[Variable]]+Datos_Origen[[#This Row],[Garantizado]]</f>
        <v>4745510.1100000003</v>
      </c>
      <c r="AD97" s="156">
        <v>14.12</v>
      </c>
      <c r="AE97" s="141">
        <v>230</v>
      </c>
      <c r="AF97" s="345">
        <v>4.3499999999999997E-2</v>
      </c>
      <c r="AG97" s="155">
        <f>Datos_Origen[[#This Row],[Básico Actual]]*230/Datos_Origen[[#This Row],['# horas mes]]</f>
        <v>4033000</v>
      </c>
      <c r="AH97" s="157">
        <v>4033000</v>
      </c>
      <c r="AI97" s="158"/>
      <c r="AJ97" s="158">
        <f>(((Datos_Origen[[#This Row],[Básico]])/30)*$AJ$6)/12</f>
        <v>0</v>
      </c>
      <c r="AK97" s="158"/>
      <c r="AL97" s="143">
        <f>((Datos_Origen[[#This Row],[Básico]])/30)*$AL$6/12</f>
        <v>0</v>
      </c>
      <c r="AM97" s="158"/>
      <c r="AN97" s="158"/>
      <c r="AO97" s="158"/>
      <c r="AP97" s="158"/>
      <c r="AQ97" s="158"/>
      <c r="AR97" s="149">
        <v>0</v>
      </c>
      <c r="AS97" s="149"/>
      <c r="AT97" s="159" t="str">
        <f>IFERROR(Datos_Origen[[#This Row],[Comisiones Target]]/Datos_Origen[[#This Row],[Promedio de Comisiones  ]],"")</f>
        <v/>
      </c>
      <c r="AU97" s="160"/>
      <c r="AV97" s="143">
        <v>0</v>
      </c>
      <c r="AW97" s="160"/>
      <c r="AX97" s="143">
        <f>Datos_Origen[[#This Row],[N Salarios de la Bonificación2]]*Datos_Origen[[#This Row],[Básico]]/12</f>
        <v>0</v>
      </c>
      <c r="AY97" s="160"/>
      <c r="AZ97" s="158"/>
      <c r="BA97" s="149">
        <v>0</v>
      </c>
      <c r="BB97" s="149"/>
      <c r="BC97" s="149"/>
      <c r="BD97" s="149"/>
      <c r="BE97" s="149"/>
      <c r="BF97" s="149"/>
      <c r="BG97" s="149"/>
      <c r="BH97" s="149"/>
      <c r="BI97" s="149"/>
      <c r="BJ97" s="149"/>
      <c r="BK97" s="159">
        <f>IFERROR(Datos_Origen[[#This Row],[Variable]]/Datos_Origen[[#This Row],[CT]],"")</f>
        <v>0</v>
      </c>
      <c r="BL97" s="159">
        <f>IFERROR(Datos_Origen[[#This Row],[Beneficios]]/Datos_Origen[[#This Row],[CT]],"")</f>
        <v>0</v>
      </c>
      <c r="BM97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4674516.2048216574</v>
      </c>
      <c r="BN97" s="161">
        <f>Datos_Origen[[#This Row],[G]]/Datos_Origen[[#This Row],[Geq]]</f>
        <v>1.0151874337509226</v>
      </c>
      <c r="BO97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4976340.5769949695</v>
      </c>
      <c r="BP97" s="161">
        <f>Datos_Origen[[#This Row],[G+V]]/Datos_Origen[[#This Row],[G+Veq]]</f>
        <v>0.95361441536737435</v>
      </c>
      <c r="BQ97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4976672.1082647825</v>
      </c>
      <c r="BR97" s="161">
        <f>Datos_Origen[[#This Row],[CT]]/Datos_Origen[[#This Row],[CTeq]]</f>
        <v>0.95355088837761881</v>
      </c>
      <c r="BS97" s="139">
        <f>ROUNDUP(VLOOKUP(Datos_Origen[[#This Row],[Categoria]],Competitividad_1[#All],2,0)*IndiceIncrementoC,-3)</f>
        <v>4750000</v>
      </c>
      <c r="BT97" s="161">
        <f>Datos_Origen[[#This Row],[G]]/Datos_Origen[[#This Row],[GQ1]]</f>
        <v>0.99905476000000004</v>
      </c>
      <c r="BU97" s="155">
        <f>ROUNDUP(VLOOKUP(Datos_Origen[[#This Row],[Categoria]],Competitividad_1[#All],3,0)*IndiceIncrementoC,-3)</f>
        <v>4888000</v>
      </c>
      <c r="BV97" s="161">
        <f>Datos_Origen[[#This Row],[G+V]]/Datos_Origen[[#This Row],[G+VQ1]]</f>
        <v>0.97084904050736509</v>
      </c>
      <c r="BW97" s="155">
        <f>ROUNDUP(VLOOKUP(Datos_Origen[[#This Row],[Categoria]],Competitividad_1[#All],4,0)*IndiceIncrementoC,-3)</f>
        <v>5109000</v>
      </c>
      <c r="BX97" s="161">
        <f>Datos_Origen[[#This Row],[CT]]/Datos_Origen[[#This Row],[CTQ1]]</f>
        <v>0.92885302603249176</v>
      </c>
      <c r="BY97" s="155">
        <f>ROUNDUP(VLOOKUP(Datos_Origen[[#This Row],[Categoria]],Competitividad_1[#All],5,0)*IndiceIncrementoC,-3)</f>
        <v>7139000</v>
      </c>
      <c r="BZ97" s="161">
        <f>Datos_Origen[[#This Row],[G]]/Datos_Origen[[#This Row],[GMd]]</f>
        <v>0.66473036979969191</v>
      </c>
      <c r="CA97" s="155">
        <f>ROUNDUP(VLOOKUP(Datos_Origen[[#This Row],[Categoria]],Competitividad_1[#All],6,0)*IndiceIncrementoC,-3)</f>
        <v>7348000</v>
      </c>
      <c r="CB97" s="161">
        <f>Datos_Origen[[#This Row],[G+V]]/Datos_Origen[[#This Row],[G+VMd]]</f>
        <v>0.64582336826347309</v>
      </c>
      <c r="CC97" s="155">
        <f>ROUNDUP(VLOOKUP(Datos_Origen[[#This Row],[Categoria]],Competitividad_1[#All],7,0)*IndiceIncrementoC,-3)</f>
        <v>7657000</v>
      </c>
      <c r="CD97" s="161">
        <f>Datos_Origen[[#This Row],[CT]]/Datos_Origen[[#This Row],[CTMd]]</f>
        <v>0.61976101736972711</v>
      </c>
      <c r="CE97" s="155">
        <f>+Datos_Origen[[#This Row],[GMd]]/1.17666666667</f>
        <v>6067138.810181112</v>
      </c>
      <c r="CF97" s="161">
        <f>+Datos_Origen[[#This Row],[Básico Actual]]/Datos_Origen[[#This Row],[Salario Basico Md]]</f>
        <v>0.66472848671804319</v>
      </c>
      <c r="CG97" s="155">
        <f>ROUNDUP(VLOOKUP(Datos_Origen[[#This Row],[Categoria]],Competitividad_1[#All],8,0)*IndiceIncrementoC,-3)</f>
        <v>7858000</v>
      </c>
      <c r="CH97" s="161">
        <f>Datos_Origen[[#This Row],[G]]/Datos_Origen[[#This Row],[GQ3]]</f>
        <v>0.60390813311275138</v>
      </c>
      <c r="CI97" s="155">
        <f>ROUNDUP(VLOOKUP(Datos_Origen[[#This Row],[Categoria]],Competitividad_1[#All],9,0)*IndiceIncrementoC,-3)</f>
        <v>8067000</v>
      </c>
      <c r="CJ97" s="161">
        <f>Datos_Origen[[#This Row],[G+V]]/Datos_Origen[[#This Row],[G+VQ3]]</f>
        <v>0.58826206892277177</v>
      </c>
      <c r="CK97" s="155">
        <f>ROUNDUP(VLOOKUP(Datos_Origen[[#This Row],[Categoria]],Competitividad_1[#All],10,0)*IndiceIncrementoC,-3)</f>
        <v>8258000</v>
      </c>
      <c r="CL97" s="161">
        <f>Datos_Origen[[#This Row],[CT]]/Datos_Origen[[#This Row],[CTQ3]]</f>
        <v>0.57465610438362802</v>
      </c>
      <c r="CM97" s="162">
        <f>IF(ROUND(Datos_Origen[[#This Row],[Salario Ordinario Pol2]],-3)&lt;SMMLV,SMMLV,ROUND(Datos_Origen[[#This Row],[Salario Ordinario Pol2]],-3))</f>
        <v>5206000</v>
      </c>
      <c r="CN97" s="155">
        <f>IF(Datos_Origen[[#This Row],[Gpol]]/(1+FactorPrestacionalOrdinario)&lt;SMMLV,SMMLV,Datos_Origen[[#This Row],[Gpol]]/(1+FactorPrestacionalOrdinario))</f>
        <v>6507365.4390934836</v>
      </c>
      <c r="CO97" s="161">
        <f>IFERROR(IF(Datos_Origen[[#This Row],[Salarios Año]]=14.12,Datos_Origen[[#This Row],[Básico]]/Datos_Origen[[#This Row],[Salario Ordinario Pol]],""),"")</f>
        <v>0.61975926167776774</v>
      </c>
      <c r="CP97" s="155">
        <f>IF(ROUND(Datos_Origen[[#This Row],[Salario Ordinario Pol22]],-3)&lt;SMMLV,SMMLV,ROUND(Datos_Origen[[#This Row],[Salario Ordinario Pol22]],-3))</f>
        <v>7809000</v>
      </c>
      <c r="CQ97" s="155" t="str">
        <f>IFERROR(ROUND(Datos_Origen[[#This Row],[Salario Integral Pol4]],-3),"")</f>
        <v/>
      </c>
      <c r="CR97" s="139" t="str">
        <f>IF((Datos_Origen[[#This Row],[Gpol]]/(1+FactorPrestacionalIntegral))&lt;(13*SMMLV),"",(Datos_Origen[[#This Row],[Gpol]]/(1+FactorPrestacionalIntegral)))</f>
        <v/>
      </c>
      <c r="CS97" s="161" t="str">
        <f>IFERROR(IF(Datos_Origen[[#This Row],[Salarios Año]]=12,Datos_Origen[[#This Row],[Básico]]/Datos_Origen[[#This Row],[Salario Integral Pol]],""),"")</f>
        <v/>
      </c>
      <c r="CT97" s="155" t="str">
        <f>IFERROR(ROUND(Datos_Origen[[#This Row],[Salario Integral Pol44]],-3),"")</f>
        <v/>
      </c>
      <c r="CU97" s="155">
        <f>Datos_Origen[[#This Row],[G+Vpol]]-Datos_Origen[[#This Row],[Variable]]</f>
        <v>7657000</v>
      </c>
      <c r="CV97" s="161">
        <f>Datos_Origen[[#This Row],[G]]/Datos_Origen[[#This Row],[Gpol]]</f>
        <v>0.61976101736972711</v>
      </c>
      <c r="CW97" s="154">
        <f>Datos_Origen[[#This Row],[Ctpol]]-Datos_Origen[[#This Row],[Beneficios]]</f>
        <v>7657000</v>
      </c>
      <c r="CX97" s="161">
        <f>Datos_Origen[[#This Row],[G+V]]/Datos_Origen[[#This Row],[G+Vpol]]</f>
        <v>0.61976101736972711</v>
      </c>
      <c r="CY97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7657000</v>
      </c>
      <c r="CZ97" s="161">
        <f>Datos_Origen[[#This Row],[CT]]/Datos_Origen[[#This Row],[Ctpol]]</f>
        <v>0.61976101736972711</v>
      </c>
      <c r="DA97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4033000</v>
      </c>
      <c r="DB97" s="158">
        <f>IF(Datos_Origen[[#This Row],[Básico]]&lt;10*SMMLV,0,Datos_Origen[[#This Row],[Base Seguridad Social Actual]]*8.5%)</f>
        <v>0</v>
      </c>
      <c r="DC97" s="158">
        <f>Datos_Origen[[#This Row],[Base Seguridad Social Actual]]*12%</f>
        <v>483960</v>
      </c>
      <c r="DD97" s="158">
        <f>Datos_Origen[[#This Row],[Base Seguridad Social Actual]]*Datos_Origen[[#This Row],[%ARL]]</f>
        <v>175435.5</v>
      </c>
      <c r="DE97" s="158">
        <f>IF(Datos_Origen[[#This Row],[Básico]]&lt;10*SMMLV,Datos_Origen[[#This Row],[Base Seguridad Social Actual]]*4%,Datos_Origen[[#This Row],[Base Seguridad Social Actual]]*9%)</f>
        <v>161320</v>
      </c>
      <c r="DF97" s="158">
        <f>Datos_Origen[[#This Row],[Salud]]+Datos_Origen[[#This Row],[Pensión]]+Datos_Origen[[#This Row],[ARL]]+Datos_Origen[[#This Row],[Parafiscales]]</f>
        <v>820715.5</v>
      </c>
      <c r="DG97" s="158">
        <f>Datos_Origen[[#This Row],[Costo Laboral Actual]]+Datos_Origen[[#This Row],[CT]]</f>
        <v>5566225.6100000003</v>
      </c>
      <c r="DH97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6507365.4390934836</v>
      </c>
      <c r="DI97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97" s="158">
        <f>Datos_Origen[[#This Row],[Base Seguridad Social Nueva]]*12%</f>
        <v>780883.85269121802</v>
      </c>
      <c r="DK97" s="158">
        <f>Datos_Origen[[#This Row],[Base Seguridad Social Nueva]]*Datos_Origen[[#This Row],[%ARL]]</f>
        <v>283070.39660056651</v>
      </c>
      <c r="DL97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260294.61756373936</v>
      </c>
      <c r="DM97" s="158">
        <f>Datos_Origen[[#This Row],[Salud Nueva]]+Datos_Origen[[#This Row],[Pensión Nueva]]+Datos_Origen[[#This Row],[ARL nueva]]+Datos_Origen[[#This Row],[Parafiscales Nuevos]]</f>
        <v>1324248.866855524</v>
      </c>
      <c r="DN97" s="158">
        <f>Datos_Origen[[#This Row],[Costo Laboral Nuevo]]+Datos_Origen[[#This Row],[Ctpol]]</f>
        <v>8981248.8668555245</v>
      </c>
      <c r="DO97" s="158">
        <f>IF(Datos_Origen[[#This Row],[Ctpol]]-Datos_Origen[[#This Row],[CT]]&lt;=0,0,Datos_Origen[[#This Row],[Costo Total Nuevo]]-Datos_Origen[[#This Row],[Costo Total Actual]])</f>
        <v>3415023.2568555241</v>
      </c>
      <c r="DP97" s="158">
        <f>IF(Datos_Origen[[#This Row],[Ctpol]]-Datos_Origen[[#This Row],[CT]]&lt;=0,0,Datos_Origen[[#This Row],[Ctpol]]-Datos_Origen[[#This Row],[CT]])</f>
        <v>2911489.8899999997</v>
      </c>
      <c r="DQ97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503533.36685552401</v>
      </c>
      <c r="DR97" s="158">
        <f>ROUNDDOWN(VLOOKUP(Datos_Origen[[#This Row],[Categoria]],Competitividad_1[],7,0)*IndiceIncrementoC,-3)</f>
        <v>7656000</v>
      </c>
      <c r="DS97" s="158">
        <f>Datos_Origen[[#This Row],[CTeq]]*0.8</f>
        <v>3981337.6866118261</v>
      </c>
      <c r="DT97" s="158">
        <f>Datos_Origen[[#This Row],[CTeq]]*1.2</f>
        <v>5972006.5299177384</v>
      </c>
      <c r="DU97" s="155">
        <f>IF(Datos_Origen[[#This Row],[Gpol6]]/(1+FactorPrestacionalOrdinario)&lt;SMMLV,SMMLV,Datos_Origen[[#This Row],[Gpol6]]/(1+FactorPrestacionalOrdinario))</f>
        <v>5205892.3512747874</v>
      </c>
      <c r="DV97" s="139" t="str">
        <f>IF((Datos_Origen[[#This Row],[Gpol6]]/(1+FactorPrestacionalIntegral))&lt;(13*SMMLV),"",(Datos_Origen[[#This Row],[Gpol6]]/(1+FactorPrestacionalIntegral)))</f>
        <v/>
      </c>
      <c r="DW97" s="154">
        <f>Datos_Origen[[#This Row],[G+Vpol8]]</f>
        <v>6125600</v>
      </c>
      <c r="DX97" s="154">
        <f>Datos_Origen[[#This Row],[Ctpol10]]-Datos_Origen[[#This Row],[Beneficios]]</f>
        <v>6125600</v>
      </c>
      <c r="DY97" s="154">
        <f>Datos_Origen[[#This Row],[Ctpol]]*$CM$6</f>
        <v>6125600</v>
      </c>
      <c r="DZ97" s="155">
        <f>IF(Datos_Origen[[#This Row],[Gpol66]]/(1+FactorPrestacionalOrdinario)&lt;SMMLV,SMMLV,Datos_Origen[[#This Row],[Gpol66]]/(1+FactorPrestacionalOrdinario))</f>
        <v>7808838.5269121807</v>
      </c>
      <c r="EA97" s="139" t="str">
        <f>IF((Datos_Origen[[#This Row],[Gpol66]]/(1+FactorPrestacionalIntegral))&lt;(13*SMMLV),"",(Datos_Origen[[#This Row],[Gpol66]]/(1+FactorPrestacionalIntegral)))</f>
        <v/>
      </c>
      <c r="EB97" s="154">
        <f>Datos_Origen[[#This Row],[G+Vpol88]]</f>
        <v>9188400</v>
      </c>
      <c r="EC97" s="154">
        <f>Datos_Origen[[#This Row],[Ctpol1010]]-Datos_Origen[[#This Row],[Beneficios]]</f>
        <v>9188400</v>
      </c>
      <c r="ED97" s="154">
        <f>Datos_Origen[[#This Row],[Ctpol]]*$CP$6</f>
        <v>9188400</v>
      </c>
      <c r="EE97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98" spans="2:135">
      <c r="B98" s="132"/>
      <c r="C98" s="149"/>
      <c r="D98" s="150"/>
      <c r="E98" s="151"/>
      <c r="F98" s="151"/>
      <c r="G98" s="150" t="s">
        <v>311</v>
      </c>
      <c r="H98" s="153"/>
      <c r="I98" s="152" t="s">
        <v>311</v>
      </c>
      <c r="J98" s="130" t="str">
        <f>IFERROR(VLOOKUP(Datos_Origen[[#This Row],[Cargo Tipo Valorado]],Cargos_Catalogo[[#All],[Cargo]:[Área]],2,0),"")</f>
        <v xml:space="preserve">Director de producción </v>
      </c>
      <c r="K98" s="153"/>
      <c r="L98" s="153"/>
      <c r="M98" s="153"/>
      <c r="N98" s="153"/>
      <c r="O98" s="154">
        <f>Datos_Origen[[#This Row],[Segmentación Individual]]</f>
        <v>0</v>
      </c>
      <c r="P98" s="153"/>
      <c r="Q98" s="154">
        <f>VLOOKUP(Datos_Origen[[#This Row],[Cargo Tipo Valorado]],Cargos_Catalogo[#Data],MATCH(Cargos_Catalogo[[#Headers],[Puntos]],Cargos_Catalogo[#Headers],0),FALSE)</f>
        <v>396</v>
      </c>
      <c r="R98" s="130">
        <f>VLOOKUP(Datos_Origen[[#This Row],[Puntos valoración]],Categorias_Registro[#Data],MATCH(Categorias_Registro[[#Headers],[Categoria]],Categorias_Registro[#Headers],0),FALSE)</f>
        <v>11</v>
      </c>
      <c r="S98" s="130" t="str">
        <f>VLOOKUP(Datos_Origen[[#This Row],[Cargo Tipo Valorado]],Cargos_Catalogo[#Data],MATCH(Cargos_Catalogo[[#Headers],[Nivel SHR]],Cargos_Catalogo[#Headers],0),FALSE)</f>
        <v>Táctico</v>
      </c>
      <c r="T98" s="130" t="str">
        <f>VLOOKUP(Datos_Origen[[#This Row],[Cargo Tipo Valorado]],Cargos_Catalogo[#Data],MATCH(Cargos_Catalogo[[#Headers],[Criticidad]],Cargos_Catalogo[#Headers],0),FALSE)</f>
        <v>Importante</v>
      </c>
      <c r="U98" s="154">
        <f>VLOOKUP(Datos_Origen[[#This Row],[Puntos valoración]],Categorias_Registro[#Data],5,FALSE)</f>
        <v>379</v>
      </c>
      <c r="V98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4745510.1100000003</v>
      </c>
      <c r="W98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98" s="154">
        <f>SUMIF($BA$5:$BJ$5,"NCS",Datos_Origen[[#This Row],[auxilio Gasolina]:[Otro Beneficio10]])+(SUMIF($BA$5:$BJ$5,"CS",Datos_Origen[[#This Row],[auxilio Gasolina]:[Otro Beneficio10]])*1.17667)</f>
        <v>0</v>
      </c>
      <c r="Y98" s="155">
        <f>Datos_Origen[[#This Row],[Básico]]+Datos_Origen[[#This Row],[Promedio de Comisiones  ]]</f>
        <v>4033000</v>
      </c>
      <c r="Z98" s="155">
        <f>Datos_Origen[[#This Row],[Básico]]+Datos_Origen[[#This Row],[Promedio de Comisiones  ]]</f>
        <v>4033000</v>
      </c>
      <c r="AA98" s="155">
        <f>Datos_Origen[[#This Row],[Garantizado]]</f>
        <v>4745510.1100000003</v>
      </c>
      <c r="AB98" s="155">
        <f>Datos_Origen[[#This Row],[Variable]]+Datos_Origen[[#This Row],[Garantizado]]</f>
        <v>4745510.1100000003</v>
      </c>
      <c r="AC98" s="155">
        <f>Datos_Origen[[#This Row],[Beneficios]]+Datos_Origen[[#This Row],[Variable]]+Datos_Origen[[#This Row],[Garantizado]]</f>
        <v>4745510.1100000003</v>
      </c>
      <c r="AD98" s="156">
        <v>14.12</v>
      </c>
      <c r="AE98" s="141">
        <v>230</v>
      </c>
      <c r="AF98" s="345">
        <v>4.3499999999999997E-2</v>
      </c>
      <c r="AG98" s="155">
        <f>Datos_Origen[[#This Row],[Básico Actual]]*230/Datos_Origen[[#This Row],['# horas mes]]</f>
        <v>4033000</v>
      </c>
      <c r="AH98" s="157">
        <v>4033000</v>
      </c>
      <c r="AI98" s="158"/>
      <c r="AJ98" s="158">
        <f>(((Datos_Origen[[#This Row],[Básico]])/30)*$AJ$6)/12</f>
        <v>0</v>
      </c>
      <c r="AK98" s="158"/>
      <c r="AL98" s="143">
        <f>((Datos_Origen[[#This Row],[Básico]])/30)*$AL$6/12</f>
        <v>0</v>
      </c>
      <c r="AM98" s="158"/>
      <c r="AN98" s="158"/>
      <c r="AO98" s="158"/>
      <c r="AP98" s="158"/>
      <c r="AQ98" s="158"/>
      <c r="AR98" s="149">
        <v>0</v>
      </c>
      <c r="AS98" s="149"/>
      <c r="AT98" s="159" t="str">
        <f>IFERROR(Datos_Origen[[#This Row],[Comisiones Target]]/Datos_Origen[[#This Row],[Promedio de Comisiones  ]],"")</f>
        <v/>
      </c>
      <c r="AU98" s="160"/>
      <c r="AV98" s="143">
        <v>0</v>
      </c>
      <c r="AW98" s="160"/>
      <c r="AX98" s="143">
        <f>Datos_Origen[[#This Row],[N Salarios de la Bonificación2]]*Datos_Origen[[#This Row],[Básico]]/12</f>
        <v>0</v>
      </c>
      <c r="AY98" s="160"/>
      <c r="AZ98" s="158"/>
      <c r="BA98" s="149">
        <v>0</v>
      </c>
      <c r="BB98" s="149"/>
      <c r="BC98" s="149"/>
      <c r="BD98" s="149"/>
      <c r="BE98" s="149"/>
      <c r="BF98" s="149"/>
      <c r="BG98" s="149"/>
      <c r="BH98" s="149"/>
      <c r="BI98" s="149"/>
      <c r="BJ98" s="149"/>
      <c r="BK98" s="159">
        <f>IFERROR(Datos_Origen[[#This Row],[Variable]]/Datos_Origen[[#This Row],[CT]],"")</f>
        <v>0</v>
      </c>
      <c r="BL98" s="159">
        <f>IFERROR(Datos_Origen[[#This Row],[Beneficios]]/Datos_Origen[[#This Row],[CT]],"")</f>
        <v>0</v>
      </c>
      <c r="BM98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4674516.2048216574</v>
      </c>
      <c r="BN98" s="161">
        <f>Datos_Origen[[#This Row],[G]]/Datos_Origen[[#This Row],[Geq]]</f>
        <v>1.0151874337509226</v>
      </c>
      <c r="BO98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4976340.5769949695</v>
      </c>
      <c r="BP98" s="161">
        <f>Datos_Origen[[#This Row],[G+V]]/Datos_Origen[[#This Row],[G+Veq]]</f>
        <v>0.95361441536737435</v>
      </c>
      <c r="BQ98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4976672.1082647825</v>
      </c>
      <c r="BR98" s="161">
        <f>Datos_Origen[[#This Row],[CT]]/Datos_Origen[[#This Row],[CTeq]]</f>
        <v>0.95355088837761881</v>
      </c>
      <c r="BS98" s="139">
        <f>ROUNDUP(VLOOKUP(Datos_Origen[[#This Row],[Categoria]],Competitividad_1[#All],2,0)*IndiceIncrementoC,-3)</f>
        <v>4750000</v>
      </c>
      <c r="BT98" s="161">
        <f>Datos_Origen[[#This Row],[G]]/Datos_Origen[[#This Row],[GQ1]]</f>
        <v>0.99905476000000004</v>
      </c>
      <c r="BU98" s="155">
        <f>ROUNDUP(VLOOKUP(Datos_Origen[[#This Row],[Categoria]],Competitividad_1[#All],3,0)*IndiceIncrementoC,-3)</f>
        <v>4888000</v>
      </c>
      <c r="BV98" s="161">
        <f>Datos_Origen[[#This Row],[G+V]]/Datos_Origen[[#This Row],[G+VQ1]]</f>
        <v>0.97084904050736509</v>
      </c>
      <c r="BW98" s="155">
        <f>ROUNDUP(VLOOKUP(Datos_Origen[[#This Row],[Categoria]],Competitividad_1[#All],4,0)*IndiceIncrementoC,-3)</f>
        <v>5109000</v>
      </c>
      <c r="BX98" s="161">
        <f>Datos_Origen[[#This Row],[CT]]/Datos_Origen[[#This Row],[CTQ1]]</f>
        <v>0.92885302603249176</v>
      </c>
      <c r="BY98" s="155">
        <f>ROUNDUP(VLOOKUP(Datos_Origen[[#This Row],[Categoria]],Competitividad_1[#All],5,0)*IndiceIncrementoC,-3)</f>
        <v>7139000</v>
      </c>
      <c r="BZ98" s="161">
        <f>Datos_Origen[[#This Row],[G]]/Datos_Origen[[#This Row],[GMd]]</f>
        <v>0.66473036979969191</v>
      </c>
      <c r="CA98" s="155">
        <f>ROUNDUP(VLOOKUP(Datos_Origen[[#This Row],[Categoria]],Competitividad_1[#All],6,0)*IndiceIncrementoC,-3)</f>
        <v>7348000</v>
      </c>
      <c r="CB98" s="161">
        <f>Datos_Origen[[#This Row],[G+V]]/Datos_Origen[[#This Row],[G+VMd]]</f>
        <v>0.64582336826347309</v>
      </c>
      <c r="CC98" s="155">
        <f>ROUNDUP(VLOOKUP(Datos_Origen[[#This Row],[Categoria]],Competitividad_1[#All],7,0)*IndiceIncrementoC,-3)</f>
        <v>7657000</v>
      </c>
      <c r="CD98" s="161">
        <f>Datos_Origen[[#This Row],[CT]]/Datos_Origen[[#This Row],[CTMd]]</f>
        <v>0.61976101736972711</v>
      </c>
      <c r="CE98" s="155">
        <f>+Datos_Origen[[#This Row],[GMd]]/1.17666666667</f>
        <v>6067138.810181112</v>
      </c>
      <c r="CF98" s="161">
        <f>+Datos_Origen[[#This Row],[Básico Actual]]/Datos_Origen[[#This Row],[Salario Basico Md]]</f>
        <v>0.66472848671804319</v>
      </c>
      <c r="CG98" s="155">
        <f>ROUNDUP(VLOOKUP(Datos_Origen[[#This Row],[Categoria]],Competitividad_1[#All],8,0)*IndiceIncrementoC,-3)</f>
        <v>7858000</v>
      </c>
      <c r="CH98" s="161">
        <f>Datos_Origen[[#This Row],[G]]/Datos_Origen[[#This Row],[GQ3]]</f>
        <v>0.60390813311275138</v>
      </c>
      <c r="CI98" s="155">
        <f>ROUNDUP(VLOOKUP(Datos_Origen[[#This Row],[Categoria]],Competitividad_1[#All],9,0)*IndiceIncrementoC,-3)</f>
        <v>8067000</v>
      </c>
      <c r="CJ98" s="161">
        <f>Datos_Origen[[#This Row],[G+V]]/Datos_Origen[[#This Row],[G+VQ3]]</f>
        <v>0.58826206892277177</v>
      </c>
      <c r="CK98" s="155">
        <f>ROUNDUP(VLOOKUP(Datos_Origen[[#This Row],[Categoria]],Competitividad_1[#All],10,0)*IndiceIncrementoC,-3)</f>
        <v>8258000</v>
      </c>
      <c r="CL98" s="161">
        <f>Datos_Origen[[#This Row],[CT]]/Datos_Origen[[#This Row],[CTQ3]]</f>
        <v>0.57465610438362802</v>
      </c>
      <c r="CM98" s="162">
        <f>IF(ROUND(Datos_Origen[[#This Row],[Salario Ordinario Pol2]],-3)&lt;SMMLV,SMMLV,ROUND(Datos_Origen[[#This Row],[Salario Ordinario Pol2]],-3))</f>
        <v>5206000</v>
      </c>
      <c r="CN98" s="155">
        <f>IF(Datos_Origen[[#This Row],[Gpol]]/(1+FactorPrestacionalOrdinario)&lt;SMMLV,SMMLV,Datos_Origen[[#This Row],[Gpol]]/(1+FactorPrestacionalOrdinario))</f>
        <v>6507365.4390934836</v>
      </c>
      <c r="CO98" s="161">
        <f>IFERROR(IF(Datos_Origen[[#This Row],[Salarios Año]]=14.12,Datos_Origen[[#This Row],[Básico]]/Datos_Origen[[#This Row],[Salario Ordinario Pol]],""),"")</f>
        <v>0.61975926167776774</v>
      </c>
      <c r="CP98" s="155">
        <f>IF(ROUND(Datos_Origen[[#This Row],[Salario Ordinario Pol22]],-3)&lt;SMMLV,SMMLV,ROUND(Datos_Origen[[#This Row],[Salario Ordinario Pol22]],-3))</f>
        <v>7809000</v>
      </c>
      <c r="CQ98" s="155" t="str">
        <f>IFERROR(ROUND(Datos_Origen[[#This Row],[Salario Integral Pol4]],-3),"")</f>
        <v/>
      </c>
      <c r="CR98" s="139" t="str">
        <f>IF((Datos_Origen[[#This Row],[Gpol]]/(1+FactorPrestacionalIntegral))&lt;(13*SMMLV),"",(Datos_Origen[[#This Row],[Gpol]]/(1+FactorPrestacionalIntegral)))</f>
        <v/>
      </c>
      <c r="CS98" s="161" t="str">
        <f>IFERROR(IF(Datos_Origen[[#This Row],[Salarios Año]]=12,Datos_Origen[[#This Row],[Básico]]/Datos_Origen[[#This Row],[Salario Integral Pol]],""),"")</f>
        <v/>
      </c>
      <c r="CT98" s="155" t="str">
        <f>IFERROR(ROUND(Datos_Origen[[#This Row],[Salario Integral Pol44]],-3),"")</f>
        <v/>
      </c>
      <c r="CU98" s="155">
        <f>Datos_Origen[[#This Row],[G+Vpol]]-Datos_Origen[[#This Row],[Variable]]</f>
        <v>7657000</v>
      </c>
      <c r="CV98" s="161">
        <f>Datos_Origen[[#This Row],[G]]/Datos_Origen[[#This Row],[Gpol]]</f>
        <v>0.61976101736972711</v>
      </c>
      <c r="CW98" s="154">
        <f>Datos_Origen[[#This Row],[Ctpol]]-Datos_Origen[[#This Row],[Beneficios]]</f>
        <v>7657000</v>
      </c>
      <c r="CX98" s="161">
        <f>Datos_Origen[[#This Row],[G+V]]/Datos_Origen[[#This Row],[G+Vpol]]</f>
        <v>0.61976101736972711</v>
      </c>
      <c r="CY98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7657000</v>
      </c>
      <c r="CZ98" s="161">
        <f>Datos_Origen[[#This Row],[CT]]/Datos_Origen[[#This Row],[Ctpol]]</f>
        <v>0.61976101736972711</v>
      </c>
      <c r="DA98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4033000</v>
      </c>
      <c r="DB98" s="158">
        <f>IF(Datos_Origen[[#This Row],[Básico]]&lt;10*SMMLV,0,Datos_Origen[[#This Row],[Base Seguridad Social Actual]]*8.5%)</f>
        <v>0</v>
      </c>
      <c r="DC98" s="158">
        <f>Datos_Origen[[#This Row],[Base Seguridad Social Actual]]*12%</f>
        <v>483960</v>
      </c>
      <c r="DD98" s="158">
        <f>Datos_Origen[[#This Row],[Base Seguridad Social Actual]]*Datos_Origen[[#This Row],[%ARL]]</f>
        <v>175435.5</v>
      </c>
      <c r="DE98" s="158">
        <f>IF(Datos_Origen[[#This Row],[Básico]]&lt;10*SMMLV,Datos_Origen[[#This Row],[Base Seguridad Social Actual]]*4%,Datos_Origen[[#This Row],[Base Seguridad Social Actual]]*9%)</f>
        <v>161320</v>
      </c>
      <c r="DF98" s="158">
        <f>Datos_Origen[[#This Row],[Salud]]+Datos_Origen[[#This Row],[Pensión]]+Datos_Origen[[#This Row],[ARL]]+Datos_Origen[[#This Row],[Parafiscales]]</f>
        <v>820715.5</v>
      </c>
      <c r="DG98" s="158">
        <f>Datos_Origen[[#This Row],[Costo Laboral Actual]]+Datos_Origen[[#This Row],[CT]]</f>
        <v>5566225.6100000003</v>
      </c>
      <c r="DH98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6507365.4390934836</v>
      </c>
      <c r="DI98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98" s="158">
        <f>Datos_Origen[[#This Row],[Base Seguridad Social Nueva]]*12%</f>
        <v>780883.85269121802</v>
      </c>
      <c r="DK98" s="158">
        <f>Datos_Origen[[#This Row],[Base Seguridad Social Nueva]]*Datos_Origen[[#This Row],[%ARL]]</f>
        <v>283070.39660056651</v>
      </c>
      <c r="DL98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260294.61756373936</v>
      </c>
      <c r="DM98" s="158">
        <f>Datos_Origen[[#This Row],[Salud Nueva]]+Datos_Origen[[#This Row],[Pensión Nueva]]+Datos_Origen[[#This Row],[ARL nueva]]+Datos_Origen[[#This Row],[Parafiscales Nuevos]]</f>
        <v>1324248.866855524</v>
      </c>
      <c r="DN98" s="158">
        <f>Datos_Origen[[#This Row],[Costo Laboral Nuevo]]+Datos_Origen[[#This Row],[Ctpol]]</f>
        <v>8981248.8668555245</v>
      </c>
      <c r="DO98" s="158">
        <f>IF(Datos_Origen[[#This Row],[Ctpol]]-Datos_Origen[[#This Row],[CT]]&lt;=0,0,Datos_Origen[[#This Row],[Costo Total Nuevo]]-Datos_Origen[[#This Row],[Costo Total Actual]])</f>
        <v>3415023.2568555241</v>
      </c>
      <c r="DP98" s="158">
        <f>IF(Datos_Origen[[#This Row],[Ctpol]]-Datos_Origen[[#This Row],[CT]]&lt;=0,0,Datos_Origen[[#This Row],[Ctpol]]-Datos_Origen[[#This Row],[CT]])</f>
        <v>2911489.8899999997</v>
      </c>
      <c r="DQ98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503533.36685552401</v>
      </c>
      <c r="DR98" s="158">
        <f>ROUNDDOWN(VLOOKUP(Datos_Origen[[#This Row],[Categoria]],Competitividad_1[],7,0)*IndiceIncrementoC,-3)</f>
        <v>7656000</v>
      </c>
      <c r="DS98" s="158">
        <f>Datos_Origen[[#This Row],[CTeq]]*0.8</f>
        <v>3981337.6866118261</v>
      </c>
      <c r="DT98" s="158">
        <f>Datos_Origen[[#This Row],[CTeq]]*1.2</f>
        <v>5972006.5299177384</v>
      </c>
      <c r="DU98" s="155">
        <f>IF(Datos_Origen[[#This Row],[Gpol6]]/(1+FactorPrestacionalOrdinario)&lt;SMMLV,SMMLV,Datos_Origen[[#This Row],[Gpol6]]/(1+FactorPrestacionalOrdinario))</f>
        <v>5205892.3512747874</v>
      </c>
      <c r="DV98" s="139" t="str">
        <f>IF((Datos_Origen[[#This Row],[Gpol6]]/(1+FactorPrestacionalIntegral))&lt;(13*SMMLV),"",(Datos_Origen[[#This Row],[Gpol6]]/(1+FactorPrestacionalIntegral)))</f>
        <v/>
      </c>
      <c r="DW98" s="154">
        <f>Datos_Origen[[#This Row],[G+Vpol8]]</f>
        <v>6125600</v>
      </c>
      <c r="DX98" s="154">
        <f>Datos_Origen[[#This Row],[Ctpol10]]-Datos_Origen[[#This Row],[Beneficios]]</f>
        <v>6125600</v>
      </c>
      <c r="DY98" s="154">
        <f>Datos_Origen[[#This Row],[Ctpol]]*$CM$6</f>
        <v>6125600</v>
      </c>
      <c r="DZ98" s="155">
        <f>IF(Datos_Origen[[#This Row],[Gpol66]]/(1+FactorPrestacionalOrdinario)&lt;SMMLV,SMMLV,Datos_Origen[[#This Row],[Gpol66]]/(1+FactorPrestacionalOrdinario))</f>
        <v>7808838.5269121807</v>
      </c>
      <c r="EA98" s="139" t="str">
        <f>IF((Datos_Origen[[#This Row],[Gpol66]]/(1+FactorPrestacionalIntegral))&lt;(13*SMMLV),"",(Datos_Origen[[#This Row],[Gpol66]]/(1+FactorPrestacionalIntegral)))</f>
        <v/>
      </c>
      <c r="EB98" s="154">
        <f>Datos_Origen[[#This Row],[G+Vpol88]]</f>
        <v>9188400</v>
      </c>
      <c r="EC98" s="154">
        <f>Datos_Origen[[#This Row],[Ctpol1010]]-Datos_Origen[[#This Row],[Beneficios]]</f>
        <v>9188400</v>
      </c>
      <c r="ED98" s="154">
        <f>Datos_Origen[[#This Row],[Ctpol]]*$CP$6</f>
        <v>9188400</v>
      </c>
      <c r="EE98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99" spans="2:135">
      <c r="B99" s="132"/>
      <c r="C99" s="149"/>
      <c r="D99" s="150"/>
      <c r="E99" s="151"/>
      <c r="F99" s="151"/>
      <c r="G99" s="150" t="s">
        <v>310</v>
      </c>
      <c r="H99" s="153"/>
      <c r="I99" s="152" t="s">
        <v>310</v>
      </c>
      <c r="J99" s="130" t="str">
        <f>IFERROR(VLOOKUP(Datos_Origen[[#This Row],[Cargo Tipo Valorado]],Cargos_Catalogo[[#All],[Cargo]:[Área]],2,0),"")</f>
        <v xml:space="preserve">Director de mantenimiento y proyectos </v>
      </c>
      <c r="K99" s="153"/>
      <c r="L99" s="153"/>
      <c r="M99" s="153"/>
      <c r="N99" s="153"/>
      <c r="O99" s="154">
        <f>Datos_Origen[[#This Row],[Segmentación Individual]]</f>
        <v>0</v>
      </c>
      <c r="P99" s="153"/>
      <c r="Q99" s="154">
        <f>VLOOKUP(Datos_Origen[[#This Row],[Cargo Tipo Valorado]],Cargos_Catalogo[#Data],MATCH(Cargos_Catalogo[[#Headers],[Puntos]],Cargos_Catalogo[#Headers],0),FALSE)</f>
        <v>399</v>
      </c>
      <c r="R99" s="130">
        <f>VLOOKUP(Datos_Origen[[#This Row],[Puntos valoración]],Categorias_Registro[#Data],MATCH(Categorias_Registro[[#Headers],[Categoria]],Categorias_Registro[#Headers],0),FALSE)</f>
        <v>11</v>
      </c>
      <c r="S99" s="130" t="str">
        <f>VLOOKUP(Datos_Origen[[#This Row],[Cargo Tipo Valorado]],Cargos_Catalogo[#Data],MATCH(Cargos_Catalogo[[#Headers],[Nivel SHR]],Cargos_Catalogo[#Headers],0),FALSE)</f>
        <v>Táctico</v>
      </c>
      <c r="T99" s="130" t="str">
        <f>VLOOKUP(Datos_Origen[[#This Row],[Cargo Tipo Valorado]],Cargos_Catalogo[#Data],MATCH(Cargos_Catalogo[[#Headers],[Criticidad]],Cargos_Catalogo[#Headers],0),FALSE)</f>
        <v>Importante</v>
      </c>
      <c r="U99" s="154">
        <f>VLOOKUP(Datos_Origen[[#This Row],[Puntos valoración]],Categorias_Registro[#Data],5,FALSE)</f>
        <v>379</v>
      </c>
      <c r="V99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6561111.9200000009</v>
      </c>
      <c r="W99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99" s="154">
        <f>SUMIF($BA$5:$BJ$5,"NCS",Datos_Origen[[#This Row],[auxilio Gasolina]:[Otro Beneficio10]])+(SUMIF($BA$5:$BJ$5,"CS",Datos_Origen[[#This Row],[auxilio Gasolina]:[Otro Beneficio10]])*1.17667)</f>
        <v>0</v>
      </c>
      <c r="Y99" s="155">
        <f>Datos_Origen[[#This Row],[Básico]]+Datos_Origen[[#This Row],[Promedio de Comisiones  ]]</f>
        <v>5576000</v>
      </c>
      <c r="Z99" s="155">
        <f>Datos_Origen[[#This Row],[Básico]]+Datos_Origen[[#This Row],[Promedio de Comisiones  ]]</f>
        <v>5576000</v>
      </c>
      <c r="AA99" s="155">
        <f>Datos_Origen[[#This Row],[Garantizado]]</f>
        <v>6561111.9200000009</v>
      </c>
      <c r="AB99" s="155">
        <f>Datos_Origen[[#This Row],[Variable]]+Datos_Origen[[#This Row],[Garantizado]]</f>
        <v>6561111.9200000009</v>
      </c>
      <c r="AC99" s="155">
        <f>Datos_Origen[[#This Row],[Beneficios]]+Datos_Origen[[#This Row],[Variable]]+Datos_Origen[[#This Row],[Garantizado]]</f>
        <v>6561111.9200000009</v>
      </c>
      <c r="AD99" s="156">
        <v>14.12</v>
      </c>
      <c r="AE99" s="141">
        <v>230</v>
      </c>
      <c r="AF99" s="345">
        <v>4.3499999999999997E-2</v>
      </c>
      <c r="AG99" s="155">
        <f>Datos_Origen[[#This Row],[Básico Actual]]*230/Datos_Origen[[#This Row],['# horas mes]]</f>
        <v>5576000</v>
      </c>
      <c r="AH99" s="157">
        <v>5576000</v>
      </c>
      <c r="AI99" s="158"/>
      <c r="AJ99" s="158">
        <f>(((Datos_Origen[[#This Row],[Básico]])/30)*$AJ$6)/12</f>
        <v>0</v>
      </c>
      <c r="AK99" s="158"/>
      <c r="AL99" s="143">
        <f>((Datos_Origen[[#This Row],[Básico]])/30)*$AL$6/12</f>
        <v>0</v>
      </c>
      <c r="AM99" s="158"/>
      <c r="AN99" s="158"/>
      <c r="AO99" s="158"/>
      <c r="AP99" s="158"/>
      <c r="AQ99" s="158"/>
      <c r="AR99" s="149">
        <v>0</v>
      </c>
      <c r="AS99" s="149"/>
      <c r="AT99" s="159" t="str">
        <f>IFERROR(Datos_Origen[[#This Row],[Comisiones Target]]/Datos_Origen[[#This Row],[Promedio de Comisiones  ]],"")</f>
        <v/>
      </c>
      <c r="AU99" s="160"/>
      <c r="AV99" s="143">
        <v>0</v>
      </c>
      <c r="AW99" s="160"/>
      <c r="AX99" s="143">
        <f>Datos_Origen[[#This Row],[N Salarios de la Bonificación2]]*Datos_Origen[[#This Row],[Básico]]/12</f>
        <v>0</v>
      </c>
      <c r="AY99" s="160"/>
      <c r="AZ99" s="158"/>
      <c r="BA99" s="149">
        <v>0</v>
      </c>
      <c r="BB99" s="149"/>
      <c r="BC99" s="149"/>
      <c r="BD99" s="149"/>
      <c r="BE99" s="149"/>
      <c r="BF99" s="149"/>
      <c r="BG99" s="149"/>
      <c r="BH99" s="149"/>
      <c r="BI99" s="149"/>
      <c r="BJ99" s="149"/>
      <c r="BK99" s="159">
        <f>IFERROR(Datos_Origen[[#This Row],[Variable]]/Datos_Origen[[#This Row],[CT]],"")</f>
        <v>0</v>
      </c>
      <c r="BL99" s="159">
        <f>IFERROR(Datos_Origen[[#This Row],[Beneficios]]/Datos_Origen[[#This Row],[CT]],"")</f>
        <v>0</v>
      </c>
      <c r="BM99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4674516.2048216574</v>
      </c>
      <c r="BN99" s="161">
        <f>Datos_Origen[[#This Row],[G]]/Datos_Origen[[#This Row],[Geq]]</f>
        <v>1.4035916515237155</v>
      </c>
      <c r="BO99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4976340.5769949695</v>
      </c>
      <c r="BP99" s="161">
        <f>Datos_Origen[[#This Row],[G+V]]/Datos_Origen[[#This Row],[G+Veq]]</f>
        <v>1.3184611902029457</v>
      </c>
      <c r="BQ99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4976672.1082647825</v>
      </c>
      <c r="BR99" s="161">
        <f>Datos_Origen[[#This Row],[CT]]/Datos_Origen[[#This Row],[CTeq]]</f>
        <v>1.3183733581933059</v>
      </c>
      <c r="BS99" s="139">
        <f>ROUNDUP(VLOOKUP(Datos_Origen[[#This Row],[Categoria]],Competitividad_1[#All],2,0)*IndiceIncrementoC,-3)</f>
        <v>4750000</v>
      </c>
      <c r="BT99" s="161">
        <f>Datos_Origen[[#This Row],[G]]/Datos_Origen[[#This Row],[GQ1]]</f>
        <v>1.3812867200000001</v>
      </c>
      <c r="BU99" s="155">
        <f>ROUNDUP(VLOOKUP(Datos_Origen[[#This Row],[Categoria]],Competitividad_1[#All],3,0)*IndiceIncrementoC,-3)</f>
        <v>4888000</v>
      </c>
      <c r="BV99" s="161">
        <f>Datos_Origen[[#This Row],[G+V]]/Datos_Origen[[#This Row],[G+VQ1]]</f>
        <v>1.342289672667758</v>
      </c>
      <c r="BW99" s="155">
        <f>ROUNDUP(VLOOKUP(Datos_Origen[[#This Row],[Categoria]],Competitividad_1[#All],4,0)*IndiceIncrementoC,-3)</f>
        <v>5109000</v>
      </c>
      <c r="BX99" s="161">
        <f>Datos_Origen[[#This Row],[CT]]/Datos_Origen[[#This Row],[CTQ1]]</f>
        <v>1.2842262517126641</v>
      </c>
      <c r="BY99" s="155">
        <f>ROUNDUP(VLOOKUP(Datos_Origen[[#This Row],[Categoria]],Competitividad_1[#All],5,0)*IndiceIncrementoC,-3)</f>
        <v>7139000</v>
      </c>
      <c r="BZ99" s="161">
        <f>Datos_Origen[[#This Row],[G]]/Datos_Origen[[#This Row],[GMd]]</f>
        <v>0.91905195685670271</v>
      </c>
      <c r="CA99" s="155">
        <f>ROUNDUP(VLOOKUP(Datos_Origen[[#This Row],[Categoria]],Competitividad_1[#All],6,0)*IndiceIncrementoC,-3)</f>
        <v>7348000</v>
      </c>
      <c r="CB99" s="161">
        <f>Datos_Origen[[#This Row],[G+V]]/Datos_Origen[[#This Row],[G+VMd]]</f>
        <v>0.89291125748503009</v>
      </c>
      <c r="CC99" s="155">
        <f>ROUNDUP(VLOOKUP(Datos_Origen[[#This Row],[Categoria]],Competitividad_1[#All],7,0)*IndiceIncrementoC,-3)</f>
        <v>7657000</v>
      </c>
      <c r="CD99" s="161">
        <f>Datos_Origen[[#This Row],[CT]]/Datos_Origen[[#This Row],[CTMd]]</f>
        <v>0.85687761786600503</v>
      </c>
      <c r="CE99" s="155">
        <f>+Datos_Origen[[#This Row],[GMd]]/1.17666666667</f>
        <v>6067138.810181112</v>
      </c>
      <c r="CF99" s="161">
        <f>+Datos_Origen[[#This Row],[Básico Actual]]/Datos_Origen[[#This Row],[Salario Basico Md]]</f>
        <v>0.91904935332006177</v>
      </c>
      <c r="CG99" s="155">
        <f>ROUNDUP(VLOOKUP(Datos_Origen[[#This Row],[Categoria]],Competitividad_1[#All],8,0)*IndiceIncrementoC,-3)</f>
        <v>7858000</v>
      </c>
      <c r="CH99" s="161">
        <f>Datos_Origen[[#This Row],[G]]/Datos_Origen[[#This Row],[GQ3]]</f>
        <v>0.8349595215067448</v>
      </c>
      <c r="CI99" s="155">
        <f>ROUNDUP(VLOOKUP(Datos_Origen[[#This Row],[Categoria]],Competitividad_1[#All],9,0)*IndiceIncrementoC,-3)</f>
        <v>8067000</v>
      </c>
      <c r="CJ99" s="161">
        <f>Datos_Origen[[#This Row],[G+V]]/Datos_Origen[[#This Row],[G+VQ3]]</f>
        <v>0.81332737324903936</v>
      </c>
      <c r="CK99" s="155">
        <f>ROUNDUP(VLOOKUP(Datos_Origen[[#This Row],[Categoria]],Competitividad_1[#All],10,0)*IndiceIncrementoC,-3)</f>
        <v>8258000</v>
      </c>
      <c r="CL99" s="161">
        <f>Datos_Origen[[#This Row],[CT]]/Datos_Origen[[#This Row],[CTQ3]]</f>
        <v>0.79451585371760725</v>
      </c>
      <c r="CM99" s="162">
        <f>IF(ROUND(Datos_Origen[[#This Row],[Salario Ordinario Pol2]],-3)&lt;SMMLV,SMMLV,ROUND(Datos_Origen[[#This Row],[Salario Ordinario Pol2]],-3))</f>
        <v>5206000</v>
      </c>
      <c r="CN99" s="155">
        <f>IF(Datos_Origen[[#This Row],[Gpol]]/(1+FactorPrestacionalOrdinario)&lt;SMMLV,SMMLV,Datos_Origen[[#This Row],[Gpol]]/(1+FactorPrestacionalOrdinario))</f>
        <v>6507365.4390934836</v>
      </c>
      <c r="CO99" s="161">
        <f>IFERROR(IF(Datos_Origen[[#This Row],[Salarios Año]]=14.12,Datos_Origen[[#This Row],[Básico]]/Datos_Origen[[#This Row],[Salario Ordinario Pol]],""),"")</f>
        <v>0.85687519045753346</v>
      </c>
      <c r="CP99" s="155">
        <f>IF(ROUND(Datos_Origen[[#This Row],[Salario Ordinario Pol22]],-3)&lt;SMMLV,SMMLV,ROUND(Datos_Origen[[#This Row],[Salario Ordinario Pol22]],-3))</f>
        <v>7809000</v>
      </c>
      <c r="CQ99" s="155" t="str">
        <f>IFERROR(ROUND(Datos_Origen[[#This Row],[Salario Integral Pol4]],-3),"")</f>
        <v/>
      </c>
      <c r="CR99" s="139" t="str">
        <f>IF((Datos_Origen[[#This Row],[Gpol]]/(1+FactorPrestacionalIntegral))&lt;(13*SMMLV),"",(Datos_Origen[[#This Row],[Gpol]]/(1+FactorPrestacionalIntegral)))</f>
        <v/>
      </c>
      <c r="CS99" s="161" t="str">
        <f>IFERROR(IF(Datos_Origen[[#This Row],[Salarios Año]]=12,Datos_Origen[[#This Row],[Básico]]/Datos_Origen[[#This Row],[Salario Integral Pol]],""),"")</f>
        <v/>
      </c>
      <c r="CT99" s="155" t="str">
        <f>IFERROR(ROUND(Datos_Origen[[#This Row],[Salario Integral Pol44]],-3),"")</f>
        <v/>
      </c>
      <c r="CU99" s="155">
        <f>Datos_Origen[[#This Row],[G+Vpol]]-Datos_Origen[[#This Row],[Variable]]</f>
        <v>7657000</v>
      </c>
      <c r="CV99" s="161">
        <f>Datos_Origen[[#This Row],[G]]/Datos_Origen[[#This Row],[Gpol]]</f>
        <v>0.85687761786600503</v>
      </c>
      <c r="CW99" s="154">
        <f>Datos_Origen[[#This Row],[Ctpol]]-Datos_Origen[[#This Row],[Beneficios]]</f>
        <v>7657000</v>
      </c>
      <c r="CX99" s="161">
        <f>Datos_Origen[[#This Row],[G+V]]/Datos_Origen[[#This Row],[G+Vpol]]</f>
        <v>0.85687761786600503</v>
      </c>
      <c r="CY99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7657000</v>
      </c>
      <c r="CZ99" s="161">
        <f>Datos_Origen[[#This Row],[CT]]/Datos_Origen[[#This Row],[Ctpol]]</f>
        <v>0.85687761786600503</v>
      </c>
      <c r="DA99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5576000</v>
      </c>
      <c r="DB99" s="158">
        <f>IF(Datos_Origen[[#This Row],[Básico]]&lt;10*SMMLV,0,Datos_Origen[[#This Row],[Base Seguridad Social Actual]]*8.5%)</f>
        <v>0</v>
      </c>
      <c r="DC99" s="158">
        <f>Datos_Origen[[#This Row],[Base Seguridad Social Actual]]*12%</f>
        <v>669120</v>
      </c>
      <c r="DD99" s="158">
        <f>Datos_Origen[[#This Row],[Base Seguridad Social Actual]]*Datos_Origen[[#This Row],[%ARL]]</f>
        <v>242555.99999999997</v>
      </c>
      <c r="DE99" s="158">
        <f>IF(Datos_Origen[[#This Row],[Básico]]&lt;10*SMMLV,Datos_Origen[[#This Row],[Base Seguridad Social Actual]]*4%,Datos_Origen[[#This Row],[Base Seguridad Social Actual]]*9%)</f>
        <v>223040</v>
      </c>
      <c r="DF99" s="158">
        <f>Datos_Origen[[#This Row],[Salud]]+Datos_Origen[[#This Row],[Pensión]]+Datos_Origen[[#This Row],[ARL]]+Datos_Origen[[#This Row],[Parafiscales]]</f>
        <v>1134716</v>
      </c>
      <c r="DG99" s="158">
        <f>Datos_Origen[[#This Row],[Costo Laboral Actual]]+Datos_Origen[[#This Row],[CT]]</f>
        <v>7695827.9200000009</v>
      </c>
      <c r="DH99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6507365.4390934836</v>
      </c>
      <c r="DI99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99" s="158">
        <f>Datos_Origen[[#This Row],[Base Seguridad Social Nueva]]*12%</f>
        <v>780883.85269121802</v>
      </c>
      <c r="DK99" s="158">
        <f>Datos_Origen[[#This Row],[Base Seguridad Social Nueva]]*Datos_Origen[[#This Row],[%ARL]]</f>
        <v>283070.39660056651</v>
      </c>
      <c r="DL99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260294.61756373936</v>
      </c>
      <c r="DM99" s="158">
        <f>Datos_Origen[[#This Row],[Salud Nueva]]+Datos_Origen[[#This Row],[Pensión Nueva]]+Datos_Origen[[#This Row],[ARL nueva]]+Datos_Origen[[#This Row],[Parafiscales Nuevos]]</f>
        <v>1324248.866855524</v>
      </c>
      <c r="DN99" s="158">
        <f>Datos_Origen[[#This Row],[Costo Laboral Nuevo]]+Datos_Origen[[#This Row],[Ctpol]]</f>
        <v>8981248.8668555245</v>
      </c>
      <c r="DO99" s="158">
        <f>IF(Datos_Origen[[#This Row],[Ctpol]]-Datos_Origen[[#This Row],[CT]]&lt;=0,0,Datos_Origen[[#This Row],[Costo Total Nuevo]]-Datos_Origen[[#This Row],[Costo Total Actual]])</f>
        <v>1285420.9468555236</v>
      </c>
      <c r="DP99" s="158">
        <f>IF(Datos_Origen[[#This Row],[Ctpol]]-Datos_Origen[[#This Row],[CT]]&lt;=0,0,Datos_Origen[[#This Row],[Ctpol]]-Datos_Origen[[#This Row],[CT]])</f>
        <v>1095888.0799999991</v>
      </c>
      <c r="DQ99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189532.86685552401</v>
      </c>
      <c r="DR99" s="158">
        <f>ROUNDDOWN(VLOOKUP(Datos_Origen[[#This Row],[Categoria]],Competitividad_1[],7,0)*IndiceIncrementoC,-3)</f>
        <v>7656000</v>
      </c>
      <c r="DS99" s="158">
        <f>Datos_Origen[[#This Row],[CTeq]]*0.8</f>
        <v>3981337.6866118261</v>
      </c>
      <c r="DT99" s="158">
        <f>Datos_Origen[[#This Row],[CTeq]]*1.2</f>
        <v>5972006.5299177384</v>
      </c>
      <c r="DU99" s="155">
        <f>IF(Datos_Origen[[#This Row],[Gpol6]]/(1+FactorPrestacionalOrdinario)&lt;SMMLV,SMMLV,Datos_Origen[[#This Row],[Gpol6]]/(1+FactorPrestacionalOrdinario))</f>
        <v>5205892.3512747874</v>
      </c>
      <c r="DV99" s="139" t="str">
        <f>IF((Datos_Origen[[#This Row],[Gpol6]]/(1+FactorPrestacionalIntegral))&lt;(13*SMMLV),"",(Datos_Origen[[#This Row],[Gpol6]]/(1+FactorPrestacionalIntegral)))</f>
        <v/>
      </c>
      <c r="DW99" s="154">
        <f>Datos_Origen[[#This Row],[G+Vpol8]]</f>
        <v>6125600</v>
      </c>
      <c r="DX99" s="154">
        <f>Datos_Origen[[#This Row],[Ctpol10]]-Datos_Origen[[#This Row],[Beneficios]]</f>
        <v>6125600</v>
      </c>
      <c r="DY99" s="154">
        <f>Datos_Origen[[#This Row],[Ctpol]]*$CM$6</f>
        <v>6125600</v>
      </c>
      <c r="DZ99" s="155">
        <f>IF(Datos_Origen[[#This Row],[Gpol66]]/(1+FactorPrestacionalOrdinario)&lt;SMMLV,SMMLV,Datos_Origen[[#This Row],[Gpol66]]/(1+FactorPrestacionalOrdinario))</f>
        <v>7808838.5269121807</v>
      </c>
      <c r="EA99" s="139" t="str">
        <f>IF((Datos_Origen[[#This Row],[Gpol66]]/(1+FactorPrestacionalIntegral))&lt;(13*SMMLV),"",(Datos_Origen[[#This Row],[Gpol66]]/(1+FactorPrestacionalIntegral)))</f>
        <v/>
      </c>
      <c r="EB99" s="154">
        <f>Datos_Origen[[#This Row],[G+Vpol88]]</f>
        <v>9188400</v>
      </c>
      <c r="EC99" s="154">
        <f>Datos_Origen[[#This Row],[Ctpol1010]]-Datos_Origen[[#This Row],[Beneficios]]</f>
        <v>9188400</v>
      </c>
      <c r="ED99" s="154">
        <f>Datos_Origen[[#This Row],[Ctpol]]*$CP$6</f>
        <v>9188400</v>
      </c>
      <c r="EE99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00" spans="2:135">
      <c r="B100" s="132"/>
      <c r="C100" s="149"/>
      <c r="D100" s="150"/>
      <c r="E100" s="151"/>
      <c r="F100" s="151"/>
      <c r="G100" s="150" t="s">
        <v>321</v>
      </c>
      <c r="H100" s="153"/>
      <c r="I100" s="152" t="s">
        <v>321</v>
      </c>
      <c r="J100" s="130" t="str">
        <f>IFERROR(VLOOKUP(Datos_Origen[[#This Row],[Cargo Tipo Valorado]],Cargos_Catalogo[[#All],[Cargo]:[Área]],2,0),"")</f>
        <v>Director TIC</v>
      </c>
      <c r="K100" s="153"/>
      <c r="L100" s="153"/>
      <c r="M100" s="153"/>
      <c r="N100" s="153"/>
      <c r="O100" s="154">
        <f>Datos_Origen[[#This Row],[Segmentación Individual]]</f>
        <v>0</v>
      </c>
      <c r="P100" s="153"/>
      <c r="Q100" s="154">
        <f>VLOOKUP(Datos_Origen[[#This Row],[Cargo Tipo Valorado]],Cargos_Catalogo[#Data],MATCH(Cargos_Catalogo[[#Headers],[Puntos]],Cargos_Catalogo[#Headers],0),FALSE)</f>
        <v>404</v>
      </c>
      <c r="R100" s="130">
        <f>VLOOKUP(Datos_Origen[[#This Row],[Puntos valoración]],Categorias_Registro[#Data],MATCH(Categorias_Registro[[#Headers],[Categoria]],Categorias_Registro[#Headers],0),FALSE)</f>
        <v>11</v>
      </c>
      <c r="S100" s="130" t="str">
        <f>VLOOKUP(Datos_Origen[[#This Row],[Cargo Tipo Valorado]],Cargos_Catalogo[#Data],MATCH(Cargos_Catalogo[[#Headers],[Nivel SHR]],Cargos_Catalogo[#Headers],0),FALSE)</f>
        <v>Táctico</v>
      </c>
      <c r="T100" s="130" t="str">
        <f>VLOOKUP(Datos_Origen[[#This Row],[Cargo Tipo Valorado]],Cargos_Catalogo[#Data],MATCH(Cargos_Catalogo[[#Headers],[Criticidad]],Cargos_Catalogo[#Headers],0),FALSE)</f>
        <v>Relevante</v>
      </c>
      <c r="U100" s="154">
        <f>VLOOKUP(Datos_Origen[[#This Row],[Puntos valoración]],Categorias_Registro[#Data],5,FALSE)</f>
        <v>379</v>
      </c>
      <c r="V100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6471685.0000000009</v>
      </c>
      <c r="W100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00" s="154">
        <f>SUMIF($BA$5:$BJ$5,"NCS",Datos_Origen[[#This Row],[auxilio Gasolina]:[Otro Beneficio10]])+(SUMIF($BA$5:$BJ$5,"CS",Datos_Origen[[#This Row],[auxilio Gasolina]:[Otro Beneficio10]])*1.17667)</f>
        <v>0</v>
      </c>
      <c r="Y100" s="155">
        <f>Datos_Origen[[#This Row],[Básico]]+Datos_Origen[[#This Row],[Promedio de Comisiones  ]]</f>
        <v>5500000</v>
      </c>
      <c r="Z100" s="155">
        <f>Datos_Origen[[#This Row],[Básico]]+Datos_Origen[[#This Row],[Promedio de Comisiones  ]]</f>
        <v>5500000</v>
      </c>
      <c r="AA100" s="155">
        <f>Datos_Origen[[#This Row],[Garantizado]]</f>
        <v>6471685.0000000009</v>
      </c>
      <c r="AB100" s="155">
        <f>Datos_Origen[[#This Row],[Variable]]+Datos_Origen[[#This Row],[Garantizado]]</f>
        <v>6471685.0000000009</v>
      </c>
      <c r="AC100" s="155">
        <f>Datos_Origen[[#This Row],[Beneficios]]+Datos_Origen[[#This Row],[Variable]]+Datos_Origen[[#This Row],[Garantizado]]</f>
        <v>6471685.0000000009</v>
      </c>
      <c r="AD100" s="156">
        <v>14.12</v>
      </c>
      <c r="AE100" s="141">
        <v>230</v>
      </c>
      <c r="AF100" s="345">
        <v>4.3499999999999997E-2</v>
      </c>
      <c r="AG100" s="155">
        <f>Datos_Origen[[#This Row],[Básico Actual]]*230/Datos_Origen[[#This Row],['# horas mes]]</f>
        <v>5500000</v>
      </c>
      <c r="AH100" s="157">
        <v>5500000</v>
      </c>
      <c r="AI100" s="158"/>
      <c r="AJ100" s="158">
        <f>(((Datos_Origen[[#This Row],[Básico]])/30)*$AJ$6)/12</f>
        <v>0</v>
      </c>
      <c r="AK100" s="158"/>
      <c r="AL100" s="143">
        <f>((Datos_Origen[[#This Row],[Básico]])/30)*$AL$6/12</f>
        <v>0</v>
      </c>
      <c r="AM100" s="158"/>
      <c r="AN100" s="158"/>
      <c r="AO100" s="158"/>
      <c r="AP100" s="158"/>
      <c r="AQ100" s="158"/>
      <c r="AR100" s="149">
        <v>0</v>
      </c>
      <c r="AS100" s="149"/>
      <c r="AT100" s="159" t="str">
        <f>IFERROR(Datos_Origen[[#This Row],[Comisiones Target]]/Datos_Origen[[#This Row],[Promedio de Comisiones  ]],"")</f>
        <v/>
      </c>
      <c r="AU100" s="160"/>
      <c r="AV100" s="143">
        <v>0</v>
      </c>
      <c r="AW100" s="160"/>
      <c r="AX100" s="143">
        <f>Datos_Origen[[#This Row],[N Salarios de la Bonificación2]]*Datos_Origen[[#This Row],[Básico]]/12</f>
        <v>0</v>
      </c>
      <c r="AY100" s="160"/>
      <c r="AZ100" s="158"/>
      <c r="BA100" s="149">
        <v>0</v>
      </c>
      <c r="BB100" s="149"/>
      <c r="BC100" s="149"/>
      <c r="BD100" s="149"/>
      <c r="BE100" s="149"/>
      <c r="BF100" s="149"/>
      <c r="BG100" s="149"/>
      <c r="BH100" s="149"/>
      <c r="BI100" s="149"/>
      <c r="BJ100" s="149"/>
      <c r="BK100" s="159">
        <f>IFERROR(Datos_Origen[[#This Row],[Variable]]/Datos_Origen[[#This Row],[CT]],"")</f>
        <v>0</v>
      </c>
      <c r="BL100" s="159">
        <f>IFERROR(Datos_Origen[[#This Row],[Beneficios]]/Datos_Origen[[#This Row],[CT]],"")</f>
        <v>0</v>
      </c>
      <c r="BM100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4674516.2048216574</v>
      </c>
      <c r="BN100" s="161">
        <f>Datos_Origen[[#This Row],[G]]/Datos_Origen[[#This Row],[Geq]]</f>
        <v>1.3844609188271944</v>
      </c>
      <c r="BO100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4976340.5769949695</v>
      </c>
      <c r="BP100" s="161">
        <f>Datos_Origen[[#This Row],[G+V]]/Datos_Origen[[#This Row],[G+Veq]]</f>
        <v>1.3004907722590031</v>
      </c>
      <c r="BQ100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4976672.1082647825</v>
      </c>
      <c r="BR100" s="161">
        <f>Datos_Origen[[#This Row],[CT]]/Datos_Origen[[#This Row],[CTeq]]</f>
        <v>1.3004041373857931</v>
      </c>
      <c r="BS100" s="139">
        <f>ROUNDUP(VLOOKUP(Datos_Origen[[#This Row],[Categoria]],Competitividad_1[#All],2,0)*IndiceIncrementoC,-3)</f>
        <v>4750000</v>
      </c>
      <c r="BT100" s="161">
        <f>Datos_Origen[[#This Row],[G]]/Datos_Origen[[#This Row],[GQ1]]</f>
        <v>1.3624600000000002</v>
      </c>
      <c r="BU100" s="155">
        <f>ROUNDUP(VLOOKUP(Datos_Origen[[#This Row],[Categoria]],Competitividad_1[#All],3,0)*IndiceIncrementoC,-3)</f>
        <v>4888000</v>
      </c>
      <c r="BV100" s="161">
        <f>Datos_Origen[[#This Row],[G+V]]/Datos_Origen[[#This Row],[G+VQ1]]</f>
        <v>1.3239944762684126</v>
      </c>
      <c r="BW100" s="155">
        <f>ROUNDUP(VLOOKUP(Datos_Origen[[#This Row],[Categoria]],Competitividad_1[#All],4,0)*IndiceIncrementoC,-3)</f>
        <v>5109000</v>
      </c>
      <c r="BX100" s="161">
        <f>Datos_Origen[[#This Row],[CT]]/Datos_Origen[[#This Row],[CTQ1]]</f>
        <v>1.2667224505774126</v>
      </c>
      <c r="BY100" s="155">
        <f>ROUNDUP(VLOOKUP(Datos_Origen[[#This Row],[Categoria]],Competitividad_1[#All],5,0)*IndiceIncrementoC,-3)</f>
        <v>7139000</v>
      </c>
      <c r="BZ100" s="161">
        <f>Datos_Origen[[#This Row],[G]]/Datos_Origen[[#This Row],[GMd]]</f>
        <v>0.90652542372881373</v>
      </c>
      <c r="CA100" s="155">
        <f>ROUNDUP(VLOOKUP(Datos_Origen[[#This Row],[Categoria]],Competitividad_1[#All],6,0)*IndiceIncrementoC,-3)</f>
        <v>7348000</v>
      </c>
      <c r="CB100" s="161">
        <f>Datos_Origen[[#This Row],[G+V]]/Datos_Origen[[#This Row],[G+VMd]]</f>
        <v>0.880741017964072</v>
      </c>
      <c r="CC100" s="155">
        <f>ROUNDUP(VLOOKUP(Datos_Origen[[#This Row],[Categoria]],Competitividad_1[#All],7,0)*IndiceIncrementoC,-3)</f>
        <v>7657000</v>
      </c>
      <c r="CD100" s="161">
        <f>Datos_Origen[[#This Row],[CT]]/Datos_Origen[[#This Row],[CTMd]]</f>
        <v>0.84519851116625322</v>
      </c>
      <c r="CE100" s="155">
        <f>+Datos_Origen[[#This Row],[GMd]]/1.17666666667</f>
        <v>6067138.810181112</v>
      </c>
      <c r="CF100" s="161">
        <f>+Datos_Origen[[#This Row],[Básico Actual]]/Datos_Origen[[#This Row],[Salario Basico Md]]</f>
        <v>0.9065228556779662</v>
      </c>
      <c r="CG100" s="155">
        <f>ROUNDUP(VLOOKUP(Datos_Origen[[#This Row],[Categoria]],Competitividad_1[#All],8,0)*IndiceIncrementoC,-3)</f>
        <v>7858000</v>
      </c>
      <c r="CH100" s="161">
        <f>Datos_Origen[[#This Row],[G]]/Datos_Origen[[#This Row],[GQ3]]</f>
        <v>0.82357915500127266</v>
      </c>
      <c r="CI100" s="155">
        <f>ROUNDUP(VLOOKUP(Datos_Origen[[#This Row],[Categoria]],Competitividad_1[#All],9,0)*IndiceIncrementoC,-3)</f>
        <v>8067000</v>
      </c>
      <c r="CJ100" s="161">
        <f>Datos_Origen[[#This Row],[G+V]]/Datos_Origen[[#This Row],[G+VQ3]]</f>
        <v>0.80224184951035094</v>
      </c>
      <c r="CK100" s="155">
        <f>ROUNDUP(VLOOKUP(Datos_Origen[[#This Row],[Categoria]],Competitividad_1[#All],10,0)*IndiceIncrementoC,-3)</f>
        <v>8258000</v>
      </c>
      <c r="CL100" s="161">
        <f>Datos_Origen[[#This Row],[CT]]/Datos_Origen[[#This Row],[CTQ3]]</f>
        <v>0.78368672802131278</v>
      </c>
      <c r="CM100" s="162">
        <f>IF(ROUND(Datos_Origen[[#This Row],[Salario Ordinario Pol2]],-3)&lt;SMMLV,SMMLV,ROUND(Datos_Origen[[#This Row],[Salario Ordinario Pol2]],-3))</f>
        <v>4686000</v>
      </c>
      <c r="CN100" s="155">
        <f>IF(Datos_Origen[[#This Row],[Gpol]]/(1+FactorPrestacionalOrdinario)&lt;SMMLV,SMMLV,Datos_Origen[[#This Row],[Gpol]]/(1+FactorPrestacionalOrdinario))</f>
        <v>5857223.7960339943</v>
      </c>
      <c r="CO100" s="161">
        <f>IFERROR(IF(Datos_Origen[[#This Row],[Salarios Año]]=14.12,Datos_Origen[[#This Row],[Básico]]/Datos_Origen[[#This Row],[Salario Ordinario Pol]],""),"")</f>
        <v>0.93901141420003875</v>
      </c>
      <c r="CP100" s="155">
        <f>IF(ROUND(Datos_Origen[[#This Row],[Salario Ordinario Pol22]],-3)&lt;SMMLV,SMMLV,ROUND(Datos_Origen[[#This Row],[Salario Ordinario Pol22]],-3))</f>
        <v>7029000</v>
      </c>
      <c r="CQ100" s="155" t="str">
        <f>IFERROR(ROUND(Datos_Origen[[#This Row],[Salario Integral Pol4]],-3),"")</f>
        <v/>
      </c>
      <c r="CR100" s="139" t="str">
        <f>IF((Datos_Origen[[#This Row],[Gpol]]/(1+FactorPrestacionalIntegral))&lt;(13*SMMLV),"",(Datos_Origen[[#This Row],[Gpol]]/(1+FactorPrestacionalIntegral)))</f>
        <v/>
      </c>
      <c r="CS100" s="161" t="str">
        <f>IFERROR(IF(Datos_Origen[[#This Row],[Salarios Año]]=12,Datos_Origen[[#This Row],[Básico]]/Datos_Origen[[#This Row],[Salario Integral Pol]],""),"")</f>
        <v/>
      </c>
      <c r="CT100" s="155" t="str">
        <f>IFERROR(ROUND(Datos_Origen[[#This Row],[Salario Integral Pol44]],-3),"")</f>
        <v/>
      </c>
      <c r="CU100" s="155">
        <f>Datos_Origen[[#This Row],[G+Vpol]]-Datos_Origen[[#This Row],[Variable]]</f>
        <v>6892000</v>
      </c>
      <c r="CV100" s="161">
        <f>Datos_Origen[[#This Row],[G]]/Datos_Origen[[#This Row],[Gpol]]</f>
        <v>0.93901407428903094</v>
      </c>
      <c r="CW100" s="154">
        <f>Datos_Origen[[#This Row],[Ctpol]]-Datos_Origen[[#This Row],[Beneficios]]</f>
        <v>6892000</v>
      </c>
      <c r="CX100" s="161">
        <f>Datos_Origen[[#This Row],[G+V]]/Datos_Origen[[#This Row],[G+Vpol]]</f>
        <v>0.93901407428903094</v>
      </c>
      <c r="CY100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6892000</v>
      </c>
      <c r="CZ100" s="161">
        <f>Datos_Origen[[#This Row],[CT]]/Datos_Origen[[#This Row],[Ctpol]]</f>
        <v>0.93901407428903094</v>
      </c>
      <c r="DA100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5500000</v>
      </c>
      <c r="DB100" s="158">
        <f>IF(Datos_Origen[[#This Row],[Básico]]&lt;10*SMMLV,0,Datos_Origen[[#This Row],[Base Seguridad Social Actual]]*8.5%)</f>
        <v>0</v>
      </c>
      <c r="DC100" s="158">
        <f>Datos_Origen[[#This Row],[Base Seguridad Social Actual]]*12%</f>
        <v>660000</v>
      </c>
      <c r="DD100" s="158">
        <f>Datos_Origen[[#This Row],[Base Seguridad Social Actual]]*Datos_Origen[[#This Row],[%ARL]]</f>
        <v>239249.99999999997</v>
      </c>
      <c r="DE100" s="158">
        <f>IF(Datos_Origen[[#This Row],[Básico]]&lt;10*SMMLV,Datos_Origen[[#This Row],[Base Seguridad Social Actual]]*4%,Datos_Origen[[#This Row],[Base Seguridad Social Actual]]*9%)</f>
        <v>220000</v>
      </c>
      <c r="DF100" s="158">
        <f>Datos_Origen[[#This Row],[Salud]]+Datos_Origen[[#This Row],[Pensión]]+Datos_Origen[[#This Row],[ARL]]+Datos_Origen[[#This Row],[Parafiscales]]</f>
        <v>1119250</v>
      </c>
      <c r="DG100" s="163">
        <f>Datos_Origen[[#This Row],[Costo Laboral Actual]]+Datos_Origen[[#This Row],[CT]]</f>
        <v>7590935.0000000009</v>
      </c>
      <c r="DH100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5857223.7960339943</v>
      </c>
      <c r="DI100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00" s="158">
        <f>Datos_Origen[[#This Row],[Base Seguridad Social Nueva]]*12%</f>
        <v>702866.85552407929</v>
      </c>
      <c r="DK100" s="158">
        <f>Datos_Origen[[#This Row],[Base Seguridad Social Nueva]]*Datos_Origen[[#This Row],[%ARL]]</f>
        <v>254789.23512747872</v>
      </c>
      <c r="DL100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234288.95184135978</v>
      </c>
      <c r="DM100" s="158">
        <f>Datos_Origen[[#This Row],[Salud Nueva]]+Datos_Origen[[#This Row],[Pensión Nueva]]+Datos_Origen[[#This Row],[ARL nueva]]+Datos_Origen[[#This Row],[Parafiscales Nuevos]]</f>
        <v>1191945.0424929177</v>
      </c>
      <c r="DN100" s="158">
        <f>Datos_Origen[[#This Row],[Costo Laboral Nuevo]]+Datos_Origen[[#This Row],[Ctpol]]</f>
        <v>8083945.0424929177</v>
      </c>
      <c r="DO100" s="158">
        <f>IF(Datos_Origen[[#This Row],[Ctpol]]-Datos_Origen[[#This Row],[CT]]&lt;=0,0,Datos_Origen[[#This Row],[Costo Total Nuevo]]-Datos_Origen[[#This Row],[Costo Total Actual]])</f>
        <v>493010.04249291681</v>
      </c>
      <c r="DP100" s="158">
        <f>IF(Datos_Origen[[#This Row],[Ctpol]]-Datos_Origen[[#This Row],[CT]]&lt;=0,0,Datos_Origen[[#This Row],[Ctpol]]-Datos_Origen[[#This Row],[CT]])</f>
        <v>420314.99999999907</v>
      </c>
      <c r="DQ100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72695.042492917739</v>
      </c>
      <c r="DR100" s="158">
        <f>ROUNDDOWN(VLOOKUP(Datos_Origen[[#This Row],[Categoria]],Competitividad_1[],7,0)*IndiceIncrementoC,-3)</f>
        <v>7656000</v>
      </c>
      <c r="DS100" s="158">
        <f>Datos_Origen[[#This Row],[CTeq]]*0.8</f>
        <v>3981337.6866118261</v>
      </c>
      <c r="DT100" s="158">
        <f>Datos_Origen[[#This Row],[CTeq]]*1.2</f>
        <v>5972006.5299177384</v>
      </c>
      <c r="DU100" s="155">
        <f>IF(Datos_Origen[[#This Row],[Gpol6]]/(1+FactorPrestacionalOrdinario)&lt;SMMLV,SMMLV,Datos_Origen[[#This Row],[Gpol6]]/(1+FactorPrestacionalOrdinario))</f>
        <v>4685779.0368271954</v>
      </c>
      <c r="DV100" s="139" t="str">
        <f>IF((Datos_Origen[[#This Row],[Gpol6]]/(1+FactorPrestacionalIntegral))&lt;(13*SMMLV),"",(Datos_Origen[[#This Row],[Gpol6]]/(1+FactorPrestacionalIntegral)))</f>
        <v/>
      </c>
      <c r="DW100" s="154">
        <f>Datos_Origen[[#This Row],[G+Vpol8]]</f>
        <v>5513600</v>
      </c>
      <c r="DX100" s="154">
        <f>Datos_Origen[[#This Row],[Ctpol10]]-Datos_Origen[[#This Row],[Beneficios]]</f>
        <v>5513600</v>
      </c>
      <c r="DY100" s="154">
        <f>Datos_Origen[[#This Row],[Ctpol]]*$CM$6</f>
        <v>5513600</v>
      </c>
      <c r="DZ100" s="155">
        <f>IF(Datos_Origen[[#This Row],[Gpol66]]/(1+FactorPrestacionalOrdinario)&lt;SMMLV,SMMLV,Datos_Origen[[#This Row],[Gpol66]]/(1+FactorPrestacionalOrdinario))</f>
        <v>7028668.5552407932</v>
      </c>
      <c r="EA100" s="139" t="str">
        <f>IF((Datos_Origen[[#This Row],[Gpol66]]/(1+FactorPrestacionalIntegral))&lt;(13*SMMLV),"",(Datos_Origen[[#This Row],[Gpol66]]/(1+FactorPrestacionalIntegral)))</f>
        <v/>
      </c>
      <c r="EB100" s="154">
        <f>Datos_Origen[[#This Row],[G+Vpol88]]</f>
        <v>8270400</v>
      </c>
      <c r="EC100" s="154">
        <f>Datos_Origen[[#This Row],[Ctpol1010]]-Datos_Origen[[#This Row],[Beneficios]]</f>
        <v>8270400</v>
      </c>
      <c r="ED100" s="154">
        <f>Datos_Origen[[#This Row],[Ctpol]]*$CP$6</f>
        <v>8270400</v>
      </c>
      <c r="EE100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01" spans="2:135">
      <c r="B101" s="148"/>
      <c r="C101" s="149"/>
      <c r="D101" s="150"/>
      <c r="E101" s="151"/>
      <c r="F101" s="151"/>
      <c r="G101" s="150" t="s">
        <v>533</v>
      </c>
      <c r="H101" s="153"/>
      <c r="I101" s="152" t="s">
        <v>300</v>
      </c>
      <c r="J101" s="130" t="str">
        <f>IFERROR(VLOOKUP(Datos_Origen[[#This Row],[Cargo Tipo Valorado]],Cargos_Catalogo[[#All],[Cargo]:[Área]],2,0),"")</f>
        <v/>
      </c>
      <c r="K101" s="153"/>
      <c r="L101" s="153"/>
      <c r="M101" s="153"/>
      <c r="N101" s="153"/>
      <c r="O101" s="154">
        <f>Datos_Origen[[#This Row],[Segmentación Individual]]</f>
        <v>0</v>
      </c>
      <c r="P101" s="153"/>
      <c r="Q101" s="154">
        <f>VLOOKUP(Datos_Origen[[#This Row],[Cargo Tipo Valorado]],Cargos_Catalogo[#Data],MATCH(Cargos_Catalogo[[#Headers],[Puntos]],Cargos_Catalogo[#Headers],0),FALSE)</f>
        <v>408</v>
      </c>
      <c r="R101" s="130">
        <f>VLOOKUP(Datos_Origen[[#This Row],[Puntos valoración]],Categorias_Registro[#Data],MATCH(Categorias_Registro[[#Headers],[Categoria]],Categorias_Registro[#Headers],0),FALSE)</f>
        <v>12</v>
      </c>
      <c r="S101" s="130" t="str">
        <f>VLOOKUP(Datos_Origen[[#This Row],[Cargo Tipo Valorado]],Cargos_Catalogo[#Data],MATCH(Cargos_Catalogo[[#Headers],[Nivel SHR]],Cargos_Catalogo[#Headers],0),FALSE)</f>
        <v>Táctico</v>
      </c>
      <c r="T101" s="130" t="str">
        <f>VLOOKUP(Datos_Origen[[#This Row],[Cargo Tipo Valorado]],Cargos_Catalogo[#Data],MATCH(Cargos_Catalogo[[#Headers],[Criticidad]],Cargos_Catalogo[#Headers],0),FALSE)</f>
        <v>Crítico</v>
      </c>
      <c r="U101" s="154">
        <f>VLOOKUP(Datos_Origen[[#This Row],[Puntos valoración]],Categorias_Registro[#Data],5,FALSE)</f>
        <v>436</v>
      </c>
      <c r="V101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4745510.1100000003</v>
      </c>
      <c r="W101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01" s="154">
        <f>SUMIF($BA$5:$BJ$5,"NCS",Datos_Origen[[#This Row],[auxilio Gasolina]:[Otro Beneficio10]])+(SUMIF($BA$5:$BJ$5,"CS",Datos_Origen[[#This Row],[auxilio Gasolina]:[Otro Beneficio10]])*1.17667)</f>
        <v>0</v>
      </c>
      <c r="Y101" s="155">
        <f>Datos_Origen[[#This Row],[Básico]]+Datos_Origen[[#This Row],[Promedio de Comisiones  ]]</f>
        <v>4033000</v>
      </c>
      <c r="Z101" s="155">
        <f>Datos_Origen[[#This Row],[Básico]]+Datos_Origen[[#This Row],[Promedio de Comisiones  ]]</f>
        <v>4033000</v>
      </c>
      <c r="AA101" s="155">
        <f>Datos_Origen[[#This Row],[Garantizado]]</f>
        <v>4745510.1100000003</v>
      </c>
      <c r="AB101" s="155">
        <f>Datos_Origen[[#This Row],[Variable]]+Datos_Origen[[#This Row],[Garantizado]]</f>
        <v>4745510.1100000003</v>
      </c>
      <c r="AC101" s="155">
        <f>Datos_Origen[[#This Row],[Beneficios]]+Datos_Origen[[#This Row],[Variable]]+Datos_Origen[[#This Row],[Garantizado]]</f>
        <v>4745510.1100000003</v>
      </c>
      <c r="AD101" s="156">
        <v>14.12</v>
      </c>
      <c r="AE101" s="141">
        <v>230</v>
      </c>
      <c r="AF101" s="345">
        <v>4.3499999999999997E-2</v>
      </c>
      <c r="AG101" s="155">
        <f>Datos_Origen[[#This Row],[Básico Actual]]*230/Datos_Origen[[#This Row],['# horas mes]]</f>
        <v>4033000</v>
      </c>
      <c r="AH101" s="157">
        <v>4033000</v>
      </c>
      <c r="AI101" s="158"/>
      <c r="AJ101" s="158">
        <f>(((Datos_Origen[[#This Row],[Básico]])/30)*$AJ$6)/12</f>
        <v>0</v>
      </c>
      <c r="AK101" s="158"/>
      <c r="AL101" s="143">
        <f>((Datos_Origen[[#This Row],[Básico]])/30)*$AL$6/12</f>
        <v>0</v>
      </c>
      <c r="AM101" s="158"/>
      <c r="AN101" s="158"/>
      <c r="AO101" s="158"/>
      <c r="AP101" s="158"/>
      <c r="AQ101" s="158"/>
      <c r="AR101" s="149">
        <v>0</v>
      </c>
      <c r="AS101" s="149"/>
      <c r="AT101" s="159" t="str">
        <f>IFERROR(Datos_Origen[[#This Row],[Comisiones Target]]/Datos_Origen[[#This Row],[Promedio de Comisiones  ]],"")</f>
        <v/>
      </c>
      <c r="AU101" s="160"/>
      <c r="AV101" s="143">
        <v>0</v>
      </c>
      <c r="AW101" s="160"/>
      <c r="AX101" s="143">
        <f>Datos_Origen[[#This Row],[N Salarios de la Bonificación2]]*Datos_Origen[[#This Row],[Básico]]/12</f>
        <v>0</v>
      </c>
      <c r="AY101" s="160"/>
      <c r="AZ101" s="158"/>
      <c r="BA101" s="149">
        <v>0</v>
      </c>
      <c r="BB101" s="149"/>
      <c r="BC101" s="149"/>
      <c r="BD101" s="149"/>
      <c r="BE101" s="149"/>
      <c r="BF101" s="149"/>
      <c r="BG101" s="149"/>
      <c r="BH101" s="149"/>
      <c r="BI101" s="149"/>
      <c r="BJ101" s="149"/>
      <c r="BK101" s="159">
        <f>IFERROR(Datos_Origen[[#This Row],[Variable]]/Datos_Origen[[#This Row],[CT]],"")</f>
        <v>0</v>
      </c>
      <c r="BL101" s="159">
        <f>IFERROR(Datos_Origen[[#This Row],[Beneficios]]/Datos_Origen[[#This Row],[CT]],"")</f>
        <v>0</v>
      </c>
      <c r="BM101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01" s="161">
        <f>Datos_Origen[[#This Row],[G]]/Datos_Origen[[#This Row],[Geq]]</f>
        <v>0.859234790007259</v>
      </c>
      <c r="BO101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01" s="161">
        <f>Datos_Origen[[#This Row],[G+V]]/Datos_Origen[[#This Row],[G+Veq]]</f>
        <v>0.82038449007752023</v>
      </c>
      <c r="BQ101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01" s="161">
        <f>Datos_Origen[[#This Row],[CT]]/Datos_Origen[[#This Row],[CTeq]]</f>
        <v>0.81978777580338924</v>
      </c>
      <c r="BS101" s="139">
        <f>ROUNDUP(VLOOKUP(Datos_Origen[[#This Row],[Categoria]],Competitividad_1[#All],2,0)*IndiceIncrementoC,-3)</f>
        <v>6487000</v>
      </c>
      <c r="BT101" s="161">
        <f>Datos_Origen[[#This Row],[G]]/Datos_Origen[[#This Row],[GQ1]]</f>
        <v>0.73154156158470796</v>
      </c>
      <c r="BU101" s="155">
        <f>ROUNDUP(VLOOKUP(Datos_Origen[[#This Row],[Categoria]],Competitividad_1[#All],3,0)*IndiceIncrementoC,-3)</f>
        <v>6736000</v>
      </c>
      <c r="BV101" s="161">
        <f>Datos_Origen[[#This Row],[G+V]]/Datos_Origen[[#This Row],[G+VQ1]]</f>
        <v>0.70449971941805234</v>
      </c>
      <c r="BW101" s="155">
        <f>ROUNDUP(VLOOKUP(Datos_Origen[[#This Row],[Categoria]],Competitividad_1[#All],4,0)*IndiceIncrementoC,-3)</f>
        <v>7056000</v>
      </c>
      <c r="BX101" s="161">
        <f>Datos_Origen[[#This Row],[CT]]/Datos_Origen[[#This Row],[CTQ1]]</f>
        <v>0.67254961876417241</v>
      </c>
      <c r="BY101" s="155">
        <f>ROUNDUP(VLOOKUP(Datos_Origen[[#This Row],[Categoria]],Competitividad_1[#All],5,0)*IndiceIncrementoC,-3)</f>
        <v>8476000</v>
      </c>
      <c r="BZ101" s="161">
        <f>Datos_Origen[[#This Row],[G]]/Datos_Origen[[#This Row],[GMd]]</f>
        <v>0.55987613378952339</v>
      </c>
      <c r="CA101" s="155">
        <f>ROUNDUP(VLOOKUP(Datos_Origen[[#This Row],[Categoria]],Competitividad_1[#All],6,0)*IndiceIncrementoC,-3)</f>
        <v>8755000</v>
      </c>
      <c r="CB101" s="161">
        <f>Datos_Origen[[#This Row],[G+V]]/Datos_Origen[[#This Row],[G+VMd]]</f>
        <v>0.54203427869788701</v>
      </c>
      <c r="CC101" s="155">
        <f>ROUNDUP(VLOOKUP(Datos_Origen[[#This Row],[Categoria]],Competitividad_1[#All],7,0)*IndiceIncrementoC,-3)</f>
        <v>9117000</v>
      </c>
      <c r="CD101" s="161">
        <f>Datos_Origen[[#This Row],[CT]]/Datos_Origen[[#This Row],[CTMd]]</f>
        <v>0.5205122419655589</v>
      </c>
      <c r="CE101" s="155">
        <f>+Datos_Origen[[#This Row],[GMd]]/1.17666666667</f>
        <v>7203399.4334073551</v>
      </c>
      <c r="CF101" s="161">
        <f>+Datos_Origen[[#This Row],[Básico Actual]]/Datos_Origen[[#This Row],[Salario Basico Md]]</f>
        <v>0.55987454774423195</v>
      </c>
      <c r="CG101" s="155">
        <f>ROUNDUP(VLOOKUP(Datos_Origen[[#This Row],[Categoria]],Competitividad_1[#All],8,0)*IndiceIncrementoC,-3)</f>
        <v>8965000</v>
      </c>
      <c r="CH101" s="161">
        <f>Datos_Origen[[#This Row],[G]]/Datos_Origen[[#This Row],[GQ3]]</f>
        <v>0.52933743558282209</v>
      </c>
      <c r="CI101" s="155">
        <f>ROUNDUP(VLOOKUP(Datos_Origen[[#This Row],[Categoria]],Competitividad_1[#All],9,0)*IndiceIncrementoC,-3)</f>
        <v>9200000</v>
      </c>
      <c r="CJ101" s="161">
        <f>Datos_Origen[[#This Row],[G+V]]/Datos_Origen[[#This Row],[G+VQ3]]</f>
        <v>0.51581631630434788</v>
      </c>
      <c r="CK101" s="155">
        <f>ROUNDUP(VLOOKUP(Datos_Origen[[#This Row],[Categoria]],Competitividad_1[#All],10,0)*IndiceIncrementoC,-3)</f>
        <v>9412000</v>
      </c>
      <c r="CL101" s="161">
        <f>Datos_Origen[[#This Row],[CT]]/Datos_Origen[[#This Row],[CTQ3]]</f>
        <v>0.50419784424139402</v>
      </c>
      <c r="CM101" s="162">
        <f>IF(ROUND(Datos_Origen[[#This Row],[Salario Ordinario Pol2]],-3)&lt;SMMLV,SMMLV,ROUND(Datos_Origen[[#This Row],[Salario Ordinario Pol2]],-3))</f>
        <v>7438000</v>
      </c>
      <c r="CN101" s="155">
        <f>IF(Datos_Origen[[#This Row],[Gpol]]/(1+FactorPrestacionalOrdinario)&lt;SMMLV,SMMLV,Datos_Origen[[#This Row],[Gpol]]/(1+FactorPrestacionalOrdinario))</f>
        <v>9297450.4249291774</v>
      </c>
      <c r="CO101" s="161">
        <f>IFERROR(IF(Datos_Origen[[#This Row],[Salarios Año]]=14.12,Datos_Origen[[#This Row],[Básico]]/Datos_Origen[[#This Row],[Salario Ordinario Pol]],""),"")</f>
        <v>0.43377483241925663</v>
      </c>
      <c r="CP101" s="155">
        <f>IF(ROUND(Datos_Origen[[#This Row],[Salario Ordinario Pol22]],-3)&lt;SMMLV,SMMLV,ROUND(Datos_Origen[[#This Row],[Salario Ordinario Pol22]],-3))</f>
        <v>11157000</v>
      </c>
      <c r="CQ101" s="155" t="str">
        <f>IFERROR(ROUND(Datos_Origen[[#This Row],[Salario Integral Pol4]],-3),"")</f>
        <v/>
      </c>
      <c r="CR101" s="139" t="str">
        <f>IF((Datos_Origen[[#This Row],[Gpol]]/(1+FactorPrestacionalIntegral))&lt;(13*SMMLV),"",(Datos_Origen[[#This Row],[Gpol]]/(1+FactorPrestacionalIntegral)))</f>
        <v/>
      </c>
      <c r="CS101" s="161" t="str">
        <f>IFERROR(IF(Datos_Origen[[#This Row],[Salarios Año]]=12,Datos_Origen[[#This Row],[Básico]]/Datos_Origen[[#This Row],[Salario Integral Pol]],""),"")</f>
        <v/>
      </c>
      <c r="CT101" s="155" t="str">
        <f>IFERROR(ROUND(Datos_Origen[[#This Row],[Salario Integral Pol44]],-3),"")</f>
        <v/>
      </c>
      <c r="CU101" s="155">
        <f>Datos_Origen[[#This Row],[G+Vpol]]-Datos_Origen[[#This Row],[Variable]]</f>
        <v>10940000</v>
      </c>
      <c r="CV101" s="161">
        <f>Datos_Origen[[#This Row],[G]]/Datos_Origen[[#This Row],[Gpol]]</f>
        <v>0.43377606124314444</v>
      </c>
      <c r="CW101" s="154">
        <f>Datos_Origen[[#This Row],[Ctpol]]-Datos_Origen[[#This Row],[Beneficios]]</f>
        <v>10940000</v>
      </c>
      <c r="CX101" s="161">
        <f>Datos_Origen[[#This Row],[G+V]]/Datos_Origen[[#This Row],[G+Vpol]]</f>
        <v>0.43377606124314444</v>
      </c>
      <c r="CY101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10940000</v>
      </c>
      <c r="CZ101" s="161">
        <f>Datos_Origen[[#This Row],[CT]]/Datos_Origen[[#This Row],[Ctpol]]</f>
        <v>0.43377606124314444</v>
      </c>
      <c r="DA101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4033000</v>
      </c>
      <c r="DB101" s="158">
        <f>IF(Datos_Origen[[#This Row],[Básico]]&lt;10*SMMLV,0,Datos_Origen[[#This Row],[Base Seguridad Social Actual]]*8.5%)</f>
        <v>0</v>
      </c>
      <c r="DC101" s="158">
        <f>Datos_Origen[[#This Row],[Base Seguridad Social Actual]]*12%</f>
        <v>483960</v>
      </c>
      <c r="DD101" s="158">
        <f>Datos_Origen[[#This Row],[Base Seguridad Social Actual]]*Datos_Origen[[#This Row],[%ARL]]</f>
        <v>175435.5</v>
      </c>
      <c r="DE101" s="158">
        <f>IF(Datos_Origen[[#This Row],[Básico]]&lt;10*SMMLV,Datos_Origen[[#This Row],[Base Seguridad Social Actual]]*4%,Datos_Origen[[#This Row],[Base Seguridad Social Actual]]*9%)</f>
        <v>161320</v>
      </c>
      <c r="DF101" s="158">
        <f>Datos_Origen[[#This Row],[Salud]]+Datos_Origen[[#This Row],[Pensión]]+Datos_Origen[[#This Row],[ARL]]+Datos_Origen[[#This Row],[Parafiscales]]</f>
        <v>820715.5</v>
      </c>
      <c r="DG101" s="158">
        <f>Datos_Origen[[#This Row],[Costo Laboral Actual]]+Datos_Origen[[#This Row],[CT]]</f>
        <v>5566225.6100000003</v>
      </c>
      <c r="DH101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9297450.4249291774</v>
      </c>
      <c r="DI101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01" s="158">
        <f>Datos_Origen[[#This Row],[Base Seguridad Social Nueva]]*12%</f>
        <v>1115694.0509915012</v>
      </c>
      <c r="DK101" s="158">
        <f>Datos_Origen[[#This Row],[Base Seguridad Social Nueva]]*Datos_Origen[[#This Row],[%ARL]]</f>
        <v>404439.09348441917</v>
      </c>
      <c r="DL101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371898.01699716708</v>
      </c>
      <c r="DM101" s="158">
        <f>Datos_Origen[[#This Row],[Salud Nueva]]+Datos_Origen[[#This Row],[Pensión Nueva]]+Datos_Origen[[#This Row],[ARL nueva]]+Datos_Origen[[#This Row],[Parafiscales Nuevos]]</f>
        <v>1892031.1614730875</v>
      </c>
      <c r="DN101" s="158">
        <f>Datos_Origen[[#This Row],[Costo Laboral Nuevo]]+Datos_Origen[[#This Row],[Ctpol]]</f>
        <v>12832031.161473088</v>
      </c>
      <c r="DO101" s="158">
        <f>IF(Datos_Origen[[#This Row],[Ctpol]]-Datos_Origen[[#This Row],[CT]]&lt;=0,0,Datos_Origen[[#This Row],[Costo Total Nuevo]]-Datos_Origen[[#This Row],[Costo Total Actual]])</f>
        <v>7265805.5514730876</v>
      </c>
      <c r="DP101" s="158">
        <f>IF(Datos_Origen[[#This Row],[Ctpol]]-Datos_Origen[[#This Row],[CT]]&lt;=0,0,Datos_Origen[[#This Row],[Ctpol]]-Datos_Origen[[#This Row],[CT]])</f>
        <v>6194489.8899999997</v>
      </c>
      <c r="DQ101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1071315.6614730875</v>
      </c>
      <c r="DR101" s="158">
        <f>ROUNDDOWN(VLOOKUP(Datos_Origen[[#This Row],[Categoria]],Competitividad_1[],7,0)*IndiceIncrementoC,-3)</f>
        <v>9116000</v>
      </c>
      <c r="DS101" s="158">
        <f>Datos_Origen[[#This Row],[CTeq]]*0.8</f>
        <v>4630964.5008789422</v>
      </c>
      <c r="DT101" s="158">
        <f>Datos_Origen[[#This Row],[CTeq]]*1.2</f>
        <v>6946446.7513184128</v>
      </c>
      <c r="DU101" s="155">
        <f>IF(Datos_Origen[[#This Row],[Gpol6]]/(1+FactorPrestacionalOrdinario)&lt;SMMLV,SMMLV,Datos_Origen[[#This Row],[Gpol6]]/(1+FactorPrestacionalOrdinario))</f>
        <v>7437960.3399433419</v>
      </c>
      <c r="DV101" s="139" t="str">
        <f>IF((Datos_Origen[[#This Row],[Gpol6]]/(1+FactorPrestacionalIntegral))&lt;(13*SMMLV),"",(Datos_Origen[[#This Row],[Gpol6]]/(1+FactorPrestacionalIntegral)))</f>
        <v/>
      </c>
      <c r="DW101" s="154">
        <f>Datos_Origen[[#This Row],[G+Vpol8]]</f>
        <v>8752000</v>
      </c>
      <c r="DX101" s="154">
        <f>Datos_Origen[[#This Row],[Ctpol10]]-Datos_Origen[[#This Row],[Beneficios]]</f>
        <v>8752000</v>
      </c>
      <c r="DY101" s="154">
        <f>Datos_Origen[[#This Row],[Ctpol]]*$CM$6</f>
        <v>8752000</v>
      </c>
      <c r="DZ101" s="155">
        <f>IF(Datos_Origen[[#This Row],[Gpol66]]/(1+FactorPrestacionalOrdinario)&lt;SMMLV,SMMLV,Datos_Origen[[#This Row],[Gpol66]]/(1+FactorPrestacionalOrdinario))</f>
        <v>11156940.509915013</v>
      </c>
      <c r="EA101" s="139" t="str">
        <f>IF((Datos_Origen[[#This Row],[Gpol66]]/(1+FactorPrestacionalIntegral))&lt;(13*SMMLV),"",(Datos_Origen[[#This Row],[Gpol66]]/(1+FactorPrestacionalIntegral)))</f>
        <v/>
      </c>
      <c r="EB101" s="154">
        <f>Datos_Origen[[#This Row],[G+Vpol88]]</f>
        <v>13128000</v>
      </c>
      <c r="EC101" s="154">
        <f>Datos_Origen[[#This Row],[Ctpol1010]]-Datos_Origen[[#This Row],[Beneficios]]</f>
        <v>13128000</v>
      </c>
      <c r="ED101" s="154">
        <f>Datos_Origen[[#This Row],[Ctpol]]*$CP$6</f>
        <v>13128000</v>
      </c>
      <c r="EE101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02" spans="2:135">
      <c r="B102" s="132"/>
      <c r="C102" s="149"/>
      <c r="D102" s="150"/>
      <c r="E102" s="151"/>
      <c r="F102" s="151"/>
      <c r="G102" s="150" t="s">
        <v>533</v>
      </c>
      <c r="H102" s="153"/>
      <c r="I102" s="152" t="s">
        <v>300</v>
      </c>
      <c r="J102" s="130" t="str">
        <f>IFERROR(VLOOKUP(Datos_Origen[[#This Row],[Cargo Tipo Valorado]],Cargos_Catalogo[[#All],[Cargo]:[Área]],2,0),"")</f>
        <v/>
      </c>
      <c r="K102" s="153"/>
      <c r="L102" s="153"/>
      <c r="M102" s="153"/>
      <c r="N102" s="153"/>
      <c r="O102" s="154">
        <f>Datos_Origen[[#This Row],[Segmentación Individual]]</f>
        <v>0</v>
      </c>
      <c r="P102" s="153"/>
      <c r="Q102" s="154">
        <f>VLOOKUP(Datos_Origen[[#This Row],[Cargo Tipo Valorado]],Cargos_Catalogo[#Data],MATCH(Cargos_Catalogo[[#Headers],[Puntos]],Cargos_Catalogo[#Headers],0),FALSE)</f>
        <v>408</v>
      </c>
      <c r="R102" s="130">
        <f>VLOOKUP(Datos_Origen[[#This Row],[Puntos valoración]],Categorias_Registro[#Data],MATCH(Categorias_Registro[[#Headers],[Categoria]],Categorias_Registro[#Headers],0),FALSE)</f>
        <v>12</v>
      </c>
      <c r="S102" s="130" t="str">
        <f>VLOOKUP(Datos_Origen[[#This Row],[Cargo Tipo Valorado]],Cargos_Catalogo[#Data],MATCH(Cargos_Catalogo[[#Headers],[Nivel SHR]],Cargos_Catalogo[#Headers],0),FALSE)</f>
        <v>Táctico</v>
      </c>
      <c r="T102" s="130" t="str">
        <f>VLOOKUP(Datos_Origen[[#This Row],[Cargo Tipo Valorado]],Cargos_Catalogo[#Data],MATCH(Cargos_Catalogo[[#Headers],[Criticidad]],Cargos_Catalogo[#Headers],0),FALSE)</f>
        <v>Crítico</v>
      </c>
      <c r="U102" s="154">
        <f>VLOOKUP(Datos_Origen[[#This Row],[Puntos valoración]],Categorias_Registro[#Data],5,FALSE)</f>
        <v>436</v>
      </c>
      <c r="V102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4745510.1100000003</v>
      </c>
      <c r="W102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02" s="154">
        <f>SUMIF($BA$5:$BJ$5,"NCS",Datos_Origen[[#This Row],[auxilio Gasolina]:[Otro Beneficio10]])+(SUMIF($BA$5:$BJ$5,"CS",Datos_Origen[[#This Row],[auxilio Gasolina]:[Otro Beneficio10]])*1.17667)</f>
        <v>0</v>
      </c>
      <c r="Y102" s="155">
        <f>Datos_Origen[[#This Row],[Básico]]+Datos_Origen[[#This Row],[Promedio de Comisiones  ]]</f>
        <v>4033000</v>
      </c>
      <c r="Z102" s="155">
        <f>Datos_Origen[[#This Row],[Básico]]+Datos_Origen[[#This Row],[Promedio de Comisiones  ]]</f>
        <v>4033000</v>
      </c>
      <c r="AA102" s="155">
        <f>Datos_Origen[[#This Row],[Garantizado]]</f>
        <v>4745510.1100000003</v>
      </c>
      <c r="AB102" s="155">
        <f>Datos_Origen[[#This Row],[Variable]]+Datos_Origen[[#This Row],[Garantizado]]</f>
        <v>4745510.1100000003</v>
      </c>
      <c r="AC102" s="155">
        <f>Datos_Origen[[#This Row],[Beneficios]]+Datos_Origen[[#This Row],[Variable]]+Datos_Origen[[#This Row],[Garantizado]]</f>
        <v>4745510.1100000003</v>
      </c>
      <c r="AD102" s="156">
        <v>14.12</v>
      </c>
      <c r="AE102" s="141">
        <v>230</v>
      </c>
      <c r="AF102" s="345">
        <v>4.3499999999999997E-2</v>
      </c>
      <c r="AG102" s="155">
        <f>Datos_Origen[[#This Row],[Básico Actual]]*230/Datos_Origen[[#This Row],['# horas mes]]</f>
        <v>4033000</v>
      </c>
      <c r="AH102" s="157">
        <v>4033000</v>
      </c>
      <c r="AI102" s="158"/>
      <c r="AJ102" s="158">
        <f>(((Datos_Origen[[#This Row],[Básico]])/30)*$AJ$6)/12</f>
        <v>0</v>
      </c>
      <c r="AK102" s="158"/>
      <c r="AL102" s="143">
        <f>((Datos_Origen[[#This Row],[Básico]])/30)*$AL$6/12</f>
        <v>0</v>
      </c>
      <c r="AM102" s="158"/>
      <c r="AN102" s="158"/>
      <c r="AO102" s="158"/>
      <c r="AP102" s="158"/>
      <c r="AQ102" s="158"/>
      <c r="AR102" s="149">
        <v>0</v>
      </c>
      <c r="AS102" s="149"/>
      <c r="AT102" s="159" t="str">
        <f>IFERROR(Datos_Origen[[#This Row],[Comisiones Target]]/Datos_Origen[[#This Row],[Promedio de Comisiones  ]],"")</f>
        <v/>
      </c>
      <c r="AU102" s="160"/>
      <c r="AV102" s="143">
        <v>0</v>
      </c>
      <c r="AW102" s="160"/>
      <c r="AX102" s="143">
        <f>Datos_Origen[[#This Row],[N Salarios de la Bonificación2]]*Datos_Origen[[#This Row],[Básico]]/12</f>
        <v>0</v>
      </c>
      <c r="AY102" s="160"/>
      <c r="AZ102" s="158"/>
      <c r="BA102" s="149">
        <v>0</v>
      </c>
      <c r="BB102" s="149"/>
      <c r="BC102" s="149"/>
      <c r="BD102" s="149"/>
      <c r="BE102" s="149"/>
      <c r="BF102" s="149"/>
      <c r="BG102" s="149"/>
      <c r="BH102" s="149"/>
      <c r="BI102" s="149"/>
      <c r="BJ102" s="149"/>
      <c r="BK102" s="159">
        <f>IFERROR(Datos_Origen[[#This Row],[Variable]]/Datos_Origen[[#This Row],[CT]],"")</f>
        <v>0</v>
      </c>
      <c r="BL102" s="159">
        <f>IFERROR(Datos_Origen[[#This Row],[Beneficios]]/Datos_Origen[[#This Row],[CT]],"")</f>
        <v>0</v>
      </c>
      <c r="BM102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02" s="161">
        <f>Datos_Origen[[#This Row],[G]]/Datos_Origen[[#This Row],[Geq]]</f>
        <v>0.859234790007259</v>
      </c>
      <c r="BO102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02" s="161">
        <f>Datos_Origen[[#This Row],[G+V]]/Datos_Origen[[#This Row],[G+Veq]]</f>
        <v>0.82038449007752023</v>
      </c>
      <c r="BQ102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02" s="161">
        <f>Datos_Origen[[#This Row],[CT]]/Datos_Origen[[#This Row],[CTeq]]</f>
        <v>0.81978777580338924</v>
      </c>
      <c r="BS102" s="139">
        <f>ROUNDUP(VLOOKUP(Datos_Origen[[#This Row],[Categoria]],Competitividad_1[#All],2,0)*IndiceIncrementoC,-3)</f>
        <v>6487000</v>
      </c>
      <c r="BT102" s="161">
        <f>Datos_Origen[[#This Row],[G]]/Datos_Origen[[#This Row],[GQ1]]</f>
        <v>0.73154156158470796</v>
      </c>
      <c r="BU102" s="155">
        <f>ROUNDUP(VLOOKUP(Datos_Origen[[#This Row],[Categoria]],Competitividad_1[#All],3,0)*IndiceIncrementoC,-3)</f>
        <v>6736000</v>
      </c>
      <c r="BV102" s="161">
        <f>Datos_Origen[[#This Row],[G+V]]/Datos_Origen[[#This Row],[G+VQ1]]</f>
        <v>0.70449971941805234</v>
      </c>
      <c r="BW102" s="155">
        <f>ROUNDUP(VLOOKUP(Datos_Origen[[#This Row],[Categoria]],Competitividad_1[#All],4,0)*IndiceIncrementoC,-3)</f>
        <v>7056000</v>
      </c>
      <c r="BX102" s="161">
        <f>Datos_Origen[[#This Row],[CT]]/Datos_Origen[[#This Row],[CTQ1]]</f>
        <v>0.67254961876417241</v>
      </c>
      <c r="BY102" s="155">
        <f>ROUNDUP(VLOOKUP(Datos_Origen[[#This Row],[Categoria]],Competitividad_1[#All],5,0)*IndiceIncrementoC,-3)</f>
        <v>8476000</v>
      </c>
      <c r="BZ102" s="161">
        <f>Datos_Origen[[#This Row],[G]]/Datos_Origen[[#This Row],[GMd]]</f>
        <v>0.55987613378952339</v>
      </c>
      <c r="CA102" s="155">
        <f>ROUNDUP(VLOOKUP(Datos_Origen[[#This Row],[Categoria]],Competitividad_1[#All],6,0)*IndiceIncrementoC,-3)</f>
        <v>8755000</v>
      </c>
      <c r="CB102" s="161">
        <f>Datos_Origen[[#This Row],[G+V]]/Datos_Origen[[#This Row],[G+VMd]]</f>
        <v>0.54203427869788701</v>
      </c>
      <c r="CC102" s="155">
        <f>ROUNDUP(VLOOKUP(Datos_Origen[[#This Row],[Categoria]],Competitividad_1[#All],7,0)*IndiceIncrementoC,-3)</f>
        <v>9117000</v>
      </c>
      <c r="CD102" s="161">
        <f>Datos_Origen[[#This Row],[CT]]/Datos_Origen[[#This Row],[CTMd]]</f>
        <v>0.5205122419655589</v>
      </c>
      <c r="CE102" s="155">
        <f>+Datos_Origen[[#This Row],[GMd]]/1.17666666667</f>
        <v>7203399.4334073551</v>
      </c>
      <c r="CF102" s="161">
        <f>+Datos_Origen[[#This Row],[Básico Actual]]/Datos_Origen[[#This Row],[Salario Basico Md]]</f>
        <v>0.55987454774423195</v>
      </c>
      <c r="CG102" s="155">
        <f>ROUNDUP(VLOOKUP(Datos_Origen[[#This Row],[Categoria]],Competitividad_1[#All],8,0)*IndiceIncrementoC,-3)</f>
        <v>8965000</v>
      </c>
      <c r="CH102" s="161">
        <f>Datos_Origen[[#This Row],[G]]/Datos_Origen[[#This Row],[GQ3]]</f>
        <v>0.52933743558282209</v>
      </c>
      <c r="CI102" s="155">
        <f>ROUNDUP(VLOOKUP(Datos_Origen[[#This Row],[Categoria]],Competitividad_1[#All],9,0)*IndiceIncrementoC,-3)</f>
        <v>9200000</v>
      </c>
      <c r="CJ102" s="161">
        <f>Datos_Origen[[#This Row],[G+V]]/Datos_Origen[[#This Row],[G+VQ3]]</f>
        <v>0.51581631630434788</v>
      </c>
      <c r="CK102" s="155">
        <f>ROUNDUP(VLOOKUP(Datos_Origen[[#This Row],[Categoria]],Competitividad_1[#All],10,0)*IndiceIncrementoC,-3)</f>
        <v>9412000</v>
      </c>
      <c r="CL102" s="161">
        <f>Datos_Origen[[#This Row],[CT]]/Datos_Origen[[#This Row],[CTQ3]]</f>
        <v>0.50419784424139402</v>
      </c>
      <c r="CM102" s="162">
        <f>IF(ROUND(Datos_Origen[[#This Row],[Salario Ordinario Pol2]],-3)&lt;SMMLV,SMMLV,ROUND(Datos_Origen[[#This Row],[Salario Ordinario Pol2]],-3))</f>
        <v>7438000</v>
      </c>
      <c r="CN102" s="155">
        <f>IF(Datos_Origen[[#This Row],[Gpol]]/(1+FactorPrestacionalOrdinario)&lt;SMMLV,SMMLV,Datos_Origen[[#This Row],[Gpol]]/(1+FactorPrestacionalOrdinario))</f>
        <v>9297450.4249291774</v>
      </c>
      <c r="CO102" s="161">
        <f>IFERROR(IF(Datos_Origen[[#This Row],[Salarios Año]]=14.12,Datos_Origen[[#This Row],[Básico]]/Datos_Origen[[#This Row],[Salario Ordinario Pol]],""),"")</f>
        <v>0.43377483241925663</v>
      </c>
      <c r="CP102" s="155">
        <f>IF(ROUND(Datos_Origen[[#This Row],[Salario Ordinario Pol22]],-3)&lt;SMMLV,SMMLV,ROUND(Datos_Origen[[#This Row],[Salario Ordinario Pol22]],-3))</f>
        <v>11157000</v>
      </c>
      <c r="CQ102" s="155" t="str">
        <f>IFERROR(ROUND(Datos_Origen[[#This Row],[Salario Integral Pol4]],-3),"")</f>
        <v/>
      </c>
      <c r="CR102" s="139" t="str">
        <f>IF((Datos_Origen[[#This Row],[Gpol]]/(1+FactorPrestacionalIntegral))&lt;(13*SMMLV),"",(Datos_Origen[[#This Row],[Gpol]]/(1+FactorPrestacionalIntegral)))</f>
        <v/>
      </c>
      <c r="CS102" s="161" t="str">
        <f>IFERROR(IF(Datos_Origen[[#This Row],[Salarios Año]]=12,Datos_Origen[[#This Row],[Básico]]/Datos_Origen[[#This Row],[Salario Integral Pol]],""),"")</f>
        <v/>
      </c>
      <c r="CT102" s="155" t="str">
        <f>IFERROR(ROUND(Datos_Origen[[#This Row],[Salario Integral Pol44]],-3),"")</f>
        <v/>
      </c>
      <c r="CU102" s="155">
        <f>Datos_Origen[[#This Row],[G+Vpol]]-Datos_Origen[[#This Row],[Variable]]</f>
        <v>10940000</v>
      </c>
      <c r="CV102" s="161">
        <f>Datos_Origen[[#This Row],[G]]/Datos_Origen[[#This Row],[Gpol]]</f>
        <v>0.43377606124314444</v>
      </c>
      <c r="CW102" s="154">
        <f>Datos_Origen[[#This Row],[Ctpol]]-Datos_Origen[[#This Row],[Beneficios]]</f>
        <v>10940000</v>
      </c>
      <c r="CX102" s="161">
        <f>Datos_Origen[[#This Row],[G+V]]/Datos_Origen[[#This Row],[G+Vpol]]</f>
        <v>0.43377606124314444</v>
      </c>
      <c r="CY102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10940000</v>
      </c>
      <c r="CZ102" s="161">
        <f>Datos_Origen[[#This Row],[CT]]/Datos_Origen[[#This Row],[Ctpol]]</f>
        <v>0.43377606124314444</v>
      </c>
      <c r="DA102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4033000</v>
      </c>
      <c r="DB102" s="158">
        <f>IF(Datos_Origen[[#This Row],[Básico]]&lt;10*SMMLV,0,Datos_Origen[[#This Row],[Base Seguridad Social Actual]]*8.5%)</f>
        <v>0</v>
      </c>
      <c r="DC102" s="158">
        <f>Datos_Origen[[#This Row],[Base Seguridad Social Actual]]*12%</f>
        <v>483960</v>
      </c>
      <c r="DD102" s="158">
        <f>Datos_Origen[[#This Row],[Base Seguridad Social Actual]]*Datos_Origen[[#This Row],[%ARL]]</f>
        <v>175435.5</v>
      </c>
      <c r="DE102" s="158">
        <f>IF(Datos_Origen[[#This Row],[Básico]]&lt;10*SMMLV,Datos_Origen[[#This Row],[Base Seguridad Social Actual]]*4%,Datos_Origen[[#This Row],[Base Seguridad Social Actual]]*9%)</f>
        <v>161320</v>
      </c>
      <c r="DF102" s="158">
        <f>Datos_Origen[[#This Row],[Salud]]+Datos_Origen[[#This Row],[Pensión]]+Datos_Origen[[#This Row],[ARL]]+Datos_Origen[[#This Row],[Parafiscales]]</f>
        <v>820715.5</v>
      </c>
      <c r="DG102" s="158">
        <f>Datos_Origen[[#This Row],[Costo Laboral Actual]]+Datos_Origen[[#This Row],[CT]]</f>
        <v>5566225.6100000003</v>
      </c>
      <c r="DH102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9297450.4249291774</v>
      </c>
      <c r="DI102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02" s="158">
        <f>Datos_Origen[[#This Row],[Base Seguridad Social Nueva]]*12%</f>
        <v>1115694.0509915012</v>
      </c>
      <c r="DK102" s="158">
        <f>Datos_Origen[[#This Row],[Base Seguridad Social Nueva]]*Datos_Origen[[#This Row],[%ARL]]</f>
        <v>404439.09348441917</v>
      </c>
      <c r="DL102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371898.01699716708</v>
      </c>
      <c r="DM102" s="158">
        <f>Datos_Origen[[#This Row],[Salud Nueva]]+Datos_Origen[[#This Row],[Pensión Nueva]]+Datos_Origen[[#This Row],[ARL nueva]]+Datos_Origen[[#This Row],[Parafiscales Nuevos]]</f>
        <v>1892031.1614730875</v>
      </c>
      <c r="DN102" s="158">
        <f>Datos_Origen[[#This Row],[Costo Laboral Nuevo]]+Datos_Origen[[#This Row],[Ctpol]]</f>
        <v>12832031.161473088</v>
      </c>
      <c r="DO102" s="158">
        <f>IF(Datos_Origen[[#This Row],[Ctpol]]-Datos_Origen[[#This Row],[CT]]&lt;=0,0,Datos_Origen[[#This Row],[Costo Total Nuevo]]-Datos_Origen[[#This Row],[Costo Total Actual]])</f>
        <v>7265805.5514730876</v>
      </c>
      <c r="DP102" s="158">
        <f>IF(Datos_Origen[[#This Row],[Ctpol]]-Datos_Origen[[#This Row],[CT]]&lt;=0,0,Datos_Origen[[#This Row],[Ctpol]]-Datos_Origen[[#This Row],[CT]])</f>
        <v>6194489.8899999997</v>
      </c>
      <c r="DQ102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1071315.6614730875</v>
      </c>
      <c r="DR102" s="158">
        <f>ROUNDDOWN(VLOOKUP(Datos_Origen[[#This Row],[Categoria]],Competitividad_1[],7,0)*IndiceIncrementoC,-3)</f>
        <v>9116000</v>
      </c>
      <c r="DS102" s="158">
        <f>Datos_Origen[[#This Row],[CTeq]]*0.8</f>
        <v>4630964.5008789422</v>
      </c>
      <c r="DT102" s="158">
        <f>Datos_Origen[[#This Row],[CTeq]]*1.2</f>
        <v>6946446.7513184128</v>
      </c>
      <c r="DU102" s="155">
        <f>IF(Datos_Origen[[#This Row],[Gpol6]]/(1+FactorPrestacionalOrdinario)&lt;SMMLV,SMMLV,Datos_Origen[[#This Row],[Gpol6]]/(1+FactorPrestacionalOrdinario))</f>
        <v>7437960.3399433419</v>
      </c>
      <c r="DV102" s="139" t="str">
        <f>IF((Datos_Origen[[#This Row],[Gpol6]]/(1+FactorPrestacionalIntegral))&lt;(13*SMMLV),"",(Datos_Origen[[#This Row],[Gpol6]]/(1+FactorPrestacionalIntegral)))</f>
        <v/>
      </c>
      <c r="DW102" s="154">
        <f>Datos_Origen[[#This Row],[G+Vpol8]]</f>
        <v>8752000</v>
      </c>
      <c r="DX102" s="154">
        <f>Datos_Origen[[#This Row],[Ctpol10]]-Datos_Origen[[#This Row],[Beneficios]]</f>
        <v>8752000</v>
      </c>
      <c r="DY102" s="154">
        <f>Datos_Origen[[#This Row],[Ctpol]]*$CM$6</f>
        <v>8752000</v>
      </c>
      <c r="DZ102" s="155">
        <f>IF(Datos_Origen[[#This Row],[Gpol66]]/(1+FactorPrestacionalOrdinario)&lt;SMMLV,SMMLV,Datos_Origen[[#This Row],[Gpol66]]/(1+FactorPrestacionalOrdinario))</f>
        <v>11156940.509915013</v>
      </c>
      <c r="EA102" s="139" t="str">
        <f>IF((Datos_Origen[[#This Row],[Gpol66]]/(1+FactorPrestacionalIntegral))&lt;(13*SMMLV),"",(Datos_Origen[[#This Row],[Gpol66]]/(1+FactorPrestacionalIntegral)))</f>
        <v/>
      </c>
      <c r="EB102" s="154">
        <f>Datos_Origen[[#This Row],[G+Vpol88]]</f>
        <v>13128000</v>
      </c>
      <c r="EC102" s="154">
        <f>Datos_Origen[[#This Row],[Ctpol1010]]-Datos_Origen[[#This Row],[Beneficios]]</f>
        <v>13128000</v>
      </c>
      <c r="ED102" s="154">
        <f>Datos_Origen[[#This Row],[Ctpol]]*$CP$6</f>
        <v>13128000</v>
      </c>
      <c r="EE102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03" spans="2:135">
      <c r="B103" s="148"/>
      <c r="C103" s="149"/>
      <c r="D103" s="150"/>
      <c r="E103" s="151"/>
      <c r="F103" s="151"/>
      <c r="G103" s="150" t="s">
        <v>533</v>
      </c>
      <c r="H103" s="153"/>
      <c r="I103" s="152" t="s">
        <v>300</v>
      </c>
      <c r="J103" s="130" t="str">
        <f>IFERROR(VLOOKUP(Datos_Origen[[#This Row],[Cargo Tipo Valorado]],Cargos_Catalogo[[#All],[Cargo]:[Área]],2,0),"")</f>
        <v/>
      </c>
      <c r="K103" s="153"/>
      <c r="L103" s="153"/>
      <c r="M103" s="153"/>
      <c r="N103" s="153"/>
      <c r="O103" s="154">
        <f>Datos_Origen[[#This Row],[Segmentación Individual]]</f>
        <v>0</v>
      </c>
      <c r="P103" s="153"/>
      <c r="Q103" s="154">
        <f>VLOOKUP(Datos_Origen[[#This Row],[Cargo Tipo Valorado]],Cargos_Catalogo[#Data],MATCH(Cargos_Catalogo[[#Headers],[Puntos]],Cargos_Catalogo[#Headers],0),FALSE)</f>
        <v>408</v>
      </c>
      <c r="R103" s="130">
        <f>VLOOKUP(Datos_Origen[[#This Row],[Puntos valoración]],Categorias_Registro[#Data],MATCH(Categorias_Registro[[#Headers],[Categoria]],Categorias_Registro[#Headers],0),FALSE)</f>
        <v>12</v>
      </c>
      <c r="S103" s="130" t="str">
        <f>VLOOKUP(Datos_Origen[[#This Row],[Cargo Tipo Valorado]],Cargos_Catalogo[#Data],MATCH(Cargos_Catalogo[[#Headers],[Nivel SHR]],Cargos_Catalogo[#Headers],0),FALSE)</f>
        <v>Táctico</v>
      </c>
      <c r="T103" s="130" t="str">
        <f>VLOOKUP(Datos_Origen[[#This Row],[Cargo Tipo Valorado]],Cargos_Catalogo[#Data],MATCH(Cargos_Catalogo[[#Headers],[Criticidad]],Cargos_Catalogo[#Headers],0),FALSE)</f>
        <v>Crítico</v>
      </c>
      <c r="U103" s="154">
        <f>VLOOKUP(Datos_Origen[[#This Row],[Puntos valoración]],Categorias_Registro[#Data],5,FALSE)</f>
        <v>436</v>
      </c>
      <c r="V103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4745510.1100000003</v>
      </c>
      <c r="W103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03" s="154">
        <f>SUMIF($BA$5:$BJ$5,"NCS",Datos_Origen[[#This Row],[auxilio Gasolina]:[Otro Beneficio10]])+(SUMIF($BA$5:$BJ$5,"CS",Datos_Origen[[#This Row],[auxilio Gasolina]:[Otro Beneficio10]])*1.17667)</f>
        <v>0</v>
      </c>
      <c r="Y103" s="155">
        <f>Datos_Origen[[#This Row],[Básico]]+Datos_Origen[[#This Row],[Promedio de Comisiones  ]]</f>
        <v>4033000</v>
      </c>
      <c r="Z103" s="155">
        <f>Datos_Origen[[#This Row],[Básico]]+Datos_Origen[[#This Row],[Promedio de Comisiones  ]]</f>
        <v>4033000</v>
      </c>
      <c r="AA103" s="155">
        <f>Datos_Origen[[#This Row],[Garantizado]]</f>
        <v>4745510.1100000003</v>
      </c>
      <c r="AB103" s="155">
        <f>Datos_Origen[[#This Row],[Variable]]+Datos_Origen[[#This Row],[Garantizado]]</f>
        <v>4745510.1100000003</v>
      </c>
      <c r="AC103" s="155">
        <f>Datos_Origen[[#This Row],[Beneficios]]+Datos_Origen[[#This Row],[Variable]]+Datos_Origen[[#This Row],[Garantizado]]</f>
        <v>4745510.1100000003</v>
      </c>
      <c r="AD103" s="156">
        <v>14.12</v>
      </c>
      <c r="AE103" s="141">
        <v>230</v>
      </c>
      <c r="AF103" s="346">
        <v>4.3499999999999997E-2</v>
      </c>
      <c r="AG103" s="155">
        <f>Datos_Origen[[#This Row],[Básico Actual]]*230/Datos_Origen[[#This Row],['# horas mes]]</f>
        <v>4033000</v>
      </c>
      <c r="AH103" s="157">
        <v>4033000</v>
      </c>
      <c r="AI103" s="158"/>
      <c r="AJ103" s="158">
        <f>(((Datos_Origen[[#This Row],[Básico]])/30)*$AJ$6)/12</f>
        <v>0</v>
      </c>
      <c r="AK103" s="158"/>
      <c r="AL103" s="143">
        <f>((Datos_Origen[[#This Row],[Básico]])/30)*$AL$6/12</f>
        <v>0</v>
      </c>
      <c r="AM103" s="158"/>
      <c r="AN103" s="158"/>
      <c r="AO103" s="158"/>
      <c r="AP103" s="158"/>
      <c r="AQ103" s="158"/>
      <c r="AR103" s="149">
        <v>0</v>
      </c>
      <c r="AS103" s="149"/>
      <c r="AT103" s="159" t="str">
        <f>IFERROR(Datos_Origen[[#This Row],[Comisiones Target]]/Datos_Origen[[#This Row],[Promedio de Comisiones  ]],"")</f>
        <v/>
      </c>
      <c r="AU103" s="160"/>
      <c r="AV103" s="143">
        <v>0</v>
      </c>
      <c r="AW103" s="160"/>
      <c r="AX103" s="143">
        <f>Datos_Origen[[#This Row],[N Salarios de la Bonificación2]]*Datos_Origen[[#This Row],[Básico]]/12</f>
        <v>0</v>
      </c>
      <c r="AY103" s="160"/>
      <c r="AZ103" s="158"/>
      <c r="BA103" s="149">
        <v>0</v>
      </c>
      <c r="BB103" s="149"/>
      <c r="BC103" s="149"/>
      <c r="BD103" s="149"/>
      <c r="BE103" s="149"/>
      <c r="BF103" s="149"/>
      <c r="BG103" s="149"/>
      <c r="BH103" s="149"/>
      <c r="BI103" s="149"/>
      <c r="BJ103" s="149"/>
      <c r="BK103" s="159">
        <f>IFERROR(Datos_Origen[[#This Row],[Variable]]/Datos_Origen[[#This Row],[CT]],"")</f>
        <v>0</v>
      </c>
      <c r="BL103" s="159">
        <f>IFERROR(Datos_Origen[[#This Row],[Beneficios]]/Datos_Origen[[#This Row],[CT]],"")</f>
        <v>0</v>
      </c>
      <c r="BM103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03" s="161">
        <f>Datos_Origen[[#This Row],[G]]/Datos_Origen[[#This Row],[Geq]]</f>
        <v>0.859234790007259</v>
      </c>
      <c r="BO103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03" s="161">
        <f>Datos_Origen[[#This Row],[G+V]]/Datos_Origen[[#This Row],[G+Veq]]</f>
        <v>0.82038449007752023</v>
      </c>
      <c r="BQ103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03" s="161">
        <f>Datos_Origen[[#This Row],[CT]]/Datos_Origen[[#This Row],[CTeq]]</f>
        <v>0.81978777580338924</v>
      </c>
      <c r="BS103" s="139">
        <f>ROUNDUP(VLOOKUP(Datos_Origen[[#This Row],[Categoria]],Competitividad_1[#All],2,0)*IndiceIncrementoC,-3)</f>
        <v>6487000</v>
      </c>
      <c r="BT103" s="161">
        <f>Datos_Origen[[#This Row],[G]]/Datos_Origen[[#This Row],[GQ1]]</f>
        <v>0.73154156158470796</v>
      </c>
      <c r="BU103" s="155">
        <f>ROUNDUP(VLOOKUP(Datos_Origen[[#This Row],[Categoria]],Competitividad_1[#All],3,0)*IndiceIncrementoC,-3)</f>
        <v>6736000</v>
      </c>
      <c r="BV103" s="161">
        <f>Datos_Origen[[#This Row],[G+V]]/Datos_Origen[[#This Row],[G+VQ1]]</f>
        <v>0.70449971941805234</v>
      </c>
      <c r="BW103" s="155">
        <f>ROUNDUP(VLOOKUP(Datos_Origen[[#This Row],[Categoria]],Competitividad_1[#All],4,0)*IndiceIncrementoC,-3)</f>
        <v>7056000</v>
      </c>
      <c r="BX103" s="161">
        <f>Datos_Origen[[#This Row],[CT]]/Datos_Origen[[#This Row],[CTQ1]]</f>
        <v>0.67254961876417241</v>
      </c>
      <c r="BY103" s="155">
        <f>ROUNDUP(VLOOKUP(Datos_Origen[[#This Row],[Categoria]],Competitividad_1[#All],5,0)*IndiceIncrementoC,-3)</f>
        <v>8476000</v>
      </c>
      <c r="BZ103" s="161">
        <f>Datos_Origen[[#This Row],[G]]/Datos_Origen[[#This Row],[GMd]]</f>
        <v>0.55987613378952339</v>
      </c>
      <c r="CA103" s="155">
        <f>ROUNDUP(VLOOKUP(Datos_Origen[[#This Row],[Categoria]],Competitividad_1[#All],6,0)*IndiceIncrementoC,-3)</f>
        <v>8755000</v>
      </c>
      <c r="CB103" s="161">
        <f>Datos_Origen[[#This Row],[G+V]]/Datos_Origen[[#This Row],[G+VMd]]</f>
        <v>0.54203427869788701</v>
      </c>
      <c r="CC103" s="155">
        <f>ROUNDUP(VLOOKUP(Datos_Origen[[#This Row],[Categoria]],Competitividad_1[#All],7,0)*IndiceIncrementoC,-3)</f>
        <v>9117000</v>
      </c>
      <c r="CD103" s="161">
        <f>Datos_Origen[[#This Row],[CT]]/Datos_Origen[[#This Row],[CTMd]]</f>
        <v>0.5205122419655589</v>
      </c>
      <c r="CE103" s="155">
        <f>+Datos_Origen[[#This Row],[GMd]]/1.17666666667</f>
        <v>7203399.4334073551</v>
      </c>
      <c r="CF103" s="161">
        <f>+Datos_Origen[[#This Row],[Básico Actual]]/Datos_Origen[[#This Row],[Salario Basico Md]]</f>
        <v>0.55987454774423195</v>
      </c>
      <c r="CG103" s="155">
        <f>ROUNDUP(VLOOKUP(Datos_Origen[[#This Row],[Categoria]],Competitividad_1[#All],8,0)*IndiceIncrementoC,-3)</f>
        <v>8965000</v>
      </c>
      <c r="CH103" s="161">
        <f>Datos_Origen[[#This Row],[G]]/Datos_Origen[[#This Row],[GQ3]]</f>
        <v>0.52933743558282209</v>
      </c>
      <c r="CI103" s="155">
        <f>ROUNDUP(VLOOKUP(Datos_Origen[[#This Row],[Categoria]],Competitividad_1[#All],9,0)*IndiceIncrementoC,-3)</f>
        <v>9200000</v>
      </c>
      <c r="CJ103" s="161">
        <f>Datos_Origen[[#This Row],[G+V]]/Datos_Origen[[#This Row],[G+VQ3]]</f>
        <v>0.51581631630434788</v>
      </c>
      <c r="CK103" s="155">
        <f>ROUNDUP(VLOOKUP(Datos_Origen[[#This Row],[Categoria]],Competitividad_1[#All],10,0)*IndiceIncrementoC,-3)</f>
        <v>9412000</v>
      </c>
      <c r="CL103" s="161">
        <f>Datos_Origen[[#This Row],[CT]]/Datos_Origen[[#This Row],[CTQ3]]</f>
        <v>0.50419784424139402</v>
      </c>
      <c r="CM103" s="162">
        <f>IF(ROUND(Datos_Origen[[#This Row],[Salario Ordinario Pol2]],-3)&lt;SMMLV,SMMLV,ROUND(Datos_Origen[[#This Row],[Salario Ordinario Pol2]],-3))</f>
        <v>7438000</v>
      </c>
      <c r="CN103" s="155">
        <f>IF(Datos_Origen[[#This Row],[Gpol]]/(1+FactorPrestacionalOrdinario)&lt;SMMLV,SMMLV,Datos_Origen[[#This Row],[Gpol]]/(1+FactorPrestacionalOrdinario))</f>
        <v>9297450.4249291774</v>
      </c>
      <c r="CO103" s="161">
        <f>IFERROR(IF(Datos_Origen[[#This Row],[Salarios Año]]=14.12,Datos_Origen[[#This Row],[Básico]]/Datos_Origen[[#This Row],[Salario Ordinario Pol]],""),"")</f>
        <v>0.43377483241925663</v>
      </c>
      <c r="CP103" s="155">
        <f>IF(ROUND(Datos_Origen[[#This Row],[Salario Ordinario Pol22]],-3)&lt;SMMLV,SMMLV,ROUND(Datos_Origen[[#This Row],[Salario Ordinario Pol22]],-3))</f>
        <v>11157000</v>
      </c>
      <c r="CQ103" s="155" t="str">
        <f>IFERROR(ROUND(Datos_Origen[[#This Row],[Salario Integral Pol4]],-3),"")</f>
        <v/>
      </c>
      <c r="CR103" s="139" t="str">
        <f>IF((Datos_Origen[[#This Row],[Gpol]]/(1+FactorPrestacionalIntegral))&lt;(13*SMMLV),"",(Datos_Origen[[#This Row],[Gpol]]/(1+FactorPrestacionalIntegral)))</f>
        <v/>
      </c>
      <c r="CS103" s="161" t="str">
        <f>IFERROR(IF(Datos_Origen[[#This Row],[Salarios Año]]=12,Datos_Origen[[#This Row],[Básico]]/Datos_Origen[[#This Row],[Salario Integral Pol]],""),"")</f>
        <v/>
      </c>
      <c r="CT103" s="155" t="str">
        <f>IFERROR(ROUND(Datos_Origen[[#This Row],[Salario Integral Pol44]],-3),"")</f>
        <v/>
      </c>
      <c r="CU103" s="155">
        <f>Datos_Origen[[#This Row],[G+Vpol]]-Datos_Origen[[#This Row],[Variable]]</f>
        <v>10940000</v>
      </c>
      <c r="CV103" s="161">
        <f>Datos_Origen[[#This Row],[G]]/Datos_Origen[[#This Row],[Gpol]]</f>
        <v>0.43377606124314444</v>
      </c>
      <c r="CW103" s="154">
        <f>Datos_Origen[[#This Row],[Ctpol]]-Datos_Origen[[#This Row],[Beneficios]]</f>
        <v>10940000</v>
      </c>
      <c r="CX103" s="161">
        <f>Datos_Origen[[#This Row],[G+V]]/Datos_Origen[[#This Row],[G+Vpol]]</f>
        <v>0.43377606124314444</v>
      </c>
      <c r="CY103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10940000</v>
      </c>
      <c r="CZ103" s="161">
        <f>Datos_Origen[[#This Row],[CT]]/Datos_Origen[[#This Row],[Ctpol]]</f>
        <v>0.43377606124314444</v>
      </c>
      <c r="DA103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4033000</v>
      </c>
      <c r="DB103" s="158">
        <f>IF(Datos_Origen[[#This Row],[Básico]]&lt;10*SMMLV,0,Datos_Origen[[#This Row],[Base Seguridad Social Actual]]*8.5%)</f>
        <v>0</v>
      </c>
      <c r="DC103" s="158">
        <f>Datos_Origen[[#This Row],[Base Seguridad Social Actual]]*12%</f>
        <v>483960</v>
      </c>
      <c r="DD103" s="158">
        <f>Datos_Origen[[#This Row],[Base Seguridad Social Actual]]*Datos_Origen[[#This Row],[%ARL]]</f>
        <v>175435.5</v>
      </c>
      <c r="DE103" s="158">
        <f>IF(Datos_Origen[[#This Row],[Básico]]&lt;10*SMMLV,Datos_Origen[[#This Row],[Base Seguridad Social Actual]]*4%,Datos_Origen[[#This Row],[Base Seguridad Social Actual]]*9%)</f>
        <v>161320</v>
      </c>
      <c r="DF103" s="158">
        <f>Datos_Origen[[#This Row],[Salud]]+Datos_Origen[[#This Row],[Pensión]]+Datos_Origen[[#This Row],[ARL]]+Datos_Origen[[#This Row],[Parafiscales]]</f>
        <v>820715.5</v>
      </c>
      <c r="DG103" s="158">
        <f>Datos_Origen[[#This Row],[Costo Laboral Actual]]+Datos_Origen[[#This Row],[CT]]</f>
        <v>5566225.6100000003</v>
      </c>
      <c r="DH103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9297450.4249291774</v>
      </c>
      <c r="DI103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03" s="158">
        <f>Datos_Origen[[#This Row],[Base Seguridad Social Nueva]]*12%</f>
        <v>1115694.0509915012</v>
      </c>
      <c r="DK103" s="158">
        <f>Datos_Origen[[#This Row],[Base Seguridad Social Nueva]]*Datos_Origen[[#This Row],[%ARL]]</f>
        <v>404439.09348441917</v>
      </c>
      <c r="DL103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371898.01699716708</v>
      </c>
      <c r="DM103" s="158">
        <f>Datos_Origen[[#This Row],[Salud Nueva]]+Datos_Origen[[#This Row],[Pensión Nueva]]+Datos_Origen[[#This Row],[ARL nueva]]+Datos_Origen[[#This Row],[Parafiscales Nuevos]]</f>
        <v>1892031.1614730875</v>
      </c>
      <c r="DN103" s="158">
        <f>Datos_Origen[[#This Row],[Costo Laboral Nuevo]]+Datos_Origen[[#This Row],[Ctpol]]</f>
        <v>12832031.161473088</v>
      </c>
      <c r="DO103" s="158">
        <f>IF(Datos_Origen[[#This Row],[Ctpol]]-Datos_Origen[[#This Row],[CT]]&lt;=0,0,Datos_Origen[[#This Row],[Costo Total Nuevo]]-Datos_Origen[[#This Row],[Costo Total Actual]])</f>
        <v>7265805.5514730876</v>
      </c>
      <c r="DP103" s="158">
        <f>IF(Datos_Origen[[#This Row],[Ctpol]]-Datos_Origen[[#This Row],[CT]]&lt;=0,0,Datos_Origen[[#This Row],[Ctpol]]-Datos_Origen[[#This Row],[CT]])</f>
        <v>6194489.8899999997</v>
      </c>
      <c r="DQ103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1071315.6614730875</v>
      </c>
      <c r="DR103" s="158">
        <f>ROUNDDOWN(VLOOKUP(Datos_Origen[[#This Row],[Categoria]],Competitividad_1[],7,0)*IndiceIncrementoC,-3)</f>
        <v>9116000</v>
      </c>
      <c r="DS103" s="158">
        <f>Datos_Origen[[#This Row],[CTeq]]*0.8</f>
        <v>4630964.5008789422</v>
      </c>
      <c r="DT103" s="158">
        <f>Datos_Origen[[#This Row],[CTeq]]*1.2</f>
        <v>6946446.7513184128</v>
      </c>
      <c r="DU103" s="155">
        <f>IF(Datos_Origen[[#This Row],[Gpol6]]/(1+FactorPrestacionalOrdinario)&lt;SMMLV,SMMLV,Datos_Origen[[#This Row],[Gpol6]]/(1+FactorPrestacionalOrdinario))</f>
        <v>7437960.3399433419</v>
      </c>
      <c r="DV103" s="139" t="str">
        <f>IF((Datos_Origen[[#This Row],[Gpol6]]/(1+FactorPrestacionalIntegral))&lt;(13*SMMLV),"",(Datos_Origen[[#This Row],[Gpol6]]/(1+FactorPrestacionalIntegral)))</f>
        <v/>
      </c>
      <c r="DW103" s="154">
        <f>Datos_Origen[[#This Row],[G+Vpol8]]</f>
        <v>8752000</v>
      </c>
      <c r="DX103" s="154">
        <f>Datos_Origen[[#This Row],[Ctpol10]]-Datos_Origen[[#This Row],[Beneficios]]</f>
        <v>8752000</v>
      </c>
      <c r="DY103" s="154">
        <f>Datos_Origen[[#This Row],[Ctpol]]*$CM$6</f>
        <v>8752000</v>
      </c>
      <c r="DZ103" s="155">
        <f>IF(Datos_Origen[[#This Row],[Gpol66]]/(1+FactorPrestacionalOrdinario)&lt;SMMLV,SMMLV,Datos_Origen[[#This Row],[Gpol66]]/(1+FactorPrestacionalOrdinario))</f>
        <v>11156940.509915013</v>
      </c>
      <c r="EA103" s="139" t="str">
        <f>IF((Datos_Origen[[#This Row],[Gpol66]]/(1+FactorPrestacionalIntegral))&lt;(13*SMMLV),"",(Datos_Origen[[#This Row],[Gpol66]]/(1+FactorPrestacionalIntegral)))</f>
        <v/>
      </c>
      <c r="EB103" s="154">
        <f>Datos_Origen[[#This Row],[G+Vpol88]]</f>
        <v>13128000</v>
      </c>
      <c r="EC103" s="154">
        <f>Datos_Origen[[#This Row],[Ctpol1010]]-Datos_Origen[[#This Row],[Beneficios]]</f>
        <v>13128000</v>
      </c>
      <c r="ED103" s="154">
        <f>Datos_Origen[[#This Row],[Ctpol]]*$CP$6</f>
        <v>13128000</v>
      </c>
      <c r="EE103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04" spans="2:135">
      <c r="B104" s="132"/>
      <c r="C104" s="149"/>
      <c r="D104" s="150"/>
      <c r="E104" s="151"/>
      <c r="F104" s="151"/>
      <c r="G104" s="150" t="s">
        <v>533</v>
      </c>
      <c r="H104" s="153"/>
      <c r="I104" s="152" t="s">
        <v>300</v>
      </c>
      <c r="J104" s="130" t="str">
        <f>IFERROR(VLOOKUP(Datos_Origen[[#This Row],[Cargo Tipo Valorado]],Cargos_Catalogo[[#All],[Cargo]:[Área]],2,0),"")</f>
        <v/>
      </c>
      <c r="K104" s="153"/>
      <c r="L104" s="153"/>
      <c r="M104" s="153"/>
      <c r="N104" s="153"/>
      <c r="O104" s="154">
        <f>Datos_Origen[[#This Row],[Segmentación Individual]]</f>
        <v>0</v>
      </c>
      <c r="P104" s="153"/>
      <c r="Q104" s="154">
        <f>VLOOKUP(Datos_Origen[[#This Row],[Cargo Tipo Valorado]],Cargos_Catalogo[#Data],MATCH(Cargos_Catalogo[[#Headers],[Puntos]],Cargos_Catalogo[#Headers],0),FALSE)</f>
        <v>408</v>
      </c>
      <c r="R104" s="130">
        <f>VLOOKUP(Datos_Origen[[#This Row],[Puntos valoración]],Categorias_Registro[#Data],MATCH(Categorias_Registro[[#Headers],[Categoria]],Categorias_Registro[#Headers],0),FALSE)</f>
        <v>12</v>
      </c>
      <c r="S104" s="130" t="str">
        <f>VLOOKUP(Datos_Origen[[#This Row],[Cargo Tipo Valorado]],Cargos_Catalogo[#Data],MATCH(Cargos_Catalogo[[#Headers],[Nivel SHR]],Cargos_Catalogo[#Headers],0),FALSE)</f>
        <v>Táctico</v>
      </c>
      <c r="T104" s="130" t="str">
        <f>VLOOKUP(Datos_Origen[[#This Row],[Cargo Tipo Valorado]],Cargos_Catalogo[#Data],MATCH(Cargos_Catalogo[[#Headers],[Criticidad]],Cargos_Catalogo[#Headers],0),FALSE)</f>
        <v>Crítico</v>
      </c>
      <c r="U104" s="154">
        <f>VLOOKUP(Datos_Origen[[#This Row],[Puntos valoración]],Categorias_Registro[#Data],5,FALSE)</f>
        <v>436</v>
      </c>
      <c r="V104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4745510.1100000003</v>
      </c>
      <c r="W104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04" s="154">
        <f>SUMIF($BA$5:$BJ$5,"NCS",Datos_Origen[[#This Row],[auxilio Gasolina]:[Otro Beneficio10]])+(SUMIF($BA$5:$BJ$5,"CS",Datos_Origen[[#This Row],[auxilio Gasolina]:[Otro Beneficio10]])*1.17667)</f>
        <v>0</v>
      </c>
      <c r="Y104" s="155">
        <f>Datos_Origen[[#This Row],[Básico]]+Datos_Origen[[#This Row],[Promedio de Comisiones  ]]</f>
        <v>4033000</v>
      </c>
      <c r="Z104" s="155">
        <f>Datos_Origen[[#This Row],[Básico]]+Datos_Origen[[#This Row],[Promedio de Comisiones  ]]</f>
        <v>4033000</v>
      </c>
      <c r="AA104" s="155">
        <f>Datos_Origen[[#This Row],[Garantizado]]</f>
        <v>4745510.1100000003</v>
      </c>
      <c r="AB104" s="155">
        <f>Datos_Origen[[#This Row],[Variable]]+Datos_Origen[[#This Row],[Garantizado]]</f>
        <v>4745510.1100000003</v>
      </c>
      <c r="AC104" s="155">
        <f>Datos_Origen[[#This Row],[Beneficios]]+Datos_Origen[[#This Row],[Variable]]+Datos_Origen[[#This Row],[Garantizado]]</f>
        <v>4745510.1100000003</v>
      </c>
      <c r="AD104" s="156">
        <v>14.12</v>
      </c>
      <c r="AE104" s="141">
        <v>230</v>
      </c>
      <c r="AF104" s="346">
        <v>4.3499999999999997E-2</v>
      </c>
      <c r="AG104" s="155">
        <f>Datos_Origen[[#This Row],[Básico Actual]]*230/Datos_Origen[[#This Row],['# horas mes]]</f>
        <v>4033000</v>
      </c>
      <c r="AH104" s="157">
        <v>4033000</v>
      </c>
      <c r="AI104" s="158"/>
      <c r="AJ104" s="158">
        <f>(((Datos_Origen[[#This Row],[Básico]])/30)*$AJ$6)/12</f>
        <v>0</v>
      </c>
      <c r="AK104" s="158"/>
      <c r="AL104" s="143">
        <f>((Datos_Origen[[#This Row],[Básico]])/30)*$AL$6/12</f>
        <v>0</v>
      </c>
      <c r="AM104" s="158"/>
      <c r="AN104" s="158"/>
      <c r="AO104" s="158"/>
      <c r="AP104" s="158"/>
      <c r="AQ104" s="158"/>
      <c r="AR104" s="149">
        <v>0</v>
      </c>
      <c r="AS104" s="149"/>
      <c r="AT104" s="159" t="str">
        <f>IFERROR(Datos_Origen[[#This Row],[Comisiones Target]]/Datos_Origen[[#This Row],[Promedio de Comisiones  ]],"")</f>
        <v/>
      </c>
      <c r="AU104" s="160"/>
      <c r="AV104" s="143">
        <v>0</v>
      </c>
      <c r="AW104" s="160"/>
      <c r="AX104" s="143">
        <f>Datos_Origen[[#This Row],[N Salarios de la Bonificación2]]*Datos_Origen[[#This Row],[Básico]]/12</f>
        <v>0</v>
      </c>
      <c r="AY104" s="160"/>
      <c r="AZ104" s="158"/>
      <c r="BA104" s="149">
        <v>0</v>
      </c>
      <c r="BB104" s="149"/>
      <c r="BC104" s="149"/>
      <c r="BD104" s="149"/>
      <c r="BE104" s="149"/>
      <c r="BF104" s="149"/>
      <c r="BG104" s="149"/>
      <c r="BH104" s="149"/>
      <c r="BI104" s="149"/>
      <c r="BJ104" s="149"/>
      <c r="BK104" s="159">
        <f>IFERROR(Datos_Origen[[#This Row],[Variable]]/Datos_Origen[[#This Row],[CT]],"")</f>
        <v>0</v>
      </c>
      <c r="BL104" s="159">
        <f>IFERROR(Datos_Origen[[#This Row],[Beneficios]]/Datos_Origen[[#This Row],[CT]],"")</f>
        <v>0</v>
      </c>
      <c r="BM104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04" s="161">
        <f>Datos_Origen[[#This Row],[G]]/Datos_Origen[[#This Row],[Geq]]</f>
        <v>0.859234790007259</v>
      </c>
      <c r="BO104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04" s="161">
        <f>Datos_Origen[[#This Row],[G+V]]/Datos_Origen[[#This Row],[G+Veq]]</f>
        <v>0.82038449007752023</v>
      </c>
      <c r="BQ104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04" s="161">
        <f>Datos_Origen[[#This Row],[CT]]/Datos_Origen[[#This Row],[CTeq]]</f>
        <v>0.81978777580338924</v>
      </c>
      <c r="BS104" s="139">
        <f>ROUNDUP(VLOOKUP(Datos_Origen[[#This Row],[Categoria]],Competitividad_1[#All],2,0)*IndiceIncrementoC,-3)</f>
        <v>6487000</v>
      </c>
      <c r="BT104" s="161">
        <f>Datos_Origen[[#This Row],[G]]/Datos_Origen[[#This Row],[GQ1]]</f>
        <v>0.73154156158470796</v>
      </c>
      <c r="BU104" s="155">
        <f>ROUNDUP(VLOOKUP(Datos_Origen[[#This Row],[Categoria]],Competitividad_1[#All],3,0)*IndiceIncrementoC,-3)</f>
        <v>6736000</v>
      </c>
      <c r="BV104" s="161">
        <f>Datos_Origen[[#This Row],[G+V]]/Datos_Origen[[#This Row],[G+VQ1]]</f>
        <v>0.70449971941805234</v>
      </c>
      <c r="BW104" s="155">
        <f>ROUNDUP(VLOOKUP(Datos_Origen[[#This Row],[Categoria]],Competitividad_1[#All],4,0)*IndiceIncrementoC,-3)</f>
        <v>7056000</v>
      </c>
      <c r="BX104" s="161">
        <f>Datos_Origen[[#This Row],[CT]]/Datos_Origen[[#This Row],[CTQ1]]</f>
        <v>0.67254961876417241</v>
      </c>
      <c r="BY104" s="155">
        <f>ROUNDUP(VLOOKUP(Datos_Origen[[#This Row],[Categoria]],Competitividad_1[#All],5,0)*IndiceIncrementoC,-3)</f>
        <v>8476000</v>
      </c>
      <c r="BZ104" s="161">
        <f>Datos_Origen[[#This Row],[G]]/Datos_Origen[[#This Row],[GMd]]</f>
        <v>0.55987613378952339</v>
      </c>
      <c r="CA104" s="155">
        <f>ROUNDUP(VLOOKUP(Datos_Origen[[#This Row],[Categoria]],Competitividad_1[#All],6,0)*IndiceIncrementoC,-3)</f>
        <v>8755000</v>
      </c>
      <c r="CB104" s="161">
        <f>Datos_Origen[[#This Row],[G+V]]/Datos_Origen[[#This Row],[G+VMd]]</f>
        <v>0.54203427869788701</v>
      </c>
      <c r="CC104" s="155">
        <f>ROUNDUP(VLOOKUP(Datos_Origen[[#This Row],[Categoria]],Competitividad_1[#All],7,0)*IndiceIncrementoC,-3)</f>
        <v>9117000</v>
      </c>
      <c r="CD104" s="161">
        <f>Datos_Origen[[#This Row],[CT]]/Datos_Origen[[#This Row],[CTMd]]</f>
        <v>0.5205122419655589</v>
      </c>
      <c r="CE104" s="155">
        <f>+Datos_Origen[[#This Row],[GMd]]/1.17666666667</f>
        <v>7203399.4334073551</v>
      </c>
      <c r="CF104" s="161">
        <f>+Datos_Origen[[#This Row],[Básico Actual]]/Datos_Origen[[#This Row],[Salario Basico Md]]</f>
        <v>0.55987454774423195</v>
      </c>
      <c r="CG104" s="155">
        <f>ROUNDUP(VLOOKUP(Datos_Origen[[#This Row],[Categoria]],Competitividad_1[#All],8,0)*IndiceIncrementoC,-3)</f>
        <v>8965000</v>
      </c>
      <c r="CH104" s="161">
        <f>Datos_Origen[[#This Row],[G]]/Datos_Origen[[#This Row],[GQ3]]</f>
        <v>0.52933743558282209</v>
      </c>
      <c r="CI104" s="155">
        <f>ROUNDUP(VLOOKUP(Datos_Origen[[#This Row],[Categoria]],Competitividad_1[#All],9,0)*IndiceIncrementoC,-3)</f>
        <v>9200000</v>
      </c>
      <c r="CJ104" s="161">
        <f>Datos_Origen[[#This Row],[G+V]]/Datos_Origen[[#This Row],[G+VQ3]]</f>
        <v>0.51581631630434788</v>
      </c>
      <c r="CK104" s="155">
        <f>ROUNDUP(VLOOKUP(Datos_Origen[[#This Row],[Categoria]],Competitividad_1[#All],10,0)*IndiceIncrementoC,-3)</f>
        <v>9412000</v>
      </c>
      <c r="CL104" s="161">
        <f>Datos_Origen[[#This Row],[CT]]/Datos_Origen[[#This Row],[CTQ3]]</f>
        <v>0.50419784424139402</v>
      </c>
      <c r="CM104" s="162">
        <f>IF(ROUND(Datos_Origen[[#This Row],[Salario Ordinario Pol2]],-3)&lt;SMMLV,SMMLV,ROUND(Datos_Origen[[#This Row],[Salario Ordinario Pol2]],-3))</f>
        <v>7438000</v>
      </c>
      <c r="CN104" s="155">
        <f>IF(Datos_Origen[[#This Row],[Gpol]]/(1+FactorPrestacionalOrdinario)&lt;SMMLV,SMMLV,Datos_Origen[[#This Row],[Gpol]]/(1+FactorPrestacionalOrdinario))</f>
        <v>9297450.4249291774</v>
      </c>
      <c r="CO104" s="161">
        <f>IFERROR(IF(Datos_Origen[[#This Row],[Salarios Año]]=14.12,Datos_Origen[[#This Row],[Básico]]/Datos_Origen[[#This Row],[Salario Ordinario Pol]],""),"")</f>
        <v>0.43377483241925663</v>
      </c>
      <c r="CP104" s="155">
        <f>IF(ROUND(Datos_Origen[[#This Row],[Salario Ordinario Pol22]],-3)&lt;SMMLV,SMMLV,ROUND(Datos_Origen[[#This Row],[Salario Ordinario Pol22]],-3))</f>
        <v>11157000</v>
      </c>
      <c r="CQ104" s="155" t="str">
        <f>IFERROR(ROUND(Datos_Origen[[#This Row],[Salario Integral Pol4]],-3),"")</f>
        <v/>
      </c>
      <c r="CR104" s="139" t="str">
        <f>IF((Datos_Origen[[#This Row],[Gpol]]/(1+FactorPrestacionalIntegral))&lt;(13*SMMLV),"",(Datos_Origen[[#This Row],[Gpol]]/(1+FactorPrestacionalIntegral)))</f>
        <v/>
      </c>
      <c r="CS104" s="161" t="str">
        <f>IFERROR(IF(Datos_Origen[[#This Row],[Salarios Año]]=12,Datos_Origen[[#This Row],[Básico]]/Datos_Origen[[#This Row],[Salario Integral Pol]],""),"")</f>
        <v/>
      </c>
      <c r="CT104" s="155" t="str">
        <f>IFERROR(ROUND(Datos_Origen[[#This Row],[Salario Integral Pol44]],-3),"")</f>
        <v/>
      </c>
      <c r="CU104" s="155">
        <f>Datos_Origen[[#This Row],[G+Vpol]]-Datos_Origen[[#This Row],[Variable]]</f>
        <v>10940000</v>
      </c>
      <c r="CV104" s="161">
        <f>Datos_Origen[[#This Row],[G]]/Datos_Origen[[#This Row],[Gpol]]</f>
        <v>0.43377606124314444</v>
      </c>
      <c r="CW104" s="154">
        <f>Datos_Origen[[#This Row],[Ctpol]]-Datos_Origen[[#This Row],[Beneficios]]</f>
        <v>10940000</v>
      </c>
      <c r="CX104" s="161">
        <f>Datos_Origen[[#This Row],[G+V]]/Datos_Origen[[#This Row],[G+Vpol]]</f>
        <v>0.43377606124314444</v>
      </c>
      <c r="CY104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10940000</v>
      </c>
      <c r="CZ104" s="161">
        <f>Datos_Origen[[#This Row],[CT]]/Datos_Origen[[#This Row],[Ctpol]]</f>
        <v>0.43377606124314444</v>
      </c>
      <c r="DA104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4033000</v>
      </c>
      <c r="DB104" s="158">
        <f>IF(Datos_Origen[[#This Row],[Básico]]&lt;10*SMMLV,0,Datos_Origen[[#This Row],[Base Seguridad Social Actual]]*8.5%)</f>
        <v>0</v>
      </c>
      <c r="DC104" s="158">
        <f>Datos_Origen[[#This Row],[Base Seguridad Social Actual]]*12%</f>
        <v>483960</v>
      </c>
      <c r="DD104" s="158">
        <f>Datos_Origen[[#This Row],[Base Seguridad Social Actual]]*Datos_Origen[[#This Row],[%ARL]]</f>
        <v>175435.5</v>
      </c>
      <c r="DE104" s="158">
        <f>IF(Datos_Origen[[#This Row],[Básico]]&lt;10*SMMLV,Datos_Origen[[#This Row],[Base Seguridad Social Actual]]*4%,Datos_Origen[[#This Row],[Base Seguridad Social Actual]]*9%)</f>
        <v>161320</v>
      </c>
      <c r="DF104" s="158">
        <f>Datos_Origen[[#This Row],[Salud]]+Datos_Origen[[#This Row],[Pensión]]+Datos_Origen[[#This Row],[ARL]]+Datos_Origen[[#This Row],[Parafiscales]]</f>
        <v>820715.5</v>
      </c>
      <c r="DG104" s="158">
        <f>Datos_Origen[[#This Row],[Costo Laboral Actual]]+Datos_Origen[[#This Row],[CT]]</f>
        <v>5566225.6100000003</v>
      </c>
      <c r="DH104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9297450.4249291774</v>
      </c>
      <c r="DI104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04" s="158">
        <f>Datos_Origen[[#This Row],[Base Seguridad Social Nueva]]*12%</f>
        <v>1115694.0509915012</v>
      </c>
      <c r="DK104" s="158">
        <f>Datos_Origen[[#This Row],[Base Seguridad Social Nueva]]*Datos_Origen[[#This Row],[%ARL]]</f>
        <v>404439.09348441917</v>
      </c>
      <c r="DL104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371898.01699716708</v>
      </c>
      <c r="DM104" s="158">
        <f>Datos_Origen[[#This Row],[Salud Nueva]]+Datos_Origen[[#This Row],[Pensión Nueva]]+Datos_Origen[[#This Row],[ARL nueva]]+Datos_Origen[[#This Row],[Parafiscales Nuevos]]</f>
        <v>1892031.1614730875</v>
      </c>
      <c r="DN104" s="158">
        <f>Datos_Origen[[#This Row],[Costo Laboral Nuevo]]+Datos_Origen[[#This Row],[Ctpol]]</f>
        <v>12832031.161473088</v>
      </c>
      <c r="DO104" s="158">
        <f>IF(Datos_Origen[[#This Row],[Ctpol]]-Datos_Origen[[#This Row],[CT]]&lt;=0,0,Datos_Origen[[#This Row],[Costo Total Nuevo]]-Datos_Origen[[#This Row],[Costo Total Actual]])</f>
        <v>7265805.5514730876</v>
      </c>
      <c r="DP104" s="158">
        <f>IF(Datos_Origen[[#This Row],[Ctpol]]-Datos_Origen[[#This Row],[CT]]&lt;=0,0,Datos_Origen[[#This Row],[Ctpol]]-Datos_Origen[[#This Row],[CT]])</f>
        <v>6194489.8899999997</v>
      </c>
      <c r="DQ104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1071315.6614730875</v>
      </c>
      <c r="DR104" s="158">
        <f>ROUNDDOWN(VLOOKUP(Datos_Origen[[#This Row],[Categoria]],Competitividad_1[],7,0)*IndiceIncrementoC,-3)</f>
        <v>9116000</v>
      </c>
      <c r="DS104" s="158">
        <f>Datos_Origen[[#This Row],[CTeq]]*0.8</f>
        <v>4630964.5008789422</v>
      </c>
      <c r="DT104" s="158">
        <f>Datos_Origen[[#This Row],[CTeq]]*1.2</f>
        <v>6946446.7513184128</v>
      </c>
      <c r="DU104" s="155">
        <f>IF(Datos_Origen[[#This Row],[Gpol6]]/(1+FactorPrestacionalOrdinario)&lt;SMMLV,SMMLV,Datos_Origen[[#This Row],[Gpol6]]/(1+FactorPrestacionalOrdinario))</f>
        <v>7437960.3399433419</v>
      </c>
      <c r="DV104" s="139" t="str">
        <f>IF((Datos_Origen[[#This Row],[Gpol6]]/(1+FactorPrestacionalIntegral))&lt;(13*SMMLV),"",(Datos_Origen[[#This Row],[Gpol6]]/(1+FactorPrestacionalIntegral)))</f>
        <v/>
      </c>
      <c r="DW104" s="154">
        <f>Datos_Origen[[#This Row],[G+Vpol8]]</f>
        <v>8752000</v>
      </c>
      <c r="DX104" s="154">
        <f>Datos_Origen[[#This Row],[Ctpol10]]-Datos_Origen[[#This Row],[Beneficios]]</f>
        <v>8752000</v>
      </c>
      <c r="DY104" s="154">
        <f>Datos_Origen[[#This Row],[Ctpol]]*$CM$6</f>
        <v>8752000</v>
      </c>
      <c r="DZ104" s="155">
        <f>IF(Datos_Origen[[#This Row],[Gpol66]]/(1+FactorPrestacionalOrdinario)&lt;SMMLV,SMMLV,Datos_Origen[[#This Row],[Gpol66]]/(1+FactorPrestacionalOrdinario))</f>
        <v>11156940.509915013</v>
      </c>
      <c r="EA104" s="139" t="str">
        <f>IF((Datos_Origen[[#This Row],[Gpol66]]/(1+FactorPrestacionalIntegral))&lt;(13*SMMLV),"",(Datos_Origen[[#This Row],[Gpol66]]/(1+FactorPrestacionalIntegral)))</f>
        <v/>
      </c>
      <c r="EB104" s="154">
        <f>Datos_Origen[[#This Row],[G+Vpol88]]</f>
        <v>13128000</v>
      </c>
      <c r="EC104" s="154">
        <f>Datos_Origen[[#This Row],[Ctpol1010]]-Datos_Origen[[#This Row],[Beneficios]]</f>
        <v>13128000</v>
      </c>
      <c r="ED104" s="154">
        <f>Datos_Origen[[#This Row],[Ctpol]]*$CP$6</f>
        <v>13128000</v>
      </c>
      <c r="EE104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05" spans="2:135">
      <c r="B105" s="148"/>
      <c r="C105" s="149"/>
      <c r="D105" s="150"/>
      <c r="E105" s="151"/>
      <c r="F105" s="151"/>
      <c r="G105" s="150" t="s">
        <v>533</v>
      </c>
      <c r="H105" s="153"/>
      <c r="I105" s="152" t="s">
        <v>300</v>
      </c>
      <c r="J105" s="130" t="str">
        <f>IFERROR(VLOOKUP(Datos_Origen[[#This Row],[Cargo Tipo Valorado]],Cargos_Catalogo[[#All],[Cargo]:[Área]],2,0),"")</f>
        <v/>
      </c>
      <c r="K105" s="153"/>
      <c r="L105" s="153"/>
      <c r="M105" s="153"/>
      <c r="N105" s="153"/>
      <c r="O105" s="154">
        <f>Datos_Origen[[#This Row],[Segmentación Individual]]</f>
        <v>0</v>
      </c>
      <c r="P105" s="153"/>
      <c r="Q105" s="154">
        <f>VLOOKUP(Datos_Origen[[#This Row],[Cargo Tipo Valorado]],Cargos_Catalogo[#Data],MATCH(Cargos_Catalogo[[#Headers],[Puntos]],Cargos_Catalogo[#Headers],0),FALSE)</f>
        <v>408</v>
      </c>
      <c r="R105" s="130">
        <f>VLOOKUP(Datos_Origen[[#This Row],[Puntos valoración]],Categorias_Registro[#Data],MATCH(Categorias_Registro[[#Headers],[Categoria]],Categorias_Registro[#Headers],0),FALSE)</f>
        <v>12</v>
      </c>
      <c r="S105" s="130" t="str">
        <f>VLOOKUP(Datos_Origen[[#This Row],[Cargo Tipo Valorado]],Cargos_Catalogo[#Data],MATCH(Cargos_Catalogo[[#Headers],[Nivel SHR]],Cargos_Catalogo[#Headers],0),FALSE)</f>
        <v>Táctico</v>
      </c>
      <c r="T105" s="130" t="str">
        <f>VLOOKUP(Datos_Origen[[#This Row],[Cargo Tipo Valorado]],Cargos_Catalogo[#Data],MATCH(Cargos_Catalogo[[#Headers],[Criticidad]],Cargos_Catalogo[#Headers],0),FALSE)</f>
        <v>Crítico</v>
      </c>
      <c r="U105" s="154">
        <f>VLOOKUP(Datos_Origen[[#This Row],[Puntos valoración]],Categorias_Registro[#Data],5,FALSE)</f>
        <v>436</v>
      </c>
      <c r="V105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4745510.1100000003</v>
      </c>
      <c r="W105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05" s="154">
        <f>SUMIF($BA$5:$BJ$5,"NCS",Datos_Origen[[#This Row],[auxilio Gasolina]:[Otro Beneficio10]])+(SUMIF($BA$5:$BJ$5,"CS",Datos_Origen[[#This Row],[auxilio Gasolina]:[Otro Beneficio10]])*1.17667)</f>
        <v>0</v>
      </c>
      <c r="Y105" s="155">
        <f>Datos_Origen[[#This Row],[Básico]]+Datos_Origen[[#This Row],[Promedio de Comisiones  ]]</f>
        <v>4033000</v>
      </c>
      <c r="Z105" s="155">
        <f>Datos_Origen[[#This Row],[Básico]]+Datos_Origen[[#This Row],[Promedio de Comisiones  ]]</f>
        <v>4033000</v>
      </c>
      <c r="AA105" s="155">
        <f>Datos_Origen[[#This Row],[Garantizado]]</f>
        <v>4745510.1100000003</v>
      </c>
      <c r="AB105" s="155">
        <f>Datos_Origen[[#This Row],[Variable]]+Datos_Origen[[#This Row],[Garantizado]]</f>
        <v>4745510.1100000003</v>
      </c>
      <c r="AC105" s="155">
        <f>Datos_Origen[[#This Row],[Beneficios]]+Datos_Origen[[#This Row],[Variable]]+Datos_Origen[[#This Row],[Garantizado]]</f>
        <v>4745510.1100000003</v>
      </c>
      <c r="AD105" s="156">
        <v>14.12</v>
      </c>
      <c r="AE105" s="141">
        <v>230</v>
      </c>
      <c r="AF105" s="345">
        <v>4.3499999999999997E-2</v>
      </c>
      <c r="AG105" s="155">
        <f>Datos_Origen[[#This Row],[Básico Actual]]*230/Datos_Origen[[#This Row],['# horas mes]]</f>
        <v>4033000</v>
      </c>
      <c r="AH105" s="157">
        <v>4033000</v>
      </c>
      <c r="AI105" s="158"/>
      <c r="AJ105" s="158">
        <f>(((Datos_Origen[[#This Row],[Básico]])/30)*$AJ$6)/12</f>
        <v>0</v>
      </c>
      <c r="AK105" s="158"/>
      <c r="AL105" s="143">
        <f>((Datos_Origen[[#This Row],[Básico]])/30)*$AL$6/12</f>
        <v>0</v>
      </c>
      <c r="AM105" s="158"/>
      <c r="AN105" s="158"/>
      <c r="AO105" s="158"/>
      <c r="AP105" s="158"/>
      <c r="AQ105" s="158"/>
      <c r="AR105" s="149">
        <v>0</v>
      </c>
      <c r="AS105" s="149"/>
      <c r="AT105" s="159" t="str">
        <f>IFERROR(Datos_Origen[[#This Row],[Comisiones Target]]/Datos_Origen[[#This Row],[Promedio de Comisiones  ]],"")</f>
        <v/>
      </c>
      <c r="AU105" s="160"/>
      <c r="AV105" s="143">
        <v>0</v>
      </c>
      <c r="AW105" s="160"/>
      <c r="AX105" s="143">
        <f>Datos_Origen[[#This Row],[N Salarios de la Bonificación2]]*Datos_Origen[[#This Row],[Básico]]/12</f>
        <v>0</v>
      </c>
      <c r="AY105" s="160"/>
      <c r="AZ105" s="158"/>
      <c r="BA105" s="149">
        <v>0</v>
      </c>
      <c r="BB105" s="149"/>
      <c r="BC105" s="149"/>
      <c r="BD105" s="149"/>
      <c r="BE105" s="149"/>
      <c r="BF105" s="149"/>
      <c r="BG105" s="149"/>
      <c r="BH105" s="149"/>
      <c r="BI105" s="149"/>
      <c r="BJ105" s="149"/>
      <c r="BK105" s="159">
        <f>IFERROR(Datos_Origen[[#This Row],[Variable]]/Datos_Origen[[#This Row],[CT]],"")</f>
        <v>0</v>
      </c>
      <c r="BL105" s="159">
        <f>IFERROR(Datos_Origen[[#This Row],[Beneficios]]/Datos_Origen[[#This Row],[CT]],"")</f>
        <v>0</v>
      </c>
      <c r="BM105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05" s="161">
        <f>Datos_Origen[[#This Row],[G]]/Datos_Origen[[#This Row],[Geq]]</f>
        <v>0.859234790007259</v>
      </c>
      <c r="BO105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05" s="161">
        <f>Datos_Origen[[#This Row],[G+V]]/Datos_Origen[[#This Row],[G+Veq]]</f>
        <v>0.82038449007752023</v>
      </c>
      <c r="BQ105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05" s="161">
        <f>Datos_Origen[[#This Row],[CT]]/Datos_Origen[[#This Row],[CTeq]]</f>
        <v>0.81978777580338924</v>
      </c>
      <c r="BS105" s="139">
        <f>ROUNDUP(VLOOKUP(Datos_Origen[[#This Row],[Categoria]],Competitividad_1[#All],2,0)*IndiceIncrementoC,-3)</f>
        <v>6487000</v>
      </c>
      <c r="BT105" s="161">
        <f>Datos_Origen[[#This Row],[G]]/Datos_Origen[[#This Row],[GQ1]]</f>
        <v>0.73154156158470796</v>
      </c>
      <c r="BU105" s="155">
        <f>ROUNDUP(VLOOKUP(Datos_Origen[[#This Row],[Categoria]],Competitividad_1[#All],3,0)*IndiceIncrementoC,-3)</f>
        <v>6736000</v>
      </c>
      <c r="BV105" s="161">
        <f>Datos_Origen[[#This Row],[G+V]]/Datos_Origen[[#This Row],[G+VQ1]]</f>
        <v>0.70449971941805234</v>
      </c>
      <c r="BW105" s="155">
        <f>ROUNDUP(VLOOKUP(Datos_Origen[[#This Row],[Categoria]],Competitividad_1[#All],4,0)*IndiceIncrementoC,-3)</f>
        <v>7056000</v>
      </c>
      <c r="BX105" s="161">
        <f>Datos_Origen[[#This Row],[CT]]/Datos_Origen[[#This Row],[CTQ1]]</f>
        <v>0.67254961876417241</v>
      </c>
      <c r="BY105" s="155">
        <f>ROUNDUP(VLOOKUP(Datos_Origen[[#This Row],[Categoria]],Competitividad_1[#All],5,0)*IndiceIncrementoC,-3)</f>
        <v>8476000</v>
      </c>
      <c r="BZ105" s="161">
        <f>Datos_Origen[[#This Row],[G]]/Datos_Origen[[#This Row],[GMd]]</f>
        <v>0.55987613378952339</v>
      </c>
      <c r="CA105" s="155">
        <f>ROUNDUP(VLOOKUP(Datos_Origen[[#This Row],[Categoria]],Competitividad_1[#All],6,0)*IndiceIncrementoC,-3)</f>
        <v>8755000</v>
      </c>
      <c r="CB105" s="161">
        <f>Datos_Origen[[#This Row],[G+V]]/Datos_Origen[[#This Row],[G+VMd]]</f>
        <v>0.54203427869788701</v>
      </c>
      <c r="CC105" s="155">
        <f>ROUNDUP(VLOOKUP(Datos_Origen[[#This Row],[Categoria]],Competitividad_1[#All],7,0)*IndiceIncrementoC,-3)</f>
        <v>9117000</v>
      </c>
      <c r="CD105" s="161">
        <f>Datos_Origen[[#This Row],[CT]]/Datos_Origen[[#This Row],[CTMd]]</f>
        <v>0.5205122419655589</v>
      </c>
      <c r="CE105" s="155">
        <f>+Datos_Origen[[#This Row],[GMd]]/1.17666666667</f>
        <v>7203399.4334073551</v>
      </c>
      <c r="CF105" s="161">
        <f>+Datos_Origen[[#This Row],[Básico Actual]]/Datos_Origen[[#This Row],[Salario Basico Md]]</f>
        <v>0.55987454774423195</v>
      </c>
      <c r="CG105" s="155">
        <f>ROUNDUP(VLOOKUP(Datos_Origen[[#This Row],[Categoria]],Competitividad_1[#All],8,0)*IndiceIncrementoC,-3)</f>
        <v>8965000</v>
      </c>
      <c r="CH105" s="161">
        <f>Datos_Origen[[#This Row],[G]]/Datos_Origen[[#This Row],[GQ3]]</f>
        <v>0.52933743558282209</v>
      </c>
      <c r="CI105" s="155">
        <f>ROUNDUP(VLOOKUP(Datos_Origen[[#This Row],[Categoria]],Competitividad_1[#All],9,0)*IndiceIncrementoC,-3)</f>
        <v>9200000</v>
      </c>
      <c r="CJ105" s="161">
        <f>Datos_Origen[[#This Row],[G+V]]/Datos_Origen[[#This Row],[G+VQ3]]</f>
        <v>0.51581631630434788</v>
      </c>
      <c r="CK105" s="155">
        <f>ROUNDUP(VLOOKUP(Datos_Origen[[#This Row],[Categoria]],Competitividad_1[#All],10,0)*IndiceIncrementoC,-3)</f>
        <v>9412000</v>
      </c>
      <c r="CL105" s="161">
        <f>Datos_Origen[[#This Row],[CT]]/Datos_Origen[[#This Row],[CTQ3]]</f>
        <v>0.50419784424139402</v>
      </c>
      <c r="CM105" s="162">
        <f>IF(ROUND(Datos_Origen[[#This Row],[Salario Ordinario Pol2]],-3)&lt;SMMLV,SMMLV,ROUND(Datos_Origen[[#This Row],[Salario Ordinario Pol2]],-3))</f>
        <v>7438000</v>
      </c>
      <c r="CN105" s="155">
        <f>IF(Datos_Origen[[#This Row],[Gpol]]/(1+FactorPrestacionalOrdinario)&lt;SMMLV,SMMLV,Datos_Origen[[#This Row],[Gpol]]/(1+FactorPrestacionalOrdinario))</f>
        <v>9297450.4249291774</v>
      </c>
      <c r="CO105" s="161">
        <f>IFERROR(IF(Datos_Origen[[#This Row],[Salarios Año]]=14.12,Datos_Origen[[#This Row],[Básico]]/Datos_Origen[[#This Row],[Salario Ordinario Pol]],""),"")</f>
        <v>0.43377483241925663</v>
      </c>
      <c r="CP105" s="155">
        <f>IF(ROUND(Datos_Origen[[#This Row],[Salario Ordinario Pol22]],-3)&lt;SMMLV,SMMLV,ROUND(Datos_Origen[[#This Row],[Salario Ordinario Pol22]],-3))</f>
        <v>11157000</v>
      </c>
      <c r="CQ105" s="155" t="str">
        <f>IFERROR(ROUND(Datos_Origen[[#This Row],[Salario Integral Pol4]],-3),"")</f>
        <v/>
      </c>
      <c r="CR105" s="139" t="str">
        <f>IF((Datos_Origen[[#This Row],[Gpol]]/(1+FactorPrestacionalIntegral))&lt;(13*SMMLV),"",(Datos_Origen[[#This Row],[Gpol]]/(1+FactorPrestacionalIntegral)))</f>
        <v/>
      </c>
      <c r="CS105" s="161" t="str">
        <f>IFERROR(IF(Datos_Origen[[#This Row],[Salarios Año]]=12,Datos_Origen[[#This Row],[Básico]]/Datos_Origen[[#This Row],[Salario Integral Pol]],""),"")</f>
        <v/>
      </c>
      <c r="CT105" s="155" t="str">
        <f>IFERROR(ROUND(Datos_Origen[[#This Row],[Salario Integral Pol44]],-3),"")</f>
        <v/>
      </c>
      <c r="CU105" s="155">
        <f>Datos_Origen[[#This Row],[G+Vpol]]-Datos_Origen[[#This Row],[Variable]]</f>
        <v>10940000</v>
      </c>
      <c r="CV105" s="161">
        <f>Datos_Origen[[#This Row],[G]]/Datos_Origen[[#This Row],[Gpol]]</f>
        <v>0.43377606124314444</v>
      </c>
      <c r="CW105" s="154">
        <f>Datos_Origen[[#This Row],[Ctpol]]-Datos_Origen[[#This Row],[Beneficios]]</f>
        <v>10940000</v>
      </c>
      <c r="CX105" s="161">
        <f>Datos_Origen[[#This Row],[G+V]]/Datos_Origen[[#This Row],[G+Vpol]]</f>
        <v>0.43377606124314444</v>
      </c>
      <c r="CY105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10940000</v>
      </c>
      <c r="CZ105" s="161">
        <f>Datos_Origen[[#This Row],[CT]]/Datos_Origen[[#This Row],[Ctpol]]</f>
        <v>0.43377606124314444</v>
      </c>
      <c r="DA105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4033000</v>
      </c>
      <c r="DB105" s="158">
        <f>IF(Datos_Origen[[#This Row],[Básico]]&lt;10*SMMLV,0,Datos_Origen[[#This Row],[Base Seguridad Social Actual]]*8.5%)</f>
        <v>0</v>
      </c>
      <c r="DC105" s="158">
        <f>Datos_Origen[[#This Row],[Base Seguridad Social Actual]]*12%</f>
        <v>483960</v>
      </c>
      <c r="DD105" s="158">
        <f>Datos_Origen[[#This Row],[Base Seguridad Social Actual]]*Datos_Origen[[#This Row],[%ARL]]</f>
        <v>175435.5</v>
      </c>
      <c r="DE105" s="158">
        <f>IF(Datos_Origen[[#This Row],[Básico]]&lt;10*SMMLV,Datos_Origen[[#This Row],[Base Seguridad Social Actual]]*4%,Datos_Origen[[#This Row],[Base Seguridad Social Actual]]*9%)</f>
        <v>161320</v>
      </c>
      <c r="DF105" s="158">
        <f>Datos_Origen[[#This Row],[Salud]]+Datos_Origen[[#This Row],[Pensión]]+Datos_Origen[[#This Row],[ARL]]+Datos_Origen[[#This Row],[Parafiscales]]</f>
        <v>820715.5</v>
      </c>
      <c r="DG105" s="158">
        <f>Datos_Origen[[#This Row],[Costo Laboral Actual]]+Datos_Origen[[#This Row],[CT]]</f>
        <v>5566225.6100000003</v>
      </c>
      <c r="DH105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9297450.4249291774</v>
      </c>
      <c r="DI105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05" s="158">
        <f>Datos_Origen[[#This Row],[Base Seguridad Social Nueva]]*12%</f>
        <v>1115694.0509915012</v>
      </c>
      <c r="DK105" s="158">
        <f>Datos_Origen[[#This Row],[Base Seguridad Social Nueva]]*Datos_Origen[[#This Row],[%ARL]]</f>
        <v>404439.09348441917</v>
      </c>
      <c r="DL105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371898.01699716708</v>
      </c>
      <c r="DM105" s="158">
        <f>Datos_Origen[[#This Row],[Salud Nueva]]+Datos_Origen[[#This Row],[Pensión Nueva]]+Datos_Origen[[#This Row],[ARL nueva]]+Datos_Origen[[#This Row],[Parafiscales Nuevos]]</f>
        <v>1892031.1614730875</v>
      </c>
      <c r="DN105" s="158">
        <f>Datos_Origen[[#This Row],[Costo Laboral Nuevo]]+Datos_Origen[[#This Row],[Ctpol]]</f>
        <v>12832031.161473088</v>
      </c>
      <c r="DO105" s="158">
        <f>IF(Datos_Origen[[#This Row],[Ctpol]]-Datos_Origen[[#This Row],[CT]]&lt;=0,0,Datos_Origen[[#This Row],[Costo Total Nuevo]]-Datos_Origen[[#This Row],[Costo Total Actual]])</f>
        <v>7265805.5514730876</v>
      </c>
      <c r="DP105" s="158">
        <f>IF(Datos_Origen[[#This Row],[Ctpol]]-Datos_Origen[[#This Row],[CT]]&lt;=0,0,Datos_Origen[[#This Row],[Ctpol]]-Datos_Origen[[#This Row],[CT]])</f>
        <v>6194489.8899999997</v>
      </c>
      <c r="DQ105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1071315.6614730875</v>
      </c>
      <c r="DR105" s="158">
        <f>ROUNDDOWN(VLOOKUP(Datos_Origen[[#This Row],[Categoria]],Competitividad_1[],7,0)*IndiceIncrementoC,-3)</f>
        <v>9116000</v>
      </c>
      <c r="DS105" s="158">
        <f>Datos_Origen[[#This Row],[CTeq]]*0.8</f>
        <v>4630964.5008789422</v>
      </c>
      <c r="DT105" s="158">
        <f>Datos_Origen[[#This Row],[CTeq]]*1.2</f>
        <v>6946446.7513184128</v>
      </c>
      <c r="DU105" s="155">
        <f>IF(Datos_Origen[[#This Row],[Gpol6]]/(1+FactorPrestacionalOrdinario)&lt;SMMLV,SMMLV,Datos_Origen[[#This Row],[Gpol6]]/(1+FactorPrestacionalOrdinario))</f>
        <v>7437960.3399433419</v>
      </c>
      <c r="DV105" s="139" t="str">
        <f>IF((Datos_Origen[[#This Row],[Gpol6]]/(1+FactorPrestacionalIntegral))&lt;(13*SMMLV),"",(Datos_Origen[[#This Row],[Gpol6]]/(1+FactorPrestacionalIntegral)))</f>
        <v/>
      </c>
      <c r="DW105" s="154">
        <f>Datos_Origen[[#This Row],[G+Vpol8]]</f>
        <v>8752000</v>
      </c>
      <c r="DX105" s="154">
        <f>Datos_Origen[[#This Row],[Ctpol10]]-Datos_Origen[[#This Row],[Beneficios]]</f>
        <v>8752000</v>
      </c>
      <c r="DY105" s="154">
        <f>Datos_Origen[[#This Row],[Ctpol]]*$CM$6</f>
        <v>8752000</v>
      </c>
      <c r="DZ105" s="155">
        <f>IF(Datos_Origen[[#This Row],[Gpol66]]/(1+FactorPrestacionalOrdinario)&lt;SMMLV,SMMLV,Datos_Origen[[#This Row],[Gpol66]]/(1+FactorPrestacionalOrdinario))</f>
        <v>11156940.509915013</v>
      </c>
      <c r="EA105" s="139" t="str">
        <f>IF((Datos_Origen[[#This Row],[Gpol66]]/(1+FactorPrestacionalIntegral))&lt;(13*SMMLV),"",(Datos_Origen[[#This Row],[Gpol66]]/(1+FactorPrestacionalIntegral)))</f>
        <v/>
      </c>
      <c r="EB105" s="154">
        <f>Datos_Origen[[#This Row],[G+Vpol88]]</f>
        <v>13128000</v>
      </c>
      <c r="EC105" s="154">
        <f>Datos_Origen[[#This Row],[Ctpol1010]]-Datos_Origen[[#This Row],[Beneficios]]</f>
        <v>13128000</v>
      </c>
      <c r="ED105" s="154">
        <f>Datos_Origen[[#This Row],[Ctpol]]*$CP$6</f>
        <v>13128000</v>
      </c>
      <c r="EE105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06" spans="2:135">
      <c r="B106" s="132"/>
      <c r="C106" s="149"/>
      <c r="D106" s="150"/>
      <c r="E106" s="151"/>
      <c r="F106" s="151"/>
      <c r="G106" s="150" t="s">
        <v>533</v>
      </c>
      <c r="H106" s="153"/>
      <c r="I106" s="152" t="s">
        <v>300</v>
      </c>
      <c r="J106" s="130" t="str">
        <f>IFERROR(VLOOKUP(Datos_Origen[[#This Row],[Cargo Tipo Valorado]],Cargos_Catalogo[[#All],[Cargo]:[Área]],2,0),"")</f>
        <v/>
      </c>
      <c r="K106" s="153"/>
      <c r="L106" s="153"/>
      <c r="M106" s="153"/>
      <c r="N106" s="153"/>
      <c r="O106" s="154">
        <f>Datos_Origen[[#This Row],[Segmentación Individual]]</f>
        <v>0</v>
      </c>
      <c r="P106" s="153"/>
      <c r="Q106" s="154">
        <f>VLOOKUP(Datos_Origen[[#This Row],[Cargo Tipo Valorado]],Cargos_Catalogo[#Data],MATCH(Cargos_Catalogo[[#Headers],[Puntos]],Cargos_Catalogo[#Headers],0),FALSE)</f>
        <v>408</v>
      </c>
      <c r="R106" s="130">
        <f>VLOOKUP(Datos_Origen[[#This Row],[Puntos valoración]],Categorias_Registro[#Data],MATCH(Categorias_Registro[[#Headers],[Categoria]],Categorias_Registro[#Headers],0),FALSE)</f>
        <v>12</v>
      </c>
      <c r="S106" s="130" t="str">
        <f>VLOOKUP(Datos_Origen[[#This Row],[Cargo Tipo Valorado]],Cargos_Catalogo[#Data],MATCH(Cargos_Catalogo[[#Headers],[Nivel SHR]],Cargos_Catalogo[#Headers],0),FALSE)</f>
        <v>Táctico</v>
      </c>
      <c r="T106" s="130" t="str">
        <f>VLOOKUP(Datos_Origen[[#This Row],[Cargo Tipo Valorado]],Cargos_Catalogo[#Data],MATCH(Cargos_Catalogo[[#Headers],[Criticidad]],Cargos_Catalogo[#Headers],0),FALSE)</f>
        <v>Crítico</v>
      </c>
      <c r="U106" s="154">
        <f>VLOOKUP(Datos_Origen[[#This Row],[Puntos valoración]],Categorias_Registro[#Data],5,FALSE)</f>
        <v>436</v>
      </c>
      <c r="V106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4745510.1100000003</v>
      </c>
      <c r="W106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06" s="154">
        <f>SUMIF($BA$5:$BJ$5,"NCS",Datos_Origen[[#This Row],[auxilio Gasolina]:[Otro Beneficio10]])+(SUMIF($BA$5:$BJ$5,"CS",Datos_Origen[[#This Row],[auxilio Gasolina]:[Otro Beneficio10]])*1.17667)</f>
        <v>0</v>
      </c>
      <c r="Y106" s="155">
        <f>Datos_Origen[[#This Row],[Básico]]+Datos_Origen[[#This Row],[Promedio de Comisiones  ]]</f>
        <v>4033000</v>
      </c>
      <c r="Z106" s="155">
        <f>Datos_Origen[[#This Row],[Básico]]+Datos_Origen[[#This Row],[Promedio de Comisiones  ]]</f>
        <v>4033000</v>
      </c>
      <c r="AA106" s="155">
        <f>Datos_Origen[[#This Row],[Garantizado]]</f>
        <v>4745510.1100000003</v>
      </c>
      <c r="AB106" s="155">
        <f>Datos_Origen[[#This Row],[Variable]]+Datos_Origen[[#This Row],[Garantizado]]</f>
        <v>4745510.1100000003</v>
      </c>
      <c r="AC106" s="155">
        <f>Datos_Origen[[#This Row],[Beneficios]]+Datos_Origen[[#This Row],[Variable]]+Datos_Origen[[#This Row],[Garantizado]]</f>
        <v>4745510.1100000003</v>
      </c>
      <c r="AD106" s="156">
        <v>14.12</v>
      </c>
      <c r="AE106" s="141">
        <v>230</v>
      </c>
      <c r="AF106" s="345">
        <v>4.3499999999999997E-2</v>
      </c>
      <c r="AG106" s="155">
        <f>Datos_Origen[[#This Row],[Básico Actual]]*230/Datos_Origen[[#This Row],['# horas mes]]</f>
        <v>4033000</v>
      </c>
      <c r="AH106" s="157">
        <v>4033000</v>
      </c>
      <c r="AI106" s="158"/>
      <c r="AJ106" s="158">
        <f>(((Datos_Origen[[#This Row],[Básico]])/30)*$AJ$6)/12</f>
        <v>0</v>
      </c>
      <c r="AK106" s="158"/>
      <c r="AL106" s="143">
        <f>((Datos_Origen[[#This Row],[Básico]])/30)*$AL$6/12</f>
        <v>0</v>
      </c>
      <c r="AM106" s="158"/>
      <c r="AN106" s="158"/>
      <c r="AO106" s="158"/>
      <c r="AP106" s="158"/>
      <c r="AQ106" s="158"/>
      <c r="AR106" s="149">
        <v>0</v>
      </c>
      <c r="AS106" s="149"/>
      <c r="AT106" s="159" t="str">
        <f>IFERROR(Datos_Origen[[#This Row],[Comisiones Target]]/Datos_Origen[[#This Row],[Promedio de Comisiones  ]],"")</f>
        <v/>
      </c>
      <c r="AU106" s="160"/>
      <c r="AV106" s="143">
        <v>0</v>
      </c>
      <c r="AW106" s="160"/>
      <c r="AX106" s="143">
        <f>Datos_Origen[[#This Row],[N Salarios de la Bonificación2]]*Datos_Origen[[#This Row],[Básico]]/12</f>
        <v>0</v>
      </c>
      <c r="AY106" s="160"/>
      <c r="AZ106" s="158"/>
      <c r="BA106" s="149">
        <v>0</v>
      </c>
      <c r="BB106" s="149"/>
      <c r="BC106" s="149"/>
      <c r="BD106" s="149"/>
      <c r="BE106" s="149"/>
      <c r="BF106" s="149"/>
      <c r="BG106" s="149"/>
      <c r="BH106" s="149"/>
      <c r="BI106" s="149"/>
      <c r="BJ106" s="149"/>
      <c r="BK106" s="159">
        <f>IFERROR(Datos_Origen[[#This Row],[Variable]]/Datos_Origen[[#This Row],[CT]],"")</f>
        <v>0</v>
      </c>
      <c r="BL106" s="159">
        <f>IFERROR(Datos_Origen[[#This Row],[Beneficios]]/Datos_Origen[[#This Row],[CT]],"")</f>
        <v>0</v>
      </c>
      <c r="BM106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06" s="161">
        <f>Datos_Origen[[#This Row],[G]]/Datos_Origen[[#This Row],[Geq]]</f>
        <v>0.859234790007259</v>
      </c>
      <c r="BO106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06" s="161">
        <f>Datos_Origen[[#This Row],[G+V]]/Datos_Origen[[#This Row],[G+Veq]]</f>
        <v>0.82038449007752023</v>
      </c>
      <c r="BQ106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06" s="161">
        <f>Datos_Origen[[#This Row],[CT]]/Datos_Origen[[#This Row],[CTeq]]</f>
        <v>0.81978777580338924</v>
      </c>
      <c r="BS106" s="139">
        <f>ROUNDUP(VLOOKUP(Datos_Origen[[#This Row],[Categoria]],Competitividad_1[#All],2,0)*IndiceIncrementoC,-3)</f>
        <v>6487000</v>
      </c>
      <c r="BT106" s="161">
        <f>Datos_Origen[[#This Row],[G]]/Datos_Origen[[#This Row],[GQ1]]</f>
        <v>0.73154156158470796</v>
      </c>
      <c r="BU106" s="155">
        <f>ROUNDUP(VLOOKUP(Datos_Origen[[#This Row],[Categoria]],Competitividad_1[#All],3,0)*IndiceIncrementoC,-3)</f>
        <v>6736000</v>
      </c>
      <c r="BV106" s="161">
        <f>Datos_Origen[[#This Row],[G+V]]/Datos_Origen[[#This Row],[G+VQ1]]</f>
        <v>0.70449971941805234</v>
      </c>
      <c r="BW106" s="155">
        <f>ROUNDUP(VLOOKUP(Datos_Origen[[#This Row],[Categoria]],Competitividad_1[#All],4,0)*IndiceIncrementoC,-3)</f>
        <v>7056000</v>
      </c>
      <c r="BX106" s="161">
        <f>Datos_Origen[[#This Row],[CT]]/Datos_Origen[[#This Row],[CTQ1]]</f>
        <v>0.67254961876417241</v>
      </c>
      <c r="BY106" s="155">
        <f>ROUNDUP(VLOOKUP(Datos_Origen[[#This Row],[Categoria]],Competitividad_1[#All],5,0)*IndiceIncrementoC,-3)</f>
        <v>8476000</v>
      </c>
      <c r="BZ106" s="161">
        <f>Datos_Origen[[#This Row],[G]]/Datos_Origen[[#This Row],[GMd]]</f>
        <v>0.55987613378952339</v>
      </c>
      <c r="CA106" s="155">
        <f>ROUNDUP(VLOOKUP(Datos_Origen[[#This Row],[Categoria]],Competitividad_1[#All],6,0)*IndiceIncrementoC,-3)</f>
        <v>8755000</v>
      </c>
      <c r="CB106" s="161">
        <f>Datos_Origen[[#This Row],[G+V]]/Datos_Origen[[#This Row],[G+VMd]]</f>
        <v>0.54203427869788701</v>
      </c>
      <c r="CC106" s="155">
        <f>ROUNDUP(VLOOKUP(Datos_Origen[[#This Row],[Categoria]],Competitividad_1[#All],7,0)*IndiceIncrementoC,-3)</f>
        <v>9117000</v>
      </c>
      <c r="CD106" s="161">
        <f>Datos_Origen[[#This Row],[CT]]/Datos_Origen[[#This Row],[CTMd]]</f>
        <v>0.5205122419655589</v>
      </c>
      <c r="CE106" s="155">
        <f>+Datos_Origen[[#This Row],[GMd]]/1.17666666667</f>
        <v>7203399.4334073551</v>
      </c>
      <c r="CF106" s="161">
        <f>+Datos_Origen[[#This Row],[Básico Actual]]/Datos_Origen[[#This Row],[Salario Basico Md]]</f>
        <v>0.55987454774423195</v>
      </c>
      <c r="CG106" s="155">
        <f>ROUNDUP(VLOOKUP(Datos_Origen[[#This Row],[Categoria]],Competitividad_1[#All],8,0)*IndiceIncrementoC,-3)</f>
        <v>8965000</v>
      </c>
      <c r="CH106" s="161">
        <f>Datos_Origen[[#This Row],[G]]/Datos_Origen[[#This Row],[GQ3]]</f>
        <v>0.52933743558282209</v>
      </c>
      <c r="CI106" s="155">
        <f>ROUNDUP(VLOOKUP(Datos_Origen[[#This Row],[Categoria]],Competitividad_1[#All],9,0)*IndiceIncrementoC,-3)</f>
        <v>9200000</v>
      </c>
      <c r="CJ106" s="161">
        <f>Datos_Origen[[#This Row],[G+V]]/Datos_Origen[[#This Row],[G+VQ3]]</f>
        <v>0.51581631630434788</v>
      </c>
      <c r="CK106" s="155">
        <f>ROUNDUP(VLOOKUP(Datos_Origen[[#This Row],[Categoria]],Competitividad_1[#All],10,0)*IndiceIncrementoC,-3)</f>
        <v>9412000</v>
      </c>
      <c r="CL106" s="161">
        <f>Datos_Origen[[#This Row],[CT]]/Datos_Origen[[#This Row],[CTQ3]]</f>
        <v>0.50419784424139402</v>
      </c>
      <c r="CM106" s="162">
        <f>IF(ROUND(Datos_Origen[[#This Row],[Salario Ordinario Pol2]],-3)&lt;SMMLV,SMMLV,ROUND(Datos_Origen[[#This Row],[Salario Ordinario Pol2]],-3))</f>
        <v>7438000</v>
      </c>
      <c r="CN106" s="155">
        <f>IF(Datos_Origen[[#This Row],[Gpol]]/(1+FactorPrestacionalOrdinario)&lt;SMMLV,SMMLV,Datos_Origen[[#This Row],[Gpol]]/(1+FactorPrestacionalOrdinario))</f>
        <v>9297450.4249291774</v>
      </c>
      <c r="CO106" s="161">
        <f>IFERROR(IF(Datos_Origen[[#This Row],[Salarios Año]]=14.12,Datos_Origen[[#This Row],[Básico]]/Datos_Origen[[#This Row],[Salario Ordinario Pol]],""),"")</f>
        <v>0.43377483241925663</v>
      </c>
      <c r="CP106" s="155">
        <f>IF(ROUND(Datos_Origen[[#This Row],[Salario Ordinario Pol22]],-3)&lt;SMMLV,SMMLV,ROUND(Datos_Origen[[#This Row],[Salario Ordinario Pol22]],-3))</f>
        <v>11157000</v>
      </c>
      <c r="CQ106" s="155" t="str">
        <f>IFERROR(ROUND(Datos_Origen[[#This Row],[Salario Integral Pol4]],-3),"")</f>
        <v/>
      </c>
      <c r="CR106" s="139" t="str">
        <f>IF((Datos_Origen[[#This Row],[Gpol]]/(1+FactorPrestacionalIntegral))&lt;(13*SMMLV),"",(Datos_Origen[[#This Row],[Gpol]]/(1+FactorPrestacionalIntegral)))</f>
        <v/>
      </c>
      <c r="CS106" s="161" t="str">
        <f>IFERROR(IF(Datos_Origen[[#This Row],[Salarios Año]]=12,Datos_Origen[[#This Row],[Básico]]/Datos_Origen[[#This Row],[Salario Integral Pol]],""),"")</f>
        <v/>
      </c>
      <c r="CT106" s="155" t="str">
        <f>IFERROR(ROUND(Datos_Origen[[#This Row],[Salario Integral Pol44]],-3),"")</f>
        <v/>
      </c>
      <c r="CU106" s="155">
        <f>Datos_Origen[[#This Row],[G+Vpol]]-Datos_Origen[[#This Row],[Variable]]</f>
        <v>10940000</v>
      </c>
      <c r="CV106" s="161">
        <f>Datos_Origen[[#This Row],[G]]/Datos_Origen[[#This Row],[Gpol]]</f>
        <v>0.43377606124314444</v>
      </c>
      <c r="CW106" s="154">
        <f>Datos_Origen[[#This Row],[Ctpol]]-Datos_Origen[[#This Row],[Beneficios]]</f>
        <v>10940000</v>
      </c>
      <c r="CX106" s="161">
        <f>Datos_Origen[[#This Row],[G+V]]/Datos_Origen[[#This Row],[G+Vpol]]</f>
        <v>0.43377606124314444</v>
      </c>
      <c r="CY106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10940000</v>
      </c>
      <c r="CZ106" s="161">
        <f>Datos_Origen[[#This Row],[CT]]/Datos_Origen[[#This Row],[Ctpol]]</f>
        <v>0.43377606124314444</v>
      </c>
      <c r="DA106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4033000</v>
      </c>
      <c r="DB106" s="158">
        <f>IF(Datos_Origen[[#This Row],[Básico]]&lt;10*SMMLV,0,Datos_Origen[[#This Row],[Base Seguridad Social Actual]]*8.5%)</f>
        <v>0</v>
      </c>
      <c r="DC106" s="158">
        <f>Datos_Origen[[#This Row],[Base Seguridad Social Actual]]*12%</f>
        <v>483960</v>
      </c>
      <c r="DD106" s="158">
        <f>Datos_Origen[[#This Row],[Base Seguridad Social Actual]]*Datos_Origen[[#This Row],[%ARL]]</f>
        <v>175435.5</v>
      </c>
      <c r="DE106" s="158">
        <f>IF(Datos_Origen[[#This Row],[Básico]]&lt;10*SMMLV,Datos_Origen[[#This Row],[Base Seguridad Social Actual]]*4%,Datos_Origen[[#This Row],[Base Seguridad Social Actual]]*9%)</f>
        <v>161320</v>
      </c>
      <c r="DF106" s="158">
        <f>Datos_Origen[[#This Row],[Salud]]+Datos_Origen[[#This Row],[Pensión]]+Datos_Origen[[#This Row],[ARL]]+Datos_Origen[[#This Row],[Parafiscales]]</f>
        <v>820715.5</v>
      </c>
      <c r="DG106" s="158">
        <f>Datos_Origen[[#This Row],[Costo Laboral Actual]]+Datos_Origen[[#This Row],[CT]]</f>
        <v>5566225.6100000003</v>
      </c>
      <c r="DH106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9297450.4249291774</v>
      </c>
      <c r="DI106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06" s="158">
        <f>Datos_Origen[[#This Row],[Base Seguridad Social Nueva]]*12%</f>
        <v>1115694.0509915012</v>
      </c>
      <c r="DK106" s="158">
        <f>Datos_Origen[[#This Row],[Base Seguridad Social Nueva]]*Datos_Origen[[#This Row],[%ARL]]</f>
        <v>404439.09348441917</v>
      </c>
      <c r="DL106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371898.01699716708</v>
      </c>
      <c r="DM106" s="158">
        <f>Datos_Origen[[#This Row],[Salud Nueva]]+Datos_Origen[[#This Row],[Pensión Nueva]]+Datos_Origen[[#This Row],[ARL nueva]]+Datos_Origen[[#This Row],[Parafiscales Nuevos]]</f>
        <v>1892031.1614730875</v>
      </c>
      <c r="DN106" s="158">
        <f>Datos_Origen[[#This Row],[Costo Laboral Nuevo]]+Datos_Origen[[#This Row],[Ctpol]]</f>
        <v>12832031.161473088</v>
      </c>
      <c r="DO106" s="158">
        <f>IF(Datos_Origen[[#This Row],[Ctpol]]-Datos_Origen[[#This Row],[CT]]&lt;=0,0,Datos_Origen[[#This Row],[Costo Total Nuevo]]-Datos_Origen[[#This Row],[Costo Total Actual]])</f>
        <v>7265805.5514730876</v>
      </c>
      <c r="DP106" s="158">
        <f>IF(Datos_Origen[[#This Row],[Ctpol]]-Datos_Origen[[#This Row],[CT]]&lt;=0,0,Datos_Origen[[#This Row],[Ctpol]]-Datos_Origen[[#This Row],[CT]])</f>
        <v>6194489.8899999997</v>
      </c>
      <c r="DQ106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1071315.6614730875</v>
      </c>
      <c r="DR106" s="158">
        <f>ROUNDDOWN(VLOOKUP(Datos_Origen[[#This Row],[Categoria]],Competitividad_1[],7,0)*IndiceIncrementoC,-3)</f>
        <v>9116000</v>
      </c>
      <c r="DS106" s="158">
        <f>Datos_Origen[[#This Row],[CTeq]]*0.8</f>
        <v>4630964.5008789422</v>
      </c>
      <c r="DT106" s="158">
        <f>Datos_Origen[[#This Row],[CTeq]]*1.2</f>
        <v>6946446.7513184128</v>
      </c>
      <c r="DU106" s="155">
        <f>IF(Datos_Origen[[#This Row],[Gpol6]]/(1+FactorPrestacionalOrdinario)&lt;SMMLV,SMMLV,Datos_Origen[[#This Row],[Gpol6]]/(1+FactorPrestacionalOrdinario))</f>
        <v>7437960.3399433419</v>
      </c>
      <c r="DV106" s="139" t="str">
        <f>IF((Datos_Origen[[#This Row],[Gpol6]]/(1+FactorPrestacionalIntegral))&lt;(13*SMMLV),"",(Datos_Origen[[#This Row],[Gpol6]]/(1+FactorPrestacionalIntegral)))</f>
        <v/>
      </c>
      <c r="DW106" s="154">
        <f>Datos_Origen[[#This Row],[G+Vpol8]]</f>
        <v>8752000</v>
      </c>
      <c r="DX106" s="154">
        <f>Datos_Origen[[#This Row],[Ctpol10]]-Datos_Origen[[#This Row],[Beneficios]]</f>
        <v>8752000</v>
      </c>
      <c r="DY106" s="154">
        <f>Datos_Origen[[#This Row],[Ctpol]]*$CM$6</f>
        <v>8752000</v>
      </c>
      <c r="DZ106" s="155">
        <f>IF(Datos_Origen[[#This Row],[Gpol66]]/(1+FactorPrestacionalOrdinario)&lt;SMMLV,SMMLV,Datos_Origen[[#This Row],[Gpol66]]/(1+FactorPrestacionalOrdinario))</f>
        <v>11156940.509915013</v>
      </c>
      <c r="EA106" s="139" t="str">
        <f>IF((Datos_Origen[[#This Row],[Gpol66]]/(1+FactorPrestacionalIntegral))&lt;(13*SMMLV),"",(Datos_Origen[[#This Row],[Gpol66]]/(1+FactorPrestacionalIntegral)))</f>
        <v/>
      </c>
      <c r="EB106" s="154">
        <f>Datos_Origen[[#This Row],[G+Vpol88]]</f>
        <v>13128000</v>
      </c>
      <c r="EC106" s="154">
        <f>Datos_Origen[[#This Row],[Ctpol1010]]-Datos_Origen[[#This Row],[Beneficios]]</f>
        <v>13128000</v>
      </c>
      <c r="ED106" s="154">
        <f>Datos_Origen[[#This Row],[Ctpol]]*$CP$6</f>
        <v>13128000</v>
      </c>
      <c r="EE106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07" spans="2:135">
      <c r="B107" s="148"/>
      <c r="C107" s="149"/>
      <c r="D107" s="150"/>
      <c r="E107" s="151"/>
      <c r="F107" s="151"/>
      <c r="G107" s="150" t="s">
        <v>533</v>
      </c>
      <c r="H107" s="153"/>
      <c r="I107" s="152" t="s">
        <v>300</v>
      </c>
      <c r="J107" s="130" t="str">
        <f>IFERROR(VLOOKUP(Datos_Origen[[#This Row],[Cargo Tipo Valorado]],Cargos_Catalogo[[#All],[Cargo]:[Área]],2,0),"")</f>
        <v/>
      </c>
      <c r="K107" s="153"/>
      <c r="L107" s="153"/>
      <c r="M107" s="153"/>
      <c r="N107" s="153"/>
      <c r="O107" s="154">
        <f>Datos_Origen[[#This Row],[Segmentación Individual]]</f>
        <v>0</v>
      </c>
      <c r="P107" s="153"/>
      <c r="Q107" s="154">
        <f>VLOOKUP(Datos_Origen[[#This Row],[Cargo Tipo Valorado]],Cargos_Catalogo[#Data],MATCH(Cargos_Catalogo[[#Headers],[Puntos]],Cargos_Catalogo[#Headers],0),FALSE)</f>
        <v>408</v>
      </c>
      <c r="R107" s="130">
        <f>VLOOKUP(Datos_Origen[[#This Row],[Puntos valoración]],Categorias_Registro[#Data],MATCH(Categorias_Registro[[#Headers],[Categoria]],Categorias_Registro[#Headers],0),FALSE)</f>
        <v>12</v>
      </c>
      <c r="S107" s="130" t="str">
        <f>VLOOKUP(Datos_Origen[[#This Row],[Cargo Tipo Valorado]],Cargos_Catalogo[#Data],MATCH(Cargos_Catalogo[[#Headers],[Nivel SHR]],Cargos_Catalogo[#Headers],0),FALSE)</f>
        <v>Táctico</v>
      </c>
      <c r="T107" s="130" t="str">
        <f>VLOOKUP(Datos_Origen[[#This Row],[Cargo Tipo Valorado]],Cargos_Catalogo[#Data],MATCH(Cargos_Catalogo[[#Headers],[Criticidad]],Cargos_Catalogo[#Headers],0),FALSE)</f>
        <v>Crítico</v>
      </c>
      <c r="U107" s="154">
        <f>VLOOKUP(Datos_Origen[[#This Row],[Puntos valoración]],Categorias_Registro[#Data],5,FALSE)</f>
        <v>436</v>
      </c>
      <c r="V107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4745510.1100000003</v>
      </c>
      <c r="W107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07" s="154">
        <f>SUMIF($BA$5:$BJ$5,"NCS",Datos_Origen[[#This Row],[auxilio Gasolina]:[Otro Beneficio10]])+(SUMIF($BA$5:$BJ$5,"CS",Datos_Origen[[#This Row],[auxilio Gasolina]:[Otro Beneficio10]])*1.17667)</f>
        <v>0</v>
      </c>
      <c r="Y107" s="155">
        <f>Datos_Origen[[#This Row],[Básico]]+Datos_Origen[[#This Row],[Promedio de Comisiones  ]]</f>
        <v>4033000</v>
      </c>
      <c r="Z107" s="155">
        <f>Datos_Origen[[#This Row],[Básico]]+Datos_Origen[[#This Row],[Promedio de Comisiones  ]]</f>
        <v>4033000</v>
      </c>
      <c r="AA107" s="155">
        <f>Datos_Origen[[#This Row],[Garantizado]]</f>
        <v>4745510.1100000003</v>
      </c>
      <c r="AB107" s="155">
        <f>Datos_Origen[[#This Row],[Variable]]+Datos_Origen[[#This Row],[Garantizado]]</f>
        <v>4745510.1100000003</v>
      </c>
      <c r="AC107" s="155">
        <f>Datos_Origen[[#This Row],[Beneficios]]+Datos_Origen[[#This Row],[Variable]]+Datos_Origen[[#This Row],[Garantizado]]</f>
        <v>4745510.1100000003</v>
      </c>
      <c r="AD107" s="156">
        <v>14.12</v>
      </c>
      <c r="AE107" s="141">
        <v>230</v>
      </c>
      <c r="AF107" s="345">
        <v>4.3499999999999997E-2</v>
      </c>
      <c r="AG107" s="155">
        <f>Datos_Origen[[#This Row],[Básico Actual]]*230/Datos_Origen[[#This Row],['# horas mes]]</f>
        <v>4033000</v>
      </c>
      <c r="AH107" s="157">
        <v>4033000</v>
      </c>
      <c r="AI107" s="158"/>
      <c r="AJ107" s="158">
        <f>(((Datos_Origen[[#This Row],[Básico]])/30)*$AJ$6)/12</f>
        <v>0</v>
      </c>
      <c r="AK107" s="158"/>
      <c r="AL107" s="143">
        <f>((Datos_Origen[[#This Row],[Básico]])/30)*$AL$6/12</f>
        <v>0</v>
      </c>
      <c r="AM107" s="158"/>
      <c r="AN107" s="158"/>
      <c r="AO107" s="158"/>
      <c r="AP107" s="158"/>
      <c r="AQ107" s="158"/>
      <c r="AR107" s="149">
        <v>0</v>
      </c>
      <c r="AS107" s="149"/>
      <c r="AT107" s="159" t="str">
        <f>IFERROR(Datos_Origen[[#This Row],[Comisiones Target]]/Datos_Origen[[#This Row],[Promedio de Comisiones  ]],"")</f>
        <v/>
      </c>
      <c r="AU107" s="160"/>
      <c r="AV107" s="143">
        <v>0</v>
      </c>
      <c r="AW107" s="160"/>
      <c r="AX107" s="143">
        <f>Datos_Origen[[#This Row],[N Salarios de la Bonificación2]]*Datos_Origen[[#This Row],[Básico]]/12</f>
        <v>0</v>
      </c>
      <c r="AY107" s="160"/>
      <c r="AZ107" s="158"/>
      <c r="BA107" s="149">
        <v>0</v>
      </c>
      <c r="BB107" s="149"/>
      <c r="BC107" s="149"/>
      <c r="BD107" s="149"/>
      <c r="BE107" s="149"/>
      <c r="BF107" s="149"/>
      <c r="BG107" s="149"/>
      <c r="BH107" s="149"/>
      <c r="BI107" s="149"/>
      <c r="BJ107" s="149"/>
      <c r="BK107" s="159">
        <f>IFERROR(Datos_Origen[[#This Row],[Variable]]/Datos_Origen[[#This Row],[CT]],"")</f>
        <v>0</v>
      </c>
      <c r="BL107" s="159">
        <f>IFERROR(Datos_Origen[[#This Row],[Beneficios]]/Datos_Origen[[#This Row],[CT]],"")</f>
        <v>0</v>
      </c>
      <c r="BM107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07" s="161">
        <f>Datos_Origen[[#This Row],[G]]/Datos_Origen[[#This Row],[Geq]]</f>
        <v>0.859234790007259</v>
      </c>
      <c r="BO107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07" s="161">
        <f>Datos_Origen[[#This Row],[G+V]]/Datos_Origen[[#This Row],[G+Veq]]</f>
        <v>0.82038449007752023</v>
      </c>
      <c r="BQ107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07" s="161">
        <f>Datos_Origen[[#This Row],[CT]]/Datos_Origen[[#This Row],[CTeq]]</f>
        <v>0.81978777580338924</v>
      </c>
      <c r="BS107" s="139">
        <f>ROUNDUP(VLOOKUP(Datos_Origen[[#This Row],[Categoria]],Competitividad_1[#All],2,0)*IndiceIncrementoC,-3)</f>
        <v>6487000</v>
      </c>
      <c r="BT107" s="161">
        <f>Datos_Origen[[#This Row],[G]]/Datos_Origen[[#This Row],[GQ1]]</f>
        <v>0.73154156158470796</v>
      </c>
      <c r="BU107" s="155">
        <f>ROUNDUP(VLOOKUP(Datos_Origen[[#This Row],[Categoria]],Competitividad_1[#All],3,0)*IndiceIncrementoC,-3)</f>
        <v>6736000</v>
      </c>
      <c r="BV107" s="161">
        <f>Datos_Origen[[#This Row],[G+V]]/Datos_Origen[[#This Row],[G+VQ1]]</f>
        <v>0.70449971941805234</v>
      </c>
      <c r="BW107" s="155">
        <f>ROUNDUP(VLOOKUP(Datos_Origen[[#This Row],[Categoria]],Competitividad_1[#All],4,0)*IndiceIncrementoC,-3)</f>
        <v>7056000</v>
      </c>
      <c r="BX107" s="161">
        <f>Datos_Origen[[#This Row],[CT]]/Datos_Origen[[#This Row],[CTQ1]]</f>
        <v>0.67254961876417241</v>
      </c>
      <c r="BY107" s="155">
        <f>ROUNDUP(VLOOKUP(Datos_Origen[[#This Row],[Categoria]],Competitividad_1[#All],5,0)*IndiceIncrementoC,-3)</f>
        <v>8476000</v>
      </c>
      <c r="BZ107" s="161">
        <f>Datos_Origen[[#This Row],[G]]/Datos_Origen[[#This Row],[GMd]]</f>
        <v>0.55987613378952339</v>
      </c>
      <c r="CA107" s="155">
        <f>ROUNDUP(VLOOKUP(Datos_Origen[[#This Row],[Categoria]],Competitividad_1[#All],6,0)*IndiceIncrementoC,-3)</f>
        <v>8755000</v>
      </c>
      <c r="CB107" s="161">
        <f>Datos_Origen[[#This Row],[G+V]]/Datos_Origen[[#This Row],[G+VMd]]</f>
        <v>0.54203427869788701</v>
      </c>
      <c r="CC107" s="155">
        <f>ROUNDUP(VLOOKUP(Datos_Origen[[#This Row],[Categoria]],Competitividad_1[#All],7,0)*IndiceIncrementoC,-3)</f>
        <v>9117000</v>
      </c>
      <c r="CD107" s="161">
        <f>Datos_Origen[[#This Row],[CT]]/Datos_Origen[[#This Row],[CTMd]]</f>
        <v>0.5205122419655589</v>
      </c>
      <c r="CE107" s="155">
        <f>+Datos_Origen[[#This Row],[GMd]]/1.17666666667</f>
        <v>7203399.4334073551</v>
      </c>
      <c r="CF107" s="161">
        <f>+Datos_Origen[[#This Row],[Básico Actual]]/Datos_Origen[[#This Row],[Salario Basico Md]]</f>
        <v>0.55987454774423195</v>
      </c>
      <c r="CG107" s="155">
        <f>ROUNDUP(VLOOKUP(Datos_Origen[[#This Row],[Categoria]],Competitividad_1[#All],8,0)*IndiceIncrementoC,-3)</f>
        <v>8965000</v>
      </c>
      <c r="CH107" s="161">
        <f>Datos_Origen[[#This Row],[G]]/Datos_Origen[[#This Row],[GQ3]]</f>
        <v>0.52933743558282209</v>
      </c>
      <c r="CI107" s="155">
        <f>ROUNDUP(VLOOKUP(Datos_Origen[[#This Row],[Categoria]],Competitividad_1[#All],9,0)*IndiceIncrementoC,-3)</f>
        <v>9200000</v>
      </c>
      <c r="CJ107" s="161">
        <f>Datos_Origen[[#This Row],[G+V]]/Datos_Origen[[#This Row],[G+VQ3]]</f>
        <v>0.51581631630434788</v>
      </c>
      <c r="CK107" s="155">
        <f>ROUNDUP(VLOOKUP(Datos_Origen[[#This Row],[Categoria]],Competitividad_1[#All],10,0)*IndiceIncrementoC,-3)</f>
        <v>9412000</v>
      </c>
      <c r="CL107" s="161">
        <f>Datos_Origen[[#This Row],[CT]]/Datos_Origen[[#This Row],[CTQ3]]</f>
        <v>0.50419784424139402</v>
      </c>
      <c r="CM107" s="162">
        <f>IF(ROUND(Datos_Origen[[#This Row],[Salario Ordinario Pol2]],-3)&lt;SMMLV,SMMLV,ROUND(Datos_Origen[[#This Row],[Salario Ordinario Pol2]],-3))</f>
        <v>7438000</v>
      </c>
      <c r="CN107" s="155">
        <f>IF(Datos_Origen[[#This Row],[Gpol]]/(1+FactorPrestacionalOrdinario)&lt;SMMLV,SMMLV,Datos_Origen[[#This Row],[Gpol]]/(1+FactorPrestacionalOrdinario))</f>
        <v>9297450.4249291774</v>
      </c>
      <c r="CO107" s="161">
        <f>IFERROR(IF(Datos_Origen[[#This Row],[Salarios Año]]=14.12,Datos_Origen[[#This Row],[Básico]]/Datos_Origen[[#This Row],[Salario Ordinario Pol]],""),"")</f>
        <v>0.43377483241925663</v>
      </c>
      <c r="CP107" s="155">
        <f>IF(ROUND(Datos_Origen[[#This Row],[Salario Ordinario Pol22]],-3)&lt;SMMLV,SMMLV,ROUND(Datos_Origen[[#This Row],[Salario Ordinario Pol22]],-3))</f>
        <v>11157000</v>
      </c>
      <c r="CQ107" s="155" t="str">
        <f>IFERROR(ROUND(Datos_Origen[[#This Row],[Salario Integral Pol4]],-3),"")</f>
        <v/>
      </c>
      <c r="CR107" s="139" t="str">
        <f>IF((Datos_Origen[[#This Row],[Gpol]]/(1+FactorPrestacionalIntegral))&lt;(13*SMMLV),"",(Datos_Origen[[#This Row],[Gpol]]/(1+FactorPrestacionalIntegral)))</f>
        <v/>
      </c>
      <c r="CS107" s="161" t="str">
        <f>IFERROR(IF(Datos_Origen[[#This Row],[Salarios Año]]=12,Datos_Origen[[#This Row],[Básico]]/Datos_Origen[[#This Row],[Salario Integral Pol]],""),"")</f>
        <v/>
      </c>
      <c r="CT107" s="155" t="str">
        <f>IFERROR(ROUND(Datos_Origen[[#This Row],[Salario Integral Pol44]],-3),"")</f>
        <v/>
      </c>
      <c r="CU107" s="155">
        <f>Datos_Origen[[#This Row],[G+Vpol]]-Datos_Origen[[#This Row],[Variable]]</f>
        <v>10940000</v>
      </c>
      <c r="CV107" s="161">
        <f>Datos_Origen[[#This Row],[G]]/Datos_Origen[[#This Row],[Gpol]]</f>
        <v>0.43377606124314444</v>
      </c>
      <c r="CW107" s="154">
        <f>Datos_Origen[[#This Row],[Ctpol]]-Datos_Origen[[#This Row],[Beneficios]]</f>
        <v>10940000</v>
      </c>
      <c r="CX107" s="161">
        <f>Datos_Origen[[#This Row],[G+V]]/Datos_Origen[[#This Row],[G+Vpol]]</f>
        <v>0.43377606124314444</v>
      </c>
      <c r="CY107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10940000</v>
      </c>
      <c r="CZ107" s="161">
        <f>Datos_Origen[[#This Row],[CT]]/Datos_Origen[[#This Row],[Ctpol]]</f>
        <v>0.43377606124314444</v>
      </c>
      <c r="DA107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4033000</v>
      </c>
      <c r="DB107" s="158">
        <f>IF(Datos_Origen[[#This Row],[Básico]]&lt;10*SMMLV,0,Datos_Origen[[#This Row],[Base Seguridad Social Actual]]*8.5%)</f>
        <v>0</v>
      </c>
      <c r="DC107" s="158">
        <f>Datos_Origen[[#This Row],[Base Seguridad Social Actual]]*12%</f>
        <v>483960</v>
      </c>
      <c r="DD107" s="158">
        <f>Datos_Origen[[#This Row],[Base Seguridad Social Actual]]*Datos_Origen[[#This Row],[%ARL]]</f>
        <v>175435.5</v>
      </c>
      <c r="DE107" s="158">
        <f>IF(Datos_Origen[[#This Row],[Básico]]&lt;10*SMMLV,Datos_Origen[[#This Row],[Base Seguridad Social Actual]]*4%,Datos_Origen[[#This Row],[Base Seguridad Social Actual]]*9%)</f>
        <v>161320</v>
      </c>
      <c r="DF107" s="158">
        <f>Datos_Origen[[#This Row],[Salud]]+Datos_Origen[[#This Row],[Pensión]]+Datos_Origen[[#This Row],[ARL]]+Datos_Origen[[#This Row],[Parafiscales]]</f>
        <v>820715.5</v>
      </c>
      <c r="DG107" s="158">
        <f>Datos_Origen[[#This Row],[Costo Laboral Actual]]+Datos_Origen[[#This Row],[CT]]</f>
        <v>5566225.6100000003</v>
      </c>
      <c r="DH107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9297450.4249291774</v>
      </c>
      <c r="DI107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07" s="158">
        <f>Datos_Origen[[#This Row],[Base Seguridad Social Nueva]]*12%</f>
        <v>1115694.0509915012</v>
      </c>
      <c r="DK107" s="158">
        <f>Datos_Origen[[#This Row],[Base Seguridad Social Nueva]]*Datos_Origen[[#This Row],[%ARL]]</f>
        <v>404439.09348441917</v>
      </c>
      <c r="DL107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371898.01699716708</v>
      </c>
      <c r="DM107" s="158">
        <f>Datos_Origen[[#This Row],[Salud Nueva]]+Datos_Origen[[#This Row],[Pensión Nueva]]+Datos_Origen[[#This Row],[ARL nueva]]+Datos_Origen[[#This Row],[Parafiscales Nuevos]]</f>
        <v>1892031.1614730875</v>
      </c>
      <c r="DN107" s="158">
        <f>Datos_Origen[[#This Row],[Costo Laboral Nuevo]]+Datos_Origen[[#This Row],[Ctpol]]</f>
        <v>12832031.161473088</v>
      </c>
      <c r="DO107" s="158">
        <f>IF(Datos_Origen[[#This Row],[Ctpol]]-Datos_Origen[[#This Row],[CT]]&lt;=0,0,Datos_Origen[[#This Row],[Costo Total Nuevo]]-Datos_Origen[[#This Row],[Costo Total Actual]])</f>
        <v>7265805.5514730876</v>
      </c>
      <c r="DP107" s="158">
        <f>IF(Datos_Origen[[#This Row],[Ctpol]]-Datos_Origen[[#This Row],[CT]]&lt;=0,0,Datos_Origen[[#This Row],[Ctpol]]-Datos_Origen[[#This Row],[CT]])</f>
        <v>6194489.8899999997</v>
      </c>
      <c r="DQ107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1071315.6614730875</v>
      </c>
      <c r="DR107" s="158">
        <f>ROUNDDOWN(VLOOKUP(Datos_Origen[[#This Row],[Categoria]],Competitividad_1[],7,0)*IndiceIncrementoC,-3)</f>
        <v>9116000</v>
      </c>
      <c r="DS107" s="158">
        <f>Datos_Origen[[#This Row],[CTeq]]*0.8</f>
        <v>4630964.5008789422</v>
      </c>
      <c r="DT107" s="158">
        <f>Datos_Origen[[#This Row],[CTeq]]*1.2</f>
        <v>6946446.7513184128</v>
      </c>
      <c r="DU107" s="155">
        <f>IF(Datos_Origen[[#This Row],[Gpol6]]/(1+FactorPrestacionalOrdinario)&lt;SMMLV,SMMLV,Datos_Origen[[#This Row],[Gpol6]]/(1+FactorPrestacionalOrdinario))</f>
        <v>7437960.3399433419</v>
      </c>
      <c r="DV107" s="139" t="str">
        <f>IF((Datos_Origen[[#This Row],[Gpol6]]/(1+FactorPrestacionalIntegral))&lt;(13*SMMLV),"",(Datos_Origen[[#This Row],[Gpol6]]/(1+FactorPrestacionalIntegral)))</f>
        <v/>
      </c>
      <c r="DW107" s="154">
        <f>Datos_Origen[[#This Row],[G+Vpol8]]</f>
        <v>8752000</v>
      </c>
      <c r="DX107" s="154">
        <f>Datos_Origen[[#This Row],[Ctpol10]]-Datos_Origen[[#This Row],[Beneficios]]</f>
        <v>8752000</v>
      </c>
      <c r="DY107" s="154">
        <f>Datos_Origen[[#This Row],[Ctpol]]*$CM$6</f>
        <v>8752000</v>
      </c>
      <c r="DZ107" s="155">
        <f>IF(Datos_Origen[[#This Row],[Gpol66]]/(1+FactorPrestacionalOrdinario)&lt;SMMLV,SMMLV,Datos_Origen[[#This Row],[Gpol66]]/(1+FactorPrestacionalOrdinario))</f>
        <v>11156940.509915013</v>
      </c>
      <c r="EA107" s="139" t="str">
        <f>IF((Datos_Origen[[#This Row],[Gpol66]]/(1+FactorPrestacionalIntegral))&lt;(13*SMMLV),"",(Datos_Origen[[#This Row],[Gpol66]]/(1+FactorPrestacionalIntegral)))</f>
        <v/>
      </c>
      <c r="EB107" s="154">
        <f>Datos_Origen[[#This Row],[G+Vpol88]]</f>
        <v>13128000</v>
      </c>
      <c r="EC107" s="154">
        <f>Datos_Origen[[#This Row],[Ctpol1010]]-Datos_Origen[[#This Row],[Beneficios]]</f>
        <v>13128000</v>
      </c>
      <c r="ED107" s="154">
        <f>Datos_Origen[[#This Row],[Ctpol]]*$CP$6</f>
        <v>13128000</v>
      </c>
      <c r="EE107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08" spans="2:135">
      <c r="B108" s="132"/>
      <c r="C108" s="149"/>
      <c r="D108" s="150"/>
      <c r="E108" s="151"/>
      <c r="F108" s="151"/>
      <c r="G108" s="150" t="s">
        <v>533</v>
      </c>
      <c r="H108" s="153"/>
      <c r="I108" s="152" t="s">
        <v>300</v>
      </c>
      <c r="J108" s="130" t="str">
        <f>IFERROR(VLOOKUP(Datos_Origen[[#This Row],[Cargo Tipo Valorado]],Cargos_Catalogo[[#All],[Cargo]:[Área]],2,0),"")</f>
        <v/>
      </c>
      <c r="K108" s="153"/>
      <c r="L108" s="153"/>
      <c r="M108" s="153"/>
      <c r="N108" s="153"/>
      <c r="O108" s="154">
        <f>Datos_Origen[[#This Row],[Segmentación Individual]]</f>
        <v>0</v>
      </c>
      <c r="P108" s="153"/>
      <c r="Q108" s="154">
        <f>VLOOKUP(Datos_Origen[[#This Row],[Cargo Tipo Valorado]],Cargos_Catalogo[#Data],MATCH(Cargos_Catalogo[[#Headers],[Puntos]],Cargos_Catalogo[#Headers],0),FALSE)</f>
        <v>408</v>
      </c>
      <c r="R108" s="130">
        <f>VLOOKUP(Datos_Origen[[#This Row],[Puntos valoración]],Categorias_Registro[#Data],MATCH(Categorias_Registro[[#Headers],[Categoria]],Categorias_Registro[#Headers],0),FALSE)</f>
        <v>12</v>
      </c>
      <c r="S108" s="130" t="str">
        <f>VLOOKUP(Datos_Origen[[#This Row],[Cargo Tipo Valorado]],Cargos_Catalogo[#Data],MATCH(Cargos_Catalogo[[#Headers],[Nivel SHR]],Cargos_Catalogo[#Headers],0),FALSE)</f>
        <v>Táctico</v>
      </c>
      <c r="T108" s="130" t="str">
        <f>VLOOKUP(Datos_Origen[[#This Row],[Cargo Tipo Valorado]],Cargos_Catalogo[#Data],MATCH(Cargos_Catalogo[[#Headers],[Criticidad]],Cargos_Catalogo[#Headers],0),FALSE)</f>
        <v>Crítico</v>
      </c>
      <c r="U108" s="154">
        <f>VLOOKUP(Datos_Origen[[#This Row],[Puntos valoración]],Categorias_Registro[#Data],5,FALSE)</f>
        <v>436</v>
      </c>
      <c r="V108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4745510.1100000003</v>
      </c>
      <c r="W108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08" s="154">
        <f>SUMIF($BA$5:$BJ$5,"NCS",Datos_Origen[[#This Row],[auxilio Gasolina]:[Otro Beneficio10]])+(SUMIF($BA$5:$BJ$5,"CS",Datos_Origen[[#This Row],[auxilio Gasolina]:[Otro Beneficio10]])*1.17667)</f>
        <v>0</v>
      </c>
      <c r="Y108" s="155">
        <f>Datos_Origen[[#This Row],[Básico]]+Datos_Origen[[#This Row],[Promedio de Comisiones  ]]</f>
        <v>4033000</v>
      </c>
      <c r="Z108" s="155">
        <f>Datos_Origen[[#This Row],[Básico]]+Datos_Origen[[#This Row],[Promedio de Comisiones  ]]</f>
        <v>4033000</v>
      </c>
      <c r="AA108" s="155">
        <f>Datos_Origen[[#This Row],[Garantizado]]</f>
        <v>4745510.1100000003</v>
      </c>
      <c r="AB108" s="155">
        <f>Datos_Origen[[#This Row],[Variable]]+Datos_Origen[[#This Row],[Garantizado]]</f>
        <v>4745510.1100000003</v>
      </c>
      <c r="AC108" s="155">
        <f>Datos_Origen[[#This Row],[Beneficios]]+Datos_Origen[[#This Row],[Variable]]+Datos_Origen[[#This Row],[Garantizado]]</f>
        <v>4745510.1100000003</v>
      </c>
      <c r="AD108" s="156">
        <v>14.12</v>
      </c>
      <c r="AE108" s="141">
        <v>230</v>
      </c>
      <c r="AF108" s="345">
        <v>4.3499999999999997E-2</v>
      </c>
      <c r="AG108" s="155">
        <f>Datos_Origen[[#This Row],[Básico Actual]]*230/Datos_Origen[[#This Row],['# horas mes]]</f>
        <v>4033000</v>
      </c>
      <c r="AH108" s="157">
        <v>4033000</v>
      </c>
      <c r="AI108" s="158"/>
      <c r="AJ108" s="158">
        <f>(((Datos_Origen[[#This Row],[Básico]])/30)*$AJ$6)/12</f>
        <v>0</v>
      </c>
      <c r="AK108" s="158"/>
      <c r="AL108" s="143">
        <f>((Datos_Origen[[#This Row],[Básico]])/30)*$AL$6/12</f>
        <v>0</v>
      </c>
      <c r="AM108" s="158"/>
      <c r="AN108" s="158"/>
      <c r="AO108" s="158"/>
      <c r="AP108" s="158"/>
      <c r="AQ108" s="158"/>
      <c r="AR108" s="149">
        <v>0</v>
      </c>
      <c r="AS108" s="149"/>
      <c r="AT108" s="159" t="str">
        <f>IFERROR(Datos_Origen[[#This Row],[Comisiones Target]]/Datos_Origen[[#This Row],[Promedio de Comisiones  ]],"")</f>
        <v/>
      </c>
      <c r="AU108" s="160"/>
      <c r="AV108" s="143">
        <v>0</v>
      </c>
      <c r="AW108" s="160"/>
      <c r="AX108" s="143">
        <f>Datos_Origen[[#This Row],[N Salarios de la Bonificación2]]*Datos_Origen[[#This Row],[Básico]]/12</f>
        <v>0</v>
      </c>
      <c r="AY108" s="160"/>
      <c r="AZ108" s="158"/>
      <c r="BA108" s="149">
        <v>0</v>
      </c>
      <c r="BB108" s="149"/>
      <c r="BC108" s="149"/>
      <c r="BD108" s="149"/>
      <c r="BE108" s="149"/>
      <c r="BF108" s="149"/>
      <c r="BG108" s="149"/>
      <c r="BH108" s="149"/>
      <c r="BI108" s="149"/>
      <c r="BJ108" s="149"/>
      <c r="BK108" s="159">
        <f>IFERROR(Datos_Origen[[#This Row],[Variable]]/Datos_Origen[[#This Row],[CT]],"")</f>
        <v>0</v>
      </c>
      <c r="BL108" s="159">
        <f>IFERROR(Datos_Origen[[#This Row],[Beneficios]]/Datos_Origen[[#This Row],[CT]],"")</f>
        <v>0</v>
      </c>
      <c r="BM108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08" s="161">
        <f>Datos_Origen[[#This Row],[G]]/Datos_Origen[[#This Row],[Geq]]</f>
        <v>0.859234790007259</v>
      </c>
      <c r="BO108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08" s="161">
        <f>Datos_Origen[[#This Row],[G+V]]/Datos_Origen[[#This Row],[G+Veq]]</f>
        <v>0.82038449007752023</v>
      </c>
      <c r="BQ108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08" s="161">
        <f>Datos_Origen[[#This Row],[CT]]/Datos_Origen[[#This Row],[CTeq]]</f>
        <v>0.81978777580338924</v>
      </c>
      <c r="BS108" s="139">
        <f>ROUNDUP(VLOOKUP(Datos_Origen[[#This Row],[Categoria]],Competitividad_1[#All],2,0)*IndiceIncrementoC,-3)</f>
        <v>6487000</v>
      </c>
      <c r="BT108" s="161">
        <f>Datos_Origen[[#This Row],[G]]/Datos_Origen[[#This Row],[GQ1]]</f>
        <v>0.73154156158470796</v>
      </c>
      <c r="BU108" s="155">
        <f>ROUNDUP(VLOOKUP(Datos_Origen[[#This Row],[Categoria]],Competitividad_1[#All],3,0)*IndiceIncrementoC,-3)</f>
        <v>6736000</v>
      </c>
      <c r="BV108" s="161">
        <f>Datos_Origen[[#This Row],[G+V]]/Datos_Origen[[#This Row],[G+VQ1]]</f>
        <v>0.70449971941805234</v>
      </c>
      <c r="BW108" s="155">
        <f>ROUNDUP(VLOOKUP(Datos_Origen[[#This Row],[Categoria]],Competitividad_1[#All],4,0)*IndiceIncrementoC,-3)</f>
        <v>7056000</v>
      </c>
      <c r="BX108" s="161">
        <f>Datos_Origen[[#This Row],[CT]]/Datos_Origen[[#This Row],[CTQ1]]</f>
        <v>0.67254961876417241</v>
      </c>
      <c r="BY108" s="155">
        <f>ROUNDUP(VLOOKUP(Datos_Origen[[#This Row],[Categoria]],Competitividad_1[#All],5,0)*IndiceIncrementoC,-3)</f>
        <v>8476000</v>
      </c>
      <c r="BZ108" s="161">
        <f>Datos_Origen[[#This Row],[G]]/Datos_Origen[[#This Row],[GMd]]</f>
        <v>0.55987613378952339</v>
      </c>
      <c r="CA108" s="155">
        <f>ROUNDUP(VLOOKUP(Datos_Origen[[#This Row],[Categoria]],Competitividad_1[#All],6,0)*IndiceIncrementoC,-3)</f>
        <v>8755000</v>
      </c>
      <c r="CB108" s="161">
        <f>Datos_Origen[[#This Row],[G+V]]/Datos_Origen[[#This Row],[G+VMd]]</f>
        <v>0.54203427869788701</v>
      </c>
      <c r="CC108" s="155">
        <f>ROUNDUP(VLOOKUP(Datos_Origen[[#This Row],[Categoria]],Competitividad_1[#All],7,0)*IndiceIncrementoC,-3)</f>
        <v>9117000</v>
      </c>
      <c r="CD108" s="161">
        <f>Datos_Origen[[#This Row],[CT]]/Datos_Origen[[#This Row],[CTMd]]</f>
        <v>0.5205122419655589</v>
      </c>
      <c r="CE108" s="155">
        <f>+Datos_Origen[[#This Row],[GMd]]/1.17666666667</f>
        <v>7203399.4334073551</v>
      </c>
      <c r="CF108" s="161">
        <f>+Datos_Origen[[#This Row],[Básico Actual]]/Datos_Origen[[#This Row],[Salario Basico Md]]</f>
        <v>0.55987454774423195</v>
      </c>
      <c r="CG108" s="155">
        <f>ROUNDUP(VLOOKUP(Datos_Origen[[#This Row],[Categoria]],Competitividad_1[#All],8,0)*IndiceIncrementoC,-3)</f>
        <v>8965000</v>
      </c>
      <c r="CH108" s="161">
        <f>Datos_Origen[[#This Row],[G]]/Datos_Origen[[#This Row],[GQ3]]</f>
        <v>0.52933743558282209</v>
      </c>
      <c r="CI108" s="155">
        <f>ROUNDUP(VLOOKUP(Datos_Origen[[#This Row],[Categoria]],Competitividad_1[#All],9,0)*IndiceIncrementoC,-3)</f>
        <v>9200000</v>
      </c>
      <c r="CJ108" s="161">
        <f>Datos_Origen[[#This Row],[G+V]]/Datos_Origen[[#This Row],[G+VQ3]]</f>
        <v>0.51581631630434788</v>
      </c>
      <c r="CK108" s="155">
        <f>ROUNDUP(VLOOKUP(Datos_Origen[[#This Row],[Categoria]],Competitividad_1[#All],10,0)*IndiceIncrementoC,-3)</f>
        <v>9412000</v>
      </c>
      <c r="CL108" s="161">
        <f>Datos_Origen[[#This Row],[CT]]/Datos_Origen[[#This Row],[CTQ3]]</f>
        <v>0.50419784424139402</v>
      </c>
      <c r="CM108" s="162">
        <f>IF(ROUND(Datos_Origen[[#This Row],[Salario Ordinario Pol2]],-3)&lt;SMMLV,SMMLV,ROUND(Datos_Origen[[#This Row],[Salario Ordinario Pol2]],-3))</f>
        <v>7438000</v>
      </c>
      <c r="CN108" s="155">
        <f>IF(Datos_Origen[[#This Row],[Gpol]]/(1+FactorPrestacionalOrdinario)&lt;SMMLV,SMMLV,Datos_Origen[[#This Row],[Gpol]]/(1+FactorPrestacionalOrdinario))</f>
        <v>9297450.4249291774</v>
      </c>
      <c r="CO108" s="161">
        <f>IFERROR(IF(Datos_Origen[[#This Row],[Salarios Año]]=14.12,Datos_Origen[[#This Row],[Básico]]/Datos_Origen[[#This Row],[Salario Ordinario Pol]],""),"")</f>
        <v>0.43377483241925663</v>
      </c>
      <c r="CP108" s="155">
        <f>IF(ROUND(Datos_Origen[[#This Row],[Salario Ordinario Pol22]],-3)&lt;SMMLV,SMMLV,ROUND(Datos_Origen[[#This Row],[Salario Ordinario Pol22]],-3))</f>
        <v>11157000</v>
      </c>
      <c r="CQ108" s="155" t="str">
        <f>IFERROR(ROUND(Datos_Origen[[#This Row],[Salario Integral Pol4]],-3),"")</f>
        <v/>
      </c>
      <c r="CR108" s="139" t="str">
        <f>IF((Datos_Origen[[#This Row],[Gpol]]/(1+FactorPrestacionalIntegral))&lt;(13*SMMLV),"",(Datos_Origen[[#This Row],[Gpol]]/(1+FactorPrestacionalIntegral)))</f>
        <v/>
      </c>
      <c r="CS108" s="161" t="str">
        <f>IFERROR(IF(Datos_Origen[[#This Row],[Salarios Año]]=12,Datos_Origen[[#This Row],[Básico]]/Datos_Origen[[#This Row],[Salario Integral Pol]],""),"")</f>
        <v/>
      </c>
      <c r="CT108" s="155" t="str">
        <f>IFERROR(ROUND(Datos_Origen[[#This Row],[Salario Integral Pol44]],-3),"")</f>
        <v/>
      </c>
      <c r="CU108" s="155">
        <f>Datos_Origen[[#This Row],[G+Vpol]]-Datos_Origen[[#This Row],[Variable]]</f>
        <v>10940000</v>
      </c>
      <c r="CV108" s="161">
        <f>Datos_Origen[[#This Row],[G]]/Datos_Origen[[#This Row],[Gpol]]</f>
        <v>0.43377606124314444</v>
      </c>
      <c r="CW108" s="154">
        <f>Datos_Origen[[#This Row],[Ctpol]]-Datos_Origen[[#This Row],[Beneficios]]</f>
        <v>10940000</v>
      </c>
      <c r="CX108" s="161">
        <f>Datos_Origen[[#This Row],[G+V]]/Datos_Origen[[#This Row],[G+Vpol]]</f>
        <v>0.43377606124314444</v>
      </c>
      <c r="CY108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10940000</v>
      </c>
      <c r="CZ108" s="161">
        <f>Datos_Origen[[#This Row],[CT]]/Datos_Origen[[#This Row],[Ctpol]]</f>
        <v>0.43377606124314444</v>
      </c>
      <c r="DA108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4033000</v>
      </c>
      <c r="DB108" s="158">
        <f>IF(Datos_Origen[[#This Row],[Básico]]&lt;10*SMMLV,0,Datos_Origen[[#This Row],[Base Seguridad Social Actual]]*8.5%)</f>
        <v>0</v>
      </c>
      <c r="DC108" s="158">
        <f>Datos_Origen[[#This Row],[Base Seguridad Social Actual]]*12%</f>
        <v>483960</v>
      </c>
      <c r="DD108" s="158">
        <f>Datos_Origen[[#This Row],[Base Seguridad Social Actual]]*Datos_Origen[[#This Row],[%ARL]]</f>
        <v>175435.5</v>
      </c>
      <c r="DE108" s="158">
        <f>IF(Datos_Origen[[#This Row],[Básico]]&lt;10*SMMLV,Datos_Origen[[#This Row],[Base Seguridad Social Actual]]*4%,Datos_Origen[[#This Row],[Base Seguridad Social Actual]]*9%)</f>
        <v>161320</v>
      </c>
      <c r="DF108" s="158">
        <f>Datos_Origen[[#This Row],[Salud]]+Datos_Origen[[#This Row],[Pensión]]+Datos_Origen[[#This Row],[ARL]]+Datos_Origen[[#This Row],[Parafiscales]]</f>
        <v>820715.5</v>
      </c>
      <c r="DG108" s="158">
        <f>Datos_Origen[[#This Row],[Costo Laboral Actual]]+Datos_Origen[[#This Row],[CT]]</f>
        <v>5566225.6100000003</v>
      </c>
      <c r="DH108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9297450.4249291774</v>
      </c>
      <c r="DI108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08" s="158">
        <f>Datos_Origen[[#This Row],[Base Seguridad Social Nueva]]*12%</f>
        <v>1115694.0509915012</v>
      </c>
      <c r="DK108" s="158">
        <f>Datos_Origen[[#This Row],[Base Seguridad Social Nueva]]*Datos_Origen[[#This Row],[%ARL]]</f>
        <v>404439.09348441917</v>
      </c>
      <c r="DL108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371898.01699716708</v>
      </c>
      <c r="DM108" s="158">
        <f>Datos_Origen[[#This Row],[Salud Nueva]]+Datos_Origen[[#This Row],[Pensión Nueva]]+Datos_Origen[[#This Row],[ARL nueva]]+Datos_Origen[[#This Row],[Parafiscales Nuevos]]</f>
        <v>1892031.1614730875</v>
      </c>
      <c r="DN108" s="158">
        <f>Datos_Origen[[#This Row],[Costo Laboral Nuevo]]+Datos_Origen[[#This Row],[Ctpol]]</f>
        <v>12832031.161473088</v>
      </c>
      <c r="DO108" s="158">
        <f>IF(Datos_Origen[[#This Row],[Ctpol]]-Datos_Origen[[#This Row],[CT]]&lt;=0,0,Datos_Origen[[#This Row],[Costo Total Nuevo]]-Datos_Origen[[#This Row],[Costo Total Actual]])</f>
        <v>7265805.5514730876</v>
      </c>
      <c r="DP108" s="158">
        <f>IF(Datos_Origen[[#This Row],[Ctpol]]-Datos_Origen[[#This Row],[CT]]&lt;=0,0,Datos_Origen[[#This Row],[Ctpol]]-Datos_Origen[[#This Row],[CT]])</f>
        <v>6194489.8899999997</v>
      </c>
      <c r="DQ108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1071315.6614730875</v>
      </c>
      <c r="DR108" s="158">
        <f>ROUNDDOWN(VLOOKUP(Datos_Origen[[#This Row],[Categoria]],Competitividad_1[],7,0)*IndiceIncrementoC,-3)</f>
        <v>9116000</v>
      </c>
      <c r="DS108" s="158">
        <f>Datos_Origen[[#This Row],[CTeq]]*0.8</f>
        <v>4630964.5008789422</v>
      </c>
      <c r="DT108" s="158">
        <f>Datos_Origen[[#This Row],[CTeq]]*1.2</f>
        <v>6946446.7513184128</v>
      </c>
      <c r="DU108" s="155">
        <f>IF(Datos_Origen[[#This Row],[Gpol6]]/(1+FactorPrestacionalOrdinario)&lt;SMMLV,SMMLV,Datos_Origen[[#This Row],[Gpol6]]/(1+FactorPrestacionalOrdinario))</f>
        <v>7437960.3399433419</v>
      </c>
      <c r="DV108" s="139" t="str">
        <f>IF((Datos_Origen[[#This Row],[Gpol6]]/(1+FactorPrestacionalIntegral))&lt;(13*SMMLV),"",(Datos_Origen[[#This Row],[Gpol6]]/(1+FactorPrestacionalIntegral)))</f>
        <v/>
      </c>
      <c r="DW108" s="154">
        <f>Datos_Origen[[#This Row],[G+Vpol8]]</f>
        <v>8752000</v>
      </c>
      <c r="DX108" s="154">
        <f>Datos_Origen[[#This Row],[Ctpol10]]-Datos_Origen[[#This Row],[Beneficios]]</f>
        <v>8752000</v>
      </c>
      <c r="DY108" s="154">
        <f>Datos_Origen[[#This Row],[Ctpol]]*$CM$6</f>
        <v>8752000</v>
      </c>
      <c r="DZ108" s="155">
        <f>IF(Datos_Origen[[#This Row],[Gpol66]]/(1+FactorPrestacionalOrdinario)&lt;SMMLV,SMMLV,Datos_Origen[[#This Row],[Gpol66]]/(1+FactorPrestacionalOrdinario))</f>
        <v>11156940.509915013</v>
      </c>
      <c r="EA108" s="139" t="str">
        <f>IF((Datos_Origen[[#This Row],[Gpol66]]/(1+FactorPrestacionalIntegral))&lt;(13*SMMLV),"",(Datos_Origen[[#This Row],[Gpol66]]/(1+FactorPrestacionalIntegral)))</f>
        <v/>
      </c>
      <c r="EB108" s="154">
        <f>Datos_Origen[[#This Row],[G+Vpol88]]</f>
        <v>13128000</v>
      </c>
      <c r="EC108" s="154">
        <f>Datos_Origen[[#This Row],[Ctpol1010]]-Datos_Origen[[#This Row],[Beneficios]]</f>
        <v>13128000</v>
      </c>
      <c r="ED108" s="154">
        <f>Datos_Origen[[#This Row],[Ctpol]]*$CP$6</f>
        <v>13128000</v>
      </c>
      <c r="EE108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09" spans="2:135">
      <c r="B109" s="148"/>
      <c r="C109" s="149"/>
      <c r="D109" s="150"/>
      <c r="E109" s="151"/>
      <c r="F109" s="151"/>
      <c r="G109" s="150" t="s">
        <v>301</v>
      </c>
      <c r="H109" s="153"/>
      <c r="I109" s="152" t="s">
        <v>301</v>
      </c>
      <c r="J109" s="130" t="str">
        <f>IFERROR(VLOOKUP(Datos_Origen[[#This Row],[Cargo Tipo Valorado]],Cargos_Catalogo[[#All],[Cargo]:[Área]],2,0),"")</f>
        <v>Director de ventas Nacional</v>
      </c>
      <c r="K109" s="153"/>
      <c r="L109" s="153"/>
      <c r="M109" s="153"/>
      <c r="N109" s="153"/>
      <c r="O109" s="154">
        <f>Datos_Origen[[#This Row],[Segmentación Individual]]</f>
        <v>0</v>
      </c>
      <c r="P109" s="153"/>
      <c r="Q109" s="154">
        <f>VLOOKUP(Datos_Origen[[#This Row],[Cargo Tipo Valorado]],Cargos_Catalogo[#Data],MATCH(Cargos_Catalogo[[#Headers],[Puntos]],Cargos_Catalogo[#Headers],0),FALSE)</f>
        <v>409</v>
      </c>
      <c r="R109" s="130">
        <f>VLOOKUP(Datos_Origen[[#This Row],[Puntos valoración]],Categorias_Registro[#Data],MATCH(Categorias_Registro[[#Headers],[Categoria]],Categorias_Registro[#Headers],0),FALSE)</f>
        <v>12</v>
      </c>
      <c r="S109" s="130" t="str">
        <f>VLOOKUP(Datos_Origen[[#This Row],[Cargo Tipo Valorado]],Cargos_Catalogo[#Data],MATCH(Cargos_Catalogo[[#Headers],[Nivel SHR]],Cargos_Catalogo[#Headers],0),FALSE)</f>
        <v>Táctico</v>
      </c>
      <c r="T109" s="130" t="str">
        <f>VLOOKUP(Datos_Origen[[#This Row],[Cargo Tipo Valorado]],Cargos_Catalogo[#Data],MATCH(Cargos_Catalogo[[#Headers],[Criticidad]],Cargos_Catalogo[#Headers],0),FALSE)</f>
        <v>Muy Importante</v>
      </c>
      <c r="U109" s="154">
        <f>VLOOKUP(Datos_Origen[[#This Row],[Puntos valoración]],Categorias_Registro[#Data],5,FALSE)</f>
        <v>436</v>
      </c>
      <c r="V109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4471346</v>
      </c>
      <c r="W109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3412343.0000000005</v>
      </c>
      <c r="X109" s="154">
        <f>SUMIF($BA$5:$BJ$5,"NCS",Datos_Origen[[#This Row],[auxilio Gasolina]:[Otro Beneficio10]])+(SUMIF($BA$5:$BJ$5,"CS",Datos_Origen[[#This Row],[auxilio Gasolina]:[Otro Beneficio10]])*1.17667)</f>
        <v>0</v>
      </c>
      <c r="Y109" s="155">
        <f>Datos_Origen[[#This Row],[Básico]]+Datos_Origen[[#This Row],[Promedio de Comisiones  ]]</f>
        <v>6700000</v>
      </c>
      <c r="Z109" s="155">
        <f>Datos_Origen[[#This Row],[Básico]]+Datos_Origen[[#This Row],[Promedio de Comisiones  ]]</f>
        <v>6700000</v>
      </c>
      <c r="AA109" s="155">
        <f>Datos_Origen[[#This Row],[Garantizado]]</f>
        <v>4471346</v>
      </c>
      <c r="AB109" s="155">
        <f>Datos_Origen[[#This Row],[Variable]]+Datos_Origen[[#This Row],[Garantizado]]</f>
        <v>7883689</v>
      </c>
      <c r="AC109" s="155">
        <f>Datos_Origen[[#This Row],[Beneficios]]+Datos_Origen[[#This Row],[Variable]]+Datos_Origen[[#This Row],[Garantizado]]</f>
        <v>7883689</v>
      </c>
      <c r="AD109" s="156">
        <v>14.12</v>
      </c>
      <c r="AE109" s="141">
        <v>230</v>
      </c>
      <c r="AF109" s="345">
        <v>4.3499999999999997E-2</v>
      </c>
      <c r="AG109" s="155">
        <f>Datos_Origen[[#This Row],[Básico Actual]]*230/Datos_Origen[[#This Row],['# horas mes]]</f>
        <v>3800000</v>
      </c>
      <c r="AH109" s="157">
        <v>3800000</v>
      </c>
      <c r="AI109" s="158"/>
      <c r="AJ109" s="158">
        <f>(((Datos_Origen[[#This Row],[Básico]])/30)*$AJ$6)/12</f>
        <v>0</v>
      </c>
      <c r="AK109" s="158"/>
      <c r="AL109" s="143">
        <f>((Datos_Origen[[#This Row],[Básico]])/30)*$AL$6/12</f>
        <v>0</v>
      </c>
      <c r="AM109" s="158"/>
      <c r="AN109" s="158"/>
      <c r="AO109" s="158"/>
      <c r="AP109" s="158"/>
      <c r="AQ109" s="158"/>
      <c r="AR109" s="149">
        <v>2900000</v>
      </c>
      <c r="AS109" s="149"/>
      <c r="AT109" s="159">
        <f>IFERROR(Datos_Origen[[#This Row],[Comisiones Target]]/Datos_Origen[[#This Row],[Promedio de Comisiones  ]],"")</f>
        <v>0</v>
      </c>
      <c r="AU109" s="160"/>
      <c r="AV109" s="143">
        <v>0</v>
      </c>
      <c r="AW109" s="160"/>
      <c r="AX109" s="143">
        <f>Datos_Origen[[#This Row],[N Salarios de la Bonificación2]]*Datos_Origen[[#This Row],[Básico]]/12</f>
        <v>0</v>
      </c>
      <c r="AY109" s="160"/>
      <c r="AZ109" s="158"/>
      <c r="BA109" s="149">
        <v>0</v>
      </c>
      <c r="BB109" s="149"/>
      <c r="BC109" s="149"/>
      <c r="BD109" s="149"/>
      <c r="BE109" s="149"/>
      <c r="BF109" s="149"/>
      <c r="BG109" s="149"/>
      <c r="BH109" s="149"/>
      <c r="BI109" s="149"/>
      <c r="BJ109" s="149"/>
      <c r="BK109" s="159">
        <f>IFERROR(Datos_Origen[[#This Row],[Variable]]/Datos_Origen[[#This Row],[CT]],"")</f>
        <v>0.43283582089552247</v>
      </c>
      <c r="BL109" s="159">
        <f>IFERROR(Datos_Origen[[#This Row],[Beneficios]]/Datos_Origen[[#This Row],[CT]],"")</f>
        <v>0</v>
      </c>
      <c r="BM109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09" s="161">
        <f>Datos_Origen[[#This Row],[G]]/Datos_Origen[[#This Row],[Geq]]</f>
        <v>0.80959390082508909</v>
      </c>
      <c r="BO109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09" s="161">
        <f>Datos_Origen[[#This Row],[G+V]]/Datos_Origen[[#This Row],[G+Veq]]</f>
        <v>1.3629000950953101</v>
      </c>
      <c r="BQ109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09" s="161">
        <f>Datos_Origen[[#This Row],[CT]]/Datos_Origen[[#This Row],[CTeq]]</f>
        <v>1.3619087770599323</v>
      </c>
      <c r="BS109" s="139">
        <f>ROUNDUP(VLOOKUP(Datos_Origen[[#This Row],[Categoria]],Competitividad_1[#All],2,0)*IndiceIncrementoC,-3)</f>
        <v>6487000</v>
      </c>
      <c r="BT109" s="161">
        <f>Datos_Origen[[#This Row],[G]]/Datos_Origen[[#This Row],[GQ1]]</f>
        <v>0.68927794049637736</v>
      </c>
      <c r="BU109" s="155">
        <f>ROUNDUP(VLOOKUP(Datos_Origen[[#This Row],[Categoria]],Competitividad_1[#All],3,0)*IndiceIncrementoC,-3)</f>
        <v>6736000</v>
      </c>
      <c r="BV109" s="161">
        <f>Datos_Origen[[#This Row],[G+V]]/Datos_Origen[[#This Row],[G+VQ1]]</f>
        <v>1.1703813836104513</v>
      </c>
      <c r="BW109" s="155">
        <f>ROUNDUP(VLOOKUP(Datos_Origen[[#This Row],[Categoria]],Competitividad_1[#All],4,0)*IndiceIncrementoC,-3)</f>
        <v>7056000</v>
      </c>
      <c r="BX109" s="161">
        <f>Datos_Origen[[#This Row],[CT]]/Datos_Origen[[#This Row],[CTQ1]]</f>
        <v>1.1173028628117914</v>
      </c>
      <c r="BY109" s="155">
        <f>ROUNDUP(VLOOKUP(Datos_Origen[[#This Row],[Categoria]],Competitividad_1[#All],5,0)*IndiceIncrementoC,-3)</f>
        <v>8476000</v>
      </c>
      <c r="BZ109" s="161">
        <f>Datos_Origen[[#This Row],[G]]/Datos_Origen[[#This Row],[GMd]]</f>
        <v>0.52753020292590846</v>
      </c>
      <c r="CA109" s="155">
        <f>ROUNDUP(VLOOKUP(Datos_Origen[[#This Row],[Categoria]],Competitividad_1[#All],6,0)*IndiceIncrementoC,-3)</f>
        <v>8755000</v>
      </c>
      <c r="CB109" s="161">
        <f>Datos_Origen[[#This Row],[G+V]]/Datos_Origen[[#This Row],[G+VMd]]</f>
        <v>0.90047846944603083</v>
      </c>
      <c r="CC109" s="155">
        <f>ROUNDUP(VLOOKUP(Datos_Origen[[#This Row],[Categoria]],Competitividad_1[#All],7,0)*IndiceIncrementoC,-3)</f>
        <v>9117000</v>
      </c>
      <c r="CD109" s="161">
        <f>Datos_Origen[[#This Row],[CT]]/Datos_Origen[[#This Row],[CTMd]]</f>
        <v>0.86472403202807946</v>
      </c>
      <c r="CE109" s="155">
        <f>+Datos_Origen[[#This Row],[GMd]]/1.17666666667</f>
        <v>7203399.4334073551</v>
      </c>
      <c r="CF109" s="161">
        <f>+Datos_Origen[[#This Row],[Básico Actual]]/Datos_Origen[[#This Row],[Salario Basico Md]]</f>
        <v>0.52752870851179812</v>
      </c>
      <c r="CG109" s="155">
        <f>ROUNDUP(VLOOKUP(Datos_Origen[[#This Row],[Categoria]],Competitividad_1[#All],8,0)*IndiceIncrementoC,-3)</f>
        <v>8965000</v>
      </c>
      <c r="CH109" s="161">
        <f>Datos_Origen[[#This Row],[G]]/Datos_Origen[[#This Row],[GQ3]]</f>
        <v>0.4987558282208589</v>
      </c>
      <c r="CI109" s="155">
        <f>ROUNDUP(VLOOKUP(Datos_Origen[[#This Row],[Categoria]],Competitividad_1[#All],9,0)*IndiceIncrementoC,-3)</f>
        <v>9200000</v>
      </c>
      <c r="CJ109" s="161">
        <f>Datos_Origen[[#This Row],[G+V]]/Datos_Origen[[#This Row],[G+VQ3]]</f>
        <v>0.85692271739130432</v>
      </c>
      <c r="CK109" s="155">
        <f>ROUNDUP(VLOOKUP(Datos_Origen[[#This Row],[Categoria]],Competitividad_1[#All],10,0)*IndiceIncrementoC,-3)</f>
        <v>9412000</v>
      </c>
      <c r="CL109" s="161">
        <f>Datos_Origen[[#This Row],[CT]]/Datos_Origen[[#This Row],[CTQ3]]</f>
        <v>0.8376210157246069</v>
      </c>
      <c r="CM109" s="162">
        <f>IF(ROUND(Datos_Origen[[#This Row],[Salario Ordinario Pol2]],-3)&lt;SMMLV,SMMLV,ROUND(Datos_Origen[[#This Row],[Salario Ordinario Pol2]],-3))</f>
        <v>6818000</v>
      </c>
      <c r="CN109" s="155">
        <f>IF(Datos_Origen[[#This Row],[Gpol]]/(1+FactorPrestacionalOrdinario)&lt;SMMLV,SMMLV,Datos_Origen[[#This Row],[Gpol]]/(1+FactorPrestacionalOrdinario))</f>
        <v>5622371.3881019829</v>
      </c>
      <c r="CO109" s="161">
        <f>IFERROR(IF(Datos_Origen[[#This Row],[Salarios Año]]=14.12,Datos_Origen[[#This Row],[Básico]]/Datos_Origen[[#This Row],[Salario Ordinario Pol]],""),"")</f>
        <v>0.67587139619441172</v>
      </c>
      <c r="CP109" s="155">
        <f>IF(ROUND(Datos_Origen[[#This Row],[Salario Ordinario Pol22]],-3)&lt;SMMLV,SMMLV,ROUND(Datos_Origen[[#This Row],[Salario Ordinario Pol22]],-3))</f>
        <v>10227000</v>
      </c>
      <c r="CQ109" s="155" t="str">
        <f>IFERROR(ROUND(Datos_Origen[[#This Row],[Salario Integral Pol4]],-3),"")</f>
        <v/>
      </c>
      <c r="CR109" s="139" t="str">
        <f>IF((Datos_Origen[[#This Row],[Gpol]]/(1+FactorPrestacionalIntegral))&lt;(13*SMMLV),"",(Datos_Origen[[#This Row],[Gpol]]/(1+FactorPrestacionalIntegral)))</f>
        <v/>
      </c>
      <c r="CS109" s="161" t="str">
        <f>IFERROR(IF(Datos_Origen[[#This Row],[Salarios Año]]=12,Datos_Origen[[#This Row],[Básico]]/Datos_Origen[[#This Row],[Salario Integral Pol]],""),"")</f>
        <v/>
      </c>
      <c r="CT109" s="155" t="str">
        <f>IFERROR(ROUND(Datos_Origen[[#This Row],[Salario Integral Pol44]],-3),"")</f>
        <v/>
      </c>
      <c r="CU109" s="155">
        <f>Datos_Origen[[#This Row],[G+Vpol]]-Datos_Origen[[#This Row],[Variable]]</f>
        <v>6615657</v>
      </c>
      <c r="CV109" s="161">
        <f>Datos_Origen[[#This Row],[G]]/Datos_Origen[[#This Row],[Gpol]]</f>
        <v>0.67587331084425928</v>
      </c>
      <c r="CW109" s="154">
        <f>Datos_Origen[[#This Row],[Ctpol]]-Datos_Origen[[#This Row],[Beneficios]]</f>
        <v>10028000</v>
      </c>
      <c r="CX109" s="161">
        <f>Datos_Origen[[#This Row],[G+V]]/Datos_Origen[[#This Row],[G+Vpol]]</f>
        <v>0.78616763063422412</v>
      </c>
      <c r="CY109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10028000</v>
      </c>
      <c r="CZ109" s="161">
        <f>Datos_Origen[[#This Row],[CT]]/Datos_Origen[[#This Row],[Ctpol]]</f>
        <v>0.78616763063422412</v>
      </c>
      <c r="DA109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6700000</v>
      </c>
      <c r="DB109" s="158">
        <f>IF(Datos_Origen[[#This Row],[Básico]]&lt;10*SMMLV,0,Datos_Origen[[#This Row],[Base Seguridad Social Actual]]*8.5%)</f>
        <v>0</v>
      </c>
      <c r="DC109" s="158">
        <f>Datos_Origen[[#This Row],[Base Seguridad Social Actual]]*12%</f>
        <v>804000</v>
      </c>
      <c r="DD109" s="158">
        <f>Datos_Origen[[#This Row],[Base Seguridad Social Actual]]*Datos_Origen[[#This Row],[%ARL]]</f>
        <v>291450</v>
      </c>
      <c r="DE109" s="158">
        <f>IF(Datos_Origen[[#This Row],[Básico]]&lt;10*SMMLV,Datos_Origen[[#This Row],[Base Seguridad Social Actual]]*4%,Datos_Origen[[#This Row],[Base Seguridad Social Actual]]*9%)</f>
        <v>268000</v>
      </c>
      <c r="DF109" s="158">
        <f>Datos_Origen[[#This Row],[Salud]]+Datos_Origen[[#This Row],[Pensión]]+Datos_Origen[[#This Row],[ARL]]+Datos_Origen[[#This Row],[Parafiscales]]</f>
        <v>1363450</v>
      </c>
      <c r="DG109" s="158">
        <f>Datos_Origen[[#This Row],[Costo Laboral Actual]]+Datos_Origen[[#This Row],[CT]]</f>
        <v>9247139</v>
      </c>
      <c r="DH109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5622371.3881019829</v>
      </c>
      <c r="DI109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09" s="158">
        <f>Datos_Origen[[#This Row],[Base Seguridad Social Nueva]]*12%</f>
        <v>674684.56657223788</v>
      </c>
      <c r="DK109" s="158">
        <f>Datos_Origen[[#This Row],[Base Seguridad Social Nueva]]*Datos_Origen[[#This Row],[%ARL]]</f>
        <v>244573.15538243623</v>
      </c>
      <c r="DL109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224894.85552407932</v>
      </c>
      <c r="DM109" s="158">
        <f>Datos_Origen[[#This Row],[Salud Nueva]]+Datos_Origen[[#This Row],[Pensión Nueva]]+Datos_Origen[[#This Row],[ARL nueva]]+Datos_Origen[[#This Row],[Parafiscales Nuevos]]</f>
        <v>1144152.5774787534</v>
      </c>
      <c r="DN109" s="158">
        <f>Datos_Origen[[#This Row],[Costo Laboral Nuevo]]+Datos_Origen[[#This Row],[Ctpol]]</f>
        <v>11172152.577478753</v>
      </c>
      <c r="DO109" s="158">
        <f>IF(Datos_Origen[[#This Row],[Ctpol]]-Datos_Origen[[#This Row],[CT]]&lt;=0,0,Datos_Origen[[#This Row],[Costo Total Nuevo]]-Datos_Origen[[#This Row],[Costo Total Actual]])</f>
        <v>1925013.5774787534</v>
      </c>
      <c r="DP109" s="158">
        <f>IF(Datos_Origen[[#This Row],[Ctpol]]-Datos_Origen[[#This Row],[CT]]&lt;=0,0,Datos_Origen[[#This Row],[Ctpol]]-Datos_Origen[[#This Row],[CT]])</f>
        <v>2144311</v>
      </c>
      <c r="DQ109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0</v>
      </c>
      <c r="DR109" s="158">
        <f>ROUNDDOWN(VLOOKUP(Datos_Origen[[#This Row],[Categoria]],Competitividad_1[],7,0)*IndiceIncrementoC,-3)</f>
        <v>9116000</v>
      </c>
      <c r="DS109" s="158">
        <f>Datos_Origen[[#This Row],[CTeq]]*0.8</f>
        <v>4630964.5008789422</v>
      </c>
      <c r="DT109" s="158">
        <f>Datos_Origen[[#This Row],[CTeq]]*1.2</f>
        <v>6946446.7513184128</v>
      </c>
      <c r="DU109" s="155">
        <f>IF(Datos_Origen[[#This Row],[Gpol6]]/(1+FactorPrestacionalOrdinario)&lt;SMMLV,SMMLV,Datos_Origen[[#This Row],[Gpol6]]/(1+FactorPrestacionalOrdinario))</f>
        <v>6817903.6827195464</v>
      </c>
      <c r="DV109" s="139" t="str">
        <f>IF((Datos_Origen[[#This Row],[Gpol6]]/(1+FactorPrestacionalIntegral))&lt;(13*SMMLV),"",(Datos_Origen[[#This Row],[Gpol6]]/(1+FactorPrestacionalIntegral)))</f>
        <v/>
      </c>
      <c r="DW109" s="154">
        <f>Datos_Origen[[#This Row],[G+Vpol8]]</f>
        <v>8022400</v>
      </c>
      <c r="DX109" s="154">
        <f>Datos_Origen[[#This Row],[Ctpol10]]-Datos_Origen[[#This Row],[Beneficios]]</f>
        <v>8022400</v>
      </c>
      <c r="DY109" s="154">
        <f>Datos_Origen[[#This Row],[Ctpol]]*$CM$6</f>
        <v>8022400</v>
      </c>
      <c r="DZ109" s="155">
        <f>IF(Datos_Origen[[#This Row],[Gpol66]]/(1+FactorPrestacionalOrdinario)&lt;SMMLV,SMMLV,Datos_Origen[[#This Row],[Gpol66]]/(1+FactorPrestacionalOrdinario))</f>
        <v>10226855.524079319</v>
      </c>
      <c r="EA109" s="139" t="str">
        <f>IF((Datos_Origen[[#This Row],[Gpol66]]/(1+FactorPrestacionalIntegral))&lt;(13*SMMLV),"",(Datos_Origen[[#This Row],[Gpol66]]/(1+FactorPrestacionalIntegral)))</f>
        <v/>
      </c>
      <c r="EB109" s="154">
        <f>Datos_Origen[[#This Row],[G+Vpol88]]</f>
        <v>12033600</v>
      </c>
      <c r="EC109" s="154">
        <f>Datos_Origen[[#This Row],[Ctpol1010]]-Datos_Origen[[#This Row],[Beneficios]]</f>
        <v>12033600</v>
      </c>
      <c r="ED109" s="154">
        <f>Datos_Origen[[#This Row],[Ctpol]]*$CP$6</f>
        <v>12033600</v>
      </c>
      <c r="EE109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10" spans="2:135">
      <c r="B110" s="132"/>
      <c r="C110" s="149"/>
      <c r="D110" s="150"/>
      <c r="E110" s="151"/>
      <c r="F110" s="151"/>
      <c r="G110" s="150" t="s">
        <v>302</v>
      </c>
      <c r="H110" s="153"/>
      <c r="I110" s="152" t="s">
        <v>302</v>
      </c>
      <c r="J110" s="130" t="str">
        <f>IFERROR(VLOOKUP(Datos_Origen[[#This Row],[Cargo Tipo Valorado]],Cargos_Catalogo[[#All],[Cargo]:[Área]],2,0),"")</f>
        <v xml:space="preserve">Directora administrativa y contable </v>
      </c>
      <c r="K110" s="153"/>
      <c r="L110" s="153"/>
      <c r="M110" s="153"/>
      <c r="N110" s="153"/>
      <c r="O110" s="154">
        <f>Datos_Origen[[#This Row],[Segmentación Individual]]</f>
        <v>0</v>
      </c>
      <c r="P110" s="153"/>
      <c r="Q110" s="154">
        <f>VLOOKUP(Datos_Origen[[#This Row],[Cargo Tipo Valorado]],Cargos_Catalogo[#Data],MATCH(Cargos_Catalogo[[#Headers],[Puntos]],Cargos_Catalogo[#Headers],0),FALSE)</f>
        <v>410</v>
      </c>
      <c r="R110" s="130">
        <f>VLOOKUP(Datos_Origen[[#This Row],[Puntos valoración]],Categorias_Registro[#Data],MATCH(Categorias_Registro[[#Headers],[Categoria]],Categorias_Registro[#Headers],0),FALSE)</f>
        <v>12</v>
      </c>
      <c r="S110" s="130" t="str">
        <f>VLOOKUP(Datos_Origen[[#This Row],[Cargo Tipo Valorado]],Cargos_Catalogo[#Data],MATCH(Cargos_Catalogo[[#Headers],[Nivel SHR]],Cargos_Catalogo[#Headers],0),FALSE)</f>
        <v>Táctico</v>
      </c>
      <c r="T110" s="130" t="str">
        <f>VLOOKUP(Datos_Origen[[#This Row],[Cargo Tipo Valorado]],Cargos_Catalogo[#Data],MATCH(Cargos_Catalogo[[#Headers],[Criticidad]],Cargos_Catalogo[#Headers],0),FALSE)</f>
        <v>Relevante</v>
      </c>
      <c r="U110" s="154">
        <f>VLOOKUP(Datos_Origen[[#This Row],[Puntos valoración]],Categorias_Registro[#Data],5,FALSE)</f>
        <v>436</v>
      </c>
      <c r="V110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5570355.7800000003</v>
      </c>
      <c r="W110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10" s="154">
        <f>SUMIF($BA$5:$BJ$5,"NCS",Datos_Origen[[#This Row],[auxilio Gasolina]:[Otro Beneficio10]])+(SUMIF($BA$5:$BJ$5,"CS",Datos_Origen[[#This Row],[auxilio Gasolina]:[Otro Beneficio10]])*1.17667)</f>
        <v>0</v>
      </c>
      <c r="Y110" s="155">
        <f>Datos_Origen[[#This Row],[Básico]]+Datos_Origen[[#This Row],[Promedio de Comisiones  ]]</f>
        <v>4734000</v>
      </c>
      <c r="Z110" s="155">
        <f>Datos_Origen[[#This Row],[Básico]]+Datos_Origen[[#This Row],[Promedio de Comisiones  ]]</f>
        <v>4734000</v>
      </c>
      <c r="AA110" s="155">
        <f>Datos_Origen[[#This Row],[Garantizado]]</f>
        <v>5570355.7800000003</v>
      </c>
      <c r="AB110" s="155">
        <f>Datos_Origen[[#This Row],[Variable]]+Datos_Origen[[#This Row],[Garantizado]]</f>
        <v>5570355.7800000003</v>
      </c>
      <c r="AC110" s="155">
        <f>Datos_Origen[[#This Row],[Beneficios]]+Datos_Origen[[#This Row],[Variable]]+Datos_Origen[[#This Row],[Garantizado]]</f>
        <v>5570355.7800000003</v>
      </c>
      <c r="AD110" s="156">
        <v>14.12</v>
      </c>
      <c r="AE110" s="141">
        <v>230</v>
      </c>
      <c r="AF110" s="345">
        <v>5.2199999999999998E-3</v>
      </c>
      <c r="AG110" s="155">
        <f>Datos_Origen[[#This Row],[Básico Actual]]*230/Datos_Origen[[#This Row],['# horas mes]]</f>
        <v>4734000</v>
      </c>
      <c r="AH110" s="157">
        <v>4734000</v>
      </c>
      <c r="AI110" s="158"/>
      <c r="AJ110" s="158">
        <f>(((Datos_Origen[[#This Row],[Básico]])/30)*$AJ$6)/12</f>
        <v>0</v>
      </c>
      <c r="AK110" s="158"/>
      <c r="AL110" s="143">
        <f>((Datos_Origen[[#This Row],[Básico]])/30)*$AL$6/12</f>
        <v>0</v>
      </c>
      <c r="AM110" s="158"/>
      <c r="AN110" s="158"/>
      <c r="AO110" s="158"/>
      <c r="AP110" s="158"/>
      <c r="AQ110" s="158"/>
      <c r="AR110" s="149">
        <v>0</v>
      </c>
      <c r="AS110" s="149"/>
      <c r="AT110" s="159" t="str">
        <f>IFERROR(Datos_Origen[[#This Row],[Comisiones Target]]/Datos_Origen[[#This Row],[Promedio de Comisiones  ]],"")</f>
        <v/>
      </c>
      <c r="AU110" s="160"/>
      <c r="AV110" s="143">
        <v>0</v>
      </c>
      <c r="AW110" s="160"/>
      <c r="AX110" s="143">
        <f>Datos_Origen[[#This Row],[N Salarios de la Bonificación2]]*Datos_Origen[[#This Row],[Básico]]/12</f>
        <v>0</v>
      </c>
      <c r="AY110" s="160"/>
      <c r="AZ110" s="158"/>
      <c r="BA110" s="149">
        <v>0</v>
      </c>
      <c r="BB110" s="149"/>
      <c r="BC110" s="149"/>
      <c r="BD110" s="149"/>
      <c r="BE110" s="149"/>
      <c r="BF110" s="149"/>
      <c r="BG110" s="149"/>
      <c r="BH110" s="149"/>
      <c r="BI110" s="149"/>
      <c r="BJ110" s="149"/>
      <c r="BK110" s="159">
        <f>IFERROR(Datos_Origen[[#This Row],[Variable]]/Datos_Origen[[#This Row],[CT]],"")</f>
        <v>0</v>
      </c>
      <c r="BL110" s="159">
        <f>IFERROR(Datos_Origen[[#This Row],[Beneficios]]/Datos_Origen[[#This Row],[CT]],"")</f>
        <v>0</v>
      </c>
      <c r="BM110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10" s="161">
        <f>Datos_Origen[[#This Row],[G]]/Datos_Origen[[#This Row],[Geq]]</f>
        <v>1.0085835596068347</v>
      </c>
      <c r="BO110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10" s="161">
        <f>Datos_Origen[[#This Row],[G+V]]/Datos_Origen[[#This Row],[G+Veq]]</f>
        <v>0.96298045525092502</v>
      </c>
      <c r="BQ110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10" s="161">
        <f>Datos_Origen[[#This Row],[CT]]/Datos_Origen[[#This Row],[CTeq]]</f>
        <v>0.9622800224778687</v>
      </c>
      <c r="BS110" s="139">
        <f>ROUNDUP(VLOOKUP(Datos_Origen[[#This Row],[Categoria]],Competitividad_1[#All],2,0)*IndiceIncrementoC,-3)</f>
        <v>6487000</v>
      </c>
      <c r="BT110" s="161">
        <f>Datos_Origen[[#This Row],[G]]/Datos_Origen[[#This Row],[GQ1]]</f>
        <v>0.85869520271311861</v>
      </c>
      <c r="BU110" s="155">
        <f>ROUNDUP(VLOOKUP(Datos_Origen[[#This Row],[Categoria]],Competitividad_1[#All],3,0)*IndiceIncrementoC,-3)</f>
        <v>6736000</v>
      </c>
      <c r="BV110" s="161">
        <f>Datos_Origen[[#This Row],[G+V]]/Datos_Origen[[#This Row],[G+VQ1]]</f>
        <v>0.82695305522565321</v>
      </c>
      <c r="BW110" s="155">
        <f>ROUNDUP(VLOOKUP(Datos_Origen[[#This Row],[Categoria]],Competitividad_1[#All],4,0)*IndiceIncrementoC,-3)</f>
        <v>7056000</v>
      </c>
      <c r="BX110" s="161">
        <f>Datos_Origen[[#This Row],[CT]]/Datos_Origen[[#This Row],[CTQ1]]</f>
        <v>0.78944951530612251</v>
      </c>
      <c r="BY110" s="155">
        <f>ROUNDUP(VLOOKUP(Datos_Origen[[#This Row],[Categoria]],Competitividad_1[#All],5,0)*IndiceIncrementoC,-3)</f>
        <v>8476000</v>
      </c>
      <c r="BZ110" s="161">
        <f>Datos_Origen[[#This Row],[G]]/Datos_Origen[[#This Row],[GMd]]</f>
        <v>0.65719157385559224</v>
      </c>
      <c r="CA110" s="155">
        <f>ROUNDUP(VLOOKUP(Datos_Origen[[#This Row],[Categoria]],Competitividad_1[#All],6,0)*IndiceIncrementoC,-3)</f>
        <v>8755000</v>
      </c>
      <c r="CB110" s="161">
        <f>Datos_Origen[[#This Row],[G+V]]/Datos_Origen[[#This Row],[G+VMd]]</f>
        <v>0.63624851856082243</v>
      </c>
      <c r="CC110" s="155">
        <f>ROUNDUP(VLOOKUP(Datos_Origen[[#This Row],[Categoria]],Competitividad_1[#All],7,0)*IndiceIncrementoC,-3)</f>
        <v>9117000</v>
      </c>
      <c r="CD110" s="161">
        <f>Datos_Origen[[#This Row],[CT]]/Datos_Origen[[#This Row],[CTMd]]</f>
        <v>0.61098560710760119</v>
      </c>
      <c r="CE110" s="155">
        <f>+Datos_Origen[[#This Row],[GMd]]/1.17666666667</f>
        <v>7203399.4334073551</v>
      </c>
      <c r="CF110" s="161">
        <f>+Datos_Origen[[#This Row],[Básico Actual]]/Datos_Origen[[#This Row],[Salario Basico Md]]</f>
        <v>0.65718971213022426</v>
      </c>
      <c r="CG110" s="155">
        <f>ROUNDUP(VLOOKUP(Datos_Origen[[#This Row],[Categoria]],Competitividad_1[#All],8,0)*IndiceIncrementoC,-3)</f>
        <v>8965000</v>
      </c>
      <c r="CH110" s="161">
        <f>Datos_Origen[[#This Row],[G]]/Datos_Origen[[#This Row],[GQ3]]</f>
        <v>0.62134476073619638</v>
      </c>
      <c r="CI110" s="155">
        <f>ROUNDUP(VLOOKUP(Datos_Origen[[#This Row],[Categoria]],Competitividad_1[#All],9,0)*IndiceIncrementoC,-3)</f>
        <v>9200000</v>
      </c>
      <c r="CJ110" s="161">
        <f>Datos_Origen[[#This Row],[G+V]]/Datos_Origen[[#This Row],[G+VQ3]]</f>
        <v>0.60547345434782607</v>
      </c>
      <c r="CK110" s="155">
        <f>ROUNDUP(VLOOKUP(Datos_Origen[[#This Row],[Categoria]],Competitividad_1[#All],10,0)*IndiceIncrementoC,-3)</f>
        <v>9412000</v>
      </c>
      <c r="CL110" s="161">
        <f>Datos_Origen[[#This Row],[CT]]/Datos_Origen[[#This Row],[CTQ3]]</f>
        <v>0.59183550573735655</v>
      </c>
      <c r="CM110" s="162">
        <f>IF(ROUND(Datos_Origen[[#This Row],[Salario Ordinario Pol2]],-3)&lt;SMMLV,SMMLV,ROUND(Datos_Origen[[#This Row],[Salario Ordinario Pol2]],-3))</f>
        <v>5578000</v>
      </c>
      <c r="CN110" s="155">
        <f>IF(Datos_Origen[[#This Row],[Gpol]]/(1+FactorPrestacionalOrdinario)&lt;SMMLV,SMMLV,Datos_Origen[[#This Row],[Gpol]]/(1+FactorPrestacionalOrdinario))</f>
        <v>6973087.8186968835</v>
      </c>
      <c r="CO110" s="161">
        <f>IFERROR(IF(Datos_Origen[[#This Row],[Salarios Año]]=14.12,Datos_Origen[[#This Row],[Básico]]/Datos_Origen[[#This Row],[Salario Ordinario Pol]],""),"")</f>
        <v>0.67889579524680077</v>
      </c>
      <c r="CP110" s="155">
        <f>IF(ROUND(Datos_Origen[[#This Row],[Salario Ordinario Pol22]],-3)&lt;SMMLV,SMMLV,ROUND(Datos_Origen[[#This Row],[Salario Ordinario Pol22]],-3))</f>
        <v>8368000</v>
      </c>
      <c r="CQ110" s="155" t="str">
        <f>IFERROR(ROUND(Datos_Origen[[#This Row],[Salario Integral Pol4]],-3),"")</f>
        <v/>
      </c>
      <c r="CR110" s="139" t="str">
        <f>IF((Datos_Origen[[#This Row],[Gpol]]/(1+FactorPrestacionalIntegral))&lt;(13*SMMLV),"",(Datos_Origen[[#This Row],[Gpol]]/(1+FactorPrestacionalIntegral)))</f>
        <v/>
      </c>
      <c r="CS110" s="161" t="str">
        <f>IFERROR(IF(Datos_Origen[[#This Row],[Salarios Año]]=12,Datos_Origen[[#This Row],[Básico]]/Datos_Origen[[#This Row],[Salario Integral Pol]],""),"")</f>
        <v/>
      </c>
      <c r="CT110" s="155" t="str">
        <f>IFERROR(ROUND(Datos_Origen[[#This Row],[Salario Integral Pol44]],-3),"")</f>
        <v/>
      </c>
      <c r="CU110" s="155">
        <f>Datos_Origen[[#This Row],[G+Vpol]]-Datos_Origen[[#This Row],[Variable]]</f>
        <v>8205000</v>
      </c>
      <c r="CV110" s="161">
        <f>Datos_Origen[[#This Row],[G]]/Datos_Origen[[#This Row],[Gpol]]</f>
        <v>0.67889771846435099</v>
      </c>
      <c r="CW110" s="154">
        <f>Datos_Origen[[#This Row],[Ctpol]]-Datos_Origen[[#This Row],[Beneficios]]</f>
        <v>8205000</v>
      </c>
      <c r="CX110" s="161">
        <f>Datos_Origen[[#This Row],[G+V]]/Datos_Origen[[#This Row],[G+Vpol]]</f>
        <v>0.67889771846435099</v>
      </c>
      <c r="CY110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8205000</v>
      </c>
      <c r="CZ110" s="161">
        <f>Datos_Origen[[#This Row],[CT]]/Datos_Origen[[#This Row],[Ctpol]]</f>
        <v>0.67889771846435099</v>
      </c>
      <c r="DA110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4734000</v>
      </c>
      <c r="DB110" s="158">
        <f>IF(Datos_Origen[[#This Row],[Básico]]&lt;10*SMMLV,0,Datos_Origen[[#This Row],[Base Seguridad Social Actual]]*8.5%)</f>
        <v>0</v>
      </c>
      <c r="DC110" s="158">
        <f>Datos_Origen[[#This Row],[Base Seguridad Social Actual]]*12%</f>
        <v>568080</v>
      </c>
      <c r="DD110" s="158">
        <f>Datos_Origen[[#This Row],[Base Seguridad Social Actual]]*Datos_Origen[[#This Row],[%ARL]]</f>
        <v>24711.48</v>
      </c>
      <c r="DE110" s="158">
        <f>IF(Datos_Origen[[#This Row],[Básico]]&lt;10*SMMLV,Datos_Origen[[#This Row],[Base Seguridad Social Actual]]*4%,Datos_Origen[[#This Row],[Base Seguridad Social Actual]]*9%)</f>
        <v>189360</v>
      </c>
      <c r="DF110" s="158">
        <f>Datos_Origen[[#This Row],[Salud]]+Datos_Origen[[#This Row],[Pensión]]+Datos_Origen[[#This Row],[ARL]]+Datos_Origen[[#This Row],[Parafiscales]]</f>
        <v>782151.48</v>
      </c>
      <c r="DG110" s="163">
        <f>Datos_Origen[[#This Row],[Costo Laboral Actual]]+Datos_Origen[[#This Row],[CT]]</f>
        <v>6352507.2599999998</v>
      </c>
      <c r="DH110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6973087.8186968835</v>
      </c>
      <c r="DI110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10" s="158">
        <f>Datos_Origen[[#This Row],[Base Seguridad Social Nueva]]*12%</f>
        <v>836770.53824362601</v>
      </c>
      <c r="DK110" s="158">
        <f>Datos_Origen[[#This Row],[Base Seguridad Social Nueva]]*Datos_Origen[[#This Row],[%ARL]]</f>
        <v>36399.518413597732</v>
      </c>
      <c r="DL110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278923.51274787536</v>
      </c>
      <c r="DM110" s="158">
        <f>Datos_Origen[[#This Row],[Salud Nueva]]+Datos_Origen[[#This Row],[Pensión Nueva]]+Datos_Origen[[#This Row],[ARL nueva]]+Datos_Origen[[#This Row],[Parafiscales Nuevos]]</f>
        <v>1152093.5694050991</v>
      </c>
      <c r="DN110" s="158">
        <f>Datos_Origen[[#This Row],[Costo Laboral Nuevo]]+Datos_Origen[[#This Row],[Ctpol]]</f>
        <v>9357093.5694050994</v>
      </c>
      <c r="DO110" s="158">
        <f>IF(Datos_Origen[[#This Row],[Ctpol]]-Datos_Origen[[#This Row],[CT]]&lt;=0,0,Datos_Origen[[#This Row],[Costo Total Nuevo]]-Datos_Origen[[#This Row],[Costo Total Actual]])</f>
        <v>3004586.3094050996</v>
      </c>
      <c r="DP110" s="158">
        <f>IF(Datos_Origen[[#This Row],[Ctpol]]-Datos_Origen[[#This Row],[CT]]&lt;=0,0,Datos_Origen[[#This Row],[Ctpol]]-Datos_Origen[[#This Row],[CT]])</f>
        <v>2634644.2199999997</v>
      </c>
      <c r="DQ110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369942.08940509916</v>
      </c>
      <c r="DR110" s="158">
        <f>ROUNDDOWN(VLOOKUP(Datos_Origen[[#This Row],[Categoria]],Competitividad_1[],7,0)*IndiceIncrementoC,-3)</f>
        <v>9116000</v>
      </c>
      <c r="DS110" s="158">
        <f>Datos_Origen[[#This Row],[CTeq]]*0.8</f>
        <v>4630964.5008789422</v>
      </c>
      <c r="DT110" s="158">
        <f>Datos_Origen[[#This Row],[CTeq]]*1.2</f>
        <v>6946446.7513184128</v>
      </c>
      <c r="DU110" s="155">
        <f>IF(Datos_Origen[[#This Row],[Gpol6]]/(1+FactorPrestacionalOrdinario)&lt;SMMLV,SMMLV,Datos_Origen[[#This Row],[Gpol6]]/(1+FactorPrestacionalOrdinario))</f>
        <v>5578470.2549575064</v>
      </c>
      <c r="DV110" s="139" t="str">
        <f>IF((Datos_Origen[[#This Row],[Gpol6]]/(1+FactorPrestacionalIntegral))&lt;(13*SMMLV),"",(Datos_Origen[[#This Row],[Gpol6]]/(1+FactorPrestacionalIntegral)))</f>
        <v/>
      </c>
      <c r="DW110" s="154">
        <f>Datos_Origen[[#This Row],[G+Vpol8]]</f>
        <v>6564000</v>
      </c>
      <c r="DX110" s="154">
        <f>Datos_Origen[[#This Row],[Ctpol10]]-Datos_Origen[[#This Row],[Beneficios]]</f>
        <v>6564000</v>
      </c>
      <c r="DY110" s="154">
        <f>Datos_Origen[[#This Row],[Ctpol]]*$CM$6</f>
        <v>6564000</v>
      </c>
      <c r="DZ110" s="155">
        <f>IF(Datos_Origen[[#This Row],[Gpol66]]/(1+FactorPrestacionalOrdinario)&lt;SMMLV,SMMLV,Datos_Origen[[#This Row],[Gpol66]]/(1+FactorPrestacionalOrdinario))</f>
        <v>8367705.3824362596</v>
      </c>
      <c r="EA110" s="139" t="str">
        <f>IF((Datos_Origen[[#This Row],[Gpol66]]/(1+FactorPrestacionalIntegral))&lt;(13*SMMLV),"",(Datos_Origen[[#This Row],[Gpol66]]/(1+FactorPrestacionalIntegral)))</f>
        <v/>
      </c>
      <c r="EB110" s="154">
        <f>Datos_Origen[[#This Row],[G+Vpol88]]</f>
        <v>9846000</v>
      </c>
      <c r="EC110" s="154">
        <f>Datos_Origen[[#This Row],[Ctpol1010]]-Datos_Origen[[#This Row],[Beneficios]]</f>
        <v>9846000</v>
      </c>
      <c r="ED110" s="154">
        <f>Datos_Origen[[#This Row],[Ctpol]]*$CP$6</f>
        <v>9846000</v>
      </c>
      <c r="EE110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11" spans="2:135">
      <c r="B111" s="148"/>
      <c r="C111" s="149"/>
      <c r="D111" s="150"/>
      <c r="E111" s="151"/>
      <c r="F111" s="151"/>
      <c r="G111" s="150" t="s">
        <v>534</v>
      </c>
      <c r="H111" s="153"/>
      <c r="I111" s="152" t="s">
        <v>299</v>
      </c>
      <c r="J111" s="130" t="str">
        <f>IFERROR(VLOOKUP(Datos_Origen[[#This Row],[Cargo Tipo Valorado]],Cargos_Catalogo[[#All],[Cargo]:[Área]],2,0),"")</f>
        <v/>
      </c>
      <c r="K111" s="153"/>
      <c r="L111" s="153"/>
      <c r="M111" s="153"/>
      <c r="N111" s="153"/>
      <c r="O111" s="154">
        <f>Datos_Origen[[#This Row],[Segmentación Individual]]</f>
        <v>0</v>
      </c>
      <c r="P111" s="153"/>
      <c r="Q111" s="154">
        <f>VLOOKUP(Datos_Origen[[#This Row],[Cargo Tipo Valorado]],Cargos_Catalogo[#Data],MATCH(Cargos_Catalogo[[#Headers],[Puntos]],Cargos_Catalogo[#Headers],0),FALSE)</f>
        <v>410</v>
      </c>
      <c r="R111" s="130">
        <f>VLOOKUP(Datos_Origen[[#This Row],[Puntos valoración]],Categorias_Registro[#Data],MATCH(Categorias_Registro[[#Headers],[Categoria]],Categorias_Registro[#Headers],0),FALSE)</f>
        <v>12</v>
      </c>
      <c r="S111" s="130" t="str">
        <f>VLOOKUP(Datos_Origen[[#This Row],[Cargo Tipo Valorado]],Cargos_Catalogo[#Data],MATCH(Cargos_Catalogo[[#Headers],[Nivel SHR]],Cargos_Catalogo[#Headers],0),FALSE)</f>
        <v>Táctico</v>
      </c>
      <c r="T111" s="130" t="str">
        <f>VLOOKUP(Datos_Origen[[#This Row],[Cargo Tipo Valorado]],Cargos_Catalogo[#Data],MATCH(Cargos_Catalogo[[#Headers],[Criticidad]],Cargos_Catalogo[#Headers],0),FALSE)</f>
        <v>Importante</v>
      </c>
      <c r="U111" s="154">
        <f>VLOOKUP(Datos_Origen[[#This Row],[Puntos valoración]],Categorias_Registro[#Data],5,FALSE)</f>
        <v>436</v>
      </c>
      <c r="V111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5818633.1500000004</v>
      </c>
      <c r="W111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11" s="154">
        <f>SUMIF($BA$5:$BJ$5,"NCS",Datos_Origen[[#This Row],[auxilio Gasolina]:[Otro Beneficio10]])+(SUMIF($BA$5:$BJ$5,"CS",Datos_Origen[[#This Row],[auxilio Gasolina]:[Otro Beneficio10]])*1.17667)</f>
        <v>0</v>
      </c>
      <c r="Y111" s="155">
        <f>Datos_Origen[[#This Row],[Básico]]+Datos_Origen[[#This Row],[Promedio de Comisiones  ]]</f>
        <v>4945000</v>
      </c>
      <c r="Z111" s="155">
        <f>Datos_Origen[[#This Row],[Básico]]+Datos_Origen[[#This Row],[Promedio de Comisiones  ]]</f>
        <v>4945000</v>
      </c>
      <c r="AA111" s="155">
        <f>Datos_Origen[[#This Row],[Garantizado]]</f>
        <v>5818633.1500000004</v>
      </c>
      <c r="AB111" s="155">
        <f>Datos_Origen[[#This Row],[Variable]]+Datos_Origen[[#This Row],[Garantizado]]</f>
        <v>5818633.1500000004</v>
      </c>
      <c r="AC111" s="155">
        <f>Datos_Origen[[#This Row],[Beneficios]]+Datos_Origen[[#This Row],[Variable]]+Datos_Origen[[#This Row],[Garantizado]]</f>
        <v>5818633.1500000004</v>
      </c>
      <c r="AD111" s="156">
        <v>14.12</v>
      </c>
      <c r="AE111" s="141">
        <v>230</v>
      </c>
      <c r="AF111" s="345">
        <v>4.3499999999999997E-2</v>
      </c>
      <c r="AG111" s="155">
        <f>Datos_Origen[[#This Row],[Básico Actual]]*230/Datos_Origen[[#This Row],['# horas mes]]</f>
        <v>4945000</v>
      </c>
      <c r="AH111" s="157">
        <v>4945000</v>
      </c>
      <c r="AI111" s="158"/>
      <c r="AJ111" s="158">
        <f>(((Datos_Origen[[#This Row],[Básico]])/30)*$AJ$6)/12</f>
        <v>0</v>
      </c>
      <c r="AK111" s="158"/>
      <c r="AL111" s="143">
        <f>((Datos_Origen[[#This Row],[Básico]])/30)*$AL$6/12</f>
        <v>0</v>
      </c>
      <c r="AM111" s="158"/>
      <c r="AN111" s="158"/>
      <c r="AO111" s="158"/>
      <c r="AP111" s="158"/>
      <c r="AQ111" s="158"/>
      <c r="AR111" s="149">
        <v>0</v>
      </c>
      <c r="AS111" s="149"/>
      <c r="AT111" s="159" t="str">
        <f>IFERROR(Datos_Origen[[#This Row],[Comisiones Target]]/Datos_Origen[[#This Row],[Promedio de Comisiones  ]],"")</f>
        <v/>
      </c>
      <c r="AU111" s="160"/>
      <c r="AV111" s="143">
        <v>0</v>
      </c>
      <c r="AW111" s="160"/>
      <c r="AX111" s="143">
        <f>Datos_Origen[[#This Row],[N Salarios de la Bonificación2]]*Datos_Origen[[#This Row],[Básico]]/12</f>
        <v>0</v>
      </c>
      <c r="AY111" s="160"/>
      <c r="AZ111" s="158"/>
      <c r="BA111" s="149">
        <v>0</v>
      </c>
      <c r="BB111" s="149"/>
      <c r="BC111" s="149"/>
      <c r="BD111" s="149"/>
      <c r="BE111" s="149"/>
      <c r="BF111" s="149"/>
      <c r="BG111" s="149"/>
      <c r="BH111" s="149"/>
      <c r="BI111" s="149"/>
      <c r="BJ111" s="149"/>
      <c r="BK111" s="159">
        <f>IFERROR(Datos_Origen[[#This Row],[Variable]]/Datos_Origen[[#This Row],[CT]],"")</f>
        <v>0</v>
      </c>
      <c r="BL111" s="159">
        <f>IFERROR(Datos_Origen[[#This Row],[Beneficios]]/Datos_Origen[[#This Row],[CT]],"")</f>
        <v>0</v>
      </c>
      <c r="BM111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11" s="161">
        <f>Datos_Origen[[#This Row],[G]]/Datos_Origen[[#This Row],[Geq]]</f>
        <v>1.0535373262052805</v>
      </c>
      <c r="BO111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11" s="161">
        <f>Datos_Origen[[#This Row],[G+V]]/Datos_Origen[[#This Row],[G+Veq]]</f>
        <v>1.0059016373501952</v>
      </c>
      <c r="BQ111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11" s="161">
        <f>Datos_Origen[[#This Row],[CT]]/Datos_Origen[[#This Row],[CTeq]]</f>
        <v>1.0051699854569203</v>
      </c>
      <c r="BS111" s="139">
        <f>ROUNDUP(VLOOKUP(Datos_Origen[[#This Row],[Categoria]],Competitividad_1[#All],2,0)*IndiceIncrementoC,-3)</f>
        <v>6487000</v>
      </c>
      <c r="BT111" s="161">
        <f>Datos_Origen[[#This Row],[G]]/Datos_Origen[[#This Row],[GQ1]]</f>
        <v>0.8969682673038385</v>
      </c>
      <c r="BU111" s="155">
        <f>ROUNDUP(VLOOKUP(Datos_Origen[[#This Row],[Categoria]],Competitividad_1[#All],3,0)*IndiceIncrementoC,-3)</f>
        <v>6736000</v>
      </c>
      <c r="BV111" s="161">
        <f>Datos_Origen[[#This Row],[G+V]]/Datos_Origen[[#This Row],[G+VQ1]]</f>
        <v>0.86381133461995252</v>
      </c>
      <c r="BW111" s="155">
        <f>ROUNDUP(VLOOKUP(Datos_Origen[[#This Row],[Categoria]],Competitividad_1[#All],4,0)*IndiceIncrementoC,-3)</f>
        <v>7056000</v>
      </c>
      <c r="BX111" s="161">
        <f>Datos_Origen[[#This Row],[CT]]/Datos_Origen[[#This Row],[CTQ1]]</f>
        <v>0.82463621740362814</v>
      </c>
      <c r="BY111" s="155">
        <f>ROUNDUP(VLOOKUP(Datos_Origen[[#This Row],[Categoria]],Competitividad_1[#All],5,0)*IndiceIncrementoC,-3)</f>
        <v>8476000</v>
      </c>
      <c r="BZ111" s="161">
        <f>Datos_Origen[[#This Row],[G]]/Datos_Origen[[#This Row],[GMd]]</f>
        <v>0.68648338249174146</v>
      </c>
      <c r="CA111" s="155">
        <f>ROUNDUP(VLOOKUP(Datos_Origen[[#This Row],[Categoria]],Competitividad_1[#All],6,0)*IndiceIncrementoC,-3)</f>
        <v>8755000</v>
      </c>
      <c r="CB111" s="161">
        <f>Datos_Origen[[#This Row],[G+V]]/Datos_Origen[[#This Row],[G+VMd]]</f>
        <v>0.66460687035979449</v>
      </c>
      <c r="CC111" s="155">
        <f>ROUNDUP(VLOOKUP(Datos_Origen[[#This Row],[Categoria]],Competitividad_1[#All],7,0)*IndiceIncrementoC,-3)</f>
        <v>9117000</v>
      </c>
      <c r="CD111" s="161">
        <f>Datos_Origen[[#This Row],[CT]]/Datos_Origen[[#This Row],[CTMd]]</f>
        <v>0.63821796095206762</v>
      </c>
      <c r="CE111" s="155">
        <f>+Datos_Origen[[#This Row],[GMd]]/1.17666666667</f>
        <v>7203399.4334073551</v>
      </c>
      <c r="CF111" s="161">
        <f>+Datos_Origen[[#This Row],[Básico Actual]]/Datos_Origen[[#This Row],[Salario Basico Md]]</f>
        <v>0.6864814377870635</v>
      </c>
      <c r="CG111" s="155">
        <f>ROUNDUP(VLOOKUP(Datos_Origen[[#This Row],[Categoria]],Competitividad_1[#All],8,0)*IndiceIncrementoC,-3)</f>
        <v>8965000</v>
      </c>
      <c r="CH111" s="161">
        <f>Datos_Origen[[#This Row],[G]]/Datos_Origen[[#This Row],[GQ3]]</f>
        <v>0.64903883435582821</v>
      </c>
      <c r="CI111" s="155">
        <f>ROUNDUP(VLOOKUP(Datos_Origen[[#This Row],[Categoria]],Competitividad_1[#All],9,0)*IndiceIncrementoC,-3)</f>
        <v>9200000</v>
      </c>
      <c r="CJ111" s="161">
        <f>Datos_Origen[[#This Row],[G+V]]/Datos_Origen[[#This Row],[G+VQ3]]</f>
        <v>0.63246012500000004</v>
      </c>
      <c r="CK111" s="155">
        <f>ROUNDUP(VLOOKUP(Datos_Origen[[#This Row],[Categoria]],Competitividad_1[#All],10,0)*IndiceIncrementoC,-3)</f>
        <v>9412000</v>
      </c>
      <c r="CL111" s="161">
        <f>Datos_Origen[[#This Row],[CT]]/Datos_Origen[[#This Row],[CTQ3]]</f>
        <v>0.61821431682957928</v>
      </c>
      <c r="CM111" s="162">
        <f>IF(ROUND(Datos_Origen[[#This Row],[Salario Ordinario Pol2]],-3)&lt;SMMLV,SMMLV,ROUND(Datos_Origen[[#This Row],[Salario Ordinario Pol2]],-3))</f>
        <v>6199000</v>
      </c>
      <c r="CN111" s="155">
        <f>IF(Datos_Origen[[#This Row],[Gpol]]/(1+FactorPrestacionalOrdinario)&lt;SMMLV,SMMLV,Datos_Origen[[#This Row],[Gpol]]/(1+FactorPrestacionalOrdinario))</f>
        <v>7748158.6402266286</v>
      </c>
      <c r="CO111" s="161">
        <f>IFERROR(IF(Datos_Origen[[#This Row],[Salarios Año]]=14.12,Datos_Origen[[#This Row],[Básico]]/Datos_Origen[[#This Row],[Salario Ordinario Pol]],""),"")</f>
        <v>0.63821615297429712</v>
      </c>
      <c r="CP111" s="155">
        <f>IF(ROUND(Datos_Origen[[#This Row],[Salario Ordinario Pol22]],-3)&lt;SMMLV,SMMLV,ROUND(Datos_Origen[[#This Row],[Salario Ordinario Pol22]],-3))</f>
        <v>9298000</v>
      </c>
      <c r="CQ111" s="155" t="str">
        <f>IFERROR(ROUND(Datos_Origen[[#This Row],[Salario Integral Pol4]],-3),"")</f>
        <v/>
      </c>
      <c r="CR111" s="139" t="str">
        <f>IF((Datos_Origen[[#This Row],[Gpol]]/(1+FactorPrestacionalIntegral))&lt;(13*SMMLV),"",(Datos_Origen[[#This Row],[Gpol]]/(1+FactorPrestacionalIntegral)))</f>
        <v/>
      </c>
      <c r="CS111" s="161" t="str">
        <f>IFERROR(IF(Datos_Origen[[#This Row],[Salarios Año]]=12,Datos_Origen[[#This Row],[Básico]]/Datos_Origen[[#This Row],[Salario Integral Pol]],""),"")</f>
        <v/>
      </c>
      <c r="CT111" s="155" t="str">
        <f>IFERROR(ROUND(Datos_Origen[[#This Row],[Salario Integral Pol44]],-3),"")</f>
        <v/>
      </c>
      <c r="CU111" s="155">
        <f>Datos_Origen[[#This Row],[G+Vpol]]-Datos_Origen[[#This Row],[Variable]]</f>
        <v>9117000</v>
      </c>
      <c r="CV111" s="161">
        <f>Datos_Origen[[#This Row],[G]]/Datos_Origen[[#This Row],[Gpol]]</f>
        <v>0.63821796095206762</v>
      </c>
      <c r="CW111" s="154">
        <f>Datos_Origen[[#This Row],[Ctpol]]-Datos_Origen[[#This Row],[Beneficios]]</f>
        <v>9117000</v>
      </c>
      <c r="CX111" s="161">
        <f>Datos_Origen[[#This Row],[G+V]]/Datos_Origen[[#This Row],[G+Vpol]]</f>
        <v>0.63821796095206762</v>
      </c>
      <c r="CY111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9117000</v>
      </c>
      <c r="CZ111" s="161">
        <f>Datos_Origen[[#This Row],[CT]]/Datos_Origen[[#This Row],[Ctpol]]</f>
        <v>0.63821796095206762</v>
      </c>
      <c r="DA111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4945000</v>
      </c>
      <c r="DB111" s="158">
        <f>IF(Datos_Origen[[#This Row],[Básico]]&lt;10*SMMLV,0,Datos_Origen[[#This Row],[Base Seguridad Social Actual]]*8.5%)</f>
        <v>0</v>
      </c>
      <c r="DC111" s="158">
        <f>Datos_Origen[[#This Row],[Base Seguridad Social Actual]]*12%</f>
        <v>593400</v>
      </c>
      <c r="DD111" s="158">
        <f>Datos_Origen[[#This Row],[Base Seguridad Social Actual]]*Datos_Origen[[#This Row],[%ARL]]</f>
        <v>215107.49999999997</v>
      </c>
      <c r="DE111" s="158">
        <f>IF(Datos_Origen[[#This Row],[Básico]]&lt;10*SMMLV,Datos_Origen[[#This Row],[Base Seguridad Social Actual]]*4%,Datos_Origen[[#This Row],[Base Seguridad Social Actual]]*9%)</f>
        <v>197800</v>
      </c>
      <c r="DF111" s="158">
        <f>Datos_Origen[[#This Row],[Salud]]+Datos_Origen[[#This Row],[Pensión]]+Datos_Origen[[#This Row],[ARL]]+Datos_Origen[[#This Row],[Parafiscales]]</f>
        <v>1006307.5</v>
      </c>
      <c r="DG111" s="163">
        <f>Datos_Origen[[#This Row],[Costo Laboral Actual]]+Datos_Origen[[#This Row],[CT]]</f>
        <v>6824940.6500000004</v>
      </c>
      <c r="DH111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7748158.6402266286</v>
      </c>
      <c r="DI111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11" s="158">
        <f>Datos_Origen[[#This Row],[Base Seguridad Social Nueva]]*12%</f>
        <v>929779.03682719544</v>
      </c>
      <c r="DK111" s="158">
        <f>Datos_Origen[[#This Row],[Base Seguridad Social Nueva]]*Datos_Origen[[#This Row],[%ARL]]</f>
        <v>337044.9008498583</v>
      </c>
      <c r="DL111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309926.34560906515</v>
      </c>
      <c r="DM111" s="158">
        <f>Datos_Origen[[#This Row],[Salud Nueva]]+Datos_Origen[[#This Row],[Pensión Nueva]]+Datos_Origen[[#This Row],[ARL nueva]]+Datos_Origen[[#This Row],[Parafiscales Nuevos]]</f>
        <v>1576750.2832861189</v>
      </c>
      <c r="DN111" s="158">
        <f>Datos_Origen[[#This Row],[Costo Laboral Nuevo]]+Datos_Origen[[#This Row],[Ctpol]]</f>
        <v>10693750.283286119</v>
      </c>
      <c r="DO111" s="158">
        <f>IF(Datos_Origen[[#This Row],[Ctpol]]-Datos_Origen[[#This Row],[CT]]&lt;=0,0,Datos_Origen[[#This Row],[Costo Total Nuevo]]-Datos_Origen[[#This Row],[Costo Total Actual]])</f>
        <v>3868809.6332861185</v>
      </c>
      <c r="DP111" s="158">
        <f>IF(Datos_Origen[[#This Row],[Ctpol]]-Datos_Origen[[#This Row],[CT]]&lt;=0,0,Datos_Origen[[#This Row],[Ctpol]]-Datos_Origen[[#This Row],[CT]])</f>
        <v>3298366.8499999996</v>
      </c>
      <c r="DQ111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570442.78328611888</v>
      </c>
      <c r="DR111" s="158">
        <f>ROUNDDOWN(VLOOKUP(Datos_Origen[[#This Row],[Categoria]],Competitividad_1[],7,0)*IndiceIncrementoC,-3)</f>
        <v>9116000</v>
      </c>
      <c r="DS111" s="158">
        <f>Datos_Origen[[#This Row],[CTeq]]*0.8</f>
        <v>4630964.5008789422</v>
      </c>
      <c r="DT111" s="158">
        <f>Datos_Origen[[#This Row],[CTeq]]*1.2</f>
        <v>6946446.7513184128</v>
      </c>
      <c r="DU111" s="155">
        <f>IF(Datos_Origen[[#This Row],[Gpol6]]/(1+FactorPrestacionalOrdinario)&lt;SMMLV,SMMLV,Datos_Origen[[#This Row],[Gpol6]]/(1+FactorPrestacionalOrdinario))</f>
        <v>6198526.9121813029</v>
      </c>
      <c r="DV111" s="139" t="str">
        <f>IF((Datos_Origen[[#This Row],[Gpol6]]/(1+FactorPrestacionalIntegral))&lt;(13*SMMLV),"",(Datos_Origen[[#This Row],[Gpol6]]/(1+FactorPrestacionalIntegral)))</f>
        <v/>
      </c>
      <c r="DW111" s="154">
        <f>Datos_Origen[[#This Row],[G+Vpol8]]</f>
        <v>7293600</v>
      </c>
      <c r="DX111" s="154">
        <f>Datos_Origen[[#This Row],[Ctpol10]]-Datos_Origen[[#This Row],[Beneficios]]</f>
        <v>7293600</v>
      </c>
      <c r="DY111" s="154">
        <f>Datos_Origen[[#This Row],[Ctpol]]*$CM$6</f>
        <v>7293600</v>
      </c>
      <c r="DZ111" s="155">
        <f>IF(Datos_Origen[[#This Row],[Gpol66]]/(1+FactorPrestacionalOrdinario)&lt;SMMLV,SMMLV,Datos_Origen[[#This Row],[Gpol66]]/(1+FactorPrestacionalOrdinario))</f>
        <v>9297790.3682719544</v>
      </c>
      <c r="EA111" s="139" t="str">
        <f>IF((Datos_Origen[[#This Row],[Gpol66]]/(1+FactorPrestacionalIntegral))&lt;(13*SMMLV),"",(Datos_Origen[[#This Row],[Gpol66]]/(1+FactorPrestacionalIntegral)))</f>
        <v/>
      </c>
      <c r="EB111" s="154">
        <f>Datos_Origen[[#This Row],[G+Vpol88]]</f>
        <v>10940400</v>
      </c>
      <c r="EC111" s="154">
        <f>Datos_Origen[[#This Row],[Ctpol1010]]-Datos_Origen[[#This Row],[Beneficios]]</f>
        <v>10940400</v>
      </c>
      <c r="ED111" s="154">
        <f>Datos_Origen[[#This Row],[Ctpol]]*$CP$6</f>
        <v>10940400</v>
      </c>
      <c r="EE111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12" spans="2:135">
      <c r="B112" s="132"/>
      <c r="C112" s="149"/>
      <c r="D112" s="150"/>
      <c r="E112" s="151"/>
      <c r="F112" s="151"/>
      <c r="G112" s="150" t="s">
        <v>535</v>
      </c>
      <c r="H112" s="153"/>
      <c r="I112" s="152" t="s">
        <v>303</v>
      </c>
      <c r="J112" s="130" t="str">
        <f>IFERROR(VLOOKUP(Datos_Origen[[#This Row],[Cargo Tipo Valorado]],Cargos_Catalogo[[#All],[Cargo]:[Área]],2,0),"")</f>
        <v/>
      </c>
      <c r="K112" s="153"/>
      <c r="L112" s="153"/>
      <c r="M112" s="153"/>
      <c r="N112" s="153"/>
      <c r="O112" s="154">
        <f>Datos_Origen[[#This Row],[Segmentación Individual]]</f>
        <v>0</v>
      </c>
      <c r="P112" s="153"/>
      <c r="Q112" s="154">
        <f>VLOOKUP(Datos_Origen[[#This Row],[Cargo Tipo Valorado]],Cargos_Catalogo[#Data],MATCH(Cargos_Catalogo[[#Headers],[Puntos]],Cargos_Catalogo[#Headers],0),FALSE)</f>
        <v>420</v>
      </c>
      <c r="R112" s="130">
        <f>VLOOKUP(Datos_Origen[[#This Row],[Puntos valoración]],Categorias_Registro[#Data],MATCH(Categorias_Registro[[#Headers],[Categoria]],Categorias_Registro[#Headers],0),FALSE)</f>
        <v>12</v>
      </c>
      <c r="S112" s="130" t="str">
        <f>VLOOKUP(Datos_Origen[[#This Row],[Cargo Tipo Valorado]],Cargos_Catalogo[#Data],MATCH(Cargos_Catalogo[[#Headers],[Nivel SHR]],Cargos_Catalogo[#Headers],0),FALSE)</f>
        <v>Táctico</v>
      </c>
      <c r="T112" s="130" t="str">
        <f>VLOOKUP(Datos_Origen[[#This Row],[Cargo Tipo Valorado]],Cargos_Catalogo[#Data],MATCH(Cargos_Catalogo[[#Headers],[Criticidad]],Cargos_Catalogo[#Headers],0),FALSE)</f>
        <v>Relevante</v>
      </c>
      <c r="U112" s="154">
        <f>VLOOKUP(Datos_Origen[[#This Row],[Puntos valoración]],Categorias_Registro[#Data],5,FALSE)</f>
        <v>436</v>
      </c>
      <c r="V112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11251318.540000001</v>
      </c>
      <c r="W112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12" s="154">
        <f>SUMIF($BA$5:$BJ$5,"NCS",Datos_Origen[[#This Row],[auxilio Gasolina]:[Otro Beneficio10]])+(SUMIF($BA$5:$BJ$5,"CS",Datos_Origen[[#This Row],[auxilio Gasolina]:[Otro Beneficio10]])*1.17667)</f>
        <v>0</v>
      </c>
      <c r="Y112" s="155">
        <f>Datos_Origen[[#This Row],[Básico]]+Datos_Origen[[#This Row],[Promedio de Comisiones  ]]</f>
        <v>9562000</v>
      </c>
      <c r="Z112" s="155">
        <f>Datos_Origen[[#This Row],[Básico]]+Datos_Origen[[#This Row],[Promedio de Comisiones  ]]</f>
        <v>9562000</v>
      </c>
      <c r="AA112" s="155">
        <f>Datos_Origen[[#This Row],[Garantizado]]</f>
        <v>11251318.540000001</v>
      </c>
      <c r="AB112" s="155">
        <f>Datos_Origen[[#This Row],[Variable]]+Datos_Origen[[#This Row],[Garantizado]]</f>
        <v>11251318.540000001</v>
      </c>
      <c r="AC112" s="155">
        <f>Datos_Origen[[#This Row],[Beneficios]]+Datos_Origen[[#This Row],[Variable]]+Datos_Origen[[#This Row],[Garantizado]]</f>
        <v>11251318.540000001</v>
      </c>
      <c r="AD112" s="156">
        <v>14.12</v>
      </c>
      <c r="AE112" s="141">
        <v>230</v>
      </c>
      <c r="AF112" s="345">
        <v>5.2199999999999998E-3</v>
      </c>
      <c r="AG112" s="155">
        <f>Datos_Origen[[#This Row],[Básico Actual]]*230/Datos_Origen[[#This Row],['# horas mes]]</f>
        <v>9562000</v>
      </c>
      <c r="AH112" s="157">
        <v>9562000</v>
      </c>
      <c r="AI112" s="158"/>
      <c r="AJ112" s="158">
        <f>(((Datos_Origen[[#This Row],[Básico]])/30)*$AJ$6)/12</f>
        <v>0</v>
      </c>
      <c r="AK112" s="158"/>
      <c r="AL112" s="143">
        <f>((Datos_Origen[[#This Row],[Básico]])/30)*$AL$6/12</f>
        <v>0</v>
      </c>
      <c r="AM112" s="158"/>
      <c r="AN112" s="158"/>
      <c r="AO112" s="158"/>
      <c r="AP112" s="158"/>
      <c r="AQ112" s="158"/>
      <c r="AR112" s="149">
        <v>0</v>
      </c>
      <c r="AS112" s="149"/>
      <c r="AT112" s="159" t="str">
        <f>IFERROR(Datos_Origen[[#This Row],[Comisiones Target]]/Datos_Origen[[#This Row],[Promedio de Comisiones  ]],"")</f>
        <v/>
      </c>
      <c r="AU112" s="160"/>
      <c r="AV112" s="143">
        <v>0</v>
      </c>
      <c r="AW112" s="160"/>
      <c r="AX112" s="143">
        <f>Datos_Origen[[#This Row],[N Salarios de la Bonificación2]]*Datos_Origen[[#This Row],[Básico]]/12</f>
        <v>0</v>
      </c>
      <c r="AY112" s="160"/>
      <c r="AZ112" s="158"/>
      <c r="BA112" s="149">
        <v>0</v>
      </c>
      <c r="BB112" s="149"/>
      <c r="BC112" s="149"/>
      <c r="BD112" s="149"/>
      <c r="BE112" s="149"/>
      <c r="BF112" s="149"/>
      <c r="BG112" s="149"/>
      <c r="BH112" s="149"/>
      <c r="BI112" s="149"/>
      <c r="BJ112" s="149"/>
      <c r="BK112" s="159">
        <f>IFERROR(Datos_Origen[[#This Row],[Variable]]/Datos_Origen[[#This Row],[CT]],"")</f>
        <v>0</v>
      </c>
      <c r="BL112" s="159">
        <f>IFERROR(Datos_Origen[[#This Row],[Beneficios]]/Datos_Origen[[#This Row],[CT]],"")</f>
        <v>0</v>
      </c>
      <c r="BM112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12" s="161">
        <f>Datos_Origen[[#This Row],[G]]/Datos_Origen[[#This Row],[Geq]]</f>
        <v>2.0371939157077636</v>
      </c>
      <c r="BO112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12" s="161">
        <f>Datos_Origen[[#This Row],[G+V]]/Datos_Origen[[#This Row],[G+Veq]]</f>
        <v>1.9450821954181128</v>
      </c>
      <c r="BQ112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12" s="161">
        <f>Datos_Origen[[#This Row],[CT]]/Datos_Origen[[#This Row],[CTeq]]</f>
        <v>1.9436674218279215</v>
      </c>
      <c r="BS112" s="139">
        <f>ROUNDUP(VLOOKUP(Datos_Origen[[#This Row],[Categoria]],Competitividad_1[#All],2,0)*IndiceIncrementoC,-3)</f>
        <v>6487000</v>
      </c>
      <c r="BT112" s="161">
        <f>Datos_Origen[[#This Row],[G]]/Datos_Origen[[#This Row],[GQ1]]</f>
        <v>1.734440965006937</v>
      </c>
      <c r="BU112" s="155">
        <f>ROUNDUP(VLOOKUP(Datos_Origen[[#This Row],[Categoria]],Competitividad_1[#All],3,0)*IndiceIncrementoC,-3)</f>
        <v>6736000</v>
      </c>
      <c r="BV112" s="161">
        <f>Datos_Origen[[#This Row],[G+V]]/Datos_Origen[[#This Row],[G+VQ1]]</f>
        <v>1.6703263865795726</v>
      </c>
      <c r="BW112" s="155">
        <f>ROUNDUP(VLOOKUP(Datos_Origen[[#This Row],[Categoria]],Competitividad_1[#All],4,0)*IndiceIncrementoC,-3)</f>
        <v>7056000</v>
      </c>
      <c r="BX112" s="161">
        <f>Datos_Origen[[#This Row],[CT]]/Datos_Origen[[#This Row],[CTQ1]]</f>
        <v>1.594574623015873</v>
      </c>
      <c r="BY112" s="155">
        <f>ROUNDUP(VLOOKUP(Datos_Origen[[#This Row],[Categoria]],Competitividad_1[#All],5,0)*IndiceIncrementoC,-3)</f>
        <v>8476000</v>
      </c>
      <c r="BZ112" s="161">
        <f>Datos_Origen[[#This Row],[G]]/Datos_Origen[[#This Row],[GMd]]</f>
        <v>1.3274325790467203</v>
      </c>
      <c r="CA112" s="155">
        <f>ROUNDUP(VLOOKUP(Datos_Origen[[#This Row],[Categoria]],Competitividad_1[#All],6,0)*IndiceIncrementoC,-3)</f>
        <v>8755000</v>
      </c>
      <c r="CB112" s="161">
        <f>Datos_Origen[[#This Row],[G+V]]/Datos_Origen[[#This Row],[G+VMd]]</f>
        <v>1.2851306156482012</v>
      </c>
      <c r="CC112" s="155">
        <f>ROUNDUP(VLOOKUP(Datos_Origen[[#This Row],[Categoria]],Competitividad_1[#All],7,0)*IndiceIncrementoC,-3)</f>
        <v>9117000</v>
      </c>
      <c r="CD112" s="161">
        <f>Datos_Origen[[#This Row],[CT]]/Datos_Origen[[#This Row],[CTMd]]</f>
        <v>1.234103163321268</v>
      </c>
      <c r="CE112" s="155">
        <f>+Datos_Origen[[#This Row],[GMd]]/1.17666666667</f>
        <v>7203399.4334073551</v>
      </c>
      <c r="CF112" s="161">
        <f>+Datos_Origen[[#This Row],[Básico Actual]]/Datos_Origen[[#This Row],[Salario Basico Md]]</f>
        <v>1.3274288186288983</v>
      </c>
      <c r="CG112" s="155">
        <f>ROUNDUP(VLOOKUP(Datos_Origen[[#This Row],[Categoria]],Competitividad_1[#All],8,0)*IndiceIncrementoC,-3)</f>
        <v>8965000</v>
      </c>
      <c r="CH112" s="161">
        <f>Datos_Origen[[#This Row],[G]]/Datos_Origen[[#This Row],[GQ3]]</f>
        <v>1.2550271656441718</v>
      </c>
      <c r="CI112" s="155">
        <f>ROUNDUP(VLOOKUP(Datos_Origen[[#This Row],[Categoria]],Competitividad_1[#All],9,0)*IndiceIncrementoC,-3)</f>
        <v>9200000</v>
      </c>
      <c r="CJ112" s="161">
        <f>Datos_Origen[[#This Row],[G+V]]/Datos_Origen[[#This Row],[G+VQ3]]</f>
        <v>1.2229694065217391</v>
      </c>
      <c r="CK112" s="155">
        <f>ROUNDUP(VLOOKUP(Datos_Origen[[#This Row],[Categoria]],Competitividad_1[#All],10,0)*IndiceIncrementoC,-3)</f>
        <v>9412000</v>
      </c>
      <c r="CL112" s="161">
        <f>Datos_Origen[[#This Row],[CT]]/Datos_Origen[[#This Row],[CTQ3]]</f>
        <v>1.1954227093072674</v>
      </c>
      <c r="CM112" s="162">
        <f>IF(ROUND(Datos_Origen[[#This Row],[Salario Ordinario Pol2]],-3)&lt;SMMLV,SMMLV,ROUND(Datos_Origen[[#This Row],[Salario Ordinario Pol2]],-3))</f>
        <v>5578000</v>
      </c>
      <c r="CN112" s="155">
        <f>IF(Datos_Origen[[#This Row],[Gpol]]/(1+FactorPrestacionalOrdinario)&lt;SMMLV,SMMLV,Datos_Origen[[#This Row],[Gpol]]/(1+FactorPrestacionalOrdinario))</f>
        <v>6973087.8186968835</v>
      </c>
      <c r="CO112" s="161">
        <f>IFERROR(IF(Datos_Origen[[#This Row],[Salarios Año]]=14.12,Datos_Origen[[#This Row],[Básico]]/Datos_Origen[[#This Row],[Salario Ordinario Pol]],""),"")</f>
        <v>1.3712719886248224</v>
      </c>
      <c r="CP112" s="155">
        <f>IF(ROUND(Datos_Origen[[#This Row],[Salario Ordinario Pol22]],-3)&lt;SMMLV,SMMLV,ROUND(Datos_Origen[[#This Row],[Salario Ordinario Pol22]],-3))</f>
        <v>8368000</v>
      </c>
      <c r="CQ112" s="155" t="str">
        <f>IFERROR(ROUND(Datos_Origen[[#This Row],[Salario Integral Pol4]],-3),"")</f>
        <v/>
      </c>
      <c r="CR112" s="139" t="str">
        <f>IF((Datos_Origen[[#This Row],[Gpol]]/(1+FactorPrestacionalIntegral))&lt;(13*SMMLV),"",(Datos_Origen[[#This Row],[Gpol]]/(1+FactorPrestacionalIntegral)))</f>
        <v/>
      </c>
      <c r="CS112" s="161" t="str">
        <f>IFERROR(IF(Datos_Origen[[#This Row],[Salarios Año]]=12,Datos_Origen[[#This Row],[Básico]]/Datos_Origen[[#This Row],[Salario Integral Pol]],""),"")</f>
        <v/>
      </c>
      <c r="CT112" s="155" t="str">
        <f>IFERROR(ROUND(Datos_Origen[[#This Row],[Salario Integral Pol44]],-3),"")</f>
        <v/>
      </c>
      <c r="CU112" s="155">
        <f>Datos_Origen[[#This Row],[G+Vpol]]-Datos_Origen[[#This Row],[Variable]]</f>
        <v>8205000</v>
      </c>
      <c r="CV112" s="161">
        <f>Datos_Origen[[#This Row],[G]]/Datos_Origen[[#This Row],[Gpol]]</f>
        <v>1.3712758732480197</v>
      </c>
      <c r="CW112" s="154">
        <f>Datos_Origen[[#This Row],[Ctpol]]-Datos_Origen[[#This Row],[Beneficios]]</f>
        <v>8205000</v>
      </c>
      <c r="CX112" s="161">
        <f>Datos_Origen[[#This Row],[G+V]]/Datos_Origen[[#This Row],[G+Vpol]]</f>
        <v>1.3712758732480197</v>
      </c>
      <c r="CY112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8205000</v>
      </c>
      <c r="CZ112" s="161">
        <f>Datos_Origen[[#This Row],[CT]]/Datos_Origen[[#This Row],[Ctpol]]</f>
        <v>1.3712758732480197</v>
      </c>
      <c r="DA112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9562000</v>
      </c>
      <c r="DB112" s="158">
        <f>IF(Datos_Origen[[#This Row],[Básico]]&lt;10*SMMLV,0,Datos_Origen[[#This Row],[Base Seguridad Social Actual]]*8.5%)</f>
        <v>0</v>
      </c>
      <c r="DC112" s="158">
        <f>Datos_Origen[[#This Row],[Base Seguridad Social Actual]]*12%</f>
        <v>1147440</v>
      </c>
      <c r="DD112" s="158">
        <f>Datos_Origen[[#This Row],[Base Seguridad Social Actual]]*Datos_Origen[[#This Row],[%ARL]]</f>
        <v>49913.64</v>
      </c>
      <c r="DE112" s="158">
        <f>IF(Datos_Origen[[#This Row],[Básico]]&lt;10*SMMLV,Datos_Origen[[#This Row],[Base Seguridad Social Actual]]*4%,Datos_Origen[[#This Row],[Base Seguridad Social Actual]]*9%)</f>
        <v>382480</v>
      </c>
      <c r="DF112" s="158">
        <f>Datos_Origen[[#This Row],[Salud]]+Datos_Origen[[#This Row],[Pensión]]+Datos_Origen[[#This Row],[ARL]]+Datos_Origen[[#This Row],[Parafiscales]]</f>
        <v>1579833.64</v>
      </c>
      <c r="DG112" s="158">
        <f>Datos_Origen[[#This Row],[Costo Laboral Actual]]+Datos_Origen[[#This Row],[CT]]</f>
        <v>12831152.180000002</v>
      </c>
      <c r="DH112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6973087.8186968835</v>
      </c>
      <c r="DI112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12" s="158">
        <f>Datos_Origen[[#This Row],[Base Seguridad Social Nueva]]*12%</f>
        <v>836770.53824362601</v>
      </c>
      <c r="DK112" s="158">
        <f>Datos_Origen[[#This Row],[Base Seguridad Social Nueva]]*Datos_Origen[[#This Row],[%ARL]]</f>
        <v>36399.518413597732</v>
      </c>
      <c r="DL112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278923.51274787536</v>
      </c>
      <c r="DM112" s="158">
        <f>Datos_Origen[[#This Row],[Salud Nueva]]+Datos_Origen[[#This Row],[Pensión Nueva]]+Datos_Origen[[#This Row],[ARL nueva]]+Datos_Origen[[#This Row],[Parafiscales Nuevos]]</f>
        <v>1152093.5694050991</v>
      </c>
      <c r="DN112" s="158">
        <f>Datos_Origen[[#This Row],[Costo Laboral Nuevo]]+Datos_Origen[[#This Row],[Ctpol]]</f>
        <v>9357093.5694050994</v>
      </c>
      <c r="DO112" s="158">
        <f>IF(Datos_Origen[[#This Row],[Ctpol]]-Datos_Origen[[#This Row],[CT]]&lt;=0,0,Datos_Origen[[#This Row],[Costo Total Nuevo]]-Datos_Origen[[#This Row],[Costo Total Actual]])</f>
        <v>0</v>
      </c>
      <c r="DP112" s="158">
        <f>IF(Datos_Origen[[#This Row],[Ctpol]]-Datos_Origen[[#This Row],[CT]]&lt;=0,0,Datos_Origen[[#This Row],[Ctpol]]-Datos_Origen[[#This Row],[CT]])</f>
        <v>0</v>
      </c>
      <c r="DQ112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0</v>
      </c>
      <c r="DR112" s="158">
        <f>ROUNDDOWN(VLOOKUP(Datos_Origen[[#This Row],[Categoria]],Competitividad_1[],7,0)*IndiceIncrementoC,-3)</f>
        <v>9116000</v>
      </c>
      <c r="DS112" s="158">
        <f>Datos_Origen[[#This Row],[CTeq]]*0.8</f>
        <v>4630964.5008789422</v>
      </c>
      <c r="DT112" s="158">
        <f>Datos_Origen[[#This Row],[CTeq]]*1.2</f>
        <v>6946446.7513184128</v>
      </c>
      <c r="DU112" s="155">
        <f>IF(Datos_Origen[[#This Row],[Gpol6]]/(1+FactorPrestacionalOrdinario)&lt;SMMLV,SMMLV,Datos_Origen[[#This Row],[Gpol6]]/(1+FactorPrestacionalOrdinario))</f>
        <v>5578470.2549575064</v>
      </c>
      <c r="DV112" s="139" t="str">
        <f>IF((Datos_Origen[[#This Row],[Gpol6]]/(1+FactorPrestacionalIntegral))&lt;(13*SMMLV),"",(Datos_Origen[[#This Row],[Gpol6]]/(1+FactorPrestacionalIntegral)))</f>
        <v/>
      </c>
      <c r="DW112" s="154">
        <f>Datos_Origen[[#This Row],[G+Vpol8]]</f>
        <v>6564000</v>
      </c>
      <c r="DX112" s="154">
        <f>Datos_Origen[[#This Row],[Ctpol10]]-Datos_Origen[[#This Row],[Beneficios]]</f>
        <v>6564000</v>
      </c>
      <c r="DY112" s="154">
        <f>Datos_Origen[[#This Row],[Ctpol]]*$CM$6</f>
        <v>6564000</v>
      </c>
      <c r="DZ112" s="155">
        <f>IF(Datos_Origen[[#This Row],[Gpol66]]/(1+FactorPrestacionalOrdinario)&lt;SMMLV,SMMLV,Datos_Origen[[#This Row],[Gpol66]]/(1+FactorPrestacionalOrdinario))</f>
        <v>8367705.3824362596</v>
      </c>
      <c r="EA112" s="139" t="str">
        <f>IF((Datos_Origen[[#This Row],[Gpol66]]/(1+FactorPrestacionalIntegral))&lt;(13*SMMLV),"",(Datos_Origen[[#This Row],[Gpol66]]/(1+FactorPrestacionalIntegral)))</f>
        <v/>
      </c>
      <c r="EB112" s="154">
        <f>Datos_Origen[[#This Row],[G+Vpol88]]</f>
        <v>9846000</v>
      </c>
      <c r="EC112" s="154">
        <f>Datos_Origen[[#This Row],[Ctpol1010]]-Datos_Origen[[#This Row],[Beneficios]]</f>
        <v>9846000</v>
      </c>
      <c r="ED112" s="154">
        <f>Datos_Origen[[#This Row],[Ctpol]]*$CP$6</f>
        <v>9846000</v>
      </c>
      <c r="EE112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3007958.4367138837</v>
      </c>
    </row>
    <row r="113" spans="2:135">
      <c r="B113" s="148"/>
      <c r="C113" s="149"/>
      <c r="D113" s="150"/>
      <c r="E113" s="151"/>
      <c r="F113" s="151"/>
      <c r="G113" s="150" t="s">
        <v>304</v>
      </c>
      <c r="H113" s="153"/>
      <c r="I113" s="152" t="s">
        <v>304</v>
      </c>
      <c r="J113" s="130" t="str">
        <f>IFERROR(VLOOKUP(Datos_Origen[[#This Row],[Cargo Tipo Valorado]],Cargos_Catalogo[[#All],[Cargo]:[Área]],2,0),"")</f>
        <v xml:space="preserve">Director de gestion humana </v>
      </c>
      <c r="K113" s="153"/>
      <c r="L113" s="153"/>
      <c r="M113" s="153"/>
      <c r="N113" s="153"/>
      <c r="O113" s="154">
        <f>Datos_Origen[[#This Row],[Segmentación Individual]]</f>
        <v>0</v>
      </c>
      <c r="P113" s="153"/>
      <c r="Q113" s="154">
        <f>VLOOKUP(Datos_Origen[[#This Row],[Cargo Tipo Valorado]],Cargos_Catalogo[#Data],MATCH(Cargos_Catalogo[[#Headers],[Puntos]],Cargos_Catalogo[#Headers],0),FALSE)</f>
        <v>420</v>
      </c>
      <c r="R113" s="130">
        <f>VLOOKUP(Datos_Origen[[#This Row],[Puntos valoración]],Categorias_Registro[#Data],MATCH(Categorias_Registro[[#Headers],[Categoria]],Categorias_Registro[#Headers],0),FALSE)</f>
        <v>12</v>
      </c>
      <c r="S113" s="130" t="str">
        <f>VLOOKUP(Datos_Origen[[#This Row],[Cargo Tipo Valorado]],Cargos_Catalogo[#Data],MATCH(Cargos_Catalogo[[#Headers],[Nivel SHR]],Cargos_Catalogo[#Headers],0),FALSE)</f>
        <v>Táctico</v>
      </c>
      <c r="T113" s="130" t="str">
        <f>VLOOKUP(Datos_Origen[[#This Row],[Cargo Tipo Valorado]],Cargos_Catalogo[#Data],MATCH(Cargos_Catalogo[[#Headers],[Criticidad]],Cargos_Catalogo[#Headers],0),FALSE)</f>
        <v>Relevante</v>
      </c>
      <c r="U113" s="154">
        <f>VLOOKUP(Datos_Origen[[#This Row],[Puntos valoración]],Categorias_Registro[#Data],5,FALSE)</f>
        <v>436</v>
      </c>
      <c r="V113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5424448.7000000002</v>
      </c>
      <c r="W113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13" s="154">
        <f>SUMIF($BA$5:$BJ$5,"NCS",Datos_Origen[[#This Row],[auxilio Gasolina]:[Otro Beneficio10]])+(SUMIF($BA$5:$BJ$5,"CS",Datos_Origen[[#This Row],[auxilio Gasolina]:[Otro Beneficio10]])*1.17667)</f>
        <v>0</v>
      </c>
      <c r="Y113" s="155">
        <f>Datos_Origen[[#This Row],[Básico]]+Datos_Origen[[#This Row],[Promedio de Comisiones  ]]</f>
        <v>4610000</v>
      </c>
      <c r="Z113" s="155">
        <f>Datos_Origen[[#This Row],[Básico]]+Datos_Origen[[#This Row],[Promedio de Comisiones  ]]</f>
        <v>4610000</v>
      </c>
      <c r="AA113" s="155">
        <f>Datos_Origen[[#This Row],[Garantizado]]</f>
        <v>5424448.7000000002</v>
      </c>
      <c r="AB113" s="155">
        <f>Datos_Origen[[#This Row],[Variable]]+Datos_Origen[[#This Row],[Garantizado]]</f>
        <v>5424448.7000000002</v>
      </c>
      <c r="AC113" s="155">
        <f>Datos_Origen[[#This Row],[Beneficios]]+Datos_Origen[[#This Row],[Variable]]+Datos_Origen[[#This Row],[Garantizado]]</f>
        <v>5424448.7000000002</v>
      </c>
      <c r="AD113" s="156">
        <v>14.12</v>
      </c>
      <c r="AE113" s="141">
        <v>230</v>
      </c>
      <c r="AF113" s="345">
        <v>5.2199999999999998E-3</v>
      </c>
      <c r="AG113" s="155">
        <f>Datos_Origen[[#This Row],[Básico Actual]]*230/Datos_Origen[[#This Row],['# horas mes]]</f>
        <v>4610000</v>
      </c>
      <c r="AH113" s="157">
        <v>4610000</v>
      </c>
      <c r="AI113" s="158"/>
      <c r="AJ113" s="158">
        <f>(((Datos_Origen[[#This Row],[Básico]])/30)*$AJ$6)/12</f>
        <v>0</v>
      </c>
      <c r="AK113" s="158"/>
      <c r="AL113" s="143">
        <f>((Datos_Origen[[#This Row],[Básico]])/30)*$AL$6/12</f>
        <v>0</v>
      </c>
      <c r="AM113" s="158"/>
      <c r="AN113" s="158"/>
      <c r="AO113" s="158"/>
      <c r="AP113" s="158"/>
      <c r="AQ113" s="158"/>
      <c r="AR113" s="149">
        <v>0</v>
      </c>
      <c r="AS113" s="149"/>
      <c r="AT113" s="159" t="str">
        <f>IFERROR(Datos_Origen[[#This Row],[Comisiones Target]]/Datos_Origen[[#This Row],[Promedio de Comisiones  ]],"")</f>
        <v/>
      </c>
      <c r="AU113" s="160"/>
      <c r="AV113" s="143">
        <v>0</v>
      </c>
      <c r="AW113" s="160"/>
      <c r="AX113" s="143">
        <f>Datos_Origen[[#This Row],[N Salarios de la Bonificación2]]*Datos_Origen[[#This Row],[Básico]]/12</f>
        <v>0</v>
      </c>
      <c r="AY113" s="160"/>
      <c r="AZ113" s="158"/>
      <c r="BA113" s="149">
        <v>0</v>
      </c>
      <c r="BB113" s="149"/>
      <c r="BC113" s="149"/>
      <c r="BD113" s="149"/>
      <c r="BE113" s="149"/>
      <c r="BF113" s="149"/>
      <c r="BG113" s="149"/>
      <c r="BH113" s="149"/>
      <c r="BI113" s="149"/>
      <c r="BJ113" s="149"/>
      <c r="BK113" s="159">
        <f>IFERROR(Datos_Origen[[#This Row],[Variable]]/Datos_Origen[[#This Row],[CT]],"")</f>
        <v>0</v>
      </c>
      <c r="BL113" s="159">
        <f>IFERROR(Datos_Origen[[#This Row],[Beneficios]]/Datos_Origen[[#This Row],[CT]],"")</f>
        <v>0</v>
      </c>
      <c r="BM113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13" s="161">
        <f>Datos_Origen[[#This Row],[G]]/Datos_Origen[[#This Row],[Geq]]</f>
        <v>0.98216523231675279</v>
      </c>
      <c r="BO113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13" s="161">
        <f>Datos_Origen[[#This Row],[G+V]]/Datos_Origen[[#This Row],[G+Veq]]</f>
        <v>0.93775663259542974</v>
      </c>
      <c r="BQ113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13" s="161">
        <f>Datos_Origen[[#This Row],[CT]]/Datos_Origen[[#This Row],[CTeq]]</f>
        <v>0.93707454660392364</v>
      </c>
      <c r="BS113" s="139">
        <f>ROUNDUP(VLOOKUP(Datos_Origen[[#This Row],[Categoria]],Competitividad_1[#All],2,0)*IndiceIncrementoC,-3)</f>
        <v>6487000</v>
      </c>
      <c r="BT113" s="161">
        <f>Datos_Origen[[#This Row],[G]]/Datos_Origen[[#This Row],[GQ1]]</f>
        <v>0.83620297518113151</v>
      </c>
      <c r="BU113" s="155">
        <f>ROUNDUP(VLOOKUP(Datos_Origen[[#This Row],[Categoria]],Competitividad_1[#All],3,0)*IndiceIncrementoC,-3)</f>
        <v>6736000</v>
      </c>
      <c r="BV113" s="161">
        <f>Datos_Origen[[#This Row],[G+V]]/Datos_Origen[[#This Row],[G+VQ1]]</f>
        <v>0.80529226543943</v>
      </c>
      <c r="BW113" s="155">
        <f>ROUNDUP(VLOOKUP(Datos_Origen[[#This Row],[Categoria]],Competitividad_1[#All],4,0)*IndiceIncrementoC,-3)</f>
        <v>7056000</v>
      </c>
      <c r="BX113" s="161">
        <f>Datos_Origen[[#This Row],[CT]]/Datos_Origen[[#This Row],[CTQ1]]</f>
        <v>0.76877107426303859</v>
      </c>
      <c r="BY113" s="155">
        <f>ROUNDUP(VLOOKUP(Datos_Origen[[#This Row],[Categoria]],Competitividad_1[#All],5,0)*IndiceIncrementoC,-3)</f>
        <v>8476000</v>
      </c>
      <c r="BZ113" s="161">
        <f>Datos_Origen[[#This Row],[G]]/Datos_Origen[[#This Row],[GMd]]</f>
        <v>0.63997743039169419</v>
      </c>
      <c r="CA113" s="155">
        <f>ROUNDUP(VLOOKUP(Datos_Origen[[#This Row],[Categoria]],Competitividad_1[#All],6,0)*IndiceIncrementoC,-3)</f>
        <v>8755000</v>
      </c>
      <c r="CB113" s="161">
        <f>Datos_Origen[[#This Row],[G+V]]/Datos_Origen[[#This Row],[G+VMd]]</f>
        <v>0.61958294688749294</v>
      </c>
      <c r="CC113" s="155">
        <f>ROUNDUP(VLOOKUP(Datos_Origen[[#This Row],[Categoria]],Competitividad_1[#All],7,0)*IndiceIncrementoC,-3)</f>
        <v>9117000</v>
      </c>
      <c r="CD113" s="161">
        <f>Datos_Origen[[#This Row],[CT]]/Datos_Origen[[#This Row],[CTMd]]</f>
        <v>0.59498175935066366</v>
      </c>
      <c r="CE113" s="155">
        <f>+Datos_Origen[[#This Row],[GMd]]/1.17666666667</f>
        <v>7203399.4334073551</v>
      </c>
      <c r="CF113" s="161">
        <f>+Datos_Origen[[#This Row],[Básico Actual]]/Datos_Origen[[#This Row],[Salario Basico Md]]</f>
        <v>0.63997561743141818</v>
      </c>
      <c r="CG113" s="155">
        <f>ROUNDUP(VLOOKUP(Datos_Origen[[#This Row],[Categoria]],Competitividad_1[#All],8,0)*IndiceIncrementoC,-3)</f>
        <v>8965000</v>
      </c>
      <c r="CH113" s="161">
        <f>Datos_Origen[[#This Row],[G]]/Datos_Origen[[#This Row],[GQ3]]</f>
        <v>0.60506957055214727</v>
      </c>
      <c r="CI113" s="155">
        <f>ROUNDUP(VLOOKUP(Datos_Origen[[#This Row],[Categoria]],Competitividad_1[#All],9,0)*IndiceIncrementoC,-3)</f>
        <v>9200000</v>
      </c>
      <c r="CJ113" s="161">
        <f>Datos_Origen[[#This Row],[G+V]]/Datos_Origen[[#This Row],[G+VQ3]]</f>
        <v>0.58961398913043483</v>
      </c>
      <c r="CK113" s="155">
        <f>ROUNDUP(VLOOKUP(Datos_Origen[[#This Row],[Categoria]],Competitividad_1[#All],10,0)*IndiceIncrementoC,-3)</f>
        <v>9412000</v>
      </c>
      <c r="CL113" s="161">
        <f>Datos_Origen[[#This Row],[CT]]/Datos_Origen[[#This Row],[CTQ3]]</f>
        <v>0.57633326604334889</v>
      </c>
      <c r="CM113" s="162">
        <f>IF(ROUND(Datos_Origen[[#This Row],[Salario Ordinario Pol2]],-3)&lt;SMMLV,SMMLV,ROUND(Datos_Origen[[#This Row],[Salario Ordinario Pol2]],-3))</f>
        <v>5578000</v>
      </c>
      <c r="CN113" s="155">
        <f>IF(Datos_Origen[[#This Row],[Gpol]]/(1+FactorPrestacionalOrdinario)&lt;SMMLV,SMMLV,Datos_Origen[[#This Row],[Gpol]]/(1+FactorPrestacionalOrdinario))</f>
        <v>6973087.8186968835</v>
      </c>
      <c r="CO113" s="161">
        <f>IFERROR(IF(Datos_Origen[[#This Row],[Salarios Año]]=14.12,Datos_Origen[[#This Row],[Básico]]/Datos_Origen[[#This Row],[Salario Ordinario Pol]],""),"")</f>
        <v>0.66111314239284991</v>
      </c>
      <c r="CP113" s="155">
        <f>IF(ROUND(Datos_Origen[[#This Row],[Salario Ordinario Pol22]],-3)&lt;SMMLV,SMMLV,ROUND(Datos_Origen[[#This Row],[Salario Ordinario Pol22]],-3))</f>
        <v>8368000</v>
      </c>
      <c r="CQ113" s="155" t="str">
        <f>IFERROR(ROUND(Datos_Origen[[#This Row],[Salario Integral Pol4]],-3),"")</f>
        <v/>
      </c>
      <c r="CR113" s="139" t="str">
        <f>IF((Datos_Origen[[#This Row],[Gpol]]/(1+FactorPrestacionalIntegral))&lt;(13*SMMLV),"",(Datos_Origen[[#This Row],[Gpol]]/(1+FactorPrestacionalIntegral)))</f>
        <v/>
      </c>
      <c r="CS113" s="161" t="str">
        <f>IFERROR(IF(Datos_Origen[[#This Row],[Salarios Año]]=12,Datos_Origen[[#This Row],[Básico]]/Datos_Origen[[#This Row],[Salario Integral Pol]],""),"")</f>
        <v/>
      </c>
      <c r="CT113" s="155" t="str">
        <f>IFERROR(ROUND(Datos_Origen[[#This Row],[Salario Integral Pol44]],-3),"")</f>
        <v/>
      </c>
      <c r="CU113" s="155">
        <f>Datos_Origen[[#This Row],[G+Vpol]]-Datos_Origen[[#This Row],[Variable]]</f>
        <v>8205000</v>
      </c>
      <c r="CV113" s="161">
        <f>Datos_Origen[[#This Row],[G]]/Datos_Origen[[#This Row],[Gpol]]</f>
        <v>0.66111501523461302</v>
      </c>
      <c r="CW113" s="154">
        <f>Datos_Origen[[#This Row],[Ctpol]]-Datos_Origen[[#This Row],[Beneficios]]</f>
        <v>8205000</v>
      </c>
      <c r="CX113" s="161">
        <f>Datos_Origen[[#This Row],[G+V]]/Datos_Origen[[#This Row],[G+Vpol]]</f>
        <v>0.66111501523461302</v>
      </c>
      <c r="CY113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8205000</v>
      </c>
      <c r="CZ113" s="161">
        <f>Datos_Origen[[#This Row],[CT]]/Datos_Origen[[#This Row],[Ctpol]]</f>
        <v>0.66111501523461302</v>
      </c>
      <c r="DA113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4610000</v>
      </c>
      <c r="DB113" s="158">
        <f>IF(Datos_Origen[[#This Row],[Básico]]&lt;10*SMMLV,0,Datos_Origen[[#This Row],[Base Seguridad Social Actual]]*8.5%)</f>
        <v>0</v>
      </c>
      <c r="DC113" s="158">
        <f>Datos_Origen[[#This Row],[Base Seguridad Social Actual]]*12%</f>
        <v>553200</v>
      </c>
      <c r="DD113" s="158">
        <f>Datos_Origen[[#This Row],[Base Seguridad Social Actual]]*Datos_Origen[[#This Row],[%ARL]]</f>
        <v>24064.2</v>
      </c>
      <c r="DE113" s="158">
        <f>IF(Datos_Origen[[#This Row],[Básico]]&lt;10*SMMLV,Datos_Origen[[#This Row],[Base Seguridad Social Actual]]*4%,Datos_Origen[[#This Row],[Base Seguridad Social Actual]]*9%)</f>
        <v>184400</v>
      </c>
      <c r="DF113" s="158">
        <f>Datos_Origen[[#This Row],[Salud]]+Datos_Origen[[#This Row],[Pensión]]+Datos_Origen[[#This Row],[ARL]]+Datos_Origen[[#This Row],[Parafiscales]]</f>
        <v>761664.2</v>
      </c>
      <c r="DG113" s="163">
        <f>Datos_Origen[[#This Row],[Costo Laboral Actual]]+Datos_Origen[[#This Row],[CT]]</f>
        <v>6186112.9000000004</v>
      </c>
      <c r="DH113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6973087.8186968835</v>
      </c>
      <c r="DI113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13" s="158">
        <f>Datos_Origen[[#This Row],[Base Seguridad Social Nueva]]*12%</f>
        <v>836770.53824362601</v>
      </c>
      <c r="DK113" s="158">
        <f>Datos_Origen[[#This Row],[Base Seguridad Social Nueva]]*Datos_Origen[[#This Row],[%ARL]]</f>
        <v>36399.518413597732</v>
      </c>
      <c r="DL113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278923.51274787536</v>
      </c>
      <c r="DM113" s="158">
        <f>Datos_Origen[[#This Row],[Salud Nueva]]+Datos_Origen[[#This Row],[Pensión Nueva]]+Datos_Origen[[#This Row],[ARL nueva]]+Datos_Origen[[#This Row],[Parafiscales Nuevos]]</f>
        <v>1152093.5694050991</v>
      </c>
      <c r="DN113" s="158">
        <f>Datos_Origen[[#This Row],[Costo Laboral Nuevo]]+Datos_Origen[[#This Row],[Ctpol]]</f>
        <v>9357093.5694050994</v>
      </c>
      <c r="DO113" s="158">
        <f>IF(Datos_Origen[[#This Row],[Ctpol]]-Datos_Origen[[#This Row],[CT]]&lt;=0,0,Datos_Origen[[#This Row],[Costo Total Nuevo]]-Datos_Origen[[#This Row],[Costo Total Actual]])</f>
        <v>3170980.669405099</v>
      </c>
      <c r="DP113" s="158">
        <f>IF(Datos_Origen[[#This Row],[Ctpol]]-Datos_Origen[[#This Row],[CT]]&lt;=0,0,Datos_Origen[[#This Row],[Ctpol]]-Datos_Origen[[#This Row],[CT]])</f>
        <v>2780551.3</v>
      </c>
      <c r="DQ113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390429.36940509919</v>
      </c>
      <c r="DR113" s="158">
        <f>ROUNDDOWN(VLOOKUP(Datos_Origen[[#This Row],[Categoria]],Competitividad_1[],7,0)*IndiceIncrementoC,-3)</f>
        <v>9116000</v>
      </c>
      <c r="DS113" s="158">
        <f>Datos_Origen[[#This Row],[CTeq]]*0.8</f>
        <v>4630964.5008789422</v>
      </c>
      <c r="DT113" s="158">
        <f>Datos_Origen[[#This Row],[CTeq]]*1.2</f>
        <v>6946446.7513184128</v>
      </c>
      <c r="DU113" s="155">
        <f>IF(Datos_Origen[[#This Row],[Gpol6]]/(1+FactorPrestacionalOrdinario)&lt;SMMLV,SMMLV,Datos_Origen[[#This Row],[Gpol6]]/(1+FactorPrestacionalOrdinario))</f>
        <v>5578470.2549575064</v>
      </c>
      <c r="DV113" s="139" t="str">
        <f>IF((Datos_Origen[[#This Row],[Gpol6]]/(1+FactorPrestacionalIntegral))&lt;(13*SMMLV),"",(Datos_Origen[[#This Row],[Gpol6]]/(1+FactorPrestacionalIntegral)))</f>
        <v/>
      </c>
      <c r="DW113" s="154">
        <f>Datos_Origen[[#This Row],[G+Vpol8]]</f>
        <v>6564000</v>
      </c>
      <c r="DX113" s="154">
        <f>Datos_Origen[[#This Row],[Ctpol10]]-Datos_Origen[[#This Row],[Beneficios]]</f>
        <v>6564000</v>
      </c>
      <c r="DY113" s="154">
        <f>Datos_Origen[[#This Row],[Ctpol]]*$CM$6</f>
        <v>6564000</v>
      </c>
      <c r="DZ113" s="155">
        <f>IF(Datos_Origen[[#This Row],[Gpol66]]/(1+FactorPrestacionalOrdinario)&lt;SMMLV,SMMLV,Datos_Origen[[#This Row],[Gpol66]]/(1+FactorPrestacionalOrdinario))</f>
        <v>8367705.3824362596</v>
      </c>
      <c r="EA113" s="139" t="str">
        <f>IF((Datos_Origen[[#This Row],[Gpol66]]/(1+FactorPrestacionalIntegral))&lt;(13*SMMLV),"",(Datos_Origen[[#This Row],[Gpol66]]/(1+FactorPrestacionalIntegral)))</f>
        <v/>
      </c>
      <c r="EB113" s="154">
        <f>Datos_Origen[[#This Row],[G+Vpol88]]</f>
        <v>9846000</v>
      </c>
      <c r="EC113" s="154">
        <f>Datos_Origen[[#This Row],[Ctpol1010]]-Datos_Origen[[#This Row],[Beneficios]]</f>
        <v>9846000</v>
      </c>
      <c r="ED113" s="154">
        <f>Datos_Origen[[#This Row],[Ctpol]]*$CP$6</f>
        <v>9846000</v>
      </c>
      <c r="EE113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14" spans="2:135">
      <c r="B114" s="132"/>
      <c r="C114" s="149"/>
      <c r="D114" s="150"/>
      <c r="E114" s="151"/>
      <c r="F114" s="151"/>
      <c r="G114" s="150" t="s">
        <v>305</v>
      </c>
      <c r="H114" s="153"/>
      <c r="I114" s="152" t="s">
        <v>305</v>
      </c>
      <c r="J114" s="130" t="str">
        <f>IFERROR(VLOOKUP(Datos_Origen[[#This Row],[Cargo Tipo Valorado]],Cargos_Catalogo[[#All],[Cargo]:[Área]],2,0),"")</f>
        <v>Directora de diseño y desarrollo</v>
      </c>
      <c r="K114" s="153"/>
      <c r="L114" s="153"/>
      <c r="M114" s="153"/>
      <c r="N114" s="153"/>
      <c r="O114" s="154">
        <f>Datos_Origen[[#This Row],[Segmentación Individual]]</f>
        <v>0</v>
      </c>
      <c r="P114" s="153"/>
      <c r="Q114" s="154">
        <f>VLOOKUP(Datos_Origen[[#This Row],[Cargo Tipo Valorado]],Cargos_Catalogo[#Data],MATCH(Cargos_Catalogo[[#Headers],[Puntos]],Cargos_Catalogo[#Headers],0),FALSE)</f>
        <v>442</v>
      </c>
      <c r="R114" s="130">
        <f>VLOOKUP(Datos_Origen[[#This Row],[Puntos valoración]],Categorias_Registro[#Data],MATCH(Categorias_Registro[[#Headers],[Categoria]],Categorias_Registro[#Headers],0),FALSE)</f>
        <v>12</v>
      </c>
      <c r="S114" s="130" t="str">
        <f>VLOOKUP(Datos_Origen[[#This Row],[Cargo Tipo Valorado]],Cargos_Catalogo[#Data],MATCH(Cargos_Catalogo[[#Headers],[Nivel SHR]],Cargos_Catalogo[#Headers],0),FALSE)</f>
        <v>Táctico</v>
      </c>
      <c r="T114" s="130" t="str">
        <f>VLOOKUP(Datos_Origen[[#This Row],[Cargo Tipo Valorado]],Cargos_Catalogo[#Data],MATCH(Cargos_Catalogo[[#Headers],[Criticidad]],Cargos_Catalogo[#Headers],0),FALSE)</f>
        <v>Crítico</v>
      </c>
      <c r="U114" s="154">
        <f>VLOOKUP(Datos_Origen[[#This Row],[Puntos valoración]],Categorias_Registro[#Data],5,FALSE)</f>
        <v>436</v>
      </c>
      <c r="V114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4745510.1100000003</v>
      </c>
      <c r="W114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14" s="154">
        <f>SUMIF($BA$5:$BJ$5,"NCS",Datos_Origen[[#This Row],[auxilio Gasolina]:[Otro Beneficio10]])+(SUMIF($BA$5:$BJ$5,"CS",Datos_Origen[[#This Row],[auxilio Gasolina]:[Otro Beneficio10]])*1.17667)</f>
        <v>0</v>
      </c>
      <c r="Y114" s="155">
        <f>Datos_Origen[[#This Row],[Básico]]+Datos_Origen[[#This Row],[Promedio de Comisiones  ]]</f>
        <v>4033000</v>
      </c>
      <c r="Z114" s="155">
        <f>Datos_Origen[[#This Row],[Básico]]+Datos_Origen[[#This Row],[Promedio de Comisiones  ]]</f>
        <v>4033000</v>
      </c>
      <c r="AA114" s="155">
        <f>Datos_Origen[[#This Row],[Garantizado]]</f>
        <v>4745510.1100000003</v>
      </c>
      <c r="AB114" s="155">
        <f>Datos_Origen[[#This Row],[Variable]]+Datos_Origen[[#This Row],[Garantizado]]</f>
        <v>4745510.1100000003</v>
      </c>
      <c r="AC114" s="155">
        <f>Datos_Origen[[#This Row],[Beneficios]]+Datos_Origen[[#This Row],[Variable]]+Datos_Origen[[#This Row],[Garantizado]]</f>
        <v>4745510.1100000003</v>
      </c>
      <c r="AD114" s="156">
        <v>14.12</v>
      </c>
      <c r="AE114" s="141">
        <v>230</v>
      </c>
      <c r="AF114" s="345">
        <v>4.3499999999999997E-2</v>
      </c>
      <c r="AG114" s="155">
        <f>Datos_Origen[[#This Row],[Básico Actual]]*230/Datos_Origen[[#This Row],['# horas mes]]</f>
        <v>4033000</v>
      </c>
      <c r="AH114" s="157">
        <v>4033000</v>
      </c>
      <c r="AI114" s="158"/>
      <c r="AJ114" s="158">
        <f>(((Datos_Origen[[#This Row],[Básico]])/30)*$AJ$6)/12</f>
        <v>0</v>
      </c>
      <c r="AK114" s="158"/>
      <c r="AL114" s="143">
        <f>((Datos_Origen[[#This Row],[Básico]])/30)*$AL$6/12</f>
        <v>0</v>
      </c>
      <c r="AM114" s="158"/>
      <c r="AN114" s="158"/>
      <c r="AO114" s="158"/>
      <c r="AP114" s="158"/>
      <c r="AQ114" s="158"/>
      <c r="AR114" s="149">
        <v>0</v>
      </c>
      <c r="AS114" s="149"/>
      <c r="AT114" s="159" t="str">
        <f>IFERROR(Datos_Origen[[#This Row],[Comisiones Target]]/Datos_Origen[[#This Row],[Promedio de Comisiones  ]],"")</f>
        <v/>
      </c>
      <c r="AU114" s="160"/>
      <c r="AV114" s="143">
        <v>0</v>
      </c>
      <c r="AW114" s="160"/>
      <c r="AX114" s="143">
        <f>Datos_Origen[[#This Row],[N Salarios de la Bonificación2]]*Datos_Origen[[#This Row],[Básico]]/12</f>
        <v>0</v>
      </c>
      <c r="AY114" s="160"/>
      <c r="AZ114" s="158"/>
      <c r="BA114" s="149">
        <v>0</v>
      </c>
      <c r="BB114" s="149"/>
      <c r="BC114" s="149"/>
      <c r="BD114" s="149"/>
      <c r="BE114" s="149"/>
      <c r="BF114" s="149"/>
      <c r="BG114" s="149"/>
      <c r="BH114" s="149"/>
      <c r="BI114" s="149"/>
      <c r="BJ114" s="149"/>
      <c r="BK114" s="159">
        <f>IFERROR(Datos_Origen[[#This Row],[Variable]]/Datos_Origen[[#This Row],[CT]],"")</f>
        <v>0</v>
      </c>
      <c r="BL114" s="159">
        <f>IFERROR(Datos_Origen[[#This Row],[Beneficios]]/Datos_Origen[[#This Row],[CT]],"")</f>
        <v>0</v>
      </c>
      <c r="BM114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14" s="161">
        <f>Datos_Origen[[#This Row],[G]]/Datos_Origen[[#This Row],[Geq]]</f>
        <v>0.859234790007259</v>
      </c>
      <c r="BO114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14" s="161">
        <f>Datos_Origen[[#This Row],[G+V]]/Datos_Origen[[#This Row],[G+Veq]]</f>
        <v>0.82038449007752023</v>
      </c>
      <c r="BQ114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14" s="161">
        <f>Datos_Origen[[#This Row],[CT]]/Datos_Origen[[#This Row],[CTeq]]</f>
        <v>0.81978777580338924</v>
      </c>
      <c r="BS114" s="139">
        <f>ROUNDUP(VLOOKUP(Datos_Origen[[#This Row],[Categoria]],Competitividad_1[#All],2,0)*IndiceIncrementoC,-3)</f>
        <v>6487000</v>
      </c>
      <c r="BT114" s="161">
        <f>Datos_Origen[[#This Row],[G]]/Datos_Origen[[#This Row],[GQ1]]</f>
        <v>0.73154156158470796</v>
      </c>
      <c r="BU114" s="155">
        <f>ROUNDUP(VLOOKUP(Datos_Origen[[#This Row],[Categoria]],Competitividad_1[#All],3,0)*IndiceIncrementoC,-3)</f>
        <v>6736000</v>
      </c>
      <c r="BV114" s="161">
        <f>Datos_Origen[[#This Row],[G+V]]/Datos_Origen[[#This Row],[G+VQ1]]</f>
        <v>0.70449971941805234</v>
      </c>
      <c r="BW114" s="155">
        <f>ROUNDUP(VLOOKUP(Datos_Origen[[#This Row],[Categoria]],Competitividad_1[#All],4,0)*IndiceIncrementoC,-3)</f>
        <v>7056000</v>
      </c>
      <c r="BX114" s="161">
        <f>Datos_Origen[[#This Row],[CT]]/Datos_Origen[[#This Row],[CTQ1]]</f>
        <v>0.67254961876417241</v>
      </c>
      <c r="BY114" s="155">
        <f>ROUNDUP(VLOOKUP(Datos_Origen[[#This Row],[Categoria]],Competitividad_1[#All],5,0)*IndiceIncrementoC,-3)</f>
        <v>8476000</v>
      </c>
      <c r="BZ114" s="161">
        <f>Datos_Origen[[#This Row],[G]]/Datos_Origen[[#This Row],[GMd]]</f>
        <v>0.55987613378952339</v>
      </c>
      <c r="CA114" s="155">
        <f>ROUNDUP(VLOOKUP(Datos_Origen[[#This Row],[Categoria]],Competitividad_1[#All],6,0)*IndiceIncrementoC,-3)</f>
        <v>8755000</v>
      </c>
      <c r="CB114" s="161">
        <f>Datos_Origen[[#This Row],[G+V]]/Datos_Origen[[#This Row],[G+VMd]]</f>
        <v>0.54203427869788701</v>
      </c>
      <c r="CC114" s="155">
        <f>ROUNDUP(VLOOKUP(Datos_Origen[[#This Row],[Categoria]],Competitividad_1[#All],7,0)*IndiceIncrementoC,-3)</f>
        <v>9117000</v>
      </c>
      <c r="CD114" s="161">
        <f>Datos_Origen[[#This Row],[CT]]/Datos_Origen[[#This Row],[CTMd]]</f>
        <v>0.5205122419655589</v>
      </c>
      <c r="CE114" s="155">
        <f>+Datos_Origen[[#This Row],[GMd]]/1.17666666667</f>
        <v>7203399.4334073551</v>
      </c>
      <c r="CF114" s="161">
        <f>+Datos_Origen[[#This Row],[Básico Actual]]/Datos_Origen[[#This Row],[Salario Basico Md]]</f>
        <v>0.55987454774423195</v>
      </c>
      <c r="CG114" s="155">
        <f>ROUNDUP(VLOOKUP(Datos_Origen[[#This Row],[Categoria]],Competitividad_1[#All],8,0)*IndiceIncrementoC,-3)</f>
        <v>8965000</v>
      </c>
      <c r="CH114" s="161">
        <f>Datos_Origen[[#This Row],[G]]/Datos_Origen[[#This Row],[GQ3]]</f>
        <v>0.52933743558282209</v>
      </c>
      <c r="CI114" s="155">
        <f>ROUNDUP(VLOOKUP(Datos_Origen[[#This Row],[Categoria]],Competitividad_1[#All],9,0)*IndiceIncrementoC,-3)</f>
        <v>9200000</v>
      </c>
      <c r="CJ114" s="161">
        <f>Datos_Origen[[#This Row],[G+V]]/Datos_Origen[[#This Row],[G+VQ3]]</f>
        <v>0.51581631630434788</v>
      </c>
      <c r="CK114" s="155">
        <f>ROUNDUP(VLOOKUP(Datos_Origen[[#This Row],[Categoria]],Competitividad_1[#All],10,0)*IndiceIncrementoC,-3)</f>
        <v>9412000</v>
      </c>
      <c r="CL114" s="161">
        <f>Datos_Origen[[#This Row],[CT]]/Datos_Origen[[#This Row],[CTQ3]]</f>
        <v>0.50419784424139402</v>
      </c>
      <c r="CM114" s="162">
        <f>IF(ROUND(Datos_Origen[[#This Row],[Salario Ordinario Pol2]],-3)&lt;SMMLV,SMMLV,ROUND(Datos_Origen[[#This Row],[Salario Ordinario Pol2]],-3))</f>
        <v>7438000</v>
      </c>
      <c r="CN114" s="155">
        <f>IF(Datos_Origen[[#This Row],[Gpol]]/(1+FactorPrestacionalOrdinario)&lt;SMMLV,SMMLV,Datos_Origen[[#This Row],[Gpol]]/(1+FactorPrestacionalOrdinario))</f>
        <v>9297450.4249291774</v>
      </c>
      <c r="CO114" s="161">
        <f>IFERROR(IF(Datos_Origen[[#This Row],[Salarios Año]]=14.12,Datos_Origen[[#This Row],[Básico]]/Datos_Origen[[#This Row],[Salario Ordinario Pol]],""),"")</f>
        <v>0.43377483241925663</v>
      </c>
      <c r="CP114" s="155">
        <f>IF(ROUND(Datos_Origen[[#This Row],[Salario Ordinario Pol22]],-3)&lt;SMMLV,SMMLV,ROUND(Datos_Origen[[#This Row],[Salario Ordinario Pol22]],-3))</f>
        <v>11157000</v>
      </c>
      <c r="CQ114" s="155" t="str">
        <f>IFERROR(ROUND(Datos_Origen[[#This Row],[Salario Integral Pol4]],-3),"")</f>
        <v/>
      </c>
      <c r="CR114" s="139" t="str">
        <f>IF((Datos_Origen[[#This Row],[Gpol]]/(1+FactorPrestacionalIntegral))&lt;(13*SMMLV),"",(Datos_Origen[[#This Row],[Gpol]]/(1+FactorPrestacionalIntegral)))</f>
        <v/>
      </c>
      <c r="CS114" s="161" t="str">
        <f>IFERROR(IF(Datos_Origen[[#This Row],[Salarios Año]]=12,Datos_Origen[[#This Row],[Básico]]/Datos_Origen[[#This Row],[Salario Integral Pol]],""),"")</f>
        <v/>
      </c>
      <c r="CT114" s="155" t="str">
        <f>IFERROR(ROUND(Datos_Origen[[#This Row],[Salario Integral Pol44]],-3),"")</f>
        <v/>
      </c>
      <c r="CU114" s="155">
        <f>Datos_Origen[[#This Row],[G+Vpol]]-Datos_Origen[[#This Row],[Variable]]</f>
        <v>10940000</v>
      </c>
      <c r="CV114" s="161">
        <f>Datos_Origen[[#This Row],[G]]/Datos_Origen[[#This Row],[Gpol]]</f>
        <v>0.43377606124314444</v>
      </c>
      <c r="CW114" s="154">
        <f>Datos_Origen[[#This Row],[Ctpol]]-Datos_Origen[[#This Row],[Beneficios]]</f>
        <v>10940000</v>
      </c>
      <c r="CX114" s="161">
        <f>Datos_Origen[[#This Row],[G+V]]/Datos_Origen[[#This Row],[G+Vpol]]</f>
        <v>0.43377606124314444</v>
      </c>
      <c r="CY114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10940000</v>
      </c>
      <c r="CZ114" s="161">
        <f>Datos_Origen[[#This Row],[CT]]/Datos_Origen[[#This Row],[Ctpol]]</f>
        <v>0.43377606124314444</v>
      </c>
      <c r="DA114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4033000</v>
      </c>
      <c r="DB114" s="158">
        <f>IF(Datos_Origen[[#This Row],[Básico]]&lt;10*SMMLV,0,Datos_Origen[[#This Row],[Base Seguridad Social Actual]]*8.5%)</f>
        <v>0</v>
      </c>
      <c r="DC114" s="158">
        <f>Datos_Origen[[#This Row],[Base Seguridad Social Actual]]*12%</f>
        <v>483960</v>
      </c>
      <c r="DD114" s="158">
        <f>Datos_Origen[[#This Row],[Base Seguridad Social Actual]]*Datos_Origen[[#This Row],[%ARL]]</f>
        <v>175435.5</v>
      </c>
      <c r="DE114" s="158">
        <f>IF(Datos_Origen[[#This Row],[Básico]]&lt;10*SMMLV,Datos_Origen[[#This Row],[Base Seguridad Social Actual]]*4%,Datos_Origen[[#This Row],[Base Seguridad Social Actual]]*9%)</f>
        <v>161320</v>
      </c>
      <c r="DF114" s="158">
        <f>Datos_Origen[[#This Row],[Salud]]+Datos_Origen[[#This Row],[Pensión]]+Datos_Origen[[#This Row],[ARL]]+Datos_Origen[[#This Row],[Parafiscales]]</f>
        <v>820715.5</v>
      </c>
      <c r="DG114" s="163">
        <f>Datos_Origen[[#This Row],[Costo Laboral Actual]]+Datos_Origen[[#This Row],[CT]]</f>
        <v>5566225.6100000003</v>
      </c>
      <c r="DH114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9297450.4249291774</v>
      </c>
      <c r="DI114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14" s="158">
        <f>Datos_Origen[[#This Row],[Base Seguridad Social Nueva]]*12%</f>
        <v>1115694.0509915012</v>
      </c>
      <c r="DK114" s="158">
        <f>Datos_Origen[[#This Row],[Base Seguridad Social Nueva]]*Datos_Origen[[#This Row],[%ARL]]</f>
        <v>404439.09348441917</v>
      </c>
      <c r="DL114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371898.01699716708</v>
      </c>
      <c r="DM114" s="158">
        <f>Datos_Origen[[#This Row],[Salud Nueva]]+Datos_Origen[[#This Row],[Pensión Nueva]]+Datos_Origen[[#This Row],[ARL nueva]]+Datos_Origen[[#This Row],[Parafiscales Nuevos]]</f>
        <v>1892031.1614730875</v>
      </c>
      <c r="DN114" s="158">
        <f>Datos_Origen[[#This Row],[Costo Laboral Nuevo]]+Datos_Origen[[#This Row],[Ctpol]]</f>
        <v>12832031.161473088</v>
      </c>
      <c r="DO114" s="158">
        <f>IF(Datos_Origen[[#This Row],[Ctpol]]-Datos_Origen[[#This Row],[CT]]&lt;=0,0,Datos_Origen[[#This Row],[Costo Total Nuevo]]-Datos_Origen[[#This Row],[Costo Total Actual]])</f>
        <v>7265805.5514730876</v>
      </c>
      <c r="DP114" s="158">
        <f>IF(Datos_Origen[[#This Row],[Ctpol]]-Datos_Origen[[#This Row],[CT]]&lt;=0,0,Datos_Origen[[#This Row],[Ctpol]]-Datos_Origen[[#This Row],[CT]])</f>
        <v>6194489.8899999997</v>
      </c>
      <c r="DQ114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1071315.6614730875</v>
      </c>
      <c r="DR114" s="158">
        <f>ROUNDDOWN(VLOOKUP(Datos_Origen[[#This Row],[Categoria]],Competitividad_1[],7,0)*IndiceIncrementoC,-3)</f>
        <v>9116000</v>
      </c>
      <c r="DS114" s="158">
        <f>Datos_Origen[[#This Row],[CTeq]]*0.8</f>
        <v>4630964.5008789422</v>
      </c>
      <c r="DT114" s="158">
        <f>Datos_Origen[[#This Row],[CTeq]]*1.2</f>
        <v>6946446.7513184128</v>
      </c>
      <c r="DU114" s="155">
        <f>IF(Datos_Origen[[#This Row],[Gpol6]]/(1+FactorPrestacionalOrdinario)&lt;SMMLV,SMMLV,Datos_Origen[[#This Row],[Gpol6]]/(1+FactorPrestacionalOrdinario))</f>
        <v>7437960.3399433419</v>
      </c>
      <c r="DV114" s="139" t="str">
        <f>IF((Datos_Origen[[#This Row],[Gpol6]]/(1+FactorPrestacionalIntegral))&lt;(13*SMMLV),"",(Datos_Origen[[#This Row],[Gpol6]]/(1+FactorPrestacionalIntegral)))</f>
        <v/>
      </c>
      <c r="DW114" s="154">
        <f>Datos_Origen[[#This Row],[G+Vpol8]]</f>
        <v>8752000</v>
      </c>
      <c r="DX114" s="154">
        <f>Datos_Origen[[#This Row],[Ctpol10]]-Datos_Origen[[#This Row],[Beneficios]]</f>
        <v>8752000</v>
      </c>
      <c r="DY114" s="154">
        <f>Datos_Origen[[#This Row],[Ctpol]]*$CM$6</f>
        <v>8752000</v>
      </c>
      <c r="DZ114" s="155">
        <f>IF(Datos_Origen[[#This Row],[Gpol66]]/(1+FactorPrestacionalOrdinario)&lt;SMMLV,SMMLV,Datos_Origen[[#This Row],[Gpol66]]/(1+FactorPrestacionalOrdinario))</f>
        <v>11156940.509915013</v>
      </c>
      <c r="EA114" s="139" t="str">
        <f>IF((Datos_Origen[[#This Row],[Gpol66]]/(1+FactorPrestacionalIntegral))&lt;(13*SMMLV),"",(Datos_Origen[[#This Row],[Gpol66]]/(1+FactorPrestacionalIntegral)))</f>
        <v/>
      </c>
      <c r="EB114" s="154">
        <f>Datos_Origen[[#This Row],[G+Vpol88]]</f>
        <v>13128000</v>
      </c>
      <c r="EC114" s="154">
        <f>Datos_Origen[[#This Row],[Ctpol1010]]-Datos_Origen[[#This Row],[Beneficios]]</f>
        <v>13128000</v>
      </c>
      <c r="ED114" s="154">
        <f>Datos_Origen[[#This Row],[Ctpol]]*$CP$6</f>
        <v>13128000</v>
      </c>
      <c r="EE114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15" spans="2:135">
      <c r="B115" s="148"/>
      <c r="C115" s="149"/>
      <c r="D115" s="150"/>
      <c r="E115" s="151"/>
      <c r="F115" s="151"/>
      <c r="G115" s="150" t="s">
        <v>305</v>
      </c>
      <c r="H115" s="153"/>
      <c r="I115" s="152" t="s">
        <v>305</v>
      </c>
      <c r="J115" s="130" t="str">
        <f>IFERROR(VLOOKUP(Datos_Origen[[#This Row],[Cargo Tipo Valorado]],Cargos_Catalogo[[#All],[Cargo]:[Área]],2,0),"")</f>
        <v>Directora de diseño y desarrollo</v>
      </c>
      <c r="K115" s="153"/>
      <c r="L115" s="153"/>
      <c r="M115" s="153"/>
      <c r="N115" s="153"/>
      <c r="O115" s="154">
        <f>Datos_Origen[[#This Row],[Segmentación Individual]]</f>
        <v>0</v>
      </c>
      <c r="P115" s="153"/>
      <c r="Q115" s="154">
        <f>VLOOKUP(Datos_Origen[[#This Row],[Cargo Tipo Valorado]],Cargos_Catalogo[#Data],MATCH(Cargos_Catalogo[[#Headers],[Puntos]],Cargos_Catalogo[#Headers],0),FALSE)</f>
        <v>442</v>
      </c>
      <c r="R115" s="130">
        <f>VLOOKUP(Datos_Origen[[#This Row],[Puntos valoración]],Categorias_Registro[#Data],MATCH(Categorias_Registro[[#Headers],[Categoria]],Categorias_Registro[#Headers],0),FALSE)</f>
        <v>12</v>
      </c>
      <c r="S115" s="130" t="str">
        <f>VLOOKUP(Datos_Origen[[#This Row],[Cargo Tipo Valorado]],Cargos_Catalogo[#Data],MATCH(Cargos_Catalogo[[#Headers],[Nivel SHR]],Cargos_Catalogo[#Headers],0),FALSE)</f>
        <v>Táctico</v>
      </c>
      <c r="T115" s="130" t="str">
        <f>VLOOKUP(Datos_Origen[[#This Row],[Cargo Tipo Valorado]],Cargos_Catalogo[#Data],MATCH(Cargos_Catalogo[[#Headers],[Criticidad]],Cargos_Catalogo[#Headers],0),FALSE)</f>
        <v>Crítico</v>
      </c>
      <c r="U115" s="154">
        <f>VLOOKUP(Datos_Origen[[#This Row],[Puntos valoración]],Categorias_Registro[#Data],5,FALSE)</f>
        <v>436</v>
      </c>
      <c r="V115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4745510.1100000003</v>
      </c>
      <c r="W115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15" s="154">
        <f>SUMIF($BA$5:$BJ$5,"NCS",Datos_Origen[[#This Row],[auxilio Gasolina]:[Otro Beneficio10]])+(SUMIF($BA$5:$BJ$5,"CS",Datos_Origen[[#This Row],[auxilio Gasolina]:[Otro Beneficio10]])*1.17667)</f>
        <v>0</v>
      </c>
      <c r="Y115" s="155">
        <f>Datos_Origen[[#This Row],[Básico]]+Datos_Origen[[#This Row],[Promedio de Comisiones  ]]</f>
        <v>4033000</v>
      </c>
      <c r="Z115" s="155">
        <f>Datos_Origen[[#This Row],[Básico]]+Datos_Origen[[#This Row],[Promedio de Comisiones  ]]</f>
        <v>4033000</v>
      </c>
      <c r="AA115" s="155">
        <f>Datos_Origen[[#This Row],[Garantizado]]</f>
        <v>4745510.1100000003</v>
      </c>
      <c r="AB115" s="155">
        <f>Datos_Origen[[#This Row],[Variable]]+Datos_Origen[[#This Row],[Garantizado]]</f>
        <v>4745510.1100000003</v>
      </c>
      <c r="AC115" s="155">
        <f>Datos_Origen[[#This Row],[Beneficios]]+Datos_Origen[[#This Row],[Variable]]+Datos_Origen[[#This Row],[Garantizado]]</f>
        <v>4745510.1100000003</v>
      </c>
      <c r="AD115" s="156">
        <v>14.12</v>
      </c>
      <c r="AE115" s="141">
        <v>230</v>
      </c>
      <c r="AF115" s="345">
        <v>4.3499999999999997E-2</v>
      </c>
      <c r="AG115" s="155">
        <f>Datos_Origen[[#This Row],[Básico Actual]]*230/Datos_Origen[[#This Row],['# horas mes]]</f>
        <v>4033000</v>
      </c>
      <c r="AH115" s="157">
        <v>4033000</v>
      </c>
      <c r="AI115" s="158"/>
      <c r="AJ115" s="158">
        <f>(((Datos_Origen[[#This Row],[Básico]])/30)*$AJ$6)/12</f>
        <v>0</v>
      </c>
      <c r="AK115" s="158"/>
      <c r="AL115" s="143">
        <f>((Datos_Origen[[#This Row],[Básico]])/30)*$AL$6/12</f>
        <v>0</v>
      </c>
      <c r="AM115" s="158"/>
      <c r="AN115" s="158"/>
      <c r="AO115" s="158"/>
      <c r="AP115" s="158"/>
      <c r="AQ115" s="158"/>
      <c r="AR115" s="149">
        <v>0</v>
      </c>
      <c r="AS115" s="149"/>
      <c r="AT115" s="159" t="str">
        <f>IFERROR(Datos_Origen[[#This Row],[Comisiones Target]]/Datos_Origen[[#This Row],[Promedio de Comisiones  ]],"")</f>
        <v/>
      </c>
      <c r="AU115" s="160"/>
      <c r="AV115" s="143">
        <v>0</v>
      </c>
      <c r="AW115" s="160"/>
      <c r="AX115" s="143">
        <f>Datos_Origen[[#This Row],[N Salarios de la Bonificación2]]*Datos_Origen[[#This Row],[Básico]]/12</f>
        <v>0</v>
      </c>
      <c r="AY115" s="160"/>
      <c r="AZ115" s="158"/>
      <c r="BA115" s="149">
        <v>0</v>
      </c>
      <c r="BB115" s="149"/>
      <c r="BC115" s="149"/>
      <c r="BD115" s="149"/>
      <c r="BE115" s="149"/>
      <c r="BF115" s="149"/>
      <c r="BG115" s="149"/>
      <c r="BH115" s="149"/>
      <c r="BI115" s="149"/>
      <c r="BJ115" s="149"/>
      <c r="BK115" s="159">
        <f>IFERROR(Datos_Origen[[#This Row],[Variable]]/Datos_Origen[[#This Row],[CT]],"")</f>
        <v>0</v>
      </c>
      <c r="BL115" s="159">
        <f>IFERROR(Datos_Origen[[#This Row],[Beneficios]]/Datos_Origen[[#This Row],[CT]],"")</f>
        <v>0</v>
      </c>
      <c r="BM115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15" s="161">
        <f>Datos_Origen[[#This Row],[G]]/Datos_Origen[[#This Row],[Geq]]</f>
        <v>0.859234790007259</v>
      </c>
      <c r="BO115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15" s="161">
        <f>Datos_Origen[[#This Row],[G+V]]/Datos_Origen[[#This Row],[G+Veq]]</f>
        <v>0.82038449007752023</v>
      </c>
      <c r="BQ115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15" s="161">
        <f>Datos_Origen[[#This Row],[CT]]/Datos_Origen[[#This Row],[CTeq]]</f>
        <v>0.81978777580338924</v>
      </c>
      <c r="BS115" s="139">
        <f>ROUNDUP(VLOOKUP(Datos_Origen[[#This Row],[Categoria]],Competitividad_1[#All],2,0)*IndiceIncrementoC,-3)</f>
        <v>6487000</v>
      </c>
      <c r="BT115" s="161">
        <f>Datos_Origen[[#This Row],[G]]/Datos_Origen[[#This Row],[GQ1]]</f>
        <v>0.73154156158470796</v>
      </c>
      <c r="BU115" s="155">
        <f>ROUNDUP(VLOOKUP(Datos_Origen[[#This Row],[Categoria]],Competitividad_1[#All],3,0)*IndiceIncrementoC,-3)</f>
        <v>6736000</v>
      </c>
      <c r="BV115" s="161">
        <f>Datos_Origen[[#This Row],[G+V]]/Datos_Origen[[#This Row],[G+VQ1]]</f>
        <v>0.70449971941805234</v>
      </c>
      <c r="BW115" s="155">
        <f>ROUNDUP(VLOOKUP(Datos_Origen[[#This Row],[Categoria]],Competitividad_1[#All],4,0)*IndiceIncrementoC,-3)</f>
        <v>7056000</v>
      </c>
      <c r="BX115" s="161">
        <f>Datos_Origen[[#This Row],[CT]]/Datos_Origen[[#This Row],[CTQ1]]</f>
        <v>0.67254961876417241</v>
      </c>
      <c r="BY115" s="155">
        <f>ROUNDUP(VLOOKUP(Datos_Origen[[#This Row],[Categoria]],Competitividad_1[#All],5,0)*IndiceIncrementoC,-3)</f>
        <v>8476000</v>
      </c>
      <c r="BZ115" s="161">
        <f>Datos_Origen[[#This Row],[G]]/Datos_Origen[[#This Row],[GMd]]</f>
        <v>0.55987613378952339</v>
      </c>
      <c r="CA115" s="155">
        <f>ROUNDUP(VLOOKUP(Datos_Origen[[#This Row],[Categoria]],Competitividad_1[#All],6,0)*IndiceIncrementoC,-3)</f>
        <v>8755000</v>
      </c>
      <c r="CB115" s="161">
        <f>Datos_Origen[[#This Row],[G+V]]/Datos_Origen[[#This Row],[G+VMd]]</f>
        <v>0.54203427869788701</v>
      </c>
      <c r="CC115" s="155">
        <f>ROUNDUP(VLOOKUP(Datos_Origen[[#This Row],[Categoria]],Competitividad_1[#All],7,0)*IndiceIncrementoC,-3)</f>
        <v>9117000</v>
      </c>
      <c r="CD115" s="161">
        <f>Datos_Origen[[#This Row],[CT]]/Datos_Origen[[#This Row],[CTMd]]</f>
        <v>0.5205122419655589</v>
      </c>
      <c r="CE115" s="155">
        <f>+Datos_Origen[[#This Row],[GMd]]/1.17666666667</f>
        <v>7203399.4334073551</v>
      </c>
      <c r="CF115" s="161">
        <f>+Datos_Origen[[#This Row],[Básico Actual]]/Datos_Origen[[#This Row],[Salario Basico Md]]</f>
        <v>0.55987454774423195</v>
      </c>
      <c r="CG115" s="155">
        <f>ROUNDUP(VLOOKUP(Datos_Origen[[#This Row],[Categoria]],Competitividad_1[#All],8,0)*IndiceIncrementoC,-3)</f>
        <v>8965000</v>
      </c>
      <c r="CH115" s="161">
        <f>Datos_Origen[[#This Row],[G]]/Datos_Origen[[#This Row],[GQ3]]</f>
        <v>0.52933743558282209</v>
      </c>
      <c r="CI115" s="155">
        <f>ROUNDUP(VLOOKUP(Datos_Origen[[#This Row],[Categoria]],Competitividad_1[#All],9,0)*IndiceIncrementoC,-3)</f>
        <v>9200000</v>
      </c>
      <c r="CJ115" s="161">
        <f>Datos_Origen[[#This Row],[G+V]]/Datos_Origen[[#This Row],[G+VQ3]]</f>
        <v>0.51581631630434788</v>
      </c>
      <c r="CK115" s="155">
        <f>ROUNDUP(VLOOKUP(Datos_Origen[[#This Row],[Categoria]],Competitividad_1[#All],10,0)*IndiceIncrementoC,-3)</f>
        <v>9412000</v>
      </c>
      <c r="CL115" s="161">
        <f>Datos_Origen[[#This Row],[CT]]/Datos_Origen[[#This Row],[CTQ3]]</f>
        <v>0.50419784424139402</v>
      </c>
      <c r="CM115" s="162">
        <f>IF(ROUND(Datos_Origen[[#This Row],[Salario Ordinario Pol2]],-3)&lt;SMMLV,SMMLV,ROUND(Datos_Origen[[#This Row],[Salario Ordinario Pol2]],-3))</f>
        <v>7438000</v>
      </c>
      <c r="CN115" s="155">
        <f>IF(Datos_Origen[[#This Row],[Gpol]]/(1+FactorPrestacionalOrdinario)&lt;SMMLV,SMMLV,Datos_Origen[[#This Row],[Gpol]]/(1+FactorPrestacionalOrdinario))</f>
        <v>9297450.4249291774</v>
      </c>
      <c r="CO115" s="161">
        <f>IFERROR(IF(Datos_Origen[[#This Row],[Salarios Año]]=14.12,Datos_Origen[[#This Row],[Básico]]/Datos_Origen[[#This Row],[Salario Ordinario Pol]],""),"")</f>
        <v>0.43377483241925663</v>
      </c>
      <c r="CP115" s="155">
        <f>IF(ROUND(Datos_Origen[[#This Row],[Salario Ordinario Pol22]],-3)&lt;SMMLV,SMMLV,ROUND(Datos_Origen[[#This Row],[Salario Ordinario Pol22]],-3))</f>
        <v>11157000</v>
      </c>
      <c r="CQ115" s="155" t="str">
        <f>IFERROR(ROUND(Datos_Origen[[#This Row],[Salario Integral Pol4]],-3),"")</f>
        <v/>
      </c>
      <c r="CR115" s="139" t="str">
        <f>IF((Datos_Origen[[#This Row],[Gpol]]/(1+FactorPrestacionalIntegral))&lt;(13*SMMLV),"",(Datos_Origen[[#This Row],[Gpol]]/(1+FactorPrestacionalIntegral)))</f>
        <v/>
      </c>
      <c r="CS115" s="161" t="str">
        <f>IFERROR(IF(Datos_Origen[[#This Row],[Salarios Año]]=12,Datos_Origen[[#This Row],[Básico]]/Datos_Origen[[#This Row],[Salario Integral Pol]],""),"")</f>
        <v/>
      </c>
      <c r="CT115" s="155" t="str">
        <f>IFERROR(ROUND(Datos_Origen[[#This Row],[Salario Integral Pol44]],-3),"")</f>
        <v/>
      </c>
      <c r="CU115" s="155">
        <f>Datos_Origen[[#This Row],[G+Vpol]]-Datos_Origen[[#This Row],[Variable]]</f>
        <v>10940000</v>
      </c>
      <c r="CV115" s="161">
        <f>Datos_Origen[[#This Row],[G]]/Datos_Origen[[#This Row],[Gpol]]</f>
        <v>0.43377606124314444</v>
      </c>
      <c r="CW115" s="154">
        <f>Datos_Origen[[#This Row],[Ctpol]]-Datos_Origen[[#This Row],[Beneficios]]</f>
        <v>10940000</v>
      </c>
      <c r="CX115" s="161">
        <f>Datos_Origen[[#This Row],[G+V]]/Datos_Origen[[#This Row],[G+Vpol]]</f>
        <v>0.43377606124314444</v>
      </c>
      <c r="CY115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10940000</v>
      </c>
      <c r="CZ115" s="161">
        <f>Datos_Origen[[#This Row],[CT]]/Datos_Origen[[#This Row],[Ctpol]]</f>
        <v>0.43377606124314444</v>
      </c>
      <c r="DA115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4033000</v>
      </c>
      <c r="DB115" s="158">
        <f>IF(Datos_Origen[[#This Row],[Básico]]&lt;10*SMMLV,0,Datos_Origen[[#This Row],[Base Seguridad Social Actual]]*8.5%)</f>
        <v>0</v>
      </c>
      <c r="DC115" s="158">
        <f>Datos_Origen[[#This Row],[Base Seguridad Social Actual]]*12%</f>
        <v>483960</v>
      </c>
      <c r="DD115" s="158">
        <f>Datos_Origen[[#This Row],[Base Seguridad Social Actual]]*Datos_Origen[[#This Row],[%ARL]]</f>
        <v>175435.5</v>
      </c>
      <c r="DE115" s="158">
        <f>IF(Datos_Origen[[#This Row],[Básico]]&lt;10*SMMLV,Datos_Origen[[#This Row],[Base Seguridad Social Actual]]*4%,Datos_Origen[[#This Row],[Base Seguridad Social Actual]]*9%)</f>
        <v>161320</v>
      </c>
      <c r="DF115" s="158">
        <f>Datos_Origen[[#This Row],[Salud]]+Datos_Origen[[#This Row],[Pensión]]+Datos_Origen[[#This Row],[ARL]]+Datos_Origen[[#This Row],[Parafiscales]]</f>
        <v>820715.5</v>
      </c>
      <c r="DG115" s="163">
        <f>Datos_Origen[[#This Row],[Costo Laboral Actual]]+Datos_Origen[[#This Row],[CT]]</f>
        <v>5566225.6100000003</v>
      </c>
      <c r="DH115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9297450.4249291774</v>
      </c>
      <c r="DI115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15" s="158">
        <f>Datos_Origen[[#This Row],[Base Seguridad Social Nueva]]*12%</f>
        <v>1115694.0509915012</v>
      </c>
      <c r="DK115" s="158">
        <f>Datos_Origen[[#This Row],[Base Seguridad Social Nueva]]*Datos_Origen[[#This Row],[%ARL]]</f>
        <v>404439.09348441917</v>
      </c>
      <c r="DL115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371898.01699716708</v>
      </c>
      <c r="DM115" s="158">
        <f>Datos_Origen[[#This Row],[Salud Nueva]]+Datos_Origen[[#This Row],[Pensión Nueva]]+Datos_Origen[[#This Row],[ARL nueva]]+Datos_Origen[[#This Row],[Parafiscales Nuevos]]</f>
        <v>1892031.1614730875</v>
      </c>
      <c r="DN115" s="158">
        <f>Datos_Origen[[#This Row],[Costo Laboral Nuevo]]+Datos_Origen[[#This Row],[Ctpol]]</f>
        <v>12832031.161473088</v>
      </c>
      <c r="DO115" s="158">
        <f>IF(Datos_Origen[[#This Row],[Ctpol]]-Datos_Origen[[#This Row],[CT]]&lt;=0,0,Datos_Origen[[#This Row],[Costo Total Nuevo]]-Datos_Origen[[#This Row],[Costo Total Actual]])</f>
        <v>7265805.5514730876</v>
      </c>
      <c r="DP115" s="158">
        <f>IF(Datos_Origen[[#This Row],[Ctpol]]-Datos_Origen[[#This Row],[CT]]&lt;=0,0,Datos_Origen[[#This Row],[Ctpol]]-Datos_Origen[[#This Row],[CT]])</f>
        <v>6194489.8899999997</v>
      </c>
      <c r="DQ115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1071315.6614730875</v>
      </c>
      <c r="DR115" s="158">
        <f>ROUNDDOWN(VLOOKUP(Datos_Origen[[#This Row],[Categoria]],Competitividad_1[],7,0)*IndiceIncrementoC,-3)</f>
        <v>9116000</v>
      </c>
      <c r="DS115" s="158">
        <f>Datos_Origen[[#This Row],[CTeq]]*0.8</f>
        <v>4630964.5008789422</v>
      </c>
      <c r="DT115" s="158">
        <f>Datos_Origen[[#This Row],[CTeq]]*1.2</f>
        <v>6946446.7513184128</v>
      </c>
      <c r="DU115" s="155">
        <f>IF(Datos_Origen[[#This Row],[Gpol6]]/(1+FactorPrestacionalOrdinario)&lt;SMMLV,SMMLV,Datos_Origen[[#This Row],[Gpol6]]/(1+FactorPrestacionalOrdinario))</f>
        <v>7437960.3399433419</v>
      </c>
      <c r="DV115" s="139" t="str">
        <f>IF((Datos_Origen[[#This Row],[Gpol6]]/(1+FactorPrestacionalIntegral))&lt;(13*SMMLV),"",(Datos_Origen[[#This Row],[Gpol6]]/(1+FactorPrestacionalIntegral)))</f>
        <v/>
      </c>
      <c r="DW115" s="154">
        <f>Datos_Origen[[#This Row],[G+Vpol8]]</f>
        <v>8752000</v>
      </c>
      <c r="DX115" s="154">
        <f>Datos_Origen[[#This Row],[Ctpol10]]-Datos_Origen[[#This Row],[Beneficios]]</f>
        <v>8752000</v>
      </c>
      <c r="DY115" s="154">
        <f>Datos_Origen[[#This Row],[Ctpol]]*$CM$6</f>
        <v>8752000</v>
      </c>
      <c r="DZ115" s="155">
        <f>IF(Datos_Origen[[#This Row],[Gpol66]]/(1+FactorPrestacionalOrdinario)&lt;SMMLV,SMMLV,Datos_Origen[[#This Row],[Gpol66]]/(1+FactorPrestacionalOrdinario))</f>
        <v>11156940.509915013</v>
      </c>
      <c r="EA115" s="139" t="str">
        <f>IF((Datos_Origen[[#This Row],[Gpol66]]/(1+FactorPrestacionalIntegral))&lt;(13*SMMLV),"",(Datos_Origen[[#This Row],[Gpol66]]/(1+FactorPrestacionalIntegral)))</f>
        <v/>
      </c>
      <c r="EB115" s="154">
        <f>Datos_Origen[[#This Row],[G+Vpol88]]</f>
        <v>13128000</v>
      </c>
      <c r="EC115" s="154">
        <f>Datos_Origen[[#This Row],[Ctpol1010]]-Datos_Origen[[#This Row],[Beneficios]]</f>
        <v>13128000</v>
      </c>
      <c r="ED115" s="154">
        <f>Datos_Origen[[#This Row],[Ctpol]]*$CP$6</f>
        <v>13128000</v>
      </c>
      <c r="EE115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16" spans="2:135">
      <c r="B116" s="132"/>
      <c r="C116" s="149"/>
      <c r="D116" s="150"/>
      <c r="E116" s="151"/>
      <c r="F116" s="151"/>
      <c r="G116" s="150" t="s">
        <v>305</v>
      </c>
      <c r="H116" s="153"/>
      <c r="I116" s="152" t="s">
        <v>305</v>
      </c>
      <c r="J116" s="130" t="str">
        <f>IFERROR(VLOOKUP(Datos_Origen[[#This Row],[Cargo Tipo Valorado]],Cargos_Catalogo[[#All],[Cargo]:[Área]],2,0),"")</f>
        <v>Directora de diseño y desarrollo</v>
      </c>
      <c r="K116" s="153"/>
      <c r="L116" s="153"/>
      <c r="M116" s="153"/>
      <c r="N116" s="153"/>
      <c r="O116" s="154">
        <f>Datos_Origen[[#This Row],[Segmentación Individual]]</f>
        <v>0</v>
      </c>
      <c r="P116" s="153"/>
      <c r="Q116" s="154">
        <f>VLOOKUP(Datos_Origen[[#This Row],[Cargo Tipo Valorado]],Cargos_Catalogo[#Data],MATCH(Cargos_Catalogo[[#Headers],[Puntos]],Cargos_Catalogo[#Headers],0),FALSE)</f>
        <v>442</v>
      </c>
      <c r="R116" s="130">
        <f>VLOOKUP(Datos_Origen[[#This Row],[Puntos valoración]],Categorias_Registro[#Data],MATCH(Categorias_Registro[[#Headers],[Categoria]],Categorias_Registro[#Headers],0),FALSE)</f>
        <v>12</v>
      </c>
      <c r="S116" s="130" t="str">
        <f>VLOOKUP(Datos_Origen[[#This Row],[Cargo Tipo Valorado]],Cargos_Catalogo[#Data],MATCH(Cargos_Catalogo[[#Headers],[Nivel SHR]],Cargos_Catalogo[#Headers],0),FALSE)</f>
        <v>Táctico</v>
      </c>
      <c r="T116" s="130" t="str">
        <f>VLOOKUP(Datos_Origen[[#This Row],[Cargo Tipo Valorado]],Cargos_Catalogo[#Data],MATCH(Cargos_Catalogo[[#Headers],[Criticidad]],Cargos_Catalogo[#Headers],0),FALSE)</f>
        <v>Crítico</v>
      </c>
      <c r="U116" s="154">
        <f>VLOOKUP(Datos_Origen[[#This Row],[Puntos valoración]],Categorias_Registro[#Data],5,FALSE)</f>
        <v>436</v>
      </c>
      <c r="V116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4745510.1100000003</v>
      </c>
      <c r="W116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16" s="154">
        <f>SUMIF($BA$5:$BJ$5,"NCS",Datos_Origen[[#This Row],[auxilio Gasolina]:[Otro Beneficio10]])+(SUMIF($BA$5:$BJ$5,"CS",Datos_Origen[[#This Row],[auxilio Gasolina]:[Otro Beneficio10]])*1.17667)</f>
        <v>0</v>
      </c>
      <c r="Y116" s="155">
        <f>Datos_Origen[[#This Row],[Básico]]+Datos_Origen[[#This Row],[Promedio de Comisiones  ]]</f>
        <v>4033000</v>
      </c>
      <c r="Z116" s="155">
        <f>Datos_Origen[[#This Row],[Básico]]+Datos_Origen[[#This Row],[Promedio de Comisiones  ]]</f>
        <v>4033000</v>
      </c>
      <c r="AA116" s="155">
        <f>Datos_Origen[[#This Row],[Garantizado]]</f>
        <v>4745510.1100000003</v>
      </c>
      <c r="AB116" s="155">
        <f>Datos_Origen[[#This Row],[Variable]]+Datos_Origen[[#This Row],[Garantizado]]</f>
        <v>4745510.1100000003</v>
      </c>
      <c r="AC116" s="155">
        <f>Datos_Origen[[#This Row],[Beneficios]]+Datos_Origen[[#This Row],[Variable]]+Datos_Origen[[#This Row],[Garantizado]]</f>
        <v>4745510.1100000003</v>
      </c>
      <c r="AD116" s="156">
        <v>14.12</v>
      </c>
      <c r="AE116" s="141">
        <v>230</v>
      </c>
      <c r="AF116" s="345">
        <v>4.3499999999999997E-2</v>
      </c>
      <c r="AG116" s="155">
        <f>Datos_Origen[[#This Row],[Básico Actual]]*230/Datos_Origen[[#This Row],['# horas mes]]</f>
        <v>4033000</v>
      </c>
      <c r="AH116" s="157">
        <v>4033000</v>
      </c>
      <c r="AI116" s="158"/>
      <c r="AJ116" s="158">
        <f>(((Datos_Origen[[#This Row],[Básico]])/30)*$AJ$6)/12</f>
        <v>0</v>
      </c>
      <c r="AK116" s="158"/>
      <c r="AL116" s="143">
        <f>((Datos_Origen[[#This Row],[Básico]])/30)*$AL$6/12</f>
        <v>0</v>
      </c>
      <c r="AM116" s="158"/>
      <c r="AN116" s="158"/>
      <c r="AO116" s="158"/>
      <c r="AP116" s="158"/>
      <c r="AQ116" s="158"/>
      <c r="AR116" s="149">
        <v>0</v>
      </c>
      <c r="AS116" s="149"/>
      <c r="AT116" s="159" t="str">
        <f>IFERROR(Datos_Origen[[#This Row],[Comisiones Target]]/Datos_Origen[[#This Row],[Promedio de Comisiones  ]],"")</f>
        <v/>
      </c>
      <c r="AU116" s="160"/>
      <c r="AV116" s="143">
        <v>0</v>
      </c>
      <c r="AW116" s="160"/>
      <c r="AX116" s="143">
        <f>Datos_Origen[[#This Row],[N Salarios de la Bonificación2]]*Datos_Origen[[#This Row],[Básico]]/12</f>
        <v>0</v>
      </c>
      <c r="AY116" s="160"/>
      <c r="AZ116" s="158"/>
      <c r="BA116" s="149">
        <v>0</v>
      </c>
      <c r="BB116" s="149"/>
      <c r="BC116" s="149"/>
      <c r="BD116" s="149"/>
      <c r="BE116" s="149"/>
      <c r="BF116" s="149"/>
      <c r="BG116" s="149"/>
      <c r="BH116" s="149"/>
      <c r="BI116" s="149"/>
      <c r="BJ116" s="149"/>
      <c r="BK116" s="159">
        <f>IFERROR(Datos_Origen[[#This Row],[Variable]]/Datos_Origen[[#This Row],[CT]],"")</f>
        <v>0</v>
      </c>
      <c r="BL116" s="159">
        <f>IFERROR(Datos_Origen[[#This Row],[Beneficios]]/Datos_Origen[[#This Row],[CT]],"")</f>
        <v>0</v>
      </c>
      <c r="BM116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16" s="161">
        <f>Datos_Origen[[#This Row],[G]]/Datos_Origen[[#This Row],[Geq]]</f>
        <v>0.859234790007259</v>
      </c>
      <c r="BO116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16" s="161">
        <f>Datos_Origen[[#This Row],[G+V]]/Datos_Origen[[#This Row],[G+Veq]]</f>
        <v>0.82038449007752023</v>
      </c>
      <c r="BQ116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16" s="161">
        <f>Datos_Origen[[#This Row],[CT]]/Datos_Origen[[#This Row],[CTeq]]</f>
        <v>0.81978777580338924</v>
      </c>
      <c r="BS116" s="139">
        <f>ROUNDUP(VLOOKUP(Datos_Origen[[#This Row],[Categoria]],Competitividad_1[#All],2,0)*IndiceIncrementoC,-3)</f>
        <v>6487000</v>
      </c>
      <c r="BT116" s="161">
        <f>Datos_Origen[[#This Row],[G]]/Datos_Origen[[#This Row],[GQ1]]</f>
        <v>0.73154156158470796</v>
      </c>
      <c r="BU116" s="155">
        <f>ROUNDUP(VLOOKUP(Datos_Origen[[#This Row],[Categoria]],Competitividad_1[#All],3,0)*IndiceIncrementoC,-3)</f>
        <v>6736000</v>
      </c>
      <c r="BV116" s="161">
        <f>Datos_Origen[[#This Row],[G+V]]/Datos_Origen[[#This Row],[G+VQ1]]</f>
        <v>0.70449971941805234</v>
      </c>
      <c r="BW116" s="155">
        <f>ROUNDUP(VLOOKUP(Datos_Origen[[#This Row],[Categoria]],Competitividad_1[#All],4,0)*IndiceIncrementoC,-3)</f>
        <v>7056000</v>
      </c>
      <c r="BX116" s="161">
        <f>Datos_Origen[[#This Row],[CT]]/Datos_Origen[[#This Row],[CTQ1]]</f>
        <v>0.67254961876417241</v>
      </c>
      <c r="BY116" s="155">
        <f>ROUNDUP(VLOOKUP(Datos_Origen[[#This Row],[Categoria]],Competitividad_1[#All],5,0)*IndiceIncrementoC,-3)</f>
        <v>8476000</v>
      </c>
      <c r="BZ116" s="161">
        <f>Datos_Origen[[#This Row],[G]]/Datos_Origen[[#This Row],[GMd]]</f>
        <v>0.55987613378952339</v>
      </c>
      <c r="CA116" s="155">
        <f>ROUNDUP(VLOOKUP(Datos_Origen[[#This Row],[Categoria]],Competitividad_1[#All],6,0)*IndiceIncrementoC,-3)</f>
        <v>8755000</v>
      </c>
      <c r="CB116" s="161">
        <f>Datos_Origen[[#This Row],[G+V]]/Datos_Origen[[#This Row],[G+VMd]]</f>
        <v>0.54203427869788701</v>
      </c>
      <c r="CC116" s="155">
        <f>ROUNDUP(VLOOKUP(Datos_Origen[[#This Row],[Categoria]],Competitividad_1[#All],7,0)*IndiceIncrementoC,-3)</f>
        <v>9117000</v>
      </c>
      <c r="CD116" s="161">
        <f>Datos_Origen[[#This Row],[CT]]/Datos_Origen[[#This Row],[CTMd]]</f>
        <v>0.5205122419655589</v>
      </c>
      <c r="CE116" s="155">
        <f>+Datos_Origen[[#This Row],[GMd]]/1.17666666667</f>
        <v>7203399.4334073551</v>
      </c>
      <c r="CF116" s="161">
        <f>+Datos_Origen[[#This Row],[Básico Actual]]/Datos_Origen[[#This Row],[Salario Basico Md]]</f>
        <v>0.55987454774423195</v>
      </c>
      <c r="CG116" s="155">
        <f>ROUNDUP(VLOOKUP(Datos_Origen[[#This Row],[Categoria]],Competitividad_1[#All],8,0)*IndiceIncrementoC,-3)</f>
        <v>8965000</v>
      </c>
      <c r="CH116" s="161">
        <f>Datos_Origen[[#This Row],[G]]/Datos_Origen[[#This Row],[GQ3]]</f>
        <v>0.52933743558282209</v>
      </c>
      <c r="CI116" s="155">
        <f>ROUNDUP(VLOOKUP(Datos_Origen[[#This Row],[Categoria]],Competitividad_1[#All],9,0)*IndiceIncrementoC,-3)</f>
        <v>9200000</v>
      </c>
      <c r="CJ116" s="161">
        <f>Datos_Origen[[#This Row],[G+V]]/Datos_Origen[[#This Row],[G+VQ3]]</f>
        <v>0.51581631630434788</v>
      </c>
      <c r="CK116" s="155">
        <f>ROUNDUP(VLOOKUP(Datos_Origen[[#This Row],[Categoria]],Competitividad_1[#All],10,0)*IndiceIncrementoC,-3)</f>
        <v>9412000</v>
      </c>
      <c r="CL116" s="161">
        <f>Datos_Origen[[#This Row],[CT]]/Datos_Origen[[#This Row],[CTQ3]]</f>
        <v>0.50419784424139402</v>
      </c>
      <c r="CM116" s="162">
        <f>IF(ROUND(Datos_Origen[[#This Row],[Salario Ordinario Pol2]],-3)&lt;SMMLV,SMMLV,ROUND(Datos_Origen[[#This Row],[Salario Ordinario Pol2]],-3))</f>
        <v>7438000</v>
      </c>
      <c r="CN116" s="155">
        <f>IF(Datos_Origen[[#This Row],[Gpol]]/(1+FactorPrestacionalOrdinario)&lt;SMMLV,SMMLV,Datos_Origen[[#This Row],[Gpol]]/(1+FactorPrestacionalOrdinario))</f>
        <v>9297450.4249291774</v>
      </c>
      <c r="CO116" s="161">
        <f>IFERROR(IF(Datos_Origen[[#This Row],[Salarios Año]]=14.12,Datos_Origen[[#This Row],[Básico]]/Datos_Origen[[#This Row],[Salario Ordinario Pol]],""),"")</f>
        <v>0.43377483241925663</v>
      </c>
      <c r="CP116" s="155">
        <f>IF(ROUND(Datos_Origen[[#This Row],[Salario Ordinario Pol22]],-3)&lt;SMMLV,SMMLV,ROUND(Datos_Origen[[#This Row],[Salario Ordinario Pol22]],-3))</f>
        <v>11157000</v>
      </c>
      <c r="CQ116" s="155" t="str">
        <f>IFERROR(ROUND(Datos_Origen[[#This Row],[Salario Integral Pol4]],-3),"")</f>
        <v/>
      </c>
      <c r="CR116" s="139" t="str">
        <f>IF((Datos_Origen[[#This Row],[Gpol]]/(1+FactorPrestacionalIntegral))&lt;(13*SMMLV),"",(Datos_Origen[[#This Row],[Gpol]]/(1+FactorPrestacionalIntegral)))</f>
        <v/>
      </c>
      <c r="CS116" s="161" t="str">
        <f>IFERROR(IF(Datos_Origen[[#This Row],[Salarios Año]]=12,Datos_Origen[[#This Row],[Básico]]/Datos_Origen[[#This Row],[Salario Integral Pol]],""),"")</f>
        <v/>
      </c>
      <c r="CT116" s="155" t="str">
        <f>IFERROR(ROUND(Datos_Origen[[#This Row],[Salario Integral Pol44]],-3),"")</f>
        <v/>
      </c>
      <c r="CU116" s="155">
        <f>Datos_Origen[[#This Row],[G+Vpol]]-Datos_Origen[[#This Row],[Variable]]</f>
        <v>10940000</v>
      </c>
      <c r="CV116" s="161">
        <f>Datos_Origen[[#This Row],[G]]/Datos_Origen[[#This Row],[Gpol]]</f>
        <v>0.43377606124314444</v>
      </c>
      <c r="CW116" s="154">
        <f>Datos_Origen[[#This Row],[Ctpol]]-Datos_Origen[[#This Row],[Beneficios]]</f>
        <v>10940000</v>
      </c>
      <c r="CX116" s="161">
        <f>Datos_Origen[[#This Row],[G+V]]/Datos_Origen[[#This Row],[G+Vpol]]</f>
        <v>0.43377606124314444</v>
      </c>
      <c r="CY116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10940000</v>
      </c>
      <c r="CZ116" s="161">
        <f>Datos_Origen[[#This Row],[CT]]/Datos_Origen[[#This Row],[Ctpol]]</f>
        <v>0.43377606124314444</v>
      </c>
      <c r="DA116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4033000</v>
      </c>
      <c r="DB116" s="158">
        <f>IF(Datos_Origen[[#This Row],[Básico]]&lt;10*SMMLV,0,Datos_Origen[[#This Row],[Base Seguridad Social Actual]]*8.5%)</f>
        <v>0</v>
      </c>
      <c r="DC116" s="158">
        <f>Datos_Origen[[#This Row],[Base Seguridad Social Actual]]*12%</f>
        <v>483960</v>
      </c>
      <c r="DD116" s="158">
        <f>Datos_Origen[[#This Row],[Base Seguridad Social Actual]]*Datos_Origen[[#This Row],[%ARL]]</f>
        <v>175435.5</v>
      </c>
      <c r="DE116" s="158">
        <f>IF(Datos_Origen[[#This Row],[Básico]]&lt;10*SMMLV,Datos_Origen[[#This Row],[Base Seguridad Social Actual]]*4%,Datos_Origen[[#This Row],[Base Seguridad Social Actual]]*9%)</f>
        <v>161320</v>
      </c>
      <c r="DF116" s="158">
        <f>Datos_Origen[[#This Row],[Salud]]+Datos_Origen[[#This Row],[Pensión]]+Datos_Origen[[#This Row],[ARL]]+Datos_Origen[[#This Row],[Parafiscales]]</f>
        <v>820715.5</v>
      </c>
      <c r="DG116" s="163">
        <f>Datos_Origen[[#This Row],[Costo Laboral Actual]]+Datos_Origen[[#This Row],[CT]]</f>
        <v>5566225.6100000003</v>
      </c>
      <c r="DH116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9297450.4249291774</v>
      </c>
      <c r="DI116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16" s="158">
        <f>Datos_Origen[[#This Row],[Base Seguridad Social Nueva]]*12%</f>
        <v>1115694.0509915012</v>
      </c>
      <c r="DK116" s="158">
        <f>Datos_Origen[[#This Row],[Base Seguridad Social Nueva]]*Datos_Origen[[#This Row],[%ARL]]</f>
        <v>404439.09348441917</v>
      </c>
      <c r="DL116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371898.01699716708</v>
      </c>
      <c r="DM116" s="158">
        <f>Datos_Origen[[#This Row],[Salud Nueva]]+Datos_Origen[[#This Row],[Pensión Nueva]]+Datos_Origen[[#This Row],[ARL nueva]]+Datos_Origen[[#This Row],[Parafiscales Nuevos]]</f>
        <v>1892031.1614730875</v>
      </c>
      <c r="DN116" s="158">
        <f>Datos_Origen[[#This Row],[Costo Laboral Nuevo]]+Datos_Origen[[#This Row],[Ctpol]]</f>
        <v>12832031.161473088</v>
      </c>
      <c r="DO116" s="158">
        <f>IF(Datos_Origen[[#This Row],[Ctpol]]-Datos_Origen[[#This Row],[CT]]&lt;=0,0,Datos_Origen[[#This Row],[Costo Total Nuevo]]-Datos_Origen[[#This Row],[Costo Total Actual]])</f>
        <v>7265805.5514730876</v>
      </c>
      <c r="DP116" s="158">
        <f>IF(Datos_Origen[[#This Row],[Ctpol]]-Datos_Origen[[#This Row],[CT]]&lt;=0,0,Datos_Origen[[#This Row],[Ctpol]]-Datos_Origen[[#This Row],[CT]])</f>
        <v>6194489.8899999997</v>
      </c>
      <c r="DQ116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1071315.6614730875</v>
      </c>
      <c r="DR116" s="158">
        <f>ROUNDDOWN(VLOOKUP(Datos_Origen[[#This Row],[Categoria]],Competitividad_1[],7,0)*IndiceIncrementoC,-3)</f>
        <v>9116000</v>
      </c>
      <c r="DS116" s="158">
        <f>Datos_Origen[[#This Row],[CTeq]]*0.8</f>
        <v>4630964.5008789422</v>
      </c>
      <c r="DT116" s="158">
        <f>Datos_Origen[[#This Row],[CTeq]]*1.2</f>
        <v>6946446.7513184128</v>
      </c>
      <c r="DU116" s="155">
        <f>IF(Datos_Origen[[#This Row],[Gpol6]]/(1+FactorPrestacionalOrdinario)&lt;SMMLV,SMMLV,Datos_Origen[[#This Row],[Gpol6]]/(1+FactorPrestacionalOrdinario))</f>
        <v>7437960.3399433419</v>
      </c>
      <c r="DV116" s="139" t="str">
        <f>IF((Datos_Origen[[#This Row],[Gpol6]]/(1+FactorPrestacionalIntegral))&lt;(13*SMMLV),"",(Datos_Origen[[#This Row],[Gpol6]]/(1+FactorPrestacionalIntegral)))</f>
        <v/>
      </c>
      <c r="DW116" s="154">
        <f>Datos_Origen[[#This Row],[G+Vpol8]]</f>
        <v>8752000</v>
      </c>
      <c r="DX116" s="154">
        <f>Datos_Origen[[#This Row],[Ctpol10]]-Datos_Origen[[#This Row],[Beneficios]]</f>
        <v>8752000</v>
      </c>
      <c r="DY116" s="154">
        <f>Datos_Origen[[#This Row],[Ctpol]]*$CM$6</f>
        <v>8752000</v>
      </c>
      <c r="DZ116" s="155">
        <f>IF(Datos_Origen[[#This Row],[Gpol66]]/(1+FactorPrestacionalOrdinario)&lt;SMMLV,SMMLV,Datos_Origen[[#This Row],[Gpol66]]/(1+FactorPrestacionalOrdinario))</f>
        <v>11156940.509915013</v>
      </c>
      <c r="EA116" s="139" t="str">
        <f>IF((Datos_Origen[[#This Row],[Gpol66]]/(1+FactorPrestacionalIntegral))&lt;(13*SMMLV),"",(Datos_Origen[[#This Row],[Gpol66]]/(1+FactorPrestacionalIntegral)))</f>
        <v/>
      </c>
      <c r="EB116" s="154">
        <f>Datos_Origen[[#This Row],[G+Vpol88]]</f>
        <v>13128000</v>
      </c>
      <c r="EC116" s="154">
        <f>Datos_Origen[[#This Row],[Ctpol1010]]-Datos_Origen[[#This Row],[Beneficios]]</f>
        <v>13128000</v>
      </c>
      <c r="ED116" s="154">
        <f>Datos_Origen[[#This Row],[Ctpol]]*$CP$6</f>
        <v>13128000</v>
      </c>
      <c r="EE116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17" spans="2:135">
      <c r="B117" s="148"/>
      <c r="C117" s="149"/>
      <c r="D117" s="150"/>
      <c r="E117" s="151"/>
      <c r="F117" s="151"/>
      <c r="G117" s="150" t="s">
        <v>305</v>
      </c>
      <c r="H117" s="153"/>
      <c r="I117" s="152" t="s">
        <v>305</v>
      </c>
      <c r="J117" s="130" t="str">
        <f>IFERROR(VLOOKUP(Datos_Origen[[#This Row],[Cargo Tipo Valorado]],Cargos_Catalogo[[#All],[Cargo]:[Área]],2,0),"")</f>
        <v>Directora de diseño y desarrollo</v>
      </c>
      <c r="K117" s="153"/>
      <c r="L117" s="153"/>
      <c r="M117" s="153"/>
      <c r="N117" s="153"/>
      <c r="O117" s="154">
        <f>Datos_Origen[[#This Row],[Segmentación Individual]]</f>
        <v>0</v>
      </c>
      <c r="P117" s="153"/>
      <c r="Q117" s="154">
        <f>VLOOKUP(Datos_Origen[[#This Row],[Cargo Tipo Valorado]],Cargos_Catalogo[#Data],MATCH(Cargos_Catalogo[[#Headers],[Puntos]],Cargos_Catalogo[#Headers],0),FALSE)</f>
        <v>442</v>
      </c>
      <c r="R117" s="130">
        <f>VLOOKUP(Datos_Origen[[#This Row],[Puntos valoración]],Categorias_Registro[#Data],MATCH(Categorias_Registro[[#Headers],[Categoria]],Categorias_Registro[#Headers],0),FALSE)</f>
        <v>12</v>
      </c>
      <c r="S117" s="130" t="str">
        <f>VLOOKUP(Datos_Origen[[#This Row],[Cargo Tipo Valorado]],Cargos_Catalogo[#Data],MATCH(Cargos_Catalogo[[#Headers],[Nivel SHR]],Cargos_Catalogo[#Headers],0),FALSE)</f>
        <v>Táctico</v>
      </c>
      <c r="T117" s="130" t="str">
        <f>VLOOKUP(Datos_Origen[[#This Row],[Cargo Tipo Valorado]],Cargos_Catalogo[#Data],MATCH(Cargos_Catalogo[[#Headers],[Criticidad]],Cargos_Catalogo[#Headers],0),FALSE)</f>
        <v>Crítico</v>
      </c>
      <c r="U117" s="154">
        <f>VLOOKUP(Datos_Origen[[#This Row],[Puntos valoración]],Categorias_Registro[#Data],5,FALSE)</f>
        <v>436</v>
      </c>
      <c r="V117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4745510.1100000003</v>
      </c>
      <c r="W117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17" s="154">
        <f>SUMIF($BA$5:$BJ$5,"NCS",Datos_Origen[[#This Row],[auxilio Gasolina]:[Otro Beneficio10]])+(SUMIF($BA$5:$BJ$5,"CS",Datos_Origen[[#This Row],[auxilio Gasolina]:[Otro Beneficio10]])*1.17667)</f>
        <v>0</v>
      </c>
      <c r="Y117" s="155">
        <f>Datos_Origen[[#This Row],[Básico]]+Datos_Origen[[#This Row],[Promedio de Comisiones  ]]</f>
        <v>4033000</v>
      </c>
      <c r="Z117" s="155">
        <f>Datos_Origen[[#This Row],[Básico]]+Datos_Origen[[#This Row],[Promedio de Comisiones  ]]</f>
        <v>4033000</v>
      </c>
      <c r="AA117" s="155">
        <f>Datos_Origen[[#This Row],[Garantizado]]</f>
        <v>4745510.1100000003</v>
      </c>
      <c r="AB117" s="155">
        <f>Datos_Origen[[#This Row],[Variable]]+Datos_Origen[[#This Row],[Garantizado]]</f>
        <v>4745510.1100000003</v>
      </c>
      <c r="AC117" s="155">
        <f>Datos_Origen[[#This Row],[Beneficios]]+Datos_Origen[[#This Row],[Variable]]+Datos_Origen[[#This Row],[Garantizado]]</f>
        <v>4745510.1100000003</v>
      </c>
      <c r="AD117" s="156">
        <v>14.12</v>
      </c>
      <c r="AE117" s="141">
        <v>230</v>
      </c>
      <c r="AF117" s="345">
        <v>4.3499999999999997E-2</v>
      </c>
      <c r="AG117" s="155">
        <f>Datos_Origen[[#This Row],[Básico Actual]]*230/Datos_Origen[[#This Row],['# horas mes]]</f>
        <v>4033000</v>
      </c>
      <c r="AH117" s="157">
        <v>4033000</v>
      </c>
      <c r="AI117" s="158"/>
      <c r="AJ117" s="158">
        <f>(((Datos_Origen[[#This Row],[Básico]])/30)*$AJ$6)/12</f>
        <v>0</v>
      </c>
      <c r="AK117" s="158"/>
      <c r="AL117" s="143">
        <f>((Datos_Origen[[#This Row],[Básico]])/30)*$AL$6/12</f>
        <v>0</v>
      </c>
      <c r="AM117" s="158"/>
      <c r="AN117" s="158"/>
      <c r="AO117" s="158"/>
      <c r="AP117" s="158"/>
      <c r="AQ117" s="158"/>
      <c r="AR117" s="149">
        <v>0</v>
      </c>
      <c r="AS117" s="149"/>
      <c r="AT117" s="159" t="str">
        <f>IFERROR(Datos_Origen[[#This Row],[Comisiones Target]]/Datos_Origen[[#This Row],[Promedio de Comisiones  ]],"")</f>
        <v/>
      </c>
      <c r="AU117" s="160"/>
      <c r="AV117" s="143">
        <v>0</v>
      </c>
      <c r="AW117" s="160"/>
      <c r="AX117" s="143">
        <f>Datos_Origen[[#This Row],[N Salarios de la Bonificación2]]*Datos_Origen[[#This Row],[Básico]]/12</f>
        <v>0</v>
      </c>
      <c r="AY117" s="160"/>
      <c r="AZ117" s="158"/>
      <c r="BA117" s="149">
        <v>0</v>
      </c>
      <c r="BB117" s="149"/>
      <c r="BC117" s="149"/>
      <c r="BD117" s="149"/>
      <c r="BE117" s="149"/>
      <c r="BF117" s="149"/>
      <c r="BG117" s="149"/>
      <c r="BH117" s="149"/>
      <c r="BI117" s="149"/>
      <c r="BJ117" s="149"/>
      <c r="BK117" s="159">
        <f>IFERROR(Datos_Origen[[#This Row],[Variable]]/Datos_Origen[[#This Row],[CT]],"")</f>
        <v>0</v>
      </c>
      <c r="BL117" s="159">
        <f>IFERROR(Datos_Origen[[#This Row],[Beneficios]]/Datos_Origen[[#This Row],[CT]],"")</f>
        <v>0</v>
      </c>
      <c r="BM117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17" s="161">
        <f>Datos_Origen[[#This Row],[G]]/Datos_Origen[[#This Row],[Geq]]</f>
        <v>0.859234790007259</v>
      </c>
      <c r="BO117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17" s="161">
        <f>Datos_Origen[[#This Row],[G+V]]/Datos_Origen[[#This Row],[G+Veq]]</f>
        <v>0.82038449007752023</v>
      </c>
      <c r="BQ117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17" s="161">
        <f>Datos_Origen[[#This Row],[CT]]/Datos_Origen[[#This Row],[CTeq]]</f>
        <v>0.81978777580338924</v>
      </c>
      <c r="BS117" s="139">
        <f>ROUNDUP(VLOOKUP(Datos_Origen[[#This Row],[Categoria]],Competitividad_1[#All],2,0)*IndiceIncrementoC,-3)</f>
        <v>6487000</v>
      </c>
      <c r="BT117" s="161">
        <f>Datos_Origen[[#This Row],[G]]/Datos_Origen[[#This Row],[GQ1]]</f>
        <v>0.73154156158470796</v>
      </c>
      <c r="BU117" s="155">
        <f>ROUNDUP(VLOOKUP(Datos_Origen[[#This Row],[Categoria]],Competitividad_1[#All],3,0)*IndiceIncrementoC,-3)</f>
        <v>6736000</v>
      </c>
      <c r="BV117" s="161">
        <f>Datos_Origen[[#This Row],[G+V]]/Datos_Origen[[#This Row],[G+VQ1]]</f>
        <v>0.70449971941805234</v>
      </c>
      <c r="BW117" s="155">
        <f>ROUNDUP(VLOOKUP(Datos_Origen[[#This Row],[Categoria]],Competitividad_1[#All],4,0)*IndiceIncrementoC,-3)</f>
        <v>7056000</v>
      </c>
      <c r="BX117" s="161">
        <f>Datos_Origen[[#This Row],[CT]]/Datos_Origen[[#This Row],[CTQ1]]</f>
        <v>0.67254961876417241</v>
      </c>
      <c r="BY117" s="155">
        <f>ROUNDUP(VLOOKUP(Datos_Origen[[#This Row],[Categoria]],Competitividad_1[#All],5,0)*IndiceIncrementoC,-3)</f>
        <v>8476000</v>
      </c>
      <c r="BZ117" s="161">
        <f>Datos_Origen[[#This Row],[G]]/Datos_Origen[[#This Row],[GMd]]</f>
        <v>0.55987613378952339</v>
      </c>
      <c r="CA117" s="155">
        <f>ROUNDUP(VLOOKUP(Datos_Origen[[#This Row],[Categoria]],Competitividad_1[#All],6,0)*IndiceIncrementoC,-3)</f>
        <v>8755000</v>
      </c>
      <c r="CB117" s="161">
        <f>Datos_Origen[[#This Row],[G+V]]/Datos_Origen[[#This Row],[G+VMd]]</f>
        <v>0.54203427869788701</v>
      </c>
      <c r="CC117" s="155">
        <f>ROUNDUP(VLOOKUP(Datos_Origen[[#This Row],[Categoria]],Competitividad_1[#All],7,0)*IndiceIncrementoC,-3)</f>
        <v>9117000</v>
      </c>
      <c r="CD117" s="161">
        <f>Datos_Origen[[#This Row],[CT]]/Datos_Origen[[#This Row],[CTMd]]</f>
        <v>0.5205122419655589</v>
      </c>
      <c r="CE117" s="155">
        <f>+Datos_Origen[[#This Row],[GMd]]/1.17666666667</f>
        <v>7203399.4334073551</v>
      </c>
      <c r="CF117" s="161">
        <f>+Datos_Origen[[#This Row],[Básico Actual]]/Datos_Origen[[#This Row],[Salario Basico Md]]</f>
        <v>0.55987454774423195</v>
      </c>
      <c r="CG117" s="155">
        <f>ROUNDUP(VLOOKUP(Datos_Origen[[#This Row],[Categoria]],Competitividad_1[#All],8,0)*IndiceIncrementoC,-3)</f>
        <v>8965000</v>
      </c>
      <c r="CH117" s="161">
        <f>Datos_Origen[[#This Row],[G]]/Datos_Origen[[#This Row],[GQ3]]</f>
        <v>0.52933743558282209</v>
      </c>
      <c r="CI117" s="155">
        <f>ROUNDUP(VLOOKUP(Datos_Origen[[#This Row],[Categoria]],Competitividad_1[#All],9,0)*IndiceIncrementoC,-3)</f>
        <v>9200000</v>
      </c>
      <c r="CJ117" s="161">
        <f>Datos_Origen[[#This Row],[G+V]]/Datos_Origen[[#This Row],[G+VQ3]]</f>
        <v>0.51581631630434788</v>
      </c>
      <c r="CK117" s="155">
        <f>ROUNDUP(VLOOKUP(Datos_Origen[[#This Row],[Categoria]],Competitividad_1[#All],10,0)*IndiceIncrementoC,-3)</f>
        <v>9412000</v>
      </c>
      <c r="CL117" s="161">
        <f>Datos_Origen[[#This Row],[CT]]/Datos_Origen[[#This Row],[CTQ3]]</f>
        <v>0.50419784424139402</v>
      </c>
      <c r="CM117" s="162">
        <f>IF(ROUND(Datos_Origen[[#This Row],[Salario Ordinario Pol2]],-3)&lt;SMMLV,SMMLV,ROUND(Datos_Origen[[#This Row],[Salario Ordinario Pol2]],-3))</f>
        <v>7438000</v>
      </c>
      <c r="CN117" s="155">
        <f>IF(Datos_Origen[[#This Row],[Gpol]]/(1+FactorPrestacionalOrdinario)&lt;SMMLV,SMMLV,Datos_Origen[[#This Row],[Gpol]]/(1+FactorPrestacionalOrdinario))</f>
        <v>9297450.4249291774</v>
      </c>
      <c r="CO117" s="161">
        <f>IFERROR(IF(Datos_Origen[[#This Row],[Salarios Año]]=14.12,Datos_Origen[[#This Row],[Básico]]/Datos_Origen[[#This Row],[Salario Ordinario Pol]],""),"")</f>
        <v>0.43377483241925663</v>
      </c>
      <c r="CP117" s="155">
        <f>IF(ROUND(Datos_Origen[[#This Row],[Salario Ordinario Pol22]],-3)&lt;SMMLV,SMMLV,ROUND(Datos_Origen[[#This Row],[Salario Ordinario Pol22]],-3))</f>
        <v>11157000</v>
      </c>
      <c r="CQ117" s="155" t="str">
        <f>IFERROR(ROUND(Datos_Origen[[#This Row],[Salario Integral Pol4]],-3),"")</f>
        <v/>
      </c>
      <c r="CR117" s="139" t="str">
        <f>IF((Datos_Origen[[#This Row],[Gpol]]/(1+FactorPrestacionalIntegral))&lt;(13*SMMLV),"",(Datos_Origen[[#This Row],[Gpol]]/(1+FactorPrestacionalIntegral)))</f>
        <v/>
      </c>
      <c r="CS117" s="161" t="str">
        <f>IFERROR(IF(Datos_Origen[[#This Row],[Salarios Año]]=12,Datos_Origen[[#This Row],[Básico]]/Datos_Origen[[#This Row],[Salario Integral Pol]],""),"")</f>
        <v/>
      </c>
      <c r="CT117" s="155" t="str">
        <f>IFERROR(ROUND(Datos_Origen[[#This Row],[Salario Integral Pol44]],-3),"")</f>
        <v/>
      </c>
      <c r="CU117" s="155">
        <f>Datos_Origen[[#This Row],[G+Vpol]]-Datos_Origen[[#This Row],[Variable]]</f>
        <v>10940000</v>
      </c>
      <c r="CV117" s="161">
        <f>Datos_Origen[[#This Row],[G]]/Datos_Origen[[#This Row],[Gpol]]</f>
        <v>0.43377606124314444</v>
      </c>
      <c r="CW117" s="154">
        <f>Datos_Origen[[#This Row],[Ctpol]]-Datos_Origen[[#This Row],[Beneficios]]</f>
        <v>10940000</v>
      </c>
      <c r="CX117" s="161">
        <f>Datos_Origen[[#This Row],[G+V]]/Datos_Origen[[#This Row],[G+Vpol]]</f>
        <v>0.43377606124314444</v>
      </c>
      <c r="CY117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10940000</v>
      </c>
      <c r="CZ117" s="161">
        <f>Datos_Origen[[#This Row],[CT]]/Datos_Origen[[#This Row],[Ctpol]]</f>
        <v>0.43377606124314444</v>
      </c>
      <c r="DA117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4033000</v>
      </c>
      <c r="DB117" s="158">
        <f>IF(Datos_Origen[[#This Row],[Básico]]&lt;10*SMMLV,0,Datos_Origen[[#This Row],[Base Seguridad Social Actual]]*8.5%)</f>
        <v>0</v>
      </c>
      <c r="DC117" s="158">
        <f>Datos_Origen[[#This Row],[Base Seguridad Social Actual]]*12%</f>
        <v>483960</v>
      </c>
      <c r="DD117" s="158">
        <f>Datos_Origen[[#This Row],[Base Seguridad Social Actual]]*Datos_Origen[[#This Row],[%ARL]]</f>
        <v>175435.5</v>
      </c>
      <c r="DE117" s="158">
        <f>IF(Datos_Origen[[#This Row],[Básico]]&lt;10*SMMLV,Datos_Origen[[#This Row],[Base Seguridad Social Actual]]*4%,Datos_Origen[[#This Row],[Base Seguridad Social Actual]]*9%)</f>
        <v>161320</v>
      </c>
      <c r="DF117" s="158">
        <f>Datos_Origen[[#This Row],[Salud]]+Datos_Origen[[#This Row],[Pensión]]+Datos_Origen[[#This Row],[ARL]]+Datos_Origen[[#This Row],[Parafiscales]]</f>
        <v>820715.5</v>
      </c>
      <c r="DG117" s="163">
        <f>Datos_Origen[[#This Row],[Costo Laboral Actual]]+Datos_Origen[[#This Row],[CT]]</f>
        <v>5566225.6100000003</v>
      </c>
      <c r="DH117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9297450.4249291774</v>
      </c>
      <c r="DI117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17" s="158">
        <f>Datos_Origen[[#This Row],[Base Seguridad Social Nueva]]*12%</f>
        <v>1115694.0509915012</v>
      </c>
      <c r="DK117" s="158">
        <f>Datos_Origen[[#This Row],[Base Seguridad Social Nueva]]*Datos_Origen[[#This Row],[%ARL]]</f>
        <v>404439.09348441917</v>
      </c>
      <c r="DL117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371898.01699716708</v>
      </c>
      <c r="DM117" s="158">
        <f>Datos_Origen[[#This Row],[Salud Nueva]]+Datos_Origen[[#This Row],[Pensión Nueva]]+Datos_Origen[[#This Row],[ARL nueva]]+Datos_Origen[[#This Row],[Parafiscales Nuevos]]</f>
        <v>1892031.1614730875</v>
      </c>
      <c r="DN117" s="158">
        <f>Datos_Origen[[#This Row],[Costo Laboral Nuevo]]+Datos_Origen[[#This Row],[Ctpol]]</f>
        <v>12832031.161473088</v>
      </c>
      <c r="DO117" s="158">
        <f>IF(Datos_Origen[[#This Row],[Ctpol]]-Datos_Origen[[#This Row],[CT]]&lt;=0,0,Datos_Origen[[#This Row],[Costo Total Nuevo]]-Datos_Origen[[#This Row],[Costo Total Actual]])</f>
        <v>7265805.5514730876</v>
      </c>
      <c r="DP117" s="158">
        <f>IF(Datos_Origen[[#This Row],[Ctpol]]-Datos_Origen[[#This Row],[CT]]&lt;=0,0,Datos_Origen[[#This Row],[Ctpol]]-Datos_Origen[[#This Row],[CT]])</f>
        <v>6194489.8899999997</v>
      </c>
      <c r="DQ117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1071315.6614730875</v>
      </c>
      <c r="DR117" s="158">
        <f>ROUNDDOWN(VLOOKUP(Datos_Origen[[#This Row],[Categoria]],Competitividad_1[],7,0)*IndiceIncrementoC,-3)</f>
        <v>9116000</v>
      </c>
      <c r="DS117" s="158">
        <f>Datos_Origen[[#This Row],[CTeq]]*0.8</f>
        <v>4630964.5008789422</v>
      </c>
      <c r="DT117" s="158">
        <f>Datos_Origen[[#This Row],[CTeq]]*1.2</f>
        <v>6946446.7513184128</v>
      </c>
      <c r="DU117" s="155">
        <f>IF(Datos_Origen[[#This Row],[Gpol6]]/(1+FactorPrestacionalOrdinario)&lt;SMMLV,SMMLV,Datos_Origen[[#This Row],[Gpol6]]/(1+FactorPrestacionalOrdinario))</f>
        <v>7437960.3399433419</v>
      </c>
      <c r="DV117" s="139" t="str">
        <f>IF((Datos_Origen[[#This Row],[Gpol6]]/(1+FactorPrestacionalIntegral))&lt;(13*SMMLV),"",(Datos_Origen[[#This Row],[Gpol6]]/(1+FactorPrestacionalIntegral)))</f>
        <v/>
      </c>
      <c r="DW117" s="154">
        <f>Datos_Origen[[#This Row],[G+Vpol8]]</f>
        <v>8752000</v>
      </c>
      <c r="DX117" s="154">
        <f>Datos_Origen[[#This Row],[Ctpol10]]-Datos_Origen[[#This Row],[Beneficios]]</f>
        <v>8752000</v>
      </c>
      <c r="DY117" s="154">
        <f>Datos_Origen[[#This Row],[Ctpol]]*$CM$6</f>
        <v>8752000</v>
      </c>
      <c r="DZ117" s="155">
        <f>IF(Datos_Origen[[#This Row],[Gpol66]]/(1+FactorPrestacionalOrdinario)&lt;SMMLV,SMMLV,Datos_Origen[[#This Row],[Gpol66]]/(1+FactorPrestacionalOrdinario))</f>
        <v>11156940.509915013</v>
      </c>
      <c r="EA117" s="139" t="str">
        <f>IF((Datos_Origen[[#This Row],[Gpol66]]/(1+FactorPrestacionalIntegral))&lt;(13*SMMLV),"",(Datos_Origen[[#This Row],[Gpol66]]/(1+FactorPrestacionalIntegral)))</f>
        <v/>
      </c>
      <c r="EB117" s="154">
        <f>Datos_Origen[[#This Row],[G+Vpol88]]</f>
        <v>13128000</v>
      </c>
      <c r="EC117" s="154">
        <f>Datos_Origen[[#This Row],[Ctpol1010]]-Datos_Origen[[#This Row],[Beneficios]]</f>
        <v>13128000</v>
      </c>
      <c r="ED117" s="154">
        <f>Datos_Origen[[#This Row],[Ctpol]]*$CP$6</f>
        <v>13128000</v>
      </c>
      <c r="EE117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18" spans="2:135">
      <c r="B118" s="132"/>
      <c r="C118" s="149"/>
      <c r="D118" s="150"/>
      <c r="E118" s="151"/>
      <c r="F118" s="151"/>
      <c r="G118" s="150" t="s">
        <v>305</v>
      </c>
      <c r="H118" s="153"/>
      <c r="I118" s="152" t="s">
        <v>305</v>
      </c>
      <c r="J118" s="130" t="str">
        <f>IFERROR(VLOOKUP(Datos_Origen[[#This Row],[Cargo Tipo Valorado]],Cargos_Catalogo[[#All],[Cargo]:[Área]],2,0),"")</f>
        <v>Directora de diseño y desarrollo</v>
      </c>
      <c r="K118" s="153"/>
      <c r="L118" s="153"/>
      <c r="M118" s="153"/>
      <c r="N118" s="153"/>
      <c r="O118" s="154">
        <f>Datos_Origen[[#This Row],[Segmentación Individual]]</f>
        <v>0</v>
      </c>
      <c r="P118" s="153"/>
      <c r="Q118" s="154">
        <f>VLOOKUP(Datos_Origen[[#This Row],[Cargo Tipo Valorado]],Cargos_Catalogo[#Data],MATCH(Cargos_Catalogo[[#Headers],[Puntos]],Cargos_Catalogo[#Headers],0),FALSE)</f>
        <v>442</v>
      </c>
      <c r="R118" s="130">
        <f>VLOOKUP(Datos_Origen[[#This Row],[Puntos valoración]],Categorias_Registro[#Data],MATCH(Categorias_Registro[[#Headers],[Categoria]],Categorias_Registro[#Headers],0),FALSE)</f>
        <v>12</v>
      </c>
      <c r="S118" s="130" t="str">
        <f>VLOOKUP(Datos_Origen[[#This Row],[Cargo Tipo Valorado]],Cargos_Catalogo[#Data],MATCH(Cargos_Catalogo[[#Headers],[Nivel SHR]],Cargos_Catalogo[#Headers],0),FALSE)</f>
        <v>Táctico</v>
      </c>
      <c r="T118" s="130" t="str">
        <f>VLOOKUP(Datos_Origen[[#This Row],[Cargo Tipo Valorado]],Cargos_Catalogo[#Data],MATCH(Cargos_Catalogo[[#Headers],[Criticidad]],Cargos_Catalogo[#Headers],0),FALSE)</f>
        <v>Crítico</v>
      </c>
      <c r="U118" s="154">
        <f>VLOOKUP(Datos_Origen[[#This Row],[Puntos valoración]],Categorias_Registro[#Data],5,FALSE)</f>
        <v>436</v>
      </c>
      <c r="V118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4745510.1100000003</v>
      </c>
      <c r="W118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18" s="154">
        <f>SUMIF($BA$5:$BJ$5,"NCS",Datos_Origen[[#This Row],[auxilio Gasolina]:[Otro Beneficio10]])+(SUMIF($BA$5:$BJ$5,"CS",Datos_Origen[[#This Row],[auxilio Gasolina]:[Otro Beneficio10]])*1.17667)</f>
        <v>0</v>
      </c>
      <c r="Y118" s="155">
        <f>Datos_Origen[[#This Row],[Básico]]+Datos_Origen[[#This Row],[Promedio de Comisiones  ]]</f>
        <v>4033000</v>
      </c>
      <c r="Z118" s="155">
        <f>Datos_Origen[[#This Row],[Básico]]+Datos_Origen[[#This Row],[Promedio de Comisiones  ]]</f>
        <v>4033000</v>
      </c>
      <c r="AA118" s="155">
        <f>Datos_Origen[[#This Row],[Garantizado]]</f>
        <v>4745510.1100000003</v>
      </c>
      <c r="AB118" s="155">
        <f>Datos_Origen[[#This Row],[Variable]]+Datos_Origen[[#This Row],[Garantizado]]</f>
        <v>4745510.1100000003</v>
      </c>
      <c r="AC118" s="155">
        <f>Datos_Origen[[#This Row],[Beneficios]]+Datos_Origen[[#This Row],[Variable]]+Datos_Origen[[#This Row],[Garantizado]]</f>
        <v>4745510.1100000003</v>
      </c>
      <c r="AD118" s="156">
        <v>14.12</v>
      </c>
      <c r="AE118" s="141">
        <v>230</v>
      </c>
      <c r="AF118" s="345">
        <v>4.3499999999999997E-2</v>
      </c>
      <c r="AG118" s="155">
        <f>Datos_Origen[[#This Row],[Básico Actual]]*230/Datos_Origen[[#This Row],['# horas mes]]</f>
        <v>4033000</v>
      </c>
      <c r="AH118" s="157">
        <v>4033000</v>
      </c>
      <c r="AI118" s="158"/>
      <c r="AJ118" s="158">
        <f>(((Datos_Origen[[#This Row],[Básico]])/30)*$AJ$6)/12</f>
        <v>0</v>
      </c>
      <c r="AK118" s="158"/>
      <c r="AL118" s="143">
        <f>((Datos_Origen[[#This Row],[Básico]])/30)*$AL$6/12</f>
        <v>0</v>
      </c>
      <c r="AM118" s="158"/>
      <c r="AN118" s="158"/>
      <c r="AO118" s="158"/>
      <c r="AP118" s="158"/>
      <c r="AQ118" s="158"/>
      <c r="AR118" s="149">
        <v>0</v>
      </c>
      <c r="AS118" s="149"/>
      <c r="AT118" s="159" t="str">
        <f>IFERROR(Datos_Origen[[#This Row],[Comisiones Target]]/Datos_Origen[[#This Row],[Promedio de Comisiones  ]],"")</f>
        <v/>
      </c>
      <c r="AU118" s="160"/>
      <c r="AV118" s="143">
        <v>0</v>
      </c>
      <c r="AW118" s="160"/>
      <c r="AX118" s="143">
        <f>Datos_Origen[[#This Row],[N Salarios de la Bonificación2]]*Datos_Origen[[#This Row],[Básico]]/12</f>
        <v>0</v>
      </c>
      <c r="AY118" s="160"/>
      <c r="AZ118" s="158"/>
      <c r="BA118" s="149">
        <v>0</v>
      </c>
      <c r="BB118" s="149"/>
      <c r="BC118" s="149"/>
      <c r="BD118" s="149"/>
      <c r="BE118" s="149"/>
      <c r="BF118" s="149"/>
      <c r="BG118" s="149"/>
      <c r="BH118" s="149"/>
      <c r="BI118" s="149"/>
      <c r="BJ118" s="149"/>
      <c r="BK118" s="159">
        <f>IFERROR(Datos_Origen[[#This Row],[Variable]]/Datos_Origen[[#This Row],[CT]],"")</f>
        <v>0</v>
      </c>
      <c r="BL118" s="159">
        <f>IFERROR(Datos_Origen[[#This Row],[Beneficios]]/Datos_Origen[[#This Row],[CT]],"")</f>
        <v>0</v>
      </c>
      <c r="BM118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18" s="161">
        <f>Datos_Origen[[#This Row],[G]]/Datos_Origen[[#This Row],[Geq]]</f>
        <v>0.859234790007259</v>
      </c>
      <c r="BO118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18" s="161">
        <f>Datos_Origen[[#This Row],[G+V]]/Datos_Origen[[#This Row],[G+Veq]]</f>
        <v>0.82038449007752023</v>
      </c>
      <c r="BQ118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18" s="161">
        <f>Datos_Origen[[#This Row],[CT]]/Datos_Origen[[#This Row],[CTeq]]</f>
        <v>0.81978777580338924</v>
      </c>
      <c r="BS118" s="139">
        <f>ROUNDUP(VLOOKUP(Datos_Origen[[#This Row],[Categoria]],Competitividad_1[#All],2,0)*IndiceIncrementoC,-3)</f>
        <v>6487000</v>
      </c>
      <c r="BT118" s="161">
        <f>Datos_Origen[[#This Row],[G]]/Datos_Origen[[#This Row],[GQ1]]</f>
        <v>0.73154156158470796</v>
      </c>
      <c r="BU118" s="155">
        <f>ROUNDUP(VLOOKUP(Datos_Origen[[#This Row],[Categoria]],Competitividad_1[#All],3,0)*IndiceIncrementoC,-3)</f>
        <v>6736000</v>
      </c>
      <c r="BV118" s="161">
        <f>Datos_Origen[[#This Row],[G+V]]/Datos_Origen[[#This Row],[G+VQ1]]</f>
        <v>0.70449971941805234</v>
      </c>
      <c r="BW118" s="155">
        <f>ROUNDUP(VLOOKUP(Datos_Origen[[#This Row],[Categoria]],Competitividad_1[#All],4,0)*IndiceIncrementoC,-3)</f>
        <v>7056000</v>
      </c>
      <c r="BX118" s="161">
        <f>Datos_Origen[[#This Row],[CT]]/Datos_Origen[[#This Row],[CTQ1]]</f>
        <v>0.67254961876417241</v>
      </c>
      <c r="BY118" s="155">
        <f>ROUNDUP(VLOOKUP(Datos_Origen[[#This Row],[Categoria]],Competitividad_1[#All],5,0)*IndiceIncrementoC,-3)</f>
        <v>8476000</v>
      </c>
      <c r="BZ118" s="161">
        <f>Datos_Origen[[#This Row],[G]]/Datos_Origen[[#This Row],[GMd]]</f>
        <v>0.55987613378952339</v>
      </c>
      <c r="CA118" s="155">
        <f>ROUNDUP(VLOOKUP(Datos_Origen[[#This Row],[Categoria]],Competitividad_1[#All],6,0)*IndiceIncrementoC,-3)</f>
        <v>8755000</v>
      </c>
      <c r="CB118" s="161">
        <f>Datos_Origen[[#This Row],[G+V]]/Datos_Origen[[#This Row],[G+VMd]]</f>
        <v>0.54203427869788701</v>
      </c>
      <c r="CC118" s="155">
        <f>ROUNDUP(VLOOKUP(Datos_Origen[[#This Row],[Categoria]],Competitividad_1[#All],7,0)*IndiceIncrementoC,-3)</f>
        <v>9117000</v>
      </c>
      <c r="CD118" s="161">
        <f>Datos_Origen[[#This Row],[CT]]/Datos_Origen[[#This Row],[CTMd]]</f>
        <v>0.5205122419655589</v>
      </c>
      <c r="CE118" s="155">
        <f>+Datos_Origen[[#This Row],[GMd]]/1.17666666667</f>
        <v>7203399.4334073551</v>
      </c>
      <c r="CF118" s="161">
        <f>+Datos_Origen[[#This Row],[Básico Actual]]/Datos_Origen[[#This Row],[Salario Basico Md]]</f>
        <v>0.55987454774423195</v>
      </c>
      <c r="CG118" s="155">
        <f>ROUNDUP(VLOOKUP(Datos_Origen[[#This Row],[Categoria]],Competitividad_1[#All],8,0)*IndiceIncrementoC,-3)</f>
        <v>8965000</v>
      </c>
      <c r="CH118" s="161">
        <f>Datos_Origen[[#This Row],[G]]/Datos_Origen[[#This Row],[GQ3]]</f>
        <v>0.52933743558282209</v>
      </c>
      <c r="CI118" s="155">
        <f>ROUNDUP(VLOOKUP(Datos_Origen[[#This Row],[Categoria]],Competitividad_1[#All],9,0)*IndiceIncrementoC,-3)</f>
        <v>9200000</v>
      </c>
      <c r="CJ118" s="161">
        <f>Datos_Origen[[#This Row],[G+V]]/Datos_Origen[[#This Row],[G+VQ3]]</f>
        <v>0.51581631630434788</v>
      </c>
      <c r="CK118" s="155">
        <f>ROUNDUP(VLOOKUP(Datos_Origen[[#This Row],[Categoria]],Competitividad_1[#All],10,0)*IndiceIncrementoC,-3)</f>
        <v>9412000</v>
      </c>
      <c r="CL118" s="161">
        <f>Datos_Origen[[#This Row],[CT]]/Datos_Origen[[#This Row],[CTQ3]]</f>
        <v>0.50419784424139402</v>
      </c>
      <c r="CM118" s="162">
        <f>IF(ROUND(Datos_Origen[[#This Row],[Salario Ordinario Pol2]],-3)&lt;SMMLV,SMMLV,ROUND(Datos_Origen[[#This Row],[Salario Ordinario Pol2]],-3))</f>
        <v>7438000</v>
      </c>
      <c r="CN118" s="155">
        <f>IF(Datos_Origen[[#This Row],[Gpol]]/(1+FactorPrestacionalOrdinario)&lt;SMMLV,SMMLV,Datos_Origen[[#This Row],[Gpol]]/(1+FactorPrestacionalOrdinario))</f>
        <v>9297450.4249291774</v>
      </c>
      <c r="CO118" s="161">
        <f>IFERROR(IF(Datos_Origen[[#This Row],[Salarios Año]]=14.12,Datos_Origen[[#This Row],[Básico]]/Datos_Origen[[#This Row],[Salario Ordinario Pol]],""),"")</f>
        <v>0.43377483241925663</v>
      </c>
      <c r="CP118" s="155">
        <f>IF(ROUND(Datos_Origen[[#This Row],[Salario Ordinario Pol22]],-3)&lt;SMMLV,SMMLV,ROUND(Datos_Origen[[#This Row],[Salario Ordinario Pol22]],-3))</f>
        <v>11157000</v>
      </c>
      <c r="CQ118" s="155" t="str">
        <f>IFERROR(ROUND(Datos_Origen[[#This Row],[Salario Integral Pol4]],-3),"")</f>
        <v/>
      </c>
      <c r="CR118" s="139" t="str">
        <f>IF((Datos_Origen[[#This Row],[Gpol]]/(1+FactorPrestacionalIntegral))&lt;(13*SMMLV),"",(Datos_Origen[[#This Row],[Gpol]]/(1+FactorPrestacionalIntegral)))</f>
        <v/>
      </c>
      <c r="CS118" s="161" t="str">
        <f>IFERROR(IF(Datos_Origen[[#This Row],[Salarios Año]]=12,Datos_Origen[[#This Row],[Básico]]/Datos_Origen[[#This Row],[Salario Integral Pol]],""),"")</f>
        <v/>
      </c>
      <c r="CT118" s="155" t="str">
        <f>IFERROR(ROUND(Datos_Origen[[#This Row],[Salario Integral Pol44]],-3),"")</f>
        <v/>
      </c>
      <c r="CU118" s="155">
        <f>Datos_Origen[[#This Row],[G+Vpol]]-Datos_Origen[[#This Row],[Variable]]</f>
        <v>10940000</v>
      </c>
      <c r="CV118" s="161">
        <f>Datos_Origen[[#This Row],[G]]/Datos_Origen[[#This Row],[Gpol]]</f>
        <v>0.43377606124314444</v>
      </c>
      <c r="CW118" s="154">
        <f>Datos_Origen[[#This Row],[Ctpol]]-Datos_Origen[[#This Row],[Beneficios]]</f>
        <v>10940000</v>
      </c>
      <c r="CX118" s="161">
        <f>Datos_Origen[[#This Row],[G+V]]/Datos_Origen[[#This Row],[G+Vpol]]</f>
        <v>0.43377606124314444</v>
      </c>
      <c r="CY118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10940000</v>
      </c>
      <c r="CZ118" s="161">
        <f>Datos_Origen[[#This Row],[CT]]/Datos_Origen[[#This Row],[Ctpol]]</f>
        <v>0.43377606124314444</v>
      </c>
      <c r="DA118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4033000</v>
      </c>
      <c r="DB118" s="158">
        <f>IF(Datos_Origen[[#This Row],[Básico]]&lt;10*SMMLV,0,Datos_Origen[[#This Row],[Base Seguridad Social Actual]]*8.5%)</f>
        <v>0</v>
      </c>
      <c r="DC118" s="158">
        <f>Datos_Origen[[#This Row],[Base Seguridad Social Actual]]*12%</f>
        <v>483960</v>
      </c>
      <c r="DD118" s="158">
        <f>Datos_Origen[[#This Row],[Base Seguridad Social Actual]]*Datos_Origen[[#This Row],[%ARL]]</f>
        <v>175435.5</v>
      </c>
      <c r="DE118" s="158">
        <f>IF(Datos_Origen[[#This Row],[Básico]]&lt;10*SMMLV,Datos_Origen[[#This Row],[Base Seguridad Social Actual]]*4%,Datos_Origen[[#This Row],[Base Seguridad Social Actual]]*9%)</f>
        <v>161320</v>
      </c>
      <c r="DF118" s="158">
        <f>Datos_Origen[[#This Row],[Salud]]+Datos_Origen[[#This Row],[Pensión]]+Datos_Origen[[#This Row],[ARL]]+Datos_Origen[[#This Row],[Parafiscales]]</f>
        <v>820715.5</v>
      </c>
      <c r="DG118" s="163">
        <f>Datos_Origen[[#This Row],[Costo Laboral Actual]]+Datos_Origen[[#This Row],[CT]]</f>
        <v>5566225.6100000003</v>
      </c>
      <c r="DH118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9297450.4249291774</v>
      </c>
      <c r="DI118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18" s="158">
        <f>Datos_Origen[[#This Row],[Base Seguridad Social Nueva]]*12%</f>
        <v>1115694.0509915012</v>
      </c>
      <c r="DK118" s="158">
        <f>Datos_Origen[[#This Row],[Base Seguridad Social Nueva]]*Datos_Origen[[#This Row],[%ARL]]</f>
        <v>404439.09348441917</v>
      </c>
      <c r="DL118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371898.01699716708</v>
      </c>
      <c r="DM118" s="158">
        <f>Datos_Origen[[#This Row],[Salud Nueva]]+Datos_Origen[[#This Row],[Pensión Nueva]]+Datos_Origen[[#This Row],[ARL nueva]]+Datos_Origen[[#This Row],[Parafiscales Nuevos]]</f>
        <v>1892031.1614730875</v>
      </c>
      <c r="DN118" s="158">
        <f>Datos_Origen[[#This Row],[Costo Laboral Nuevo]]+Datos_Origen[[#This Row],[Ctpol]]</f>
        <v>12832031.161473088</v>
      </c>
      <c r="DO118" s="158">
        <f>IF(Datos_Origen[[#This Row],[Ctpol]]-Datos_Origen[[#This Row],[CT]]&lt;=0,0,Datos_Origen[[#This Row],[Costo Total Nuevo]]-Datos_Origen[[#This Row],[Costo Total Actual]])</f>
        <v>7265805.5514730876</v>
      </c>
      <c r="DP118" s="158">
        <f>IF(Datos_Origen[[#This Row],[Ctpol]]-Datos_Origen[[#This Row],[CT]]&lt;=0,0,Datos_Origen[[#This Row],[Ctpol]]-Datos_Origen[[#This Row],[CT]])</f>
        <v>6194489.8899999997</v>
      </c>
      <c r="DQ118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1071315.6614730875</v>
      </c>
      <c r="DR118" s="158">
        <f>ROUNDDOWN(VLOOKUP(Datos_Origen[[#This Row],[Categoria]],Competitividad_1[],7,0)*IndiceIncrementoC,-3)</f>
        <v>9116000</v>
      </c>
      <c r="DS118" s="158">
        <f>Datos_Origen[[#This Row],[CTeq]]*0.8</f>
        <v>4630964.5008789422</v>
      </c>
      <c r="DT118" s="158">
        <f>Datos_Origen[[#This Row],[CTeq]]*1.2</f>
        <v>6946446.7513184128</v>
      </c>
      <c r="DU118" s="155">
        <f>IF(Datos_Origen[[#This Row],[Gpol6]]/(1+FactorPrestacionalOrdinario)&lt;SMMLV,SMMLV,Datos_Origen[[#This Row],[Gpol6]]/(1+FactorPrestacionalOrdinario))</f>
        <v>7437960.3399433419</v>
      </c>
      <c r="DV118" s="139" t="str">
        <f>IF((Datos_Origen[[#This Row],[Gpol6]]/(1+FactorPrestacionalIntegral))&lt;(13*SMMLV),"",(Datos_Origen[[#This Row],[Gpol6]]/(1+FactorPrestacionalIntegral)))</f>
        <v/>
      </c>
      <c r="DW118" s="154">
        <f>Datos_Origen[[#This Row],[G+Vpol8]]</f>
        <v>8752000</v>
      </c>
      <c r="DX118" s="154">
        <f>Datos_Origen[[#This Row],[Ctpol10]]-Datos_Origen[[#This Row],[Beneficios]]</f>
        <v>8752000</v>
      </c>
      <c r="DY118" s="154">
        <f>Datos_Origen[[#This Row],[Ctpol]]*$CM$6</f>
        <v>8752000</v>
      </c>
      <c r="DZ118" s="155">
        <f>IF(Datos_Origen[[#This Row],[Gpol66]]/(1+FactorPrestacionalOrdinario)&lt;SMMLV,SMMLV,Datos_Origen[[#This Row],[Gpol66]]/(1+FactorPrestacionalOrdinario))</f>
        <v>11156940.509915013</v>
      </c>
      <c r="EA118" s="139" t="str">
        <f>IF((Datos_Origen[[#This Row],[Gpol66]]/(1+FactorPrestacionalIntegral))&lt;(13*SMMLV),"",(Datos_Origen[[#This Row],[Gpol66]]/(1+FactorPrestacionalIntegral)))</f>
        <v/>
      </c>
      <c r="EB118" s="154">
        <f>Datos_Origen[[#This Row],[G+Vpol88]]</f>
        <v>13128000</v>
      </c>
      <c r="EC118" s="154">
        <f>Datos_Origen[[#This Row],[Ctpol1010]]-Datos_Origen[[#This Row],[Beneficios]]</f>
        <v>13128000</v>
      </c>
      <c r="ED118" s="154">
        <f>Datos_Origen[[#This Row],[Ctpol]]*$CP$6</f>
        <v>13128000</v>
      </c>
      <c r="EE118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19" spans="2:135">
      <c r="B119" s="148"/>
      <c r="C119" s="149"/>
      <c r="D119" s="150"/>
      <c r="E119" s="151"/>
      <c r="F119" s="151"/>
      <c r="G119" s="150" t="s">
        <v>306</v>
      </c>
      <c r="H119" s="153"/>
      <c r="I119" s="152" t="s">
        <v>306</v>
      </c>
      <c r="J119" s="130" t="str">
        <f>IFERROR(VLOOKUP(Datos_Origen[[#This Row],[Cargo Tipo Valorado]],Cargos_Catalogo[[#All],[Cargo]:[Área]],2,0),"")</f>
        <v xml:space="preserve">Director de Logistica </v>
      </c>
      <c r="K119" s="153"/>
      <c r="L119" s="153"/>
      <c r="M119" s="153"/>
      <c r="N119" s="153"/>
      <c r="O119" s="154">
        <f>Datos_Origen[[#This Row],[Segmentación Individual]]</f>
        <v>0</v>
      </c>
      <c r="P119" s="153"/>
      <c r="Q119" s="154">
        <f>VLOOKUP(Datos_Origen[[#This Row],[Cargo Tipo Valorado]],Cargos_Catalogo[#Data],MATCH(Cargos_Catalogo[[#Headers],[Puntos]],Cargos_Catalogo[#Headers],0),FALSE)</f>
        <v>452</v>
      </c>
      <c r="R119" s="130">
        <f>VLOOKUP(Datos_Origen[[#This Row],[Puntos valoración]],Categorias_Registro[#Data],MATCH(Categorias_Registro[[#Headers],[Categoria]],Categorias_Registro[#Headers],0),FALSE)</f>
        <v>12</v>
      </c>
      <c r="S119" s="130" t="str">
        <f>VLOOKUP(Datos_Origen[[#This Row],[Cargo Tipo Valorado]],Cargos_Catalogo[#Data],MATCH(Cargos_Catalogo[[#Headers],[Nivel SHR]],Cargos_Catalogo[#Headers],0),FALSE)</f>
        <v>Táctico</v>
      </c>
      <c r="T119" s="130" t="str">
        <f>VLOOKUP(Datos_Origen[[#This Row],[Cargo Tipo Valorado]],Cargos_Catalogo[#Data],MATCH(Cargos_Catalogo[[#Headers],[Criticidad]],Cargos_Catalogo[#Headers],0),FALSE)</f>
        <v>Importante</v>
      </c>
      <c r="U119" s="154">
        <f>VLOOKUP(Datos_Origen[[#This Row],[Puntos valoración]],Categorias_Registro[#Data],5,FALSE)</f>
        <v>436</v>
      </c>
      <c r="V119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6023373.7300000004</v>
      </c>
      <c r="W119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19" s="154">
        <f>SUMIF($BA$5:$BJ$5,"NCS",Datos_Origen[[#This Row],[auxilio Gasolina]:[Otro Beneficio10]])+(SUMIF($BA$5:$BJ$5,"CS",Datos_Origen[[#This Row],[auxilio Gasolina]:[Otro Beneficio10]])*1.17667)</f>
        <v>0</v>
      </c>
      <c r="Y119" s="155">
        <f>Datos_Origen[[#This Row],[Básico]]+Datos_Origen[[#This Row],[Promedio de Comisiones  ]]</f>
        <v>5119000</v>
      </c>
      <c r="Z119" s="155">
        <f>Datos_Origen[[#This Row],[Básico]]+Datos_Origen[[#This Row],[Promedio de Comisiones  ]]</f>
        <v>5119000</v>
      </c>
      <c r="AA119" s="155">
        <f>Datos_Origen[[#This Row],[Garantizado]]</f>
        <v>6023373.7300000004</v>
      </c>
      <c r="AB119" s="155">
        <f>Datos_Origen[[#This Row],[Variable]]+Datos_Origen[[#This Row],[Garantizado]]</f>
        <v>6023373.7300000004</v>
      </c>
      <c r="AC119" s="155">
        <f>Datos_Origen[[#This Row],[Beneficios]]+Datos_Origen[[#This Row],[Variable]]+Datos_Origen[[#This Row],[Garantizado]]</f>
        <v>6023373.7300000004</v>
      </c>
      <c r="AD119" s="156">
        <v>14.12</v>
      </c>
      <c r="AE119" s="141">
        <v>230</v>
      </c>
      <c r="AF119" s="345">
        <v>5.2199999999999998E-3</v>
      </c>
      <c r="AG119" s="155">
        <f>Datos_Origen[[#This Row],[Básico Actual]]*230/Datos_Origen[[#This Row],['# horas mes]]</f>
        <v>5119000</v>
      </c>
      <c r="AH119" s="157">
        <v>5119000</v>
      </c>
      <c r="AI119" s="158"/>
      <c r="AJ119" s="158">
        <f>(((Datos_Origen[[#This Row],[Básico]])/30)*$AJ$6)/12</f>
        <v>0</v>
      </c>
      <c r="AK119" s="158"/>
      <c r="AL119" s="143">
        <f>((Datos_Origen[[#This Row],[Básico]])/30)*$AL$6/12</f>
        <v>0</v>
      </c>
      <c r="AM119" s="158"/>
      <c r="AN119" s="158"/>
      <c r="AO119" s="158"/>
      <c r="AP119" s="158"/>
      <c r="AQ119" s="158"/>
      <c r="AR119" s="149">
        <v>0</v>
      </c>
      <c r="AS119" s="149"/>
      <c r="AT119" s="159" t="str">
        <f>IFERROR(Datos_Origen[[#This Row],[Comisiones Target]]/Datos_Origen[[#This Row],[Promedio de Comisiones  ]],"")</f>
        <v/>
      </c>
      <c r="AU119" s="160"/>
      <c r="AV119" s="143">
        <v>0</v>
      </c>
      <c r="AW119" s="160"/>
      <c r="AX119" s="143">
        <f>Datos_Origen[[#This Row],[N Salarios de la Bonificación2]]*Datos_Origen[[#This Row],[Básico]]/12</f>
        <v>0</v>
      </c>
      <c r="AY119" s="160"/>
      <c r="AZ119" s="158"/>
      <c r="BA119" s="149">
        <v>0</v>
      </c>
      <c r="BB119" s="149"/>
      <c r="BC119" s="149"/>
      <c r="BD119" s="149"/>
      <c r="BE119" s="149"/>
      <c r="BF119" s="149"/>
      <c r="BG119" s="149"/>
      <c r="BH119" s="149"/>
      <c r="BI119" s="149"/>
      <c r="BJ119" s="149"/>
      <c r="BK119" s="159">
        <f>IFERROR(Datos_Origen[[#This Row],[Variable]]/Datos_Origen[[#This Row],[CT]],"")</f>
        <v>0</v>
      </c>
      <c r="BL119" s="159">
        <f>IFERROR(Datos_Origen[[#This Row],[Beneficios]]/Datos_Origen[[#This Row],[CT]],"")</f>
        <v>0</v>
      </c>
      <c r="BM119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19" s="161">
        <f>Datos_Origen[[#This Row],[G]]/Datos_Origen[[#This Row],[Geq]]</f>
        <v>1.0906082048220083</v>
      </c>
      <c r="BO119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19" s="161">
        <f>Datos_Origen[[#This Row],[G+V]]/Datos_Origen[[#This Row],[G+Veq]]</f>
        <v>1.0412963562377451</v>
      </c>
      <c r="BQ119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19" s="161">
        <f>Datos_Origen[[#This Row],[CT]]/Datos_Origen[[#This Row],[CTeq]]</f>
        <v>1.0405389596671335</v>
      </c>
      <c r="BS119" s="139">
        <f>ROUNDUP(VLOOKUP(Datos_Origen[[#This Row],[Categoria]],Competitividad_1[#All],2,0)*IndiceIncrementoC,-3)</f>
        <v>6487000</v>
      </c>
      <c r="BT119" s="161">
        <f>Datos_Origen[[#This Row],[G]]/Datos_Origen[[#This Row],[GQ1]]</f>
        <v>0.92852994142130418</v>
      </c>
      <c r="BU119" s="155">
        <f>ROUNDUP(VLOOKUP(Datos_Origen[[#This Row],[Categoria]],Competitividad_1[#All],3,0)*IndiceIncrementoC,-3)</f>
        <v>6736000</v>
      </c>
      <c r="BV119" s="161">
        <f>Datos_Origen[[#This Row],[G+V]]/Datos_Origen[[#This Row],[G+VQ1]]</f>
        <v>0.8942063138361046</v>
      </c>
      <c r="BW119" s="155">
        <f>ROUNDUP(VLOOKUP(Datos_Origen[[#This Row],[Categoria]],Competitividad_1[#All],4,0)*IndiceIncrementoC,-3)</f>
        <v>7056000</v>
      </c>
      <c r="BX119" s="161">
        <f>Datos_Origen[[#This Row],[CT]]/Datos_Origen[[#This Row],[CTQ1]]</f>
        <v>0.85365273951247167</v>
      </c>
      <c r="BY119" s="155">
        <f>ROUNDUP(VLOOKUP(Datos_Origen[[#This Row],[Categoria]],Competitividad_1[#All],5,0)*IndiceIncrementoC,-3)</f>
        <v>8476000</v>
      </c>
      <c r="BZ119" s="161">
        <f>Datos_Origen[[#This Row],[G]]/Datos_Origen[[#This Row],[GMd]]</f>
        <v>0.71063871283624358</v>
      </c>
      <c r="CA119" s="155">
        <f>ROUNDUP(VLOOKUP(Datos_Origen[[#This Row],[Categoria]],Competitividad_1[#All],6,0)*IndiceIncrementoC,-3)</f>
        <v>8755000</v>
      </c>
      <c r="CB119" s="161">
        <f>Datos_Origen[[#This Row],[G+V]]/Datos_Origen[[#This Row],[G+VMd]]</f>
        <v>0.6879924306110794</v>
      </c>
      <c r="CC119" s="155">
        <f>ROUNDUP(VLOOKUP(Datos_Origen[[#This Row],[Categoria]],Competitividad_1[#All],7,0)*IndiceIncrementoC,-3)</f>
        <v>9117000</v>
      </c>
      <c r="CD119" s="161">
        <f>Datos_Origen[[#This Row],[CT]]/Datos_Origen[[#This Row],[CTMd]]</f>
        <v>0.6606749731271252</v>
      </c>
      <c r="CE119" s="155">
        <f>+Datos_Origen[[#This Row],[GMd]]/1.17666666667</f>
        <v>7203399.4334073551</v>
      </c>
      <c r="CF119" s="161">
        <f>+Datos_Origen[[#This Row],[Básico Actual]]/Datos_Origen[[#This Row],[Salario Basico Md]]</f>
        <v>0.71063669970313004</v>
      </c>
      <c r="CG119" s="155">
        <f>ROUNDUP(VLOOKUP(Datos_Origen[[#This Row],[Categoria]],Competitividad_1[#All],8,0)*IndiceIncrementoC,-3)</f>
        <v>8965000</v>
      </c>
      <c r="CH119" s="161">
        <f>Datos_Origen[[#This Row],[G]]/Datos_Origen[[#This Row],[GQ3]]</f>
        <v>0.67187660122699389</v>
      </c>
      <c r="CI119" s="155">
        <f>ROUNDUP(VLOOKUP(Datos_Origen[[#This Row],[Categoria]],Competitividad_1[#All],9,0)*IndiceIncrementoC,-3)</f>
        <v>9200000</v>
      </c>
      <c r="CJ119" s="161">
        <f>Datos_Origen[[#This Row],[G+V]]/Datos_Origen[[#This Row],[G+VQ3]]</f>
        <v>0.6547145358695653</v>
      </c>
      <c r="CK119" s="155">
        <f>ROUNDUP(VLOOKUP(Datos_Origen[[#This Row],[Categoria]],Competitividad_1[#All],10,0)*IndiceIncrementoC,-3)</f>
        <v>9412000</v>
      </c>
      <c r="CL119" s="161">
        <f>Datos_Origen[[#This Row],[CT]]/Datos_Origen[[#This Row],[CTQ3]]</f>
        <v>0.63996745962600943</v>
      </c>
      <c r="CM119" s="162">
        <f>IF(ROUND(Datos_Origen[[#This Row],[Salario Ordinario Pol2]],-3)&lt;SMMLV,SMMLV,ROUND(Datos_Origen[[#This Row],[Salario Ordinario Pol2]],-3))</f>
        <v>6199000</v>
      </c>
      <c r="CN119" s="155">
        <f>IF(Datos_Origen[[#This Row],[Gpol]]/(1+FactorPrestacionalOrdinario)&lt;SMMLV,SMMLV,Datos_Origen[[#This Row],[Gpol]]/(1+FactorPrestacionalOrdinario))</f>
        <v>7748158.6402266286</v>
      </c>
      <c r="CO119" s="161">
        <f>IFERROR(IF(Datos_Origen[[#This Row],[Salarios Año]]=14.12,Datos_Origen[[#This Row],[Básico]]/Datos_Origen[[#This Row],[Salario Ordinario Pol]],""),"")</f>
        <v>0.6606731015319367</v>
      </c>
      <c r="CP119" s="155">
        <f>IF(ROUND(Datos_Origen[[#This Row],[Salario Ordinario Pol22]],-3)&lt;SMMLV,SMMLV,ROUND(Datos_Origen[[#This Row],[Salario Ordinario Pol22]],-3))</f>
        <v>9298000</v>
      </c>
      <c r="CQ119" s="155" t="str">
        <f>IFERROR(ROUND(Datos_Origen[[#This Row],[Salario Integral Pol4]],-3),"")</f>
        <v/>
      </c>
      <c r="CR119" s="139" t="str">
        <f>IF((Datos_Origen[[#This Row],[Gpol]]/(1+FactorPrestacionalIntegral))&lt;(13*SMMLV),"",(Datos_Origen[[#This Row],[Gpol]]/(1+FactorPrestacionalIntegral)))</f>
        <v/>
      </c>
      <c r="CS119" s="161" t="str">
        <f>IFERROR(IF(Datos_Origen[[#This Row],[Salarios Año]]=12,Datos_Origen[[#This Row],[Básico]]/Datos_Origen[[#This Row],[Salario Integral Pol]],""),"")</f>
        <v/>
      </c>
      <c r="CT119" s="155" t="str">
        <f>IFERROR(ROUND(Datos_Origen[[#This Row],[Salario Integral Pol44]],-3),"")</f>
        <v/>
      </c>
      <c r="CU119" s="155">
        <f>Datos_Origen[[#This Row],[G+Vpol]]-Datos_Origen[[#This Row],[Variable]]</f>
        <v>9117000</v>
      </c>
      <c r="CV119" s="161">
        <f>Datos_Origen[[#This Row],[G]]/Datos_Origen[[#This Row],[Gpol]]</f>
        <v>0.6606749731271252</v>
      </c>
      <c r="CW119" s="154">
        <f>Datos_Origen[[#This Row],[Ctpol]]-Datos_Origen[[#This Row],[Beneficios]]</f>
        <v>9117000</v>
      </c>
      <c r="CX119" s="161">
        <f>Datos_Origen[[#This Row],[G+V]]/Datos_Origen[[#This Row],[G+Vpol]]</f>
        <v>0.6606749731271252</v>
      </c>
      <c r="CY119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9117000</v>
      </c>
      <c r="CZ119" s="161">
        <f>Datos_Origen[[#This Row],[CT]]/Datos_Origen[[#This Row],[Ctpol]]</f>
        <v>0.6606749731271252</v>
      </c>
      <c r="DA119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5119000</v>
      </c>
      <c r="DB119" s="158">
        <f>IF(Datos_Origen[[#This Row],[Básico]]&lt;10*SMMLV,0,Datos_Origen[[#This Row],[Base Seguridad Social Actual]]*8.5%)</f>
        <v>0</v>
      </c>
      <c r="DC119" s="158">
        <f>Datos_Origen[[#This Row],[Base Seguridad Social Actual]]*12%</f>
        <v>614280</v>
      </c>
      <c r="DD119" s="158">
        <f>Datos_Origen[[#This Row],[Base Seguridad Social Actual]]*Datos_Origen[[#This Row],[%ARL]]</f>
        <v>26721.18</v>
      </c>
      <c r="DE119" s="158">
        <f>IF(Datos_Origen[[#This Row],[Básico]]&lt;10*SMMLV,Datos_Origen[[#This Row],[Base Seguridad Social Actual]]*4%,Datos_Origen[[#This Row],[Base Seguridad Social Actual]]*9%)</f>
        <v>204760</v>
      </c>
      <c r="DF119" s="158">
        <f>Datos_Origen[[#This Row],[Salud]]+Datos_Origen[[#This Row],[Pensión]]+Datos_Origen[[#This Row],[ARL]]+Datos_Origen[[#This Row],[Parafiscales]]</f>
        <v>845761.18</v>
      </c>
      <c r="DG119" s="163">
        <f>Datos_Origen[[#This Row],[Costo Laboral Actual]]+Datos_Origen[[#This Row],[CT]]</f>
        <v>6869134.9100000001</v>
      </c>
      <c r="DH119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7748158.6402266286</v>
      </c>
      <c r="DI119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19" s="158">
        <f>Datos_Origen[[#This Row],[Base Seguridad Social Nueva]]*12%</f>
        <v>929779.03682719544</v>
      </c>
      <c r="DK119" s="158">
        <f>Datos_Origen[[#This Row],[Base Seguridad Social Nueva]]*Datos_Origen[[#This Row],[%ARL]]</f>
        <v>40445.388101983001</v>
      </c>
      <c r="DL119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309926.34560906515</v>
      </c>
      <c r="DM119" s="158">
        <f>Datos_Origen[[#This Row],[Salud Nueva]]+Datos_Origen[[#This Row],[Pensión Nueva]]+Datos_Origen[[#This Row],[ARL nueva]]+Datos_Origen[[#This Row],[Parafiscales Nuevos]]</f>
        <v>1280150.7705382435</v>
      </c>
      <c r="DN119" s="158">
        <f>Datos_Origen[[#This Row],[Costo Laboral Nuevo]]+Datos_Origen[[#This Row],[Ctpol]]</f>
        <v>10397150.770538244</v>
      </c>
      <c r="DO119" s="158">
        <f>IF(Datos_Origen[[#This Row],[Ctpol]]-Datos_Origen[[#This Row],[CT]]&lt;=0,0,Datos_Origen[[#This Row],[Costo Total Nuevo]]-Datos_Origen[[#This Row],[Costo Total Actual]])</f>
        <v>3528015.8605382442</v>
      </c>
      <c r="DP119" s="158">
        <f>IF(Datos_Origen[[#This Row],[Ctpol]]-Datos_Origen[[#This Row],[CT]]&lt;=0,0,Datos_Origen[[#This Row],[Ctpol]]-Datos_Origen[[#This Row],[CT]])</f>
        <v>3093626.2699999996</v>
      </c>
      <c r="DQ119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434389.59053824341</v>
      </c>
      <c r="DR119" s="158">
        <f>ROUNDDOWN(VLOOKUP(Datos_Origen[[#This Row],[Categoria]],Competitividad_1[],7,0)*IndiceIncrementoC,-3)</f>
        <v>9116000</v>
      </c>
      <c r="DS119" s="158">
        <f>Datos_Origen[[#This Row],[CTeq]]*0.8</f>
        <v>4630964.5008789422</v>
      </c>
      <c r="DT119" s="158">
        <f>Datos_Origen[[#This Row],[CTeq]]*1.2</f>
        <v>6946446.7513184128</v>
      </c>
      <c r="DU119" s="155">
        <f>IF(Datos_Origen[[#This Row],[Gpol6]]/(1+FactorPrestacionalOrdinario)&lt;SMMLV,SMMLV,Datos_Origen[[#This Row],[Gpol6]]/(1+FactorPrestacionalOrdinario))</f>
        <v>6198526.9121813029</v>
      </c>
      <c r="DV119" s="139" t="str">
        <f>IF((Datos_Origen[[#This Row],[Gpol6]]/(1+FactorPrestacionalIntegral))&lt;(13*SMMLV),"",(Datos_Origen[[#This Row],[Gpol6]]/(1+FactorPrestacionalIntegral)))</f>
        <v/>
      </c>
      <c r="DW119" s="154">
        <f>Datos_Origen[[#This Row],[G+Vpol8]]</f>
        <v>7293600</v>
      </c>
      <c r="DX119" s="154">
        <f>Datos_Origen[[#This Row],[Ctpol10]]-Datos_Origen[[#This Row],[Beneficios]]</f>
        <v>7293600</v>
      </c>
      <c r="DY119" s="154">
        <f>Datos_Origen[[#This Row],[Ctpol]]*$CM$6</f>
        <v>7293600</v>
      </c>
      <c r="DZ119" s="155">
        <f>IF(Datos_Origen[[#This Row],[Gpol66]]/(1+FactorPrestacionalOrdinario)&lt;SMMLV,SMMLV,Datos_Origen[[#This Row],[Gpol66]]/(1+FactorPrestacionalOrdinario))</f>
        <v>9297790.3682719544</v>
      </c>
      <c r="EA119" s="139" t="str">
        <f>IF((Datos_Origen[[#This Row],[Gpol66]]/(1+FactorPrestacionalIntegral))&lt;(13*SMMLV),"",(Datos_Origen[[#This Row],[Gpol66]]/(1+FactorPrestacionalIntegral)))</f>
        <v/>
      </c>
      <c r="EB119" s="154">
        <f>Datos_Origen[[#This Row],[G+Vpol88]]</f>
        <v>10940400</v>
      </c>
      <c r="EC119" s="154">
        <f>Datos_Origen[[#This Row],[Ctpol1010]]-Datos_Origen[[#This Row],[Beneficios]]</f>
        <v>10940400</v>
      </c>
      <c r="ED119" s="154">
        <f>Datos_Origen[[#This Row],[Ctpol]]*$CP$6</f>
        <v>10940400</v>
      </c>
      <c r="EE119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20" spans="2:135">
      <c r="B120" s="132"/>
      <c r="C120" s="149"/>
      <c r="D120" s="150"/>
      <c r="E120" s="151"/>
      <c r="F120" s="151"/>
      <c r="G120" s="150" t="s">
        <v>307</v>
      </c>
      <c r="H120" s="153"/>
      <c r="I120" s="152" t="s">
        <v>307</v>
      </c>
      <c r="J120" s="130" t="str">
        <f>IFERROR(VLOOKUP(Datos_Origen[[#This Row],[Cargo Tipo Valorado]],Cargos_Catalogo[[#All],[Cargo]:[Área]],2,0),"")</f>
        <v>Director de ventas EEUU</v>
      </c>
      <c r="K120" s="153"/>
      <c r="L120" s="153"/>
      <c r="M120" s="153"/>
      <c r="N120" s="153"/>
      <c r="O120" s="154">
        <f>Datos_Origen[[#This Row],[Segmentación Individual]]</f>
        <v>0</v>
      </c>
      <c r="P120" s="153"/>
      <c r="Q120" s="154">
        <f>VLOOKUP(Datos_Origen[[#This Row],[Cargo Tipo Valorado]],Cargos_Catalogo[#Data],MATCH(Cargos_Catalogo[[#Headers],[Puntos]],Cargos_Catalogo[#Headers],0),FALSE)</f>
        <v>452</v>
      </c>
      <c r="R120" s="130">
        <f>VLOOKUP(Datos_Origen[[#This Row],[Puntos valoración]],Categorias_Registro[#Data],MATCH(Categorias_Registro[[#Headers],[Categoria]],Categorias_Registro[#Headers],0),FALSE)</f>
        <v>12</v>
      </c>
      <c r="S120" s="130" t="str">
        <f>VLOOKUP(Datos_Origen[[#This Row],[Cargo Tipo Valorado]],Cargos_Catalogo[#Data],MATCH(Cargos_Catalogo[[#Headers],[Nivel SHR]],Cargos_Catalogo[#Headers],0),FALSE)</f>
        <v>Táctico</v>
      </c>
      <c r="T120" s="130" t="str">
        <f>VLOOKUP(Datos_Origen[[#This Row],[Cargo Tipo Valorado]],Cargos_Catalogo[#Data],MATCH(Cargos_Catalogo[[#Headers],[Criticidad]],Cargos_Catalogo[#Headers],0),FALSE)</f>
        <v>Crítico</v>
      </c>
      <c r="U120" s="154">
        <f>VLOOKUP(Datos_Origen[[#This Row],[Puntos valoración]],Categorias_Registro[#Data],5,FALSE)</f>
        <v>436</v>
      </c>
      <c r="V120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6189284.2000000002</v>
      </c>
      <c r="W120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4118345.0000000005</v>
      </c>
      <c r="X120" s="154">
        <f>SUMIF($BA$5:$BJ$5,"NCS",Datos_Origen[[#This Row],[auxilio Gasolina]:[Otro Beneficio10]])+(SUMIF($BA$5:$BJ$5,"CS",Datos_Origen[[#This Row],[auxilio Gasolina]:[Otro Beneficio10]])*1.17667)</f>
        <v>0</v>
      </c>
      <c r="Y120" s="155">
        <f>Datos_Origen[[#This Row],[Básico]]+Datos_Origen[[#This Row],[Promedio de Comisiones  ]]</f>
        <v>8760000</v>
      </c>
      <c r="Z120" s="155">
        <f>Datos_Origen[[#This Row],[Básico]]+Datos_Origen[[#This Row],[Promedio de Comisiones  ]]</f>
        <v>8760000</v>
      </c>
      <c r="AA120" s="155">
        <f>Datos_Origen[[#This Row],[Garantizado]]</f>
        <v>6189284.2000000002</v>
      </c>
      <c r="AB120" s="155">
        <f>Datos_Origen[[#This Row],[Variable]]+Datos_Origen[[#This Row],[Garantizado]]</f>
        <v>10307629.200000001</v>
      </c>
      <c r="AC120" s="155">
        <f>Datos_Origen[[#This Row],[Beneficios]]+Datos_Origen[[#This Row],[Variable]]+Datos_Origen[[#This Row],[Garantizado]]</f>
        <v>10307629.200000001</v>
      </c>
      <c r="AD120" s="156">
        <v>14.12</v>
      </c>
      <c r="AE120" s="141">
        <v>230</v>
      </c>
      <c r="AF120" s="345">
        <v>4.3499999999999997E-2</v>
      </c>
      <c r="AG120" s="155">
        <f>Datos_Origen[[#This Row],[Básico Actual]]*230/Datos_Origen[[#This Row],['# horas mes]]</f>
        <v>5260000</v>
      </c>
      <c r="AH120" s="157">
        <v>5260000</v>
      </c>
      <c r="AI120" s="158"/>
      <c r="AJ120" s="158">
        <f>(((Datos_Origen[[#This Row],[Básico]])/30)*$AJ$6)/12</f>
        <v>0</v>
      </c>
      <c r="AK120" s="158"/>
      <c r="AL120" s="143">
        <f>((Datos_Origen[[#This Row],[Básico]])/30)*$AL$6/12</f>
        <v>0</v>
      </c>
      <c r="AM120" s="158"/>
      <c r="AN120" s="158"/>
      <c r="AO120" s="158"/>
      <c r="AP120" s="158"/>
      <c r="AQ120" s="158"/>
      <c r="AR120" s="149">
        <v>3500000</v>
      </c>
      <c r="AS120" s="149"/>
      <c r="AT120" s="159">
        <f>IFERROR(Datos_Origen[[#This Row],[Comisiones Target]]/Datos_Origen[[#This Row],[Promedio de Comisiones  ]],"")</f>
        <v>0</v>
      </c>
      <c r="AU120" s="160"/>
      <c r="AV120" s="143">
        <v>0</v>
      </c>
      <c r="AW120" s="160"/>
      <c r="AX120" s="143">
        <f>Datos_Origen[[#This Row],[N Salarios de la Bonificación2]]*Datos_Origen[[#This Row],[Básico]]/12</f>
        <v>0</v>
      </c>
      <c r="AY120" s="160"/>
      <c r="AZ120" s="158"/>
      <c r="BA120" s="149">
        <v>0</v>
      </c>
      <c r="BB120" s="149"/>
      <c r="BC120" s="149"/>
      <c r="BD120" s="149"/>
      <c r="BE120" s="149"/>
      <c r="BF120" s="149"/>
      <c r="BG120" s="149"/>
      <c r="BH120" s="149"/>
      <c r="BI120" s="149"/>
      <c r="BJ120" s="149"/>
      <c r="BK120" s="159">
        <f>IFERROR(Datos_Origen[[#This Row],[Variable]]/Datos_Origen[[#This Row],[CT]],"")</f>
        <v>0.3995433789954338</v>
      </c>
      <c r="BL120" s="159">
        <f>IFERROR(Datos_Origen[[#This Row],[Beneficios]]/Datos_Origen[[#This Row],[CT]],"")</f>
        <v>0</v>
      </c>
      <c r="BM120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20" s="161">
        <f>Datos_Origen[[#This Row],[G]]/Datos_Origen[[#This Row],[Geq]]</f>
        <v>1.1206483995631495</v>
      </c>
      <c r="BO120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20" s="161">
        <f>Datos_Origen[[#This Row],[G+V]]/Datos_Origen[[#This Row],[G+Veq]]</f>
        <v>1.7819410198559578</v>
      </c>
      <c r="BQ120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20" s="161">
        <f>Datos_Origen[[#This Row],[CT]]/Datos_Origen[[#This Row],[CTeq]]</f>
        <v>1.7806449085141804</v>
      </c>
      <c r="BS120" s="139">
        <f>ROUNDUP(VLOOKUP(Datos_Origen[[#This Row],[Categoria]],Competitividad_1[#All],2,0)*IndiceIncrementoC,-3)</f>
        <v>6487000</v>
      </c>
      <c r="BT120" s="161">
        <f>Datos_Origen[[#This Row],[G]]/Datos_Origen[[#This Row],[GQ1]]</f>
        <v>0.95410578079235397</v>
      </c>
      <c r="BU120" s="155">
        <f>ROUNDUP(VLOOKUP(Datos_Origen[[#This Row],[Categoria]],Competitividad_1[#All],3,0)*IndiceIncrementoC,-3)</f>
        <v>6736000</v>
      </c>
      <c r="BV120" s="161">
        <f>Datos_Origen[[#This Row],[G+V]]/Datos_Origen[[#This Row],[G+VQ1]]</f>
        <v>1.5302299881235155</v>
      </c>
      <c r="BW120" s="155">
        <f>ROUNDUP(VLOOKUP(Datos_Origen[[#This Row],[Categoria]],Competitividad_1[#All],4,0)*IndiceIncrementoC,-3)</f>
        <v>7056000</v>
      </c>
      <c r="BX120" s="161">
        <f>Datos_Origen[[#This Row],[CT]]/Datos_Origen[[#This Row],[CTQ1]]</f>
        <v>1.4608318027210887</v>
      </c>
      <c r="BY120" s="155">
        <f>ROUNDUP(VLOOKUP(Datos_Origen[[#This Row],[Categoria]],Competitividad_1[#All],5,0)*IndiceIncrementoC,-3)</f>
        <v>8476000</v>
      </c>
      <c r="BZ120" s="161">
        <f>Datos_Origen[[#This Row],[G]]/Datos_Origen[[#This Row],[GMd]]</f>
        <v>0.73021285983954698</v>
      </c>
      <c r="CA120" s="155">
        <f>ROUNDUP(VLOOKUP(Datos_Origen[[#This Row],[Categoria]],Competitividad_1[#All],6,0)*IndiceIncrementoC,-3)</f>
        <v>8755000</v>
      </c>
      <c r="CB120" s="161">
        <f>Datos_Origen[[#This Row],[G+V]]/Datos_Origen[[#This Row],[G+VMd]]</f>
        <v>1.1773419988577958</v>
      </c>
      <c r="CC120" s="155">
        <f>ROUNDUP(VLOOKUP(Datos_Origen[[#This Row],[Categoria]],Competitividad_1[#All],7,0)*IndiceIncrementoC,-3)</f>
        <v>9117000</v>
      </c>
      <c r="CD120" s="161">
        <f>Datos_Origen[[#This Row],[CT]]/Datos_Origen[[#This Row],[CTMd]]</f>
        <v>1.1305944060546234</v>
      </c>
      <c r="CE120" s="155">
        <f>+Datos_Origen[[#This Row],[GMd]]/1.17666666667</f>
        <v>7203399.4334073551</v>
      </c>
      <c r="CF120" s="161">
        <f>+Datos_Origen[[#This Row],[Básico Actual]]/Datos_Origen[[#This Row],[Salario Basico Md]]</f>
        <v>0.73021079125580468</v>
      </c>
      <c r="CG120" s="155">
        <f>ROUNDUP(VLOOKUP(Datos_Origen[[#This Row],[Categoria]],Competitividad_1[#All],8,0)*IndiceIncrementoC,-3)</f>
        <v>8965000</v>
      </c>
      <c r="CH120" s="161">
        <f>Datos_Origen[[#This Row],[G]]/Datos_Origen[[#This Row],[GQ3]]</f>
        <v>0.6903830674846626</v>
      </c>
      <c r="CI120" s="155">
        <f>ROUNDUP(VLOOKUP(Datos_Origen[[#This Row],[Categoria]],Competitividad_1[#All],9,0)*IndiceIncrementoC,-3)</f>
        <v>9200000</v>
      </c>
      <c r="CJ120" s="161">
        <f>Datos_Origen[[#This Row],[G+V]]/Datos_Origen[[#This Row],[G+VQ3]]</f>
        <v>1.1203944782608697</v>
      </c>
      <c r="CK120" s="155">
        <f>ROUNDUP(VLOOKUP(Datos_Origen[[#This Row],[Categoria]],Competitividad_1[#All],10,0)*IndiceIncrementoC,-3)</f>
        <v>9412000</v>
      </c>
      <c r="CL120" s="161">
        <f>Datos_Origen[[#This Row],[CT]]/Datos_Origen[[#This Row],[CTQ3]]</f>
        <v>1.0951582235444115</v>
      </c>
      <c r="CM120" s="162">
        <f>IF(ROUND(Datos_Origen[[#This Row],[Salario Ordinario Pol2]],-3)&lt;SMMLV,SMMLV,ROUND(Datos_Origen[[#This Row],[Salario Ordinario Pol2]],-3))</f>
        <v>7438000</v>
      </c>
      <c r="CN120" s="155">
        <f>IF(Datos_Origen[[#This Row],[Gpol]]/(1+FactorPrestacionalOrdinario)&lt;SMMLV,SMMLV,Datos_Origen[[#This Row],[Gpol]]/(1+FactorPrestacionalOrdinario))</f>
        <v>5797440.5099150138</v>
      </c>
      <c r="CO120" s="161">
        <f>IFERROR(IF(Datos_Origen[[#This Row],[Salarios Año]]=14.12,Datos_Origen[[#This Row],[Básico]]/Datos_Origen[[#This Row],[Salario Ordinario Pol]],""),"")</f>
        <v>0.90729693405290457</v>
      </c>
      <c r="CP120" s="155">
        <f>IF(ROUND(Datos_Origen[[#This Row],[Salario Ordinario Pol22]],-3)&lt;SMMLV,SMMLV,ROUND(Datos_Origen[[#This Row],[Salario Ordinario Pol22]],-3))</f>
        <v>11157000</v>
      </c>
      <c r="CQ120" s="155" t="str">
        <f>IFERROR(ROUND(Datos_Origen[[#This Row],[Salario Integral Pol4]],-3),"")</f>
        <v/>
      </c>
      <c r="CR120" s="139" t="str">
        <f>IF((Datos_Origen[[#This Row],[Gpol]]/(1+FactorPrestacionalIntegral))&lt;(13*SMMLV),"",(Datos_Origen[[#This Row],[Gpol]]/(1+FactorPrestacionalIntegral)))</f>
        <v/>
      </c>
      <c r="CS120" s="161" t="str">
        <f>IFERROR(IF(Datos_Origen[[#This Row],[Salarios Año]]=12,Datos_Origen[[#This Row],[Básico]]/Datos_Origen[[#This Row],[Salario Integral Pol]],""),"")</f>
        <v/>
      </c>
      <c r="CT120" s="155" t="str">
        <f>IFERROR(ROUND(Datos_Origen[[#This Row],[Salario Integral Pol44]],-3),"")</f>
        <v/>
      </c>
      <c r="CU120" s="155">
        <f>Datos_Origen[[#This Row],[G+Vpol]]-Datos_Origen[[#This Row],[Variable]]</f>
        <v>6821655</v>
      </c>
      <c r="CV120" s="161">
        <f>Datos_Origen[[#This Row],[G]]/Datos_Origen[[#This Row],[Gpol]]</f>
        <v>0.90729950429917672</v>
      </c>
      <c r="CW120" s="154">
        <f>Datos_Origen[[#This Row],[Ctpol]]-Datos_Origen[[#This Row],[Beneficios]]</f>
        <v>10940000</v>
      </c>
      <c r="CX120" s="161">
        <f>Datos_Origen[[#This Row],[G+V]]/Datos_Origen[[#This Row],[G+Vpol]]</f>
        <v>0.94219645338208424</v>
      </c>
      <c r="CY120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10940000</v>
      </c>
      <c r="CZ120" s="161">
        <f>Datos_Origen[[#This Row],[CT]]/Datos_Origen[[#This Row],[Ctpol]]</f>
        <v>0.94219645338208424</v>
      </c>
      <c r="DA120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8760000</v>
      </c>
      <c r="DB120" s="158">
        <f>IF(Datos_Origen[[#This Row],[Básico]]&lt;10*SMMLV,0,Datos_Origen[[#This Row],[Base Seguridad Social Actual]]*8.5%)</f>
        <v>0</v>
      </c>
      <c r="DC120" s="158">
        <f>Datos_Origen[[#This Row],[Base Seguridad Social Actual]]*12%</f>
        <v>1051200</v>
      </c>
      <c r="DD120" s="158">
        <f>Datos_Origen[[#This Row],[Base Seguridad Social Actual]]*Datos_Origen[[#This Row],[%ARL]]</f>
        <v>381060</v>
      </c>
      <c r="DE120" s="158">
        <f>IF(Datos_Origen[[#This Row],[Básico]]&lt;10*SMMLV,Datos_Origen[[#This Row],[Base Seguridad Social Actual]]*4%,Datos_Origen[[#This Row],[Base Seguridad Social Actual]]*9%)</f>
        <v>350400</v>
      </c>
      <c r="DF120" s="158">
        <f>Datos_Origen[[#This Row],[Salud]]+Datos_Origen[[#This Row],[Pensión]]+Datos_Origen[[#This Row],[ARL]]+Datos_Origen[[#This Row],[Parafiscales]]</f>
        <v>1782660</v>
      </c>
      <c r="DG120" s="163">
        <f>Datos_Origen[[#This Row],[Costo Laboral Actual]]+Datos_Origen[[#This Row],[CT]]</f>
        <v>12090289.200000001</v>
      </c>
      <c r="DH120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5797440.5099150138</v>
      </c>
      <c r="DI120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20" s="158">
        <f>Datos_Origen[[#This Row],[Base Seguridad Social Nueva]]*12%</f>
        <v>695692.8611898016</v>
      </c>
      <c r="DK120" s="158">
        <f>Datos_Origen[[#This Row],[Base Seguridad Social Nueva]]*Datos_Origen[[#This Row],[%ARL]]</f>
        <v>252188.66218130308</v>
      </c>
      <c r="DL120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231897.62039660057</v>
      </c>
      <c r="DM120" s="158">
        <f>Datos_Origen[[#This Row],[Salud Nueva]]+Datos_Origen[[#This Row],[Pensión Nueva]]+Datos_Origen[[#This Row],[ARL nueva]]+Datos_Origen[[#This Row],[Parafiscales Nuevos]]</f>
        <v>1179779.1437677052</v>
      </c>
      <c r="DN120" s="158">
        <f>Datos_Origen[[#This Row],[Costo Laboral Nuevo]]+Datos_Origen[[#This Row],[Ctpol]]</f>
        <v>12119779.143767705</v>
      </c>
      <c r="DO120" s="158">
        <f>IF(Datos_Origen[[#This Row],[Ctpol]]-Datos_Origen[[#This Row],[CT]]&lt;=0,0,Datos_Origen[[#This Row],[Costo Total Nuevo]]-Datos_Origen[[#This Row],[Costo Total Actual]])</f>
        <v>29489.94376770407</v>
      </c>
      <c r="DP120" s="158">
        <f>IF(Datos_Origen[[#This Row],[Ctpol]]-Datos_Origen[[#This Row],[CT]]&lt;=0,0,Datos_Origen[[#This Row],[Ctpol]]-Datos_Origen[[#This Row],[CT]])</f>
        <v>632370.79999999888</v>
      </c>
      <c r="DQ120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0</v>
      </c>
      <c r="DR120" s="158">
        <f>ROUNDDOWN(VLOOKUP(Datos_Origen[[#This Row],[Categoria]],Competitividad_1[],7,0)*IndiceIncrementoC,-3)</f>
        <v>9116000</v>
      </c>
      <c r="DS120" s="158">
        <f>Datos_Origen[[#This Row],[CTeq]]*0.8</f>
        <v>4630964.5008789422</v>
      </c>
      <c r="DT120" s="158">
        <f>Datos_Origen[[#This Row],[CTeq]]*1.2</f>
        <v>6946446.7513184128</v>
      </c>
      <c r="DU120" s="155">
        <f>IF(Datos_Origen[[#This Row],[Gpol6]]/(1+FactorPrestacionalOrdinario)&lt;SMMLV,SMMLV,Datos_Origen[[#This Row],[Gpol6]]/(1+FactorPrestacionalOrdinario))</f>
        <v>7437960.3399433419</v>
      </c>
      <c r="DV120" s="139" t="str">
        <f>IF((Datos_Origen[[#This Row],[Gpol6]]/(1+FactorPrestacionalIntegral))&lt;(13*SMMLV),"",(Datos_Origen[[#This Row],[Gpol6]]/(1+FactorPrestacionalIntegral)))</f>
        <v/>
      </c>
      <c r="DW120" s="154">
        <f>Datos_Origen[[#This Row],[G+Vpol8]]</f>
        <v>8752000</v>
      </c>
      <c r="DX120" s="154">
        <f>Datos_Origen[[#This Row],[Ctpol10]]-Datos_Origen[[#This Row],[Beneficios]]</f>
        <v>8752000</v>
      </c>
      <c r="DY120" s="154">
        <f>Datos_Origen[[#This Row],[Ctpol]]*$CM$6</f>
        <v>8752000</v>
      </c>
      <c r="DZ120" s="155">
        <f>IF(Datos_Origen[[#This Row],[Gpol66]]/(1+FactorPrestacionalOrdinario)&lt;SMMLV,SMMLV,Datos_Origen[[#This Row],[Gpol66]]/(1+FactorPrestacionalOrdinario))</f>
        <v>11156940.509915013</v>
      </c>
      <c r="EA120" s="139" t="str">
        <f>IF((Datos_Origen[[#This Row],[Gpol66]]/(1+FactorPrestacionalIntegral))&lt;(13*SMMLV),"",(Datos_Origen[[#This Row],[Gpol66]]/(1+FactorPrestacionalIntegral)))</f>
        <v/>
      </c>
      <c r="EB120" s="154">
        <f>Datos_Origen[[#This Row],[G+Vpol88]]</f>
        <v>13128000</v>
      </c>
      <c r="EC120" s="154">
        <f>Datos_Origen[[#This Row],[Ctpol1010]]-Datos_Origen[[#This Row],[Beneficios]]</f>
        <v>13128000</v>
      </c>
      <c r="ED120" s="154">
        <f>Datos_Origen[[#This Row],[Ctpol]]*$CP$6</f>
        <v>13128000</v>
      </c>
      <c r="EE120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21" spans="2:135">
      <c r="B121" s="148"/>
      <c r="C121" s="149"/>
      <c r="D121" s="150"/>
      <c r="E121" s="151"/>
      <c r="F121" s="151"/>
      <c r="G121" s="150" t="s">
        <v>308</v>
      </c>
      <c r="H121" s="153"/>
      <c r="I121" s="152" t="s">
        <v>308</v>
      </c>
      <c r="J121" s="130">
        <f>IFERROR(VLOOKUP(Datos_Origen[[#This Row],[Cargo Tipo Valorado]],Cargos_Catalogo[[#All],[Cargo]:[Área]],2,0),"")</f>
        <v>0</v>
      </c>
      <c r="K121" s="153"/>
      <c r="L121" s="153"/>
      <c r="M121" s="153"/>
      <c r="N121" s="153"/>
      <c r="O121" s="154">
        <f>Datos_Origen[[#This Row],[Segmentación Individual]]</f>
        <v>0</v>
      </c>
      <c r="P121" s="153"/>
      <c r="Q121" s="154">
        <f>VLOOKUP(Datos_Origen[[#This Row],[Cargo Tipo Valorado]],Cargos_Catalogo[#Data],MATCH(Cargos_Catalogo[[#Headers],[Puntos]],Cargos_Catalogo[#Headers],0),FALSE)</f>
        <v>452</v>
      </c>
      <c r="R121" s="130">
        <f>VLOOKUP(Datos_Origen[[#This Row],[Puntos valoración]],Categorias_Registro[#Data],MATCH(Categorias_Registro[[#Headers],[Categoria]],Categorias_Registro[#Headers],0),FALSE)</f>
        <v>12</v>
      </c>
      <c r="S121" s="130" t="str">
        <f>VLOOKUP(Datos_Origen[[#This Row],[Cargo Tipo Valorado]],Cargos_Catalogo[#Data],MATCH(Cargos_Catalogo[[#Headers],[Nivel SHR]],Cargos_Catalogo[#Headers],0),FALSE)</f>
        <v>Táctico</v>
      </c>
      <c r="T121" s="130" t="str">
        <f>VLOOKUP(Datos_Origen[[#This Row],[Cargo Tipo Valorado]],Cargos_Catalogo[#Data],MATCH(Cargos_Catalogo[[#Headers],[Criticidad]],Cargos_Catalogo[#Headers],0),FALSE)</f>
        <v>Crítico</v>
      </c>
      <c r="U121" s="154">
        <f>VLOOKUP(Datos_Origen[[#This Row],[Puntos valoración]],Categorias_Registro[#Data],5,FALSE)</f>
        <v>436</v>
      </c>
      <c r="V121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6354018.0000000009</v>
      </c>
      <c r="W121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21" s="154">
        <f>SUMIF($BA$5:$BJ$5,"NCS",Datos_Origen[[#This Row],[auxilio Gasolina]:[Otro Beneficio10]])+(SUMIF($BA$5:$BJ$5,"CS",Datos_Origen[[#This Row],[auxilio Gasolina]:[Otro Beneficio10]])*1.17667)</f>
        <v>0</v>
      </c>
      <c r="Y121" s="155">
        <f>Datos_Origen[[#This Row],[Básico]]+Datos_Origen[[#This Row],[Promedio de Comisiones  ]]</f>
        <v>5400000</v>
      </c>
      <c r="Z121" s="155">
        <f>Datos_Origen[[#This Row],[Básico]]+Datos_Origen[[#This Row],[Promedio de Comisiones  ]]</f>
        <v>5400000</v>
      </c>
      <c r="AA121" s="155">
        <f>Datos_Origen[[#This Row],[Garantizado]]</f>
        <v>6354018.0000000009</v>
      </c>
      <c r="AB121" s="155">
        <f>Datos_Origen[[#This Row],[Variable]]+Datos_Origen[[#This Row],[Garantizado]]</f>
        <v>6354018.0000000009</v>
      </c>
      <c r="AC121" s="155">
        <f>Datos_Origen[[#This Row],[Beneficios]]+Datos_Origen[[#This Row],[Variable]]+Datos_Origen[[#This Row],[Garantizado]]</f>
        <v>6354018.0000000009</v>
      </c>
      <c r="AD121" s="156">
        <v>14.12</v>
      </c>
      <c r="AE121" s="141">
        <v>230</v>
      </c>
      <c r="AF121" s="345">
        <v>4.3499999999999997E-2</v>
      </c>
      <c r="AG121" s="155">
        <f>Datos_Origen[[#This Row],[Básico Actual]]*230/Datos_Origen[[#This Row],['# horas mes]]</f>
        <v>5400000</v>
      </c>
      <c r="AH121" s="157">
        <v>5400000</v>
      </c>
      <c r="AI121" s="158"/>
      <c r="AJ121" s="158">
        <f>(((Datos_Origen[[#This Row],[Básico]])/30)*$AJ$6)/12</f>
        <v>0</v>
      </c>
      <c r="AK121" s="158"/>
      <c r="AL121" s="143">
        <f>((Datos_Origen[[#This Row],[Básico]])/30)*$AL$6/12</f>
        <v>0</v>
      </c>
      <c r="AM121" s="158"/>
      <c r="AN121" s="158"/>
      <c r="AO121" s="158"/>
      <c r="AP121" s="158"/>
      <c r="AQ121" s="158"/>
      <c r="AR121" s="149">
        <v>0</v>
      </c>
      <c r="AS121" s="149"/>
      <c r="AT121" s="159" t="str">
        <f>IFERROR(Datos_Origen[[#This Row],[Comisiones Target]]/Datos_Origen[[#This Row],[Promedio de Comisiones  ]],"")</f>
        <v/>
      </c>
      <c r="AU121" s="160"/>
      <c r="AV121" s="143">
        <v>0</v>
      </c>
      <c r="AW121" s="160"/>
      <c r="AX121" s="143">
        <f>Datos_Origen[[#This Row],[N Salarios de la Bonificación2]]*Datos_Origen[[#This Row],[Básico]]/12</f>
        <v>0</v>
      </c>
      <c r="AY121" s="160"/>
      <c r="AZ121" s="158"/>
      <c r="BA121" s="149">
        <v>0</v>
      </c>
      <c r="BB121" s="149"/>
      <c r="BC121" s="149"/>
      <c r="BD121" s="149"/>
      <c r="BE121" s="149"/>
      <c r="BF121" s="149"/>
      <c r="BG121" s="149"/>
      <c r="BH121" s="149"/>
      <c r="BI121" s="149"/>
      <c r="BJ121" s="149"/>
      <c r="BK121" s="159">
        <f>IFERROR(Datos_Origen[[#This Row],[Variable]]/Datos_Origen[[#This Row],[CT]],"")</f>
        <v>0</v>
      </c>
      <c r="BL121" s="159">
        <f>IFERROR(Datos_Origen[[#This Row],[Beneficios]]/Datos_Origen[[#This Row],[CT]],"")</f>
        <v>0</v>
      </c>
      <c r="BM121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21" s="161">
        <f>Datos_Origen[[#This Row],[G]]/Datos_Origen[[#This Row],[Geq]]</f>
        <v>1.1504755432777583</v>
      </c>
      <c r="BO121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21" s="161">
        <f>Datos_Origen[[#This Row],[G+V]]/Datos_Origen[[#This Row],[G+Veq]]</f>
        <v>1.0984567930618918</v>
      </c>
      <c r="BQ121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21" s="161">
        <f>Datos_Origen[[#This Row],[CT]]/Datos_Origen[[#This Row],[CTeq]]</f>
        <v>1.0976578203169605</v>
      </c>
      <c r="BS121" s="139">
        <f>ROUNDUP(VLOOKUP(Datos_Origen[[#This Row],[Categoria]],Competitividad_1[#All],2,0)*IndiceIncrementoC,-3)</f>
        <v>6487000</v>
      </c>
      <c r="BT121" s="161">
        <f>Datos_Origen[[#This Row],[G]]/Datos_Origen[[#This Row],[GQ1]]</f>
        <v>0.97950023123169427</v>
      </c>
      <c r="BU121" s="155">
        <f>ROUNDUP(VLOOKUP(Datos_Origen[[#This Row],[Categoria]],Competitividad_1[#All],3,0)*IndiceIncrementoC,-3)</f>
        <v>6736000</v>
      </c>
      <c r="BV121" s="161">
        <f>Datos_Origen[[#This Row],[G+V]]/Datos_Origen[[#This Row],[G+VQ1]]</f>
        <v>0.94329245843230414</v>
      </c>
      <c r="BW121" s="155">
        <f>ROUNDUP(VLOOKUP(Datos_Origen[[#This Row],[Categoria]],Competitividad_1[#All],4,0)*IndiceIncrementoC,-3)</f>
        <v>7056000</v>
      </c>
      <c r="BX121" s="161">
        <f>Datos_Origen[[#This Row],[CT]]/Datos_Origen[[#This Row],[CTQ1]]</f>
        <v>0.90051275510204098</v>
      </c>
      <c r="BY121" s="155">
        <f>ROUNDUP(VLOOKUP(Datos_Origen[[#This Row],[Categoria]],Competitividad_1[#All],5,0)*IndiceIncrementoC,-3)</f>
        <v>8476000</v>
      </c>
      <c r="BZ121" s="161">
        <f>Datos_Origen[[#This Row],[G]]/Datos_Origen[[#This Row],[GMd]]</f>
        <v>0.7496481831052384</v>
      </c>
      <c r="CA121" s="155">
        <f>ROUNDUP(VLOOKUP(Datos_Origen[[#This Row],[Categoria]],Competitividad_1[#All],6,0)*IndiceIncrementoC,-3)</f>
        <v>8755000</v>
      </c>
      <c r="CB121" s="161">
        <f>Datos_Origen[[#This Row],[G+V]]/Datos_Origen[[#This Row],[G+VMd]]</f>
        <v>0.72575876641918913</v>
      </c>
      <c r="CC121" s="155">
        <f>ROUNDUP(VLOOKUP(Datos_Origen[[#This Row],[Categoria]],Competitividad_1[#All],7,0)*IndiceIncrementoC,-3)</f>
        <v>9117000</v>
      </c>
      <c r="CD121" s="161">
        <f>Datos_Origen[[#This Row],[CT]]/Datos_Origen[[#This Row],[CTMd]]</f>
        <v>0.69694175715695961</v>
      </c>
      <c r="CE121" s="155">
        <f>+Datos_Origen[[#This Row],[GMd]]/1.17666666667</f>
        <v>7203399.4334073551</v>
      </c>
      <c r="CF121" s="161">
        <f>+Datos_Origen[[#This Row],[Básico Actual]]/Datos_Origen[[#This Row],[Salario Basico Md]]</f>
        <v>0.7496460594641341</v>
      </c>
      <c r="CG121" s="155">
        <f>ROUNDUP(VLOOKUP(Datos_Origen[[#This Row],[Categoria]],Competitividad_1[#All],8,0)*IndiceIncrementoC,-3)</f>
        <v>8965000</v>
      </c>
      <c r="CH121" s="161">
        <f>Datos_Origen[[#This Row],[G]]/Datos_Origen[[#This Row],[GQ3]]</f>
        <v>0.70875828220858905</v>
      </c>
      <c r="CI121" s="155">
        <f>ROUNDUP(VLOOKUP(Datos_Origen[[#This Row],[Categoria]],Competitividad_1[#All],9,0)*IndiceIncrementoC,-3)</f>
        <v>9200000</v>
      </c>
      <c r="CJ121" s="161">
        <f>Datos_Origen[[#This Row],[G+V]]/Datos_Origen[[#This Row],[G+VQ3]]</f>
        <v>0.69065413043478274</v>
      </c>
      <c r="CK121" s="155">
        <f>ROUNDUP(VLOOKUP(Datos_Origen[[#This Row],[Categoria]],Competitividad_1[#All],10,0)*IndiceIncrementoC,-3)</f>
        <v>9412000</v>
      </c>
      <c r="CL121" s="161">
        <f>Datos_Origen[[#This Row],[CT]]/Datos_Origen[[#This Row],[CTQ3]]</f>
        <v>0.67509753506162351</v>
      </c>
      <c r="CM121" s="162">
        <f>IF(ROUND(Datos_Origen[[#This Row],[Salario Ordinario Pol2]],-3)&lt;SMMLV,SMMLV,ROUND(Datos_Origen[[#This Row],[Salario Ordinario Pol2]],-3))</f>
        <v>7438000</v>
      </c>
      <c r="CN121" s="155">
        <f>IF(Datos_Origen[[#This Row],[Gpol]]/(1+FactorPrestacionalOrdinario)&lt;SMMLV,SMMLV,Datos_Origen[[#This Row],[Gpol]]/(1+FactorPrestacionalOrdinario))</f>
        <v>9297450.4249291774</v>
      </c>
      <c r="CO121" s="161">
        <f>IFERROR(IF(Datos_Origen[[#This Row],[Salarios Año]]=14.12,Datos_Origen[[#This Row],[Básico]]/Datos_Origen[[#This Row],[Salario Ordinario Pol]],""),"")</f>
        <v>0.58080438756855579</v>
      </c>
      <c r="CP121" s="155">
        <f>IF(ROUND(Datos_Origen[[#This Row],[Salario Ordinario Pol22]],-3)&lt;SMMLV,SMMLV,ROUND(Datos_Origen[[#This Row],[Salario Ordinario Pol22]],-3))</f>
        <v>11157000</v>
      </c>
      <c r="CQ121" s="155" t="str">
        <f>IFERROR(ROUND(Datos_Origen[[#This Row],[Salario Integral Pol4]],-3),"")</f>
        <v/>
      </c>
      <c r="CR121" s="139" t="str">
        <f>IF((Datos_Origen[[#This Row],[Gpol]]/(1+FactorPrestacionalIntegral))&lt;(13*SMMLV),"",(Datos_Origen[[#This Row],[Gpol]]/(1+FactorPrestacionalIntegral)))</f>
        <v/>
      </c>
      <c r="CS121" s="161" t="str">
        <f>IFERROR(IF(Datos_Origen[[#This Row],[Salarios Año]]=12,Datos_Origen[[#This Row],[Básico]]/Datos_Origen[[#This Row],[Salario Integral Pol]],""),"")</f>
        <v/>
      </c>
      <c r="CT121" s="155" t="str">
        <f>IFERROR(ROUND(Datos_Origen[[#This Row],[Salario Integral Pol44]],-3),"")</f>
        <v/>
      </c>
      <c r="CU121" s="155">
        <f>Datos_Origen[[#This Row],[G+Vpol]]-Datos_Origen[[#This Row],[Variable]]</f>
        <v>10940000</v>
      </c>
      <c r="CV121" s="161">
        <f>Datos_Origen[[#This Row],[G]]/Datos_Origen[[#This Row],[Gpol]]</f>
        <v>0.58080603290676425</v>
      </c>
      <c r="CW121" s="154">
        <f>Datos_Origen[[#This Row],[Ctpol]]-Datos_Origen[[#This Row],[Beneficios]]</f>
        <v>10940000</v>
      </c>
      <c r="CX121" s="161">
        <f>Datos_Origen[[#This Row],[G+V]]/Datos_Origen[[#This Row],[G+Vpol]]</f>
        <v>0.58080603290676425</v>
      </c>
      <c r="CY121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10940000</v>
      </c>
      <c r="CZ121" s="161">
        <f>Datos_Origen[[#This Row],[CT]]/Datos_Origen[[#This Row],[Ctpol]]</f>
        <v>0.58080603290676425</v>
      </c>
      <c r="DA121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5400000</v>
      </c>
      <c r="DB121" s="158">
        <f>IF(Datos_Origen[[#This Row],[Básico]]&lt;10*SMMLV,0,Datos_Origen[[#This Row],[Base Seguridad Social Actual]]*8.5%)</f>
        <v>0</v>
      </c>
      <c r="DC121" s="158">
        <f>Datos_Origen[[#This Row],[Base Seguridad Social Actual]]*12%</f>
        <v>648000</v>
      </c>
      <c r="DD121" s="158">
        <f>Datos_Origen[[#This Row],[Base Seguridad Social Actual]]*Datos_Origen[[#This Row],[%ARL]]</f>
        <v>234899.99999999997</v>
      </c>
      <c r="DE121" s="158">
        <f>IF(Datos_Origen[[#This Row],[Básico]]&lt;10*SMMLV,Datos_Origen[[#This Row],[Base Seguridad Social Actual]]*4%,Datos_Origen[[#This Row],[Base Seguridad Social Actual]]*9%)</f>
        <v>216000</v>
      </c>
      <c r="DF121" s="158">
        <f>Datos_Origen[[#This Row],[Salud]]+Datos_Origen[[#This Row],[Pensión]]+Datos_Origen[[#This Row],[ARL]]+Datos_Origen[[#This Row],[Parafiscales]]</f>
        <v>1098900</v>
      </c>
      <c r="DG121" s="163">
        <f>Datos_Origen[[#This Row],[Costo Laboral Actual]]+Datos_Origen[[#This Row],[CT]]</f>
        <v>7452918.0000000009</v>
      </c>
      <c r="DH121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9297450.4249291774</v>
      </c>
      <c r="DI121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21" s="158">
        <f>Datos_Origen[[#This Row],[Base Seguridad Social Nueva]]*12%</f>
        <v>1115694.0509915012</v>
      </c>
      <c r="DK121" s="158">
        <f>Datos_Origen[[#This Row],[Base Seguridad Social Nueva]]*Datos_Origen[[#This Row],[%ARL]]</f>
        <v>404439.09348441917</v>
      </c>
      <c r="DL121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371898.01699716708</v>
      </c>
      <c r="DM121" s="158">
        <f>Datos_Origen[[#This Row],[Salud Nueva]]+Datos_Origen[[#This Row],[Pensión Nueva]]+Datos_Origen[[#This Row],[ARL nueva]]+Datos_Origen[[#This Row],[Parafiscales Nuevos]]</f>
        <v>1892031.1614730875</v>
      </c>
      <c r="DN121" s="158">
        <f>Datos_Origen[[#This Row],[Costo Laboral Nuevo]]+Datos_Origen[[#This Row],[Ctpol]]</f>
        <v>12832031.161473088</v>
      </c>
      <c r="DO121" s="158">
        <f>IF(Datos_Origen[[#This Row],[Ctpol]]-Datos_Origen[[#This Row],[CT]]&lt;=0,0,Datos_Origen[[#This Row],[Costo Total Nuevo]]-Datos_Origen[[#This Row],[Costo Total Actual]])</f>
        <v>5379113.161473087</v>
      </c>
      <c r="DP121" s="158">
        <f>IF(Datos_Origen[[#This Row],[Ctpol]]-Datos_Origen[[#This Row],[CT]]&lt;=0,0,Datos_Origen[[#This Row],[Ctpol]]-Datos_Origen[[#This Row],[CT]])</f>
        <v>4585981.9999999991</v>
      </c>
      <c r="DQ121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793131.1614730875</v>
      </c>
      <c r="DR121" s="158">
        <f>ROUNDDOWN(VLOOKUP(Datos_Origen[[#This Row],[Categoria]],Competitividad_1[],7,0)*IndiceIncrementoC,-3)</f>
        <v>9116000</v>
      </c>
      <c r="DS121" s="158">
        <f>Datos_Origen[[#This Row],[CTeq]]*0.8</f>
        <v>4630964.5008789422</v>
      </c>
      <c r="DT121" s="158">
        <f>Datos_Origen[[#This Row],[CTeq]]*1.2</f>
        <v>6946446.7513184128</v>
      </c>
      <c r="DU121" s="155">
        <f>IF(Datos_Origen[[#This Row],[Gpol6]]/(1+FactorPrestacionalOrdinario)&lt;SMMLV,SMMLV,Datos_Origen[[#This Row],[Gpol6]]/(1+FactorPrestacionalOrdinario))</f>
        <v>7437960.3399433419</v>
      </c>
      <c r="DV121" s="139" t="str">
        <f>IF((Datos_Origen[[#This Row],[Gpol6]]/(1+FactorPrestacionalIntegral))&lt;(13*SMMLV),"",(Datos_Origen[[#This Row],[Gpol6]]/(1+FactorPrestacionalIntegral)))</f>
        <v/>
      </c>
      <c r="DW121" s="154">
        <f>Datos_Origen[[#This Row],[G+Vpol8]]</f>
        <v>8752000</v>
      </c>
      <c r="DX121" s="154">
        <f>Datos_Origen[[#This Row],[Ctpol10]]-Datos_Origen[[#This Row],[Beneficios]]</f>
        <v>8752000</v>
      </c>
      <c r="DY121" s="154">
        <f>Datos_Origen[[#This Row],[Ctpol]]*$CM$6</f>
        <v>8752000</v>
      </c>
      <c r="DZ121" s="155">
        <f>IF(Datos_Origen[[#This Row],[Gpol66]]/(1+FactorPrestacionalOrdinario)&lt;SMMLV,SMMLV,Datos_Origen[[#This Row],[Gpol66]]/(1+FactorPrestacionalOrdinario))</f>
        <v>11156940.509915013</v>
      </c>
      <c r="EA121" s="139" t="str">
        <f>IF((Datos_Origen[[#This Row],[Gpol66]]/(1+FactorPrestacionalIntegral))&lt;(13*SMMLV),"",(Datos_Origen[[#This Row],[Gpol66]]/(1+FactorPrestacionalIntegral)))</f>
        <v/>
      </c>
      <c r="EB121" s="154">
        <f>Datos_Origen[[#This Row],[G+Vpol88]]</f>
        <v>13128000</v>
      </c>
      <c r="EC121" s="154">
        <f>Datos_Origen[[#This Row],[Ctpol1010]]-Datos_Origen[[#This Row],[Beneficios]]</f>
        <v>13128000</v>
      </c>
      <c r="ED121" s="154">
        <f>Datos_Origen[[#This Row],[Ctpol]]*$CP$6</f>
        <v>13128000</v>
      </c>
      <c r="EE121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22" spans="2:135">
      <c r="B122" s="132"/>
      <c r="C122" s="149"/>
      <c r="D122" s="150"/>
      <c r="E122" s="151"/>
      <c r="F122" s="151"/>
      <c r="G122" s="150" t="s">
        <v>309</v>
      </c>
      <c r="H122" s="153"/>
      <c r="I122" s="152" t="s">
        <v>309</v>
      </c>
      <c r="J122" s="130" t="str">
        <f>IFERROR(VLOOKUP(Datos_Origen[[#This Row],[Cargo Tipo Valorado]],Cargos_Catalogo[[#All],[Cargo]:[Área]],2,0),"")</f>
        <v xml:space="preserve">Directora administrativa y contable </v>
      </c>
      <c r="K122" s="153"/>
      <c r="L122" s="153"/>
      <c r="M122" s="153"/>
      <c r="N122" s="153"/>
      <c r="O122" s="154">
        <f>Datos_Origen[[#This Row],[Segmentación Individual]]</f>
        <v>0</v>
      </c>
      <c r="P122" s="153"/>
      <c r="Q122" s="154">
        <f>VLOOKUP(Datos_Origen[[#This Row],[Cargo Tipo Valorado]],Cargos_Catalogo[#Data],MATCH(Cargos_Catalogo[[#Headers],[Puntos]],Cargos_Catalogo[#Headers],0),FALSE)</f>
        <v>457</v>
      </c>
      <c r="R122" s="130">
        <f>VLOOKUP(Datos_Origen[[#This Row],[Puntos valoración]],Categorias_Registro[#Data],MATCH(Categorias_Registro[[#Headers],[Categoria]],Categorias_Registro[#Headers],0),FALSE)</f>
        <v>12</v>
      </c>
      <c r="S122" s="130" t="str">
        <f>VLOOKUP(Datos_Origen[[#This Row],[Cargo Tipo Valorado]],Cargos_Catalogo[#Data],MATCH(Cargos_Catalogo[[#Headers],[Nivel SHR]],Cargos_Catalogo[#Headers],0),FALSE)</f>
        <v>Táctico</v>
      </c>
      <c r="T122" s="130" t="str">
        <f>VLOOKUP(Datos_Origen[[#This Row],[Cargo Tipo Valorado]],Cargos_Catalogo[#Data],MATCH(Cargos_Catalogo[[#Headers],[Criticidad]],Cargos_Catalogo[#Headers],0),FALSE)</f>
        <v>Relevante</v>
      </c>
      <c r="U122" s="154">
        <f>VLOOKUP(Datos_Origen[[#This Row],[Puntos valoración]],Categorias_Registro[#Data],5,FALSE)</f>
        <v>436</v>
      </c>
      <c r="V122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5656252.6900000004</v>
      </c>
      <c r="W122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22" s="154">
        <f>SUMIF($BA$5:$BJ$5,"NCS",Datos_Origen[[#This Row],[auxilio Gasolina]:[Otro Beneficio10]])+(SUMIF($BA$5:$BJ$5,"CS",Datos_Origen[[#This Row],[auxilio Gasolina]:[Otro Beneficio10]])*1.17667)</f>
        <v>0</v>
      </c>
      <c r="Y122" s="155">
        <f>Datos_Origen[[#This Row],[Básico]]+Datos_Origen[[#This Row],[Promedio de Comisiones  ]]</f>
        <v>4807000</v>
      </c>
      <c r="Z122" s="155">
        <f>Datos_Origen[[#This Row],[Básico]]+Datos_Origen[[#This Row],[Promedio de Comisiones  ]]</f>
        <v>4807000</v>
      </c>
      <c r="AA122" s="155">
        <f>Datos_Origen[[#This Row],[Garantizado]]</f>
        <v>5656252.6900000004</v>
      </c>
      <c r="AB122" s="155">
        <f>Datos_Origen[[#This Row],[Variable]]+Datos_Origen[[#This Row],[Garantizado]]</f>
        <v>5656252.6900000004</v>
      </c>
      <c r="AC122" s="155">
        <f>Datos_Origen[[#This Row],[Beneficios]]+Datos_Origen[[#This Row],[Variable]]+Datos_Origen[[#This Row],[Garantizado]]</f>
        <v>5656252.6900000004</v>
      </c>
      <c r="AD122" s="156">
        <v>14.12</v>
      </c>
      <c r="AE122" s="141">
        <v>230</v>
      </c>
      <c r="AF122" s="345">
        <v>4.3499999999999997E-2</v>
      </c>
      <c r="AG122" s="155">
        <f>Datos_Origen[[#This Row],[Básico Actual]]*230/Datos_Origen[[#This Row],['# horas mes]]</f>
        <v>4807000</v>
      </c>
      <c r="AH122" s="157">
        <v>4807000</v>
      </c>
      <c r="AI122" s="158"/>
      <c r="AJ122" s="158">
        <f>(((Datos_Origen[[#This Row],[Básico]])/30)*$AJ$6)/12</f>
        <v>0</v>
      </c>
      <c r="AK122" s="158"/>
      <c r="AL122" s="143">
        <f>((Datos_Origen[[#This Row],[Básico]])/30)*$AL$6/12</f>
        <v>0</v>
      </c>
      <c r="AM122" s="158"/>
      <c r="AN122" s="158"/>
      <c r="AO122" s="158"/>
      <c r="AP122" s="158"/>
      <c r="AQ122" s="158"/>
      <c r="AR122" s="149">
        <v>0</v>
      </c>
      <c r="AS122" s="149"/>
      <c r="AT122" s="159" t="str">
        <f>IFERROR(Datos_Origen[[#This Row],[Comisiones Target]]/Datos_Origen[[#This Row],[Promedio de Comisiones  ]],"")</f>
        <v/>
      </c>
      <c r="AU122" s="160"/>
      <c r="AV122" s="143">
        <v>0</v>
      </c>
      <c r="AW122" s="160"/>
      <c r="AX122" s="143">
        <f>Datos_Origen[[#This Row],[N Salarios de la Bonificación2]]*Datos_Origen[[#This Row],[Básico]]/12</f>
        <v>0</v>
      </c>
      <c r="AY122" s="160"/>
      <c r="AZ122" s="158"/>
      <c r="BA122" s="149">
        <v>0</v>
      </c>
      <c r="BB122" s="149"/>
      <c r="BC122" s="149"/>
      <c r="BD122" s="149"/>
      <c r="BE122" s="149"/>
      <c r="BF122" s="149"/>
      <c r="BG122" s="149"/>
      <c r="BH122" s="149"/>
      <c r="BI122" s="149"/>
      <c r="BJ122" s="149"/>
      <c r="BK122" s="159">
        <f>IFERROR(Datos_Origen[[#This Row],[Variable]]/Datos_Origen[[#This Row],[CT]],"")</f>
        <v>0</v>
      </c>
      <c r="BL122" s="159">
        <f>IFERROR(Datos_Origen[[#This Row],[Beneficios]]/Datos_Origen[[#This Row],[CT]],"")</f>
        <v>0</v>
      </c>
      <c r="BM122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5522949.2161972504</v>
      </c>
      <c r="BN122" s="161">
        <f>Datos_Origen[[#This Row],[G]]/Datos_Origen[[#This Row],[Geq]]</f>
        <v>1.0241362845437376</v>
      </c>
      <c r="BO122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5784495.1573274927</v>
      </c>
      <c r="BP122" s="161">
        <f>Datos_Origen[[#This Row],[G+V]]/Datos_Origen[[#This Row],[G+Veq]]</f>
        <v>0.97782996374972475</v>
      </c>
      <c r="BQ122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5788705.6260986775</v>
      </c>
      <c r="BR122" s="161">
        <f>Datos_Origen[[#This Row],[CT]]/Datos_Origen[[#This Row],[CTeq]]</f>
        <v>0.97711873004882022</v>
      </c>
      <c r="BS122" s="139">
        <f>ROUNDUP(VLOOKUP(Datos_Origen[[#This Row],[Categoria]],Competitividad_1[#All],2,0)*IndiceIncrementoC,-3)</f>
        <v>6487000</v>
      </c>
      <c r="BT122" s="161">
        <f>Datos_Origen[[#This Row],[G]]/Datos_Origen[[#This Row],[GQ1]]</f>
        <v>0.8719365947279174</v>
      </c>
      <c r="BU122" s="155">
        <f>ROUNDUP(VLOOKUP(Datos_Origen[[#This Row],[Categoria]],Competitividad_1[#All],3,0)*IndiceIncrementoC,-3)</f>
        <v>6736000</v>
      </c>
      <c r="BV122" s="161">
        <f>Datos_Origen[[#This Row],[G+V]]/Datos_Origen[[#This Row],[G+VQ1]]</f>
        <v>0.83970497179334924</v>
      </c>
      <c r="BW122" s="155">
        <f>ROUNDUP(VLOOKUP(Datos_Origen[[#This Row],[Categoria]],Competitividad_1[#All],4,0)*IndiceIncrementoC,-3)</f>
        <v>7056000</v>
      </c>
      <c r="BX122" s="161">
        <f>Datos_Origen[[#This Row],[CT]]/Datos_Origen[[#This Row],[CTQ1]]</f>
        <v>0.80162311366213157</v>
      </c>
      <c r="BY122" s="155">
        <f>ROUNDUP(VLOOKUP(Datos_Origen[[#This Row],[Categoria]],Competitividad_1[#All],5,0)*IndiceIncrementoC,-3)</f>
        <v>8476000</v>
      </c>
      <c r="BZ122" s="161">
        <f>Datos_Origen[[#This Row],[G]]/Datos_Origen[[#This Row],[GMd]]</f>
        <v>0.66732570670127422</v>
      </c>
      <c r="CA122" s="155">
        <f>ROUNDUP(VLOOKUP(Datos_Origen[[#This Row],[Categoria]],Competitividad_1[#All],6,0)*IndiceIncrementoC,-3)</f>
        <v>8755000</v>
      </c>
      <c r="CB122" s="161">
        <f>Datos_Origen[[#This Row],[G+V]]/Datos_Origen[[#This Row],[G+VMd]]</f>
        <v>0.64605970188463735</v>
      </c>
      <c r="CC122" s="155">
        <f>ROUNDUP(VLOOKUP(Datos_Origen[[#This Row],[Categoria]],Competitividad_1[#All],7,0)*IndiceIncrementoC,-3)</f>
        <v>9117000</v>
      </c>
      <c r="CD122" s="161">
        <f>Datos_Origen[[#This Row],[CT]]/Datos_Origen[[#This Row],[CTMd]]</f>
        <v>0.62040722715805641</v>
      </c>
      <c r="CE122" s="155">
        <f>+Datos_Origen[[#This Row],[GMd]]/1.17666666667</f>
        <v>7203399.4334073551</v>
      </c>
      <c r="CF122" s="161">
        <f>+Datos_Origen[[#This Row],[Básico Actual]]/Datos_Origen[[#This Row],[Salario Basico Md]]</f>
        <v>0.66732381626742454</v>
      </c>
      <c r="CG122" s="155">
        <f>ROUNDUP(VLOOKUP(Datos_Origen[[#This Row],[Categoria]],Competitividad_1[#All],8,0)*IndiceIncrementoC,-3)</f>
        <v>8965000</v>
      </c>
      <c r="CH122" s="161">
        <f>Datos_Origen[[#This Row],[G]]/Datos_Origen[[#This Row],[GQ3]]</f>
        <v>0.63092612269938653</v>
      </c>
      <c r="CI122" s="155">
        <f>ROUNDUP(VLOOKUP(Datos_Origen[[#This Row],[Categoria]],Competitividad_1[#All],9,0)*IndiceIncrementoC,-3)</f>
        <v>9200000</v>
      </c>
      <c r="CJ122" s="161">
        <f>Datos_Origen[[#This Row],[G+V]]/Datos_Origen[[#This Row],[G+VQ3]]</f>
        <v>0.61481007500000007</v>
      </c>
      <c r="CK122" s="155">
        <f>ROUNDUP(VLOOKUP(Datos_Origen[[#This Row],[Categoria]],Competitividad_1[#All],10,0)*IndiceIncrementoC,-3)</f>
        <v>9412000</v>
      </c>
      <c r="CL122" s="161">
        <f>Datos_Origen[[#This Row],[CT]]/Datos_Origen[[#This Row],[CTQ3]]</f>
        <v>0.60096182426689337</v>
      </c>
      <c r="CM122" s="162">
        <f>IF(ROUND(Datos_Origen[[#This Row],[Salario Ordinario Pol2]],-3)&lt;SMMLV,SMMLV,ROUND(Datos_Origen[[#This Row],[Salario Ordinario Pol2]],-3))</f>
        <v>5578000</v>
      </c>
      <c r="CN122" s="155">
        <f>IF(Datos_Origen[[#This Row],[Gpol]]/(1+FactorPrestacionalOrdinario)&lt;SMMLV,SMMLV,Datos_Origen[[#This Row],[Gpol]]/(1+FactorPrestacionalOrdinario))</f>
        <v>6973087.8186968835</v>
      </c>
      <c r="CO122" s="161">
        <f>IFERROR(IF(Datos_Origen[[#This Row],[Salarios Año]]=14.12,Datos_Origen[[#This Row],[Básico]]/Datos_Origen[[#This Row],[Salario Ordinario Pol]],""),"")</f>
        <v>0.68936461507211055</v>
      </c>
      <c r="CP122" s="155">
        <f>IF(ROUND(Datos_Origen[[#This Row],[Salario Ordinario Pol22]],-3)&lt;SMMLV,SMMLV,ROUND(Datos_Origen[[#This Row],[Salario Ordinario Pol22]],-3))</f>
        <v>8368000</v>
      </c>
      <c r="CQ122" s="155" t="str">
        <f>IFERROR(ROUND(Datos_Origen[[#This Row],[Salario Integral Pol4]],-3),"")</f>
        <v/>
      </c>
      <c r="CR122" s="139" t="str">
        <f>IF((Datos_Origen[[#This Row],[Gpol]]/(1+FactorPrestacionalIntegral))&lt;(13*SMMLV),"",(Datos_Origen[[#This Row],[Gpol]]/(1+FactorPrestacionalIntegral)))</f>
        <v/>
      </c>
      <c r="CS122" s="161" t="str">
        <f>IFERROR(IF(Datos_Origen[[#This Row],[Salarios Año]]=12,Datos_Origen[[#This Row],[Básico]]/Datos_Origen[[#This Row],[Salario Integral Pol]],""),"")</f>
        <v/>
      </c>
      <c r="CT122" s="155" t="str">
        <f>IFERROR(ROUND(Datos_Origen[[#This Row],[Salario Integral Pol44]],-3),"")</f>
        <v/>
      </c>
      <c r="CU122" s="155">
        <f>Datos_Origen[[#This Row],[G+Vpol]]-Datos_Origen[[#This Row],[Variable]]</f>
        <v>8205000</v>
      </c>
      <c r="CV122" s="161">
        <f>Datos_Origen[[#This Row],[G]]/Datos_Origen[[#This Row],[Gpol]]</f>
        <v>0.68936656794637419</v>
      </c>
      <c r="CW122" s="154">
        <f>Datos_Origen[[#This Row],[Ctpol]]-Datos_Origen[[#This Row],[Beneficios]]</f>
        <v>8205000</v>
      </c>
      <c r="CX122" s="161">
        <f>Datos_Origen[[#This Row],[G+V]]/Datos_Origen[[#This Row],[G+Vpol]]</f>
        <v>0.68936656794637419</v>
      </c>
      <c r="CY122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8205000</v>
      </c>
      <c r="CZ122" s="161">
        <f>Datos_Origen[[#This Row],[CT]]/Datos_Origen[[#This Row],[Ctpol]]</f>
        <v>0.68936656794637419</v>
      </c>
      <c r="DA122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4807000</v>
      </c>
      <c r="DB122" s="158">
        <f>IF(Datos_Origen[[#This Row],[Básico]]&lt;10*SMMLV,0,Datos_Origen[[#This Row],[Base Seguridad Social Actual]]*8.5%)</f>
        <v>0</v>
      </c>
      <c r="DC122" s="158">
        <f>Datos_Origen[[#This Row],[Base Seguridad Social Actual]]*12%</f>
        <v>576840</v>
      </c>
      <c r="DD122" s="158">
        <f>Datos_Origen[[#This Row],[Base Seguridad Social Actual]]*Datos_Origen[[#This Row],[%ARL]]</f>
        <v>209104.5</v>
      </c>
      <c r="DE122" s="158">
        <f>IF(Datos_Origen[[#This Row],[Básico]]&lt;10*SMMLV,Datos_Origen[[#This Row],[Base Seguridad Social Actual]]*4%,Datos_Origen[[#This Row],[Base Seguridad Social Actual]]*9%)</f>
        <v>192280</v>
      </c>
      <c r="DF122" s="158">
        <f>Datos_Origen[[#This Row],[Salud]]+Datos_Origen[[#This Row],[Pensión]]+Datos_Origen[[#This Row],[ARL]]+Datos_Origen[[#This Row],[Parafiscales]]</f>
        <v>978224.5</v>
      </c>
      <c r="DG122" s="163">
        <f>Datos_Origen[[#This Row],[Costo Laboral Actual]]+Datos_Origen[[#This Row],[CT]]</f>
        <v>6634477.1900000004</v>
      </c>
      <c r="DH122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6973087.8186968835</v>
      </c>
      <c r="DI122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22" s="158">
        <f>Datos_Origen[[#This Row],[Base Seguridad Social Nueva]]*12%</f>
        <v>836770.53824362601</v>
      </c>
      <c r="DK122" s="158">
        <f>Datos_Origen[[#This Row],[Base Seguridad Social Nueva]]*Datos_Origen[[#This Row],[%ARL]]</f>
        <v>303329.32011331443</v>
      </c>
      <c r="DL122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278923.51274787536</v>
      </c>
      <c r="DM122" s="158">
        <f>Datos_Origen[[#This Row],[Salud Nueva]]+Datos_Origen[[#This Row],[Pensión Nueva]]+Datos_Origen[[#This Row],[ARL nueva]]+Datos_Origen[[#This Row],[Parafiscales Nuevos]]</f>
        <v>1419023.371104816</v>
      </c>
      <c r="DN122" s="158">
        <f>Datos_Origen[[#This Row],[Costo Laboral Nuevo]]+Datos_Origen[[#This Row],[Ctpol]]</f>
        <v>9624023.371104816</v>
      </c>
      <c r="DO122" s="158">
        <f>IF(Datos_Origen[[#This Row],[Ctpol]]-Datos_Origen[[#This Row],[CT]]&lt;=0,0,Datos_Origen[[#This Row],[Costo Total Nuevo]]-Datos_Origen[[#This Row],[Costo Total Actual]])</f>
        <v>2989546.1811048156</v>
      </c>
      <c r="DP122" s="158">
        <f>IF(Datos_Origen[[#This Row],[Ctpol]]-Datos_Origen[[#This Row],[CT]]&lt;=0,0,Datos_Origen[[#This Row],[Ctpol]]-Datos_Origen[[#This Row],[CT]])</f>
        <v>2548747.3099999996</v>
      </c>
      <c r="DQ122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440798.87110481597</v>
      </c>
      <c r="DR122" s="158">
        <f>ROUNDDOWN(VLOOKUP(Datos_Origen[[#This Row],[Categoria]],Competitividad_1[],7,0)*IndiceIncrementoC,-3)</f>
        <v>9116000</v>
      </c>
      <c r="DS122" s="158">
        <f>Datos_Origen[[#This Row],[CTeq]]*0.8</f>
        <v>4630964.5008789422</v>
      </c>
      <c r="DT122" s="158">
        <f>Datos_Origen[[#This Row],[CTeq]]*1.2</f>
        <v>6946446.7513184128</v>
      </c>
      <c r="DU122" s="155">
        <f>IF(Datos_Origen[[#This Row],[Gpol6]]/(1+FactorPrestacionalOrdinario)&lt;SMMLV,SMMLV,Datos_Origen[[#This Row],[Gpol6]]/(1+FactorPrestacionalOrdinario))</f>
        <v>5578470.2549575064</v>
      </c>
      <c r="DV122" s="139" t="str">
        <f>IF((Datos_Origen[[#This Row],[Gpol6]]/(1+FactorPrestacionalIntegral))&lt;(13*SMMLV),"",(Datos_Origen[[#This Row],[Gpol6]]/(1+FactorPrestacionalIntegral)))</f>
        <v/>
      </c>
      <c r="DW122" s="154">
        <f>Datos_Origen[[#This Row],[G+Vpol8]]</f>
        <v>6564000</v>
      </c>
      <c r="DX122" s="154">
        <f>Datos_Origen[[#This Row],[Ctpol10]]-Datos_Origen[[#This Row],[Beneficios]]</f>
        <v>6564000</v>
      </c>
      <c r="DY122" s="154">
        <f>Datos_Origen[[#This Row],[Ctpol]]*$CM$6</f>
        <v>6564000</v>
      </c>
      <c r="DZ122" s="155">
        <f>IF(Datos_Origen[[#This Row],[Gpol66]]/(1+FactorPrestacionalOrdinario)&lt;SMMLV,SMMLV,Datos_Origen[[#This Row],[Gpol66]]/(1+FactorPrestacionalOrdinario))</f>
        <v>8367705.3824362596</v>
      </c>
      <c r="EA122" s="139" t="str">
        <f>IF((Datos_Origen[[#This Row],[Gpol66]]/(1+FactorPrestacionalIntegral))&lt;(13*SMMLV),"",(Datos_Origen[[#This Row],[Gpol66]]/(1+FactorPrestacionalIntegral)))</f>
        <v/>
      </c>
      <c r="EB122" s="154">
        <f>Datos_Origen[[#This Row],[G+Vpol88]]</f>
        <v>9846000</v>
      </c>
      <c r="EC122" s="154">
        <f>Datos_Origen[[#This Row],[Ctpol1010]]-Datos_Origen[[#This Row],[Beneficios]]</f>
        <v>9846000</v>
      </c>
      <c r="ED122" s="154">
        <f>Datos_Origen[[#This Row],[Ctpol]]*$CP$6</f>
        <v>9846000</v>
      </c>
      <c r="EE122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23" spans="2:135">
      <c r="B123" s="148"/>
      <c r="C123" s="149"/>
      <c r="D123" s="150"/>
      <c r="E123" s="151"/>
      <c r="F123" s="151"/>
      <c r="G123" s="150" t="s">
        <v>294</v>
      </c>
      <c r="H123" s="153"/>
      <c r="I123" s="152" t="s">
        <v>294</v>
      </c>
      <c r="J123" s="130" t="str">
        <f>IFERROR(VLOOKUP(Datos_Origen[[#This Row],[Cargo Tipo Valorado]],Cargos_Catalogo[[#All],[Cargo]:[Área]],2,0),"")</f>
        <v xml:space="preserve">Director de logistica </v>
      </c>
      <c r="K123" s="153"/>
      <c r="L123" s="153"/>
      <c r="M123" s="153"/>
      <c r="N123" s="153"/>
      <c r="O123" s="154">
        <f>Datos_Origen[[#This Row],[Segmentación Individual]]</f>
        <v>0</v>
      </c>
      <c r="P123" s="153"/>
      <c r="Q123" s="154">
        <f>VLOOKUP(Datos_Origen[[#This Row],[Cargo Tipo Valorado]],Cargos_Catalogo[#Data],MATCH(Cargos_Catalogo[[#Headers],[Puntos]],Cargos_Catalogo[#Headers],0),FALSE)</f>
        <v>468</v>
      </c>
      <c r="R123" s="130">
        <f>VLOOKUP(Datos_Origen[[#This Row],[Puntos valoración]],Categorias_Registro[#Data],MATCH(Categorias_Registro[[#Headers],[Categoria]],Categorias_Registro[#Headers],0),FALSE)</f>
        <v>13</v>
      </c>
      <c r="S123" s="130" t="str">
        <f>VLOOKUP(Datos_Origen[[#This Row],[Cargo Tipo Valorado]],Cargos_Catalogo[#Data],MATCH(Cargos_Catalogo[[#Headers],[Nivel SHR]],Cargos_Catalogo[#Headers],0),FALSE)</f>
        <v>Gerencia media</v>
      </c>
      <c r="T123" s="130" t="str">
        <f>VLOOKUP(Datos_Origen[[#This Row],[Cargo Tipo Valorado]],Cargos_Catalogo[#Data],MATCH(Cargos_Catalogo[[#Headers],[Criticidad]],Cargos_Catalogo[#Headers],0),FALSE)</f>
        <v>Importante</v>
      </c>
      <c r="U123" s="154">
        <f>VLOOKUP(Datos_Origen[[#This Row],[Puntos valoración]],Categorias_Registro[#Data],5,FALSE)</f>
        <v>502</v>
      </c>
      <c r="V123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6808212.620000001</v>
      </c>
      <c r="W123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23" s="154">
        <f>SUMIF($BA$5:$BJ$5,"NCS",Datos_Origen[[#This Row],[auxilio Gasolina]:[Otro Beneficio10]])+(SUMIF($BA$5:$BJ$5,"CS",Datos_Origen[[#This Row],[auxilio Gasolina]:[Otro Beneficio10]])*1.17667)</f>
        <v>0</v>
      </c>
      <c r="Y123" s="155">
        <f>Datos_Origen[[#This Row],[Básico]]+Datos_Origen[[#This Row],[Promedio de Comisiones  ]]</f>
        <v>5786000</v>
      </c>
      <c r="Z123" s="155">
        <f>Datos_Origen[[#This Row],[Básico]]+Datos_Origen[[#This Row],[Promedio de Comisiones  ]]</f>
        <v>5786000</v>
      </c>
      <c r="AA123" s="155">
        <f>Datos_Origen[[#This Row],[Garantizado]]</f>
        <v>6808212.620000001</v>
      </c>
      <c r="AB123" s="155">
        <f>Datos_Origen[[#This Row],[Variable]]+Datos_Origen[[#This Row],[Garantizado]]</f>
        <v>6808212.620000001</v>
      </c>
      <c r="AC123" s="155">
        <f>Datos_Origen[[#This Row],[Beneficios]]+Datos_Origen[[#This Row],[Variable]]+Datos_Origen[[#This Row],[Garantizado]]</f>
        <v>6808212.620000001</v>
      </c>
      <c r="AD123" s="156">
        <v>14.12</v>
      </c>
      <c r="AE123" s="141">
        <v>230</v>
      </c>
      <c r="AF123" s="345">
        <v>5.2199999999999998E-3</v>
      </c>
      <c r="AG123" s="155">
        <f>Datos_Origen[[#This Row],[Básico Actual]]*230/Datos_Origen[[#This Row],['# horas mes]]</f>
        <v>5786000</v>
      </c>
      <c r="AH123" s="157">
        <v>5786000</v>
      </c>
      <c r="AI123" s="158"/>
      <c r="AJ123" s="158">
        <f>(((Datos_Origen[[#This Row],[Básico]])/30)*$AJ$6)/12</f>
        <v>0</v>
      </c>
      <c r="AK123" s="158"/>
      <c r="AL123" s="143">
        <f>((Datos_Origen[[#This Row],[Básico]])/30)*$AL$6/12</f>
        <v>0</v>
      </c>
      <c r="AM123" s="158"/>
      <c r="AN123" s="158"/>
      <c r="AO123" s="158"/>
      <c r="AP123" s="158"/>
      <c r="AQ123" s="158"/>
      <c r="AR123" s="149">
        <v>0</v>
      </c>
      <c r="AS123" s="149"/>
      <c r="AT123" s="159" t="str">
        <f>IFERROR(Datos_Origen[[#This Row],[Comisiones Target]]/Datos_Origen[[#This Row],[Promedio de Comisiones  ]],"")</f>
        <v/>
      </c>
      <c r="AU123" s="160"/>
      <c r="AV123" s="143">
        <v>0</v>
      </c>
      <c r="AW123" s="160"/>
      <c r="AX123" s="143">
        <f>Datos_Origen[[#This Row],[N Salarios de la Bonificación2]]*Datos_Origen[[#This Row],[Básico]]/12</f>
        <v>0</v>
      </c>
      <c r="AY123" s="160"/>
      <c r="AZ123" s="158"/>
      <c r="BA123" s="149">
        <v>0</v>
      </c>
      <c r="BB123" s="149"/>
      <c r="BC123" s="149"/>
      <c r="BD123" s="149"/>
      <c r="BE123" s="149"/>
      <c r="BF123" s="149"/>
      <c r="BG123" s="149"/>
      <c r="BH123" s="149"/>
      <c r="BI123" s="149"/>
      <c r="BJ123" s="149"/>
      <c r="BK123" s="159">
        <f>IFERROR(Datos_Origen[[#This Row],[Variable]]/Datos_Origen[[#This Row],[CT]],"")</f>
        <v>0</v>
      </c>
      <c r="BL123" s="159">
        <f>IFERROR(Datos_Origen[[#This Row],[Beneficios]]/Datos_Origen[[#This Row],[CT]],"")</f>
        <v>0</v>
      </c>
      <c r="BM123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6722651.8092292752</v>
      </c>
      <c r="BN123" s="161">
        <f>Datos_Origen[[#This Row],[G]]/Datos_Origen[[#This Row],[Geq]]</f>
        <v>1.0127272411540431</v>
      </c>
      <c r="BO123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6877026.4942380982</v>
      </c>
      <c r="BP123" s="161">
        <f>Datos_Origen[[#This Row],[G+V]]/Datos_Origen[[#This Row],[G+Veq]]</f>
        <v>0.98999365869889366</v>
      </c>
      <c r="BQ123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6889921.0548498491</v>
      </c>
      <c r="BR123" s="161">
        <f>Datos_Origen[[#This Row],[CT]]/Datos_Origen[[#This Row],[CTeq]]</f>
        <v>0.98814087502608861</v>
      </c>
      <c r="BS123" s="139">
        <f>ROUNDUP(VLOOKUP(Datos_Origen[[#This Row],[Categoria]],Competitividad_1[#All],2,0)*IndiceIncrementoC,-3)</f>
        <v>8624000</v>
      </c>
      <c r="BT123" s="161">
        <f>Datos_Origen[[#This Row],[G]]/Datos_Origen[[#This Row],[GQ1]]</f>
        <v>0.78944951530612262</v>
      </c>
      <c r="BU123" s="155">
        <f>ROUNDUP(VLOOKUP(Datos_Origen[[#This Row],[Categoria]],Competitividad_1[#All],3,0)*IndiceIncrementoC,-3)</f>
        <v>9004000</v>
      </c>
      <c r="BV123" s="161">
        <f>Datos_Origen[[#This Row],[G+V]]/Datos_Origen[[#This Row],[G+VQ1]]</f>
        <v>0.75613201021768117</v>
      </c>
      <c r="BW123" s="155">
        <f>ROUNDUP(VLOOKUP(Datos_Origen[[#This Row],[Categoria]],Competitividad_1[#All],4,0)*IndiceIncrementoC,-3)</f>
        <v>9397000</v>
      </c>
      <c r="BX123" s="161">
        <f>Datos_Origen[[#This Row],[CT]]/Datos_Origen[[#This Row],[CTQ1]]</f>
        <v>0.72450916462700876</v>
      </c>
      <c r="BY123" s="155">
        <f>ROUNDUP(VLOOKUP(Datos_Origen[[#This Row],[Categoria]],Competitividad_1[#All],5,0)*IndiceIncrementoC,-3)</f>
        <v>10024000</v>
      </c>
      <c r="BZ123" s="161">
        <f>Datos_Origen[[#This Row],[G]]/Datos_Origen[[#This Row],[GMd]]</f>
        <v>0.67919120311253001</v>
      </c>
      <c r="CA123" s="155">
        <f>ROUNDUP(VLOOKUP(Datos_Origen[[#This Row],[Categoria]],Competitividad_1[#All],6,0)*IndiceIncrementoC,-3)</f>
        <v>10385000</v>
      </c>
      <c r="CB123" s="161">
        <f>Datos_Origen[[#This Row],[G+V]]/Datos_Origen[[#This Row],[G+VMd]]</f>
        <v>0.65558137891189228</v>
      </c>
      <c r="CC123" s="155">
        <f>ROUNDUP(VLOOKUP(Datos_Origen[[#This Row],[Categoria]],Competitividad_1[#All],7,0)*IndiceIncrementoC,-3)</f>
        <v>10807000</v>
      </c>
      <c r="CD123" s="161">
        <f>Datos_Origen[[#This Row],[CT]]/Datos_Origen[[#This Row],[CTMd]]</f>
        <v>0.62998173591190909</v>
      </c>
      <c r="CE123" s="155">
        <f>+Datos_Origen[[#This Row],[GMd]]/1.17666666667</f>
        <v>8518980.1699475385</v>
      </c>
      <c r="CF123" s="161">
        <f>+Datos_Origen[[#This Row],[Básico Actual]]/Datos_Origen[[#This Row],[Salario Basico Md]]</f>
        <v>0.67918927906550475</v>
      </c>
      <c r="CG123" s="155">
        <f>ROUNDUP(VLOOKUP(Datos_Origen[[#This Row],[Categoria]],Competitividad_1[#All],8,0)*IndiceIncrementoC,-3)</f>
        <v>10804000</v>
      </c>
      <c r="CH123" s="161">
        <f>Datos_Origen[[#This Row],[G]]/Datos_Origen[[#This Row],[GQ3]]</f>
        <v>0.6301566660496114</v>
      </c>
      <c r="CI123" s="155">
        <f>ROUNDUP(VLOOKUP(Datos_Origen[[#This Row],[Categoria]],Competitividad_1[#All],9,0)*IndiceIncrementoC,-3)</f>
        <v>11073000</v>
      </c>
      <c r="CJ123" s="161">
        <f>Datos_Origen[[#This Row],[G+V]]/Datos_Origen[[#This Row],[G+VQ3]]</f>
        <v>0.61484806466178998</v>
      </c>
      <c r="CK123" s="155">
        <f>ROUNDUP(VLOOKUP(Datos_Origen[[#This Row],[Categoria]],Competitividad_1[#All],10,0)*IndiceIncrementoC,-3)</f>
        <v>11207000</v>
      </c>
      <c r="CL123" s="161">
        <f>Datos_Origen[[#This Row],[CT]]/Datos_Origen[[#This Row],[CTQ3]]</f>
        <v>0.60749644150977078</v>
      </c>
      <c r="CM123" s="162">
        <f>IF(ROUND(Datos_Origen[[#This Row],[Salario Ordinario Pol2]],-3)&lt;SMMLV,SMMLV,ROUND(Datos_Origen[[#This Row],[Salario Ordinario Pol2]],-3))</f>
        <v>7348000</v>
      </c>
      <c r="CN123" s="155">
        <f>IF(Datos_Origen[[#This Row],[Gpol]]/(1+FactorPrestacionalOrdinario)&lt;SMMLV,SMMLV,Datos_Origen[[#This Row],[Gpol]]/(1+FactorPrestacionalOrdinario))</f>
        <v>9184419.2634560894</v>
      </c>
      <c r="CO123" s="161">
        <f>IFERROR(IF(Datos_Origen[[#This Row],[Salarios Año]]=14.12,Datos_Origen[[#This Row],[Básico]]/Datos_Origen[[#This Row],[Salario Ordinario Pol]],""),"")</f>
        <v>0.62997995126615469</v>
      </c>
      <c r="CP123" s="155">
        <f>IF(ROUND(Datos_Origen[[#This Row],[Salario Ordinario Pol22]],-3)&lt;SMMLV,SMMLV,ROUND(Datos_Origen[[#This Row],[Salario Ordinario Pol22]],-3))</f>
        <v>11021000</v>
      </c>
      <c r="CQ123" s="155" t="str">
        <f>IFERROR(ROUND(Datos_Origen[[#This Row],[Salario Integral Pol4]],-3),"")</f>
        <v/>
      </c>
      <c r="CR123" s="139" t="str">
        <f>IF((Datos_Origen[[#This Row],[Gpol]]/(1+FactorPrestacionalIntegral))&lt;(13*SMMLV),"",(Datos_Origen[[#This Row],[Gpol]]/(1+FactorPrestacionalIntegral)))</f>
        <v/>
      </c>
      <c r="CS123" s="161" t="str">
        <f>IFERROR(IF(Datos_Origen[[#This Row],[Salarios Año]]=12,Datos_Origen[[#This Row],[Básico]]/Datos_Origen[[#This Row],[Salario Integral Pol]],""),"")</f>
        <v/>
      </c>
      <c r="CT123" s="155" t="str">
        <f>IFERROR(ROUND(Datos_Origen[[#This Row],[Salario Integral Pol44]],-3),"")</f>
        <v/>
      </c>
      <c r="CU123" s="155">
        <f>Datos_Origen[[#This Row],[G+Vpol]]-Datos_Origen[[#This Row],[Variable]]</f>
        <v>10807000</v>
      </c>
      <c r="CV123" s="161">
        <f>Datos_Origen[[#This Row],[G]]/Datos_Origen[[#This Row],[Gpol]]</f>
        <v>0.62998173591190909</v>
      </c>
      <c r="CW123" s="154">
        <f>Datos_Origen[[#This Row],[Ctpol]]-Datos_Origen[[#This Row],[Beneficios]]</f>
        <v>10807000</v>
      </c>
      <c r="CX123" s="161">
        <f>Datos_Origen[[#This Row],[G+V]]/Datos_Origen[[#This Row],[G+Vpol]]</f>
        <v>0.62998173591190909</v>
      </c>
      <c r="CY123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10807000</v>
      </c>
      <c r="CZ123" s="161">
        <f>Datos_Origen[[#This Row],[CT]]/Datos_Origen[[#This Row],[Ctpol]]</f>
        <v>0.62998173591190909</v>
      </c>
      <c r="DA123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5786000</v>
      </c>
      <c r="DB123" s="158">
        <f>IF(Datos_Origen[[#This Row],[Básico]]&lt;10*SMMLV,0,Datos_Origen[[#This Row],[Base Seguridad Social Actual]]*8.5%)</f>
        <v>0</v>
      </c>
      <c r="DC123" s="158">
        <f>Datos_Origen[[#This Row],[Base Seguridad Social Actual]]*12%</f>
        <v>694320</v>
      </c>
      <c r="DD123" s="158">
        <f>Datos_Origen[[#This Row],[Base Seguridad Social Actual]]*Datos_Origen[[#This Row],[%ARL]]</f>
        <v>30202.92</v>
      </c>
      <c r="DE123" s="158">
        <f>IF(Datos_Origen[[#This Row],[Básico]]&lt;10*SMMLV,Datos_Origen[[#This Row],[Base Seguridad Social Actual]]*4%,Datos_Origen[[#This Row],[Base Seguridad Social Actual]]*9%)</f>
        <v>231440</v>
      </c>
      <c r="DF123" s="158">
        <f>Datos_Origen[[#This Row],[Salud]]+Datos_Origen[[#This Row],[Pensión]]+Datos_Origen[[#This Row],[ARL]]+Datos_Origen[[#This Row],[Parafiscales]]</f>
        <v>955962.92</v>
      </c>
      <c r="DG123" s="163">
        <f>Datos_Origen[[#This Row],[Costo Laboral Actual]]+Datos_Origen[[#This Row],[CT]]</f>
        <v>7764175.540000001</v>
      </c>
      <c r="DH123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9184419.2634560894</v>
      </c>
      <c r="DI123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23" s="158">
        <f>Datos_Origen[[#This Row],[Base Seguridad Social Nueva]]*12%</f>
        <v>1102130.3116147306</v>
      </c>
      <c r="DK123" s="158">
        <f>Datos_Origen[[#This Row],[Base Seguridad Social Nueva]]*Datos_Origen[[#This Row],[%ARL]]</f>
        <v>47942.668555240787</v>
      </c>
      <c r="DL123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367376.77053824358</v>
      </c>
      <c r="DM123" s="158">
        <f>Datos_Origen[[#This Row],[Salud Nueva]]+Datos_Origen[[#This Row],[Pensión Nueva]]+Datos_Origen[[#This Row],[ARL nueva]]+Datos_Origen[[#This Row],[Parafiscales Nuevos]]</f>
        <v>1517449.7507082149</v>
      </c>
      <c r="DN123" s="158">
        <f>Datos_Origen[[#This Row],[Costo Laboral Nuevo]]+Datos_Origen[[#This Row],[Ctpol]]</f>
        <v>12324449.750708215</v>
      </c>
      <c r="DO123" s="158">
        <f>IF(Datos_Origen[[#This Row],[Ctpol]]-Datos_Origen[[#This Row],[CT]]&lt;=0,0,Datos_Origen[[#This Row],[Costo Total Nuevo]]-Datos_Origen[[#This Row],[Costo Total Actual]])</f>
        <v>4560274.210708214</v>
      </c>
      <c r="DP123" s="158">
        <f>IF(Datos_Origen[[#This Row],[Ctpol]]-Datos_Origen[[#This Row],[CT]]&lt;=0,0,Datos_Origen[[#This Row],[Ctpol]]-Datos_Origen[[#This Row],[CT]])</f>
        <v>3998787.379999999</v>
      </c>
      <c r="DQ123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561486.8307082149</v>
      </c>
      <c r="DR123" s="158">
        <f>ROUNDDOWN(VLOOKUP(Datos_Origen[[#This Row],[Categoria]],Competitividad_1[],7,0)*IndiceIncrementoC,-3)</f>
        <v>10806000</v>
      </c>
      <c r="DS123" s="158">
        <f>Datos_Origen[[#This Row],[CTeq]]*0.8</f>
        <v>5511936.8438798795</v>
      </c>
      <c r="DT123" s="158">
        <f>Datos_Origen[[#This Row],[CTeq]]*1.2</f>
        <v>8267905.2658198187</v>
      </c>
      <c r="DU123" s="155">
        <f>IF(Datos_Origen[[#This Row],[Gpol6]]/(1+FactorPrestacionalOrdinario)&lt;SMMLV,SMMLV,Datos_Origen[[#This Row],[Gpol6]]/(1+FactorPrestacionalOrdinario))</f>
        <v>7347535.4107648721</v>
      </c>
      <c r="DV123" s="139" t="str">
        <f>IF((Datos_Origen[[#This Row],[Gpol6]]/(1+FactorPrestacionalIntegral))&lt;(13*SMMLV),"",(Datos_Origen[[#This Row],[Gpol6]]/(1+FactorPrestacionalIntegral)))</f>
        <v/>
      </c>
      <c r="DW123" s="154">
        <f>Datos_Origen[[#This Row],[G+Vpol8]]</f>
        <v>8645600</v>
      </c>
      <c r="DX123" s="154">
        <f>Datos_Origen[[#This Row],[Ctpol10]]-Datos_Origen[[#This Row],[Beneficios]]</f>
        <v>8645600</v>
      </c>
      <c r="DY123" s="154">
        <f>Datos_Origen[[#This Row],[Ctpol]]*$CM$6</f>
        <v>8645600</v>
      </c>
      <c r="DZ123" s="155">
        <f>IF(Datos_Origen[[#This Row],[Gpol66]]/(1+FactorPrestacionalOrdinario)&lt;SMMLV,SMMLV,Datos_Origen[[#This Row],[Gpol66]]/(1+FactorPrestacionalOrdinario))</f>
        <v>11021303.116147308</v>
      </c>
      <c r="EA123" s="139" t="str">
        <f>IF((Datos_Origen[[#This Row],[Gpol66]]/(1+FactorPrestacionalIntegral))&lt;(13*SMMLV),"",(Datos_Origen[[#This Row],[Gpol66]]/(1+FactorPrestacionalIntegral)))</f>
        <v/>
      </c>
      <c r="EB123" s="154">
        <f>Datos_Origen[[#This Row],[G+Vpol88]]</f>
        <v>12968400</v>
      </c>
      <c r="EC123" s="154">
        <f>Datos_Origen[[#This Row],[Ctpol1010]]-Datos_Origen[[#This Row],[Beneficios]]</f>
        <v>12968400</v>
      </c>
      <c r="ED123" s="154">
        <f>Datos_Origen[[#This Row],[Ctpol]]*$CP$6</f>
        <v>12968400</v>
      </c>
      <c r="EE123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24" spans="2:135">
      <c r="B124" s="132"/>
      <c r="C124" s="149"/>
      <c r="D124" s="150"/>
      <c r="E124" s="151"/>
      <c r="F124" s="151"/>
      <c r="G124" s="150" t="s">
        <v>296</v>
      </c>
      <c r="H124" s="153"/>
      <c r="I124" s="152" t="s">
        <v>296</v>
      </c>
      <c r="J124" s="130" t="str">
        <f>IFERROR(VLOOKUP(Datos_Origen[[#This Row],[Cargo Tipo Valorado]],Cargos_Catalogo[[#All],[Cargo]:[Área]],2,0),"")</f>
        <v xml:space="preserve">Gerente de operaciones </v>
      </c>
      <c r="K124" s="153"/>
      <c r="L124" s="153"/>
      <c r="M124" s="153"/>
      <c r="N124" s="153"/>
      <c r="O124" s="154">
        <f>Datos_Origen[[#This Row],[Segmentación Individual]]</f>
        <v>0</v>
      </c>
      <c r="P124" s="153"/>
      <c r="Q124" s="154">
        <f>VLOOKUP(Datos_Origen[[#This Row],[Cargo Tipo Valorado]],Cargos_Catalogo[#Data],MATCH(Cargos_Catalogo[[#Headers],[Puntos]],Cargos_Catalogo[#Headers],0),FALSE)</f>
        <v>474</v>
      </c>
      <c r="R124" s="130">
        <f>VLOOKUP(Datos_Origen[[#This Row],[Puntos valoración]],Categorias_Registro[#Data],MATCH(Categorias_Registro[[#Headers],[Categoria]],Categorias_Registro[#Headers],0),FALSE)</f>
        <v>13</v>
      </c>
      <c r="S124" s="130" t="str">
        <f>VLOOKUP(Datos_Origen[[#This Row],[Cargo Tipo Valorado]],Cargos_Catalogo[#Data],MATCH(Cargos_Catalogo[[#Headers],[Nivel SHR]],Cargos_Catalogo[#Headers],0),FALSE)</f>
        <v>Gerencia media</v>
      </c>
      <c r="T124" s="130" t="str">
        <f>VLOOKUP(Datos_Origen[[#This Row],[Cargo Tipo Valorado]],Cargos_Catalogo[#Data],MATCH(Cargos_Catalogo[[#Headers],[Criticidad]],Cargos_Catalogo[#Headers],0),FALSE)</f>
        <v>Importante</v>
      </c>
      <c r="U124" s="154">
        <f>VLOOKUP(Datos_Origen[[#This Row],[Puntos valoración]],Categorias_Registro[#Data],5,FALSE)</f>
        <v>502</v>
      </c>
      <c r="V124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6023373.7300000004</v>
      </c>
      <c r="W124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24" s="154">
        <f>SUMIF($BA$5:$BJ$5,"NCS",Datos_Origen[[#This Row],[auxilio Gasolina]:[Otro Beneficio10]])+(SUMIF($BA$5:$BJ$5,"CS",Datos_Origen[[#This Row],[auxilio Gasolina]:[Otro Beneficio10]])*1.17667)</f>
        <v>0</v>
      </c>
      <c r="Y124" s="155">
        <f>Datos_Origen[[#This Row],[Básico]]+Datos_Origen[[#This Row],[Promedio de Comisiones  ]]</f>
        <v>5119000</v>
      </c>
      <c r="Z124" s="155">
        <f>Datos_Origen[[#This Row],[Básico]]+Datos_Origen[[#This Row],[Promedio de Comisiones  ]]</f>
        <v>5119000</v>
      </c>
      <c r="AA124" s="155">
        <f>Datos_Origen[[#This Row],[Garantizado]]</f>
        <v>6023373.7300000004</v>
      </c>
      <c r="AB124" s="155">
        <f>Datos_Origen[[#This Row],[Variable]]+Datos_Origen[[#This Row],[Garantizado]]</f>
        <v>6023373.7300000004</v>
      </c>
      <c r="AC124" s="155">
        <f>Datos_Origen[[#This Row],[Beneficios]]+Datos_Origen[[#This Row],[Variable]]+Datos_Origen[[#This Row],[Garantizado]]</f>
        <v>6023373.7300000004</v>
      </c>
      <c r="AD124" s="156">
        <v>14.12</v>
      </c>
      <c r="AE124" s="141">
        <v>230</v>
      </c>
      <c r="AF124" s="345">
        <v>4.3499999999999997E-2</v>
      </c>
      <c r="AG124" s="155">
        <f>Datos_Origen[[#This Row],[Básico Actual]]*230/Datos_Origen[[#This Row],['# horas mes]]</f>
        <v>5119000</v>
      </c>
      <c r="AH124" s="157">
        <v>5119000</v>
      </c>
      <c r="AI124" s="158"/>
      <c r="AJ124" s="158">
        <f>(((Datos_Origen[[#This Row],[Básico]])/30)*$AJ$6)/12</f>
        <v>0</v>
      </c>
      <c r="AK124" s="158"/>
      <c r="AL124" s="143">
        <f>((Datos_Origen[[#This Row],[Básico]])/30)*$AL$6/12</f>
        <v>0</v>
      </c>
      <c r="AM124" s="158"/>
      <c r="AN124" s="158"/>
      <c r="AO124" s="158"/>
      <c r="AP124" s="158"/>
      <c r="AQ124" s="158"/>
      <c r="AR124" s="149">
        <v>0</v>
      </c>
      <c r="AS124" s="149"/>
      <c r="AT124" s="159" t="str">
        <f>IFERROR(Datos_Origen[[#This Row],[Comisiones Target]]/Datos_Origen[[#This Row],[Promedio de Comisiones  ]],"")</f>
        <v/>
      </c>
      <c r="AU124" s="160"/>
      <c r="AV124" s="143">
        <v>0</v>
      </c>
      <c r="AW124" s="160"/>
      <c r="AX124" s="143">
        <f>Datos_Origen[[#This Row],[N Salarios de la Bonificación2]]*Datos_Origen[[#This Row],[Básico]]/12</f>
        <v>0</v>
      </c>
      <c r="AY124" s="160"/>
      <c r="AZ124" s="158"/>
      <c r="BA124" s="149">
        <v>0</v>
      </c>
      <c r="BB124" s="149"/>
      <c r="BC124" s="149"/>
      <c r="BD124" s="149"/>
      <c r="BE124" s="149"/>
      <c r="BF124" s="149"/>
      <c r="BG124" s="149"/>
      <c r="BH124" s="149"/>
      <c r="BI124" s="149"/>
      <c r="BJ124" s="149"/>
      <c r="BK124" s="159">
        <f>IFERROR(Datos_Origen[[#This Row],[Variable]]/Datos_Origen[[#This Row],[CT]],"")</f>
        <v>0</v>
      </c>
      <c r="BL124" s="159">
        <f>IFERROR(Datos_Origen[[#This Row],[Beneficios]]/Datos_Origen[[#This Row],[CT]],"")</f>
        <v>0</v>
      </c>
      <c r="BM124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6722651.8092292752</v>
      </c>
      <c r="BN124" s="161">
        <f>Datos_Origen[[#This Row],[G]]/Datos_Origen[[#This Row],[Geq]]</f>
        <v>0.89598180910258329</v>
      </c>
      <c r="BO124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6877026.4942380982</v>
      </c>
      <c r="BP124" s="161">
        <f>Datos_Origen[[#This Row],[G+V]]/Datos_Origen[[#This Row],[G+Veq]]</f>
        <v>0.87586891442786663</v>
      </c>
      <c r="BQ124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6889921.0548498491</v>
      </c>
      <c r="BR124" s="161">
        <f>Datos_Origen[[#This Row],[CT]]/Datos_Origen[[#This Row],[CTeq]]</f>
        <v>0.874229716429061</v>
      </c>
      <c r="BS124" s="139">
        <f>ROUNDUP(VLOOKUP(Datos_Origen[[#This Row],[Categoria]],Competitividad_1[#All],2,0)*IndiceIncrementoC,-3)</f>
        <v>8624000</v>
      </c>
      <c r="BT124" s="161">
        <f>Datos_Origen[[#This Row],[G]]/Datos_Origen[[#This Row],[GQ1]]</f>
        <v>0.69844315051020411</v>
      </c>
      <c r="BU124" s="155">
        <f>ROUNDUP(VLOOKUP(Datos_Origen[[#This Row],[Categoria]],Competitividad_1[#All],3,0)*IndiceIncrementoC,-3)</f>
        <v>9004000</v>
      </c>
      <c r="BV124" s="161">
        <f>Datos_Origen[[#This Row],[G+V]]/Datos_Origen[[#This Row],[G+VQ1]]</f>
        <v>0.66896642936472683</v>
      </c>
      <c r="BW124" s="155">
        <f>ROUNDUP(VLOOKUP(Datos_Origen[[#This Row],[Categoria]],Competitividad_1[#All],4,0)*IndiceIncrementoC,-3)</f>
        <v>9397000</v>
      </c>
      <c r="BX124" s="161">
        <f>Datos_Origen[[#This Row],[CT]]/Datos_Origen[[#This Row],[CTQ1]]</f>
        <v>0.64098901032244338</v>
      </c>
      <c r="BY124" s="155">
        <f>ROUNDUP(VLOOKUP(Datos_Origen[[#This Row],[Categoria]],Competitividad_1[#All],5,0)*IndiceIncrementoC,-3)</f>
        <v>10024000</v>
      </c>
      <c r="BZ124" s="161">
        <f>Datos_Origen[[#This Row],[G]]/Datos_Origen[[#This Row],[GMd]]</f>
        <v>0.60089522446129295</v>
      </c>
      <c r="CA124" s="155">
        <f>ROUNDUP(VLOOKUP(Datos_Origen[[#This Row],[Categoria]],Competitividad_1[#All],6,0)*IndiceIncrementoC,-3)</f>
        <v>10385000</v>
      </c>
      <c r="CB124" s="161">
        <f>Datos_Origen[[#This Row],[G+V]]/Datos_Origen[[#This Row],[G+VMd]]</f>
        <v>0.58000709966297548</v>
      </c>
      <c r="CC124" s="155">
        <f>ROUNDUP(VLOOKUP(Datos_Origen[[#This Row],[Categoria]],Competitividad_1[#All],7,0)*IndiceIncrementoC,-3)</f>
        <v>10807000</v>
      </c>
      <c r="CD124" s="161">
        <f>Datos_Origen[[#This Row],[CT]]/Datos_Origen[[#This Row],[CTMd]]</f>
        <v>0.55735853890996578</v>
      </c>
      <c r="CE124" s="155">
        <f>+Datos_Origen[[#This Row],[GMd]]/1.17666666667</f>
        <v>8518980.1699475385</v>
      </c>
      <c r="CF124" s="161">
        <f>+Datos_Origen[[#This Row],[Básico Actual]]/Datos_Origen[[#This Row],[Salario Basico Md]]</f>
        <v>0.60089352221505687</v>
      </c>
      <c r="CG124" s="155">
        <f>ROUNDUP(VLOOKUP(Datos_Origen[[#This Row],[Categoria]],Competitividad_1[#All],8,0)*IndiceIncrementoC,-3)</f>
        <v>10804000</v>
      </c>
      <c r="CH124" s="161">
        <f>Datos_Origen[[#This Row],[G]]/Datos_Origen[[#This Row],[GQ3]]</f>
        <v>0.55751330340614591</v>
      </c>
      <c r="CI124" s="155">
        <f>ROUNDUP(VLOOKUP(Datos_Origen[[#This Row],[Categoria]],Competitividad_1[#All],9,0)*IndiceIncrementoC,-3)</f>
        <v>11073000</v>
      </c>
      <c r="CJ124" s="161">
        <f>Datos_Origen[[#This Row],[G+V]]/Datos_Origen[[#This Row],[G+VQ3]]</f>
        <v>0.54396945091664417</v>
      </c>
      <c r="CK124" s="155">
        <f>ROUNDUP(VLOOKUP(Datos_Origen[[#This Row],[Categoria]],Competitividad_1[#All],10,0)*IndiceIncrementoC,-3)</f>
        <v>11207000</v>
      </c>
      <c r="CL124" s="161">
        <f>Datos_Origen[[#This Row],[CT]]/Datos_Origen[[#This Row],[CTQ3]]</f>
        <v>0.53746531007406084</v>
      </c>
      <c r="CM124" s="162">
        <f>IF(ROUND(Datos_Origen[[#This Row],[Salario Ordinario Pol2]],-3)&lt;SMMLV,SMMLV,ROUND(Datos_Origen[[#This Row],[Salario Ordinario Pol2]],-3))</f>
        <v>7348000</v>
      </c>
      <c r="CN124" s="155">
        <f>IF(Datos_Origen[[#This Row],[Gpol]]/(1+FactorPrestacionalOrdinario)&lt;SMMLV,SMMLV,Datos_Origen[[#This Row],[Gpol]]/(1+FactorPrestacionalOrdinario))</f>
        <v>9184419.2634560894</v>
      </c>
      <c r="CO124" s="161">
        <f>IFERROR(IF(Datos_Origen[[#This Row],[Salarios Año]]=14.12,Datos_Origen[[#This Row],[Básico]]/Datos_Origen[[#This Row],[Salario Ordinario Pol]],""),"")</f>
        <v>0.55735695999506496</v>
      </c>
      <c r="CP124" s="155">
        <f>IF(ROUND(Datos_Origen[[#This Row],[Salario Ordinario Pol22]],-3)&lt;SMMLV,SMMLV,ROUND(Datos_Origen[[#This Row],[Salario Ordinario Pol22]],-3))</f>
        <v>11021000</v>
      </c>
      <c r="CQ124" s="155" t="str">
        <f>IFERROR(ROUND(Datos_Origen[[#This Row],[Salario Integral Pol4]],-3),"")</f>
        <v/>
      </c>
      <c r="CR124" s="139" t="str">
        <f>IF((Datos_Origen[[#This Row],[Gpol]]/(1+FactorPrestacionalIntegral))&lt;(13*SMMLV),"",(Datos_Origen[[#This Row],[Gpol]]/(1+FactorPrestacionalIntegral)))</f>
        <v/>
      </c>
      <c r="CS124" s="161" t="str">
        <f>IFERROR(IF(Datos_Origen[[#This Row],[Salarios Año]]=12,Datos_Origen[[#This Row],[Básico]]/Datos_Origen[[#This Row],[Salario Integral Pol]],""),"")</f>
        <v/>
      </c>
      <c r="CT124" s="155" t="str">
        <f>IFERROR(ROUND(Datos_Origen[[#This Row],[Salario Integral Pol44]],-3),"")</f>
        <v/>
      </c>
      <c r="CU124" s="155">
        <f>Datos_Origen[[#This Row],[G+Vpol]]-Datos_Origen[[#This Row],[Variable]]</f>
        <v>10807000</v>
      </c>
      <c r="CV124" s="161">
        <f>Datos_Origen[[#This Row],[G]]/Datos_Origen[[#This Row],[Gpol]]</f>
        <v>0.55735853890996578</v>
      </c>
      <c r="CW124" s="154">
        <f>Datos_Origen[[#This Row],[Ctpol]]-Datos_Origen[[#This Row],[Beneficios]]</f>
        <v>10807000</v>
      </c>
      <c r="CX124" s="161">
        <f>Datos_Origen[[#This Row],[G+V]]/Datos_Origen[[#This Row],[G+Vpol]]</f>
        <v>0.55735853890996578</v>
      </c>
      <c r="CY124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10807000</v>
      </c>
      <c r="CZ124" s="161">
        <f>Datos_Origen[[#This Row],[CT]]/Datos_Origen[[#This Row],[Ctpol]]</f>
        <v>0.55735853890996578</v>
      </c>
      <c r="DA124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5119000</v>
      </c>
      <c r="DB124" s="158">
        <f>IF(Datos_Origen[[#This Row],[Básico]]&lt;10*SMMLV,0,Datos_Origen[[#This Row],[Base Seguridad Social Actual]]*8.5%)</f>
        <v>0</v>
      </c>
      <c r="DC124" s="158">
        <f>Datos_Origen[[#This Row],[Base Seguridad Social Actual]]*12%</f>
        <v>614280</v>
      </c>
      <c r="DD124" s="158">
        <f>Datos_Origen[[#This Row],[Base Seguridad Social Actual]]*Datos_Origen[[#This Row],[%ARL]]</f>
        <v>222676.49999999997</v>
      </c>
      <c r="DE124" s="158">
        <f>IF(Datos_Origen[[#This Row],[Básico]]&lt;10*SMMLV,Datos_Origen[[#This Row],[Base Seguridad Social Actual]]*4%,Datos_Origen[[#This Row],[Base Seguridad Social Actual]]*9%)</f>
        <v>204760</v>
      </c>
      <c r="DF124" s="158">
        <f>Datos_Origen[[#This Row],[Salud]]+Datos_Origen[[#This Row],[Pensión]]+Datos_Origen[[#This Row],[ARL]]+Datos_Origen[[#This Row],[Parafiscales]]</f>
        <v>1041716.5</v>
      </c>
      <c r="DG124" s="163">
        <f>Datos_Origen[[#This Row],[Costo Laboral Actual]]+Datos_Origen[[#This Row],[CT]]</f>
        <v>7065090.2300000004</v>
      </c>
      <c r="DH124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9184419.2634560894</v>
      </c>
      <c r="DI124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24" s="158">
        <f>Datos_Origen[[#This Row],[Base Seguridad Social Nueva]]*12%</f>
        <v>1102130.3116147306</v>
      </c>
      <c r="DK124" s="158">
        <f>Datos_Origen[[#This Row],[Base Seguridad Social Nueva]]*Datos_Origen[[#This Row],[%ARL]]</f>
        <v>399522.23796033987</v>
      </c>
      <c r="DL124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367376.77053824358</v>
      </c>
      <c r="DM124" s="158">
        <f>Datos_Origen[[#This Row],[Salud Nueva]]+Datos_Origen[[#This Row],[Pensión Nueva]]+Datos_Origen[[#This Row],[ARL nueva]]+Datos_Origen[[#This Row],[Parafiscales Nuevos]]</f>
        <v>1869029.3201133139</v>
      </c>
      <c r="DN124" s="158">
        <f>Datos_Origen[[#This Row],[Costo Laboral Nuevo]]+Datos_Origen[[#This Row],[Ctpol]]</f>
        <v>12676029.320113314</v>
      </c>
      <c r="DO124" s="158">
        <f>IF(Datos_Origen[[#This Row],[Ctpol]]-Datos_Origen[[#This Row],[CT]]&lt;=0,0,Datos_Origen[[#This Row],[Costo Total Nuevo]]-Datos_Origen[[#This Row],[Costo Total Actual]])</f>
        <v>5610939.0901133139</v>
      </c>
      <c r="DP124" s="158">
        <f>IF(Datos_Origen[[#This Row],[Ctpol]]-Datos_Origen[[#This Row],[CT]]&lt;=0,0,Datos_Origen[[#This Row],[Ctpol]]-Datos_Origen[[#This Row],[CT]])</f>
        <v>4783626.2699999996</v>
      </c>
      <c r="DQ124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827312.82011331385</v>
      </c>
      <c r="DR124" s="158">
        <f>ROUNDDOWN(VLOOKUP(Datos_Origen[[#This Row],[Categoria]],Competitividad_1[],7,0)*IndiceIncrementoC,-3)</f>
        <v>10806000</v>
      </c>
      <c r="DS124" s="158">
        <f>Datos_Origen[[#This Row],[CTeq]]*0.8</f>
        <v>5511936.8438798795</v>
      </c>
      <c r="DT124" s="158">
        <f>Datos_Origen[[#This Row],[CTeq]]*1.2</f>
        <v>8267905.2658198187</v>
      </c>
      <c r="DU124" s="155">
        <f>IF(Datos_Origen[[#This Row],[Gpol6]]/(1+FactorPrestacionalOrdinario)&lt;SMMLV,SMMLV,Datos_Origen[[#This Row],[Gpol6]]/(1+FactorPrestacionalOrdinario))</f>
        <v>7347535.4107648721</v>
      </c>
      <c r="DV124" s="139" t="str">
        <f>IF((Datos_Origen[[#This Row],[Gpol6]]/(1+FactorPrestacionalIntegral))&lt;(13*SMMLV),"",(Datos_Origen[[#This Row],[Gpol6]]/(1+FactorPrestacionalIntegral)))</f>
        <v/>
      </c>
      <c r="DW124" s="154">
        <f>Datos_Origen[[#This Row],[G+Vpol8]]</f>
        <v>8645600</v>
      </c>
      <c r="DX124" s="154">
        <f>Datos_Origen[[#This Row],[Ctpol10]]-Datos_Origen[[#This Row],[Beneficios]]</f>
        <v>8645600</v>
      </c>
      <c r="DY124" s="154">
        <f>Datos_Origen[[#This Row],[Ctpol]]*$CM$6</f>
        <v>8645600</v>
      </c>
      <c r="DZ124" s="155">
        <f>IF(Datos_Origen[[#This Row],[Gpol66]]/(1+FactorPrestacionalOrdinario)&lt;SMMLV,SMMLV,Datos_Origen[[#This Row],[Gpol66]]/(1+FactorPrestacionalOrdinario))</f>
        <v>11021303.116147308</v>
      </c>
      <c r="EA124" s="139" t="str">
        <f>IF((Datos_Origen[[#This Row],[Gpol66]]/(1+FactorPrestacionalIntegral))&lt;(13*SMMLV),"",(Datos_Origen[[#This Row],[Gpol66]]/(1+FactorPrestacionalIntegral)))</f>
        <v/>
      </c>
      <c r="EB124" s="154">
        <f>Datos_Origen[[#This Row],[G+Vpol88]]</f>
        <v>12968400</v>
      </c>
      <c r="EC124" s="154">
        <f>Datos_Origen[[#This Row],[Ctpol1010]]-Datos_Origen[[#This Row],[Beneficios]]</f>
        <v>12968400</v>
      </c>
      <c r="ED124" s="154">
        <f>Datos_Origen[[#This Row],[Ctpol]]*$CP$6</f>
        <v>12968400</v>
      </c>
      <c r="EE124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25" spans="2:135">
      <c r="B125" s="148"/>
      <c r="C125" s="149"/>
      <c r="D125" s="150"/>
      <c r="E125" s="151"/>
      <c r="F125" s="151"/>
      <c r="G125" s="150" t="s">
        <v>297</v>
      </c>
      <c r="H125" s="153"/>
      <c r="I125" s="152" t="s">
        <v>297</v>
      </c>
      <c r="J125" s="130" t="str">
        <f>IFERROR(VLOOKUP(Datos_Origen[[#This Row],[Cargo Tipo Valorado]],Cargos_Catalogo[[#All],[Cargo]:[Área]],2,0),"")</f>
        <v>Gerente de operaciones</v>
      </c>
      <c r="K125" s="153"/>
      <c r="L125" s="153"/>
      <c r="M125" s="153"/>
      <c r="N125" s="153"/>
      <c r="O125" s="154">
        <f>Datos_Origen[[#This Row],[Segmentación Individual]]</f>
        <v>0</v>
      </c>
      <c r="P125" s="153"/>
      <c r="Q125" s="154">
        <f>VLOOKUP(Datos_Origen[[#This Row],[Cargo Tipo Valorado]],Cargos_Catalogo[#Data],MATCH(Cargos_Catalogo[[#Headers],[Puntos]],Cargos_Catalogo[#Headers],0),FALSE)</f>
        <v>478</v>
      </c>
      <c r="R125" s="130">
        <f>VLOOKUP(Datos_Origen[[#This Row],[Puntos valoración]],Categorias_Registro[#Data],MATCH(Categorias_Registro[[#Headers],[Categoria]],Categorias_Registro[#Headers],0),FALSE)</f>
        <v>13</v>
      </c>
      <c r="S125" s="130" t="str">
        <f>VLOOKUP(Datos_Origen[[#This Row],[Cargo Tipo Valorado]],Cargos_Catalogo[#Data],MATCH(Cargos_Catalogo[[#Headers],[Nivel SHR]],Cargos_Catalogo[#Headers],0),FALSE)</f>
        <v>Gerencia media</v>
      </c>
      <c r="T125" s="130" t="str">
        <f>VLOOKUP(Datos_Origen[[#This Row],[Cargo Tipo Valorado]],Cargos_Catalogo[#Data],MATCH(Cargos_Catalogo[[#Headers],[Criticidad]],Cargos_Catalogo[#Headers],0),FALSE)</f>
        <v>Muy Importante</v>
      </c>
      <c r="U125" s="154">
        <f>VLOOKUP(Datos_Origen[[#This Row],[Puntos valoración]],Categorias_Registro[#Data],5,FALSE)</f>
        <v>502</v>
      </c>
      <c r="V125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7441261.080000001</v>
      </c>
      <c r="W125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25" s="154">
        <f>SUMIF($BA$5:$BJ$5,"NCS",Datos_Origen[[#This Row],[auxilio Gasolina]:[Otro Beneficio10]])+(SUMIF($BA$5:$BJ$5,"CS",Datos_Origen[[#This Row],[auxilio Gasolina]:[Otro Beneficio10]])*1.17667)</f>
        <v>0</v>
      </c>
      <c r="Y125" s="155">
        <f>Datos_Origen[[#This Row],[Básico]]+Datos_Origen[[#This Row],[Promedio de Comisiones  ]]</f>
        <v>6324000</v>
      </c>
      <c r="Z125" s="155">
        <f>Datos_Origen[[#This Row],[Básico]]+Datos_Origen[[#This Row],[Promedio de Comisiones  ]]</f>
        <v>6324000</v>
      </c>
      <c r="AA125" s="155">
        <f>Datos_Origen[[#This Row],[Garantizado]]</f>
        <v>7441261.080000001</v>
      </c>
      <c r="AB125" s="155">
        <f>Datos_Origen[[#This Row],[Variable]]+Datos_Origen[[#This Row],[Garantizado]]</f>
        <v>7441261.080000001</v>
      </c>
      <c r="AC125" s="155">
        <f>Datos_Origen[[#This Row],[Beneficios]]+Datos_Origen[[#This Row],[Variable]]+Datos_Origen[[#This Row],[Garantizado]]</f>
        <v>7441261.080000001</v>
      </c>
      <c r="AD125" s="156">
        <v>14.12</v>
      </c>
      <c r="AE125" s="141">
        <v>230</v>
      </c>
      <c r="AF125" s="346">
        <v>4.3499999999999997E-2</v>
      </c>
      <c r="AG125" s="155">
        <f>Datos_Origen[[#This Row],[Básico Actual]]*230/Datos_Origen[[#This Row],['# horas mes]]</f>
        <v>6324000</v>
      </c>
      <c r="AH125" s="157">
        <v>6324000</v>
      </c>
      <c r="AI125" s="158"/>
      <c r="AJ125" s="158">
        <f>(((Datos_Origen[[#This Row],[Básico]])/30)*$AJ$6)/12</f>
        <v>0</v>
      </c>
      <c r="AK125" s="158"/>
      <c r="AL125" s="143">
        <f>((Datos_Origen[[#This Row],[Básico]])/30)*$AL$6/12</f>
        <v>0</v>
      </c>
      <c r="AM125" s="158"/>
      <c r="AN125" s="158"/>
      <c r="AO125" s="158"/>
      <c r="AP125" s="158"/>
      <c r="AQ125" s="158"/>
      <c r="AR125" s="149">
        <v>0</v>
      </c>
      <c r="AS125" s="149"/>
      <c r="AT125" s="159" t="str">
        <f>IFERROR(Datos_Origen[[#This Row],[Comisiones Target]]/Datos_Origen[[#This Row],[Promedio de Comisiones  ]],"")</f>
        <v/>
      </c>
      <c r="AU125" s="160"/>
      <c r="AV125" s="143">
        <v>0</v>
      </c>
      <c r="AW125" s="160"/>
      <c r="AX125" s="143">
        <f>Datos_Origen[[#This Row],[N Salarios de la Bonificación2]]*Datos_Origen[[#This Row],[Básico]]/12</f>
        <v>0</v>
      </c>
      <c r="AY125" s="160"/>
      <c r="AZ125" s="158"/>
      <c r="BA125" s="149">
        <v>0</v>
      </c>
      <c r="BB125" s="149"/>
      <c r="BC125" s="149"/>
      <c r="BD125" s="149"/>
      <c r="BE125" s="149"/>
      <c r="BF125" s="149"/>
      <c r="BG125" s="149"/>
      <c r="BH125" s="149"/>
      <c r="BI125" s="149"/>
      <c r="BJ125" s="149"/>
      <c r="BK125" s="159">
        <f>IFERROR(Datos_Origen[[#This Row],[Variable]]/Datos_Origen[[#This Row],[CT]],"")</f>
        <v>0</v>
      </c>
      <c r="BL125" s="159">
        <f>IFERROR(Datos_Origen[[#This Row],[Beneficios]]/Datos_Origen[[#This Row],[CT]],"")</f>
        <v>0</v>
      </c>
      <c r="BM125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6722651.8092292752</v>
      </c>
      <c r="BN125" s="161">
        <f>Datos_Origen[[#This Row],[G]]/Datos_Origen[[#This Row],[Geq]]</f>
        <v>1.1068937215793586</v>
      </c>
      <c r="BO125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6877026.4942380982</v>
      </c>
      <c r="BP125" s="161">
        <f>Datos_Origen[[#This Row],[G+V]]/Datos_Origen[[#This Row],[G+Veq]]</f>
        <v>1.0820463010044596</v>
      </c>
      <c r="BQ125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6889921.0548498491</v>
      </c>
      <c r="BR125" s="161">
        <f>Datos_Origen[[#This Row],[CT]]/Datos_Origen[[#This Row],[CTeq]]</f>
        <v>1.080021239831487</v>
      </c>
      <c r="BS125" s="139">
        <f>ROUNDUP(VLOOKUP(Datos_Origen[[#This Row],[Categoria]],Competitividad_1[#All],2,0)*IndiceIncrementoC,-3)</f>
        <v>8624000</v>
      </c>
      <c r="BT125" s="161">
        <f>Datos_Origen[[#This Row],[G]]/Datos_Origen[[#This Row],[GQ1]]</f>
        <v>0.86285494897959192</v>
      </c>
      <c r="BU125" s="155">
        <f>ROUNDUP(VLOOKUP(Datos_Origen[[#This Row],[Categoria]],Competitividad_1[#All],3,0)*IndiceIncrementoC,-3)</f>
        <v>9004000</v>
      </c>
      <c r="BV125" s="161">
        <f>Datos_Origen[[#This Row],[G+V]]/Datos_Origen[[#This Row],[G+VQ1]]</f>
        <v>0.82643948023100855</v>
      </c>
      <c r="BW125" s="155">
        <f>ROUNDUP(VLOOKUP(Datos_Origen[[#This Row],[Categoria]],Competitividad_1[#All],4,0)*IndiceIncrementoC,-3)</f>
        <v>9397000</v>
      </c>
      <c r="BX125" s="161">
        <f>Datos_Origen[[#This Row],[CT]]/Datos_Origen[[#This Row],[CTQ1]]</f>
        <v>0.79187624561030123</v>
      </c>
      <c r="BY125" s="155">
        <f>ROUNDUP(VLOOKUP(Datos_Origen[[#This Row],[Categoria]],Competitividad_1[#All],5,0)*IndiceIncrementoC,-3)</f>
        <v>10024000</v>
      </c>
      <c r="BZ125" s="161">
        <f>Datos_Origen[[#This Row],[G]]/Datos_Origen[[#This Row],[GMd]]</f>
        <v>0.74234448124501207</v>
      </c>
      <c r="CA125" s="155">
        <f>ROUNDUP(VLOOKUP(Datos_Origen[[#This Row],[Categoria]],Competitividad_1[#All],6,0)*IndiceIncrementoC,-3)</f>
        <v>10385000</v>
      </c>
      <c r="CB125" s="161">
        <f>Datos_Origen[[#This Row],[G+V]]/Datos_Origen[[#This Row],[G+VMd]]</f>
        <v>0.71653934328358215</v>
      </c>
      <c r="CC125" s="155">
        <f>ROUNDUP(VLOOKUP(Datos_Origen[[#This Row],[Categoria]],Competitividad_1[#All],7,0)*IndiceIncrementoC,-3)</f>
        <v>10807000</v>
      </c>
      <c r="CD125" s="161">
        <f>Datos_Origen[[#This Row],[CT]]/Datos_Origen[[#This Row],[CTMd]]</f>
        <v>0.68855936707689469</v>
      </c>
      <c r="CE125" s="155">
        <f>+Datos_Origen[[#This Row],[GMd]]/1.17666666667</f>
        <v>8518980.1699475385</v>
      </c>
      <c r="CF125" s="161">
        <f>+Datos_Origen[[#This Row],[Básico Actual]]/Datos_Origen[[#This Row],[Salario Basico Md]]</f>
        <v>0.74234237829420191</v>
      </c>
      <c r="CG125" s="155">
        <f>ROUNDUP(VLOOKUP(Datos_Origen[[#This Row],[Categoria]],Competitividad_1[#All],8,0)*IndiceIncrementoC,-3)</f>
        <v>10804000</v>
      </c>
      <c r="CH125" s="161">
        <f>Datos_Origen[[#This Row],[G]]/Datos_Origen[[#This Row],[GQ3]]</f>
        <v>0.6887505627545355</v>
      </c>
      <c r="CI125" s="155">
        <f>ROUNDUP(VLOOKUP(Datos_Origen[[#This Row],[Categoria]],Competitividad_1[#All],9,0)*IndiceIncrementoC,-3)</f>
        <v>11073000</v>
      </c>
      <c r="CJ125" s="161">
        <f>Datos_Origen[[#This Row],[G+V]]/Datos_Origen[[#This Row],[G+VQ3]]</f>
        <v>0.67201852072609058</v>
      </c>
      <c r="CK125" s="155">
        <f>ROUNDUP(VLOOKUP(Datos_Origen[[#This Row],[Categoria]],Competitividad_1[#All],10,0)*IndiceIncrementoC,-3)</f>
        <v>11207000</v>
      </c>
      <c r="CL125" s="161">
        <f>Datos_Origen[[#This Row],[CT]]/Datos_Origen[[#This Row],[CTQ3]]</f>
        <v>0.66398332113857417</v>
      </c>
      <c r="CM125" s="162">
        <f>IF(ROUND(Datos_Origen[[#This Row],[Salario Ordinario Pol2]],-3)&lt;SMMLV,SMMLV,ROUND(Datos_Origen[[#This Row],[Salario Ordinario Pol2]],-3))</f>
        <v>8082000</v>
      </c>
      <c r="CN125" s="155">
        <f>IF(Datos_Origen[[#This Row],[Gpol]]/(1+FactorPrestacionalOrdinario)&lt;SMMLV,SMMLV,Datos_Origen[[#This Row],[Gpol]]/(1+FactorPrestacionalOrdinario))</f>
        <v>10102266.28895184</v>
      </c>
      <c r="CO125" s="161">
        <f>IFERROR(IF(Datos_Origen[[#This Row],[Salarios Año]]=14.12,Datos_Origen[[#This Row],[Básico]]/Datos_Origen[[#This Row],[Salario Ordinario Pol]],""),"")</f>
        <v>0.62599814923866415</v>
      </c>
      <c r="CP125" s="155">
        <f>IF(ROUND(Datos_Origen[[#This Row],[Salario Ordinario Pol22]],-3)&lt;SMMLV,SMMLV,ROUND(Datos_Origen[[#This Row],[Salario Ordinario Pol22]],-3))</f>
        <v>12123000</v>
      </c>
      <c r="CQ125" s="155" t="str">
        <f>IFERROR(ROUND(Datos_Origen[[#This Row],[Salario Integral Pol4]],-3),"")</f>
        <v/>
      </c>
      <c r="CR125" s="139" t="str">
        <f>IF((Datos_Origen[[#This Row],[Gpol]]/(1+FactorPrestacionalIntegral))&lt;(13*SMMLV),"",(Datos_Origen[[#This Row],[Gpol]]/(1+FactorPrestacionalIntegral)))</f>
        <v/>
      </c>
      <c r="CS125" s="161" t="str">
        <f>IFERROR(IF(Datos_Origen[[#This Row],[Salarios Año]]=12,Datos_Origen[[#This Row],[Básico]]/Datos_Origen[[#This Row],[Salario Integral Pol]],""),"")</f>
        <v/>
      </c>
      <c r="CT125" s="155" t="str">
        <f>IFERROR(ROUND(Datos_Origen[[#This Row],[Salario Integral Pol44]],-3),"")</f>
        <v/>
      </c>
      <c r="CU125" s="155">
        <f>Datos_Origen[[#This Row],[G+Vpol]]-Datos_Origen[[#This Row],[Variable]]</f>
        <v>11887000</v>
      </c>
      <c r="CV125" s="161">
        <f>Datos_Origen[[#This Row],[G]]/Datos_Origen[[#This Row],[Gpol]]</f>
        <v>0.62599992260452608</v>
      </c>
      <c r="CW125" s="154">
        <f>Datos_Origen[[#This Row],[Ctpol]]-Datos_Origen[[#This Row],[Beneficios]]</f>
        <v>11887000</v>
      </c>
      <c r="CX125" s="161">
        <f>Datos_Origen[[#This Row],[G+V]]/Datos_Origen[[#This Row],[G+Vpol]]</f>
        <v>0.62599992260452608</v>
      </c>
      <c r="CY125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11887000</v>
      </c>
      <c r="CZ125" s="161">
        <f>Datos_Origen[[#This Row],[CT]]/Datos_Origen[[#This Row],[Ctpol]]</f>
        <v>0.62599992260452608</v>
      </c>
      <c r="DA125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6324000</v>
      </c>
      <c r="DB125" s="158">
        <f>IF(Datos_Origen[[#This Row],[Básico]]&lt;10*SMMLV,0,Datos_Origen[[#This Row],[Base Seguridad Social Actual]]*8.5%)</f>
        <v>0</v>
      </c>
      <c r="DC125" s="158">
        <f>Datos_Origen[[#This Row],[Base Seguridad Social Actual]]*12%</f>
        <v>758880</v>
      </c>
      <c r="DD125" s="158">
        <f>Datos_Origen[[#This Row],[Base Seguridad Social Actual]]*Datos_Origen[[#This Row],[%ARL]]</f>
        <v>275094</v>
      </c>
      <c r="DE125" s="158">
        <f>IF(Datos_Origen[[#This Row],[Básico]]&lt;10*SMMLV,Datos_Origen[[#This Row],[Base Seguridad Social Actual]]*4%,Datos_Origen[[#This Row],[Base Seguridad Social Actual]]*9%)</f>
        <v>252960</v>
      </c>
      <c r="DF125" s="158">
        <f>Datos_Origen[[#This Row],[Salud]]+Datos_Origen[[#This Row],[Pensión]]+Datos_Origen[[#This Row],[ARL]]+Datos_Origen[[#This Row],[Parafiscales]]</f>
        <v>1286934</v>
      </c>
      <c r="DG125" s="163">
        <f>Datos_Origen[[#This Row],[Costo Laboral Actual]]+Datos_Origen[[#This Row],[CT]]</f>
        <v>8728195.0800000019</v>
      </c>
      <c r="DH125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10102266.28895184</v>
      </c>
      <c r="DI125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25" s="158">
        <f>Datos_Origen[[#This Row],[Base Seguridad Social Nueva]]*12%</f>
        <v>1212271.9546742209</v>
      </c>
      <c r="DK125" s="158">
        <f>Datos_Origen[[#This Row],[Base Seguridad Social Nueva]]*Datos_Origen[[#This Row],[%ARL]]</f>
        <v>439448.58356940502</v>
      </c>
      <c r="DL125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404090.65155807364</v>
      </c>
      <c r="DM125" s="158">
        <f>Datos_Origen[[#This Row],[Salud Nueva]]+Datos_Origen[[#This Row],[Pensión Nueva]]+Datos_Origen[[#This Row],[ARL nueva]]+Datos_Origen[[#This Row],[Parafiscales Nuevos]]</f>
        <v>2055811.1898016995</v>
      </c>
      <c r="DN125" s="158">
        <f>Datos_Origen[[#This Row],[Costo Laboral Nuevo]]+Datos_Origen[[#This Row],[Ctpol]]</f>
        <v>13942811.1898017</v>
      </c>
      <c r="DO125" s="158">
        <f>IF(Datos_Origen[[#This Row],[Ctpol]]-Datos_Origen[[#This Row],[CT]]&lt;=0,0,Datos_Origen[[#This Row],[Costo Total Nuevo]]-Datos_Origen[[#This Row],[Costo Total Actual]])</f>
        <v>5214616.1098016985</v>
      </c>
      <c r="DP125" s="158">
        <f>IF(Datos_Origen[[#This Row],[Ctpol]]-Datos_Origen[[#This Row],[CT]]&lt;=0,0,Datos_Origen[[#This Row],[Ctpol]]-Datos_Origen[[#This Row],[CT]])</f>
        <v>4445738.919999999</v>
      </c>
      <c r="DQ125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768877.18980169948</v>
      </c>
      <c r="DR125" s="158">
        <f>ROUNDDOWN(VLOOKUP(Datos_Origen[[#This Row],[Categoria]],Competitividad_1[],7,0)*IndiceIncrementoC,-3)</f>
        <v>10806000</v>
      </c>
      <c r="DS125" s="158">
        <f>Datos_Origen[[#This Row],[CTeq]]*0.8</f>
        <v>5511936.8438798795</v>
      </c>
      <c r="DT125" s="158">
        <f>Datos_Origen[[#This Row],[CTeq]]*1.2</f>
        <v>8267905.2658198187</v>
      </c>
      <c r="DU125" s="155">
        <f>IF(Datos_Origen[[#This Row],[Gpol6]]/(1+FactorPrestacionalOrdinario)&lt;SMMLV,SMMLV,Datos_Origen[[#This Row],[Gpol6]]/(1+FactorPrestacionalOrdinario))</f>
        <v>8081813.0311614722</v>
      </c>
      <c r="DV125" s="139" t="str">
        <f>IF((Datos_Origen[[#This Row],[Gpol6]]/(1+FactorPrestacionalIntegral))&lt;(13*SMMLV),"",(Datos_Origen[[#This Row],[Gpol6]]/(1+FactorPrestacionalIntegral)))</f>
        <v/>
      </c>
      <c r="DW125" s="154">
        <f>Datos_Origen[[#This Row],[G+Vpol8]]</f>
        <v>9509600</v>
      </c>
      <c r="DX125" s="154">
        <f>Datos_Origen[[#This Row],[Ctpol10]]-Datos_Origen[[#This Row],[Beneficios]]</f>
        <v>9509600</v>
      </c>
      <c r="DY125" s="154">
        <f>Datos_Origen[[#This Row],[Ctpol]]*$CM$6</f>
        <v>9509600</v>
      </c>
      <c r="DZ125" s="155">
        <f>IF(Datos_Origen[[#This Row],[Gpol66]]/(1+FactorPrestacionalOrdinario)&lt;SMMLV,SMMLV,Datos_Origen[[#This Row],[Gpol66]]/(1+FactorPrestacionalOrdinario))</f>
        <v>12122719.546742208</v>
      </c>
      <c r="EA125" s="139" t="str">
        <f>IF((Datos_Origen[[#This Row],[Gpol66]]/(1+FactorPrestacionalIntegral))&lt;(13*SMMLV),"",(Datos_Origen[[#This Row],[Gpol66]]/(1+FactorPrestacionalIntegral)))</f>
        <v/>
      </c>
      <c r="EB125" s="154">
        <f>Datos_Origen[[#This Row],[G+Vpol88]]</f>
        <v>14264400</v>
      </c>
      <c r="EC125" s="154">
        <f>Datos_Origen[[#This Row],[Ctpol1010]]-Datos_Origen[[#This Row],[Beneficios]]</f>
        <v>14264400</v>
      </c>
      <c r="ED125" s="154">
        <f>Datos_Origen[[#This Row],[Ctpol]]*$CP$6</f>
        <v>14264400</v>
      </c>
      <c r="EE125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26" spans="2:135">
      <c r="B126" s="132"/>
      <c r="C126" s="149"/>
      <c r="D126" s="150"/>
      <c r="E126" s="151"/>
      <c r="F126" s="151"/>
      <c r="G126" s="150" t="s">
        <v>536</v>
      </c>
      <c r="H126" s="153"/>
      <c r="I126" s="152" t="s">
        <v>298</v>
      </c>
      <c r="J126" s="130" t="str">
        <f>IFERROR(VLOOKUP(Datos_Origen[[#This Row],[Cargo Tipo Valorado]],Cargos_Catalogo[[#All],[Cargo]:[Área]],2,0),"")</f>
        <v/>
      </c>
      <c r="K126" s="153"/>
      <c r="L126" s="153"/>
      <c r="M126" s="153"/>
      <c r="N126" s="153"/>
      <c r="O126" s="154">
        <f>Datos_Origen[[#This Row],[Segmentación Individual]]</f>
        <v>0</v>
      </c>
      <c r="P126" s="153"/>
      <c r="Q126" s="154">
        <f>VLOOKUP(Datos_Origen[[#This Row],[Cargo Tipo Valorado]],Cargos_Catalogo[#Data],MATCH(Cargos_Catalogo[[#Headers],[Puntos]],Cargos_Catalogo[#Headers],0),FALSE)</f>
        <v>527</v>
      </c>
      <c r="R126" s="130">
        <f>VLOOKUP(Datos_Origen[[#This Row],[Puntos valoración]],Categorias_Registro[#Data],MATCH(Categorias_Registro[[#Headers],[Categoria]],Categorias_Registro[#Headers],0),FALSE)</f>
        <v>13</v>
      </c>
      <c r="S126" s="130" t="str">
        <f>VLOOKUP(Datos_Origen[[#This Row],[Cargo Tipo Valorado]],Cargos_Catalogo[#Data],MATCH(Cargos_Catalogo[[#Headers],[Nivel SHR]],Cargos_Catalogo[#Headers],0),FALSE)</f>
        <v>Gerencia media</v>
      </c>
      <c r="T126" s="130" t="str">
        <f>VLOOKUP(Datos_Origen[[#This Row],[Cargo Tipo Valorado]],Cargos_Catalogo[#Data],MATCH(Cargos_Catalogo[[#Headers],[Criticidad]],Cargos_Catalogo[#Headers],0),FALSE)</f>
        <v>Crítico</v>
      </c>
      <c r="U126" s="154">
        <f>VLOOKUP(Datos_Origen[[#This Row],[Puntos valoración]],Categorias_Registro[#Data],5,FALSE)</f>
        <v>502</v>
      </c>
      <c r="V126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9295693</v>
      </c>
      <c r="W126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26" s="154">
        <f>SUMIF($BA$5:$BJ$5,"NCS",Datos_Origen[[#This Row],[auxilio Gasolina]:[Otro Beneficio10]])+(SUMIF($BA$5:$BJ$5,"CS",Datos_Origen[[#This Row],[auxilio Gasolina]:[Otro Beneficio10]])*1.17667)</f>
        <v>0</v>
      </c>
      <c r="Y126" s="155">
        <f>Datos_Origen[[#This Row],[Básico]]+Datos_Origen[[#This Row],[Promedio de Comisiones  ]]</f>
        <v>7900000</v>
      </c>
      <c r="Z126" s="155">
        <f>Datos_Origen[[#This Row],[Básico]]+Datos_Origen[[#This Row],[Promedio de Comisiones  ]]</f>
        <v>7900000</v>
      </c>
      <c r="AA126" s="155">
        <f>Datos_Origen[[#This Row],[Garantizado]]</f>
        <v>9295693</v>
      </c>
      <c r="AB126" s="155">
        <f>Datos_Origen[[#This Row],[Variable]]+Datos_Origen[[#This Row],[Garantizado]]</f>
        <v>9295693</v>
      </c>
      <c r="AC126" s="155">
        <f>Datos_Origen[[#This Row],[Beneficios]]+Datos_Origen[[#This Row],[Variable]]+Datos_Origen[[#This Row],[Garantizado]]</f>
        <v>9295693</v>
      </c>
      <c r="AD126" s="156">
        <v>14.12</v>
      </c>
      <c r="AE126" s="141">
        <v>230</v>
      </c>
      <c r="AF126" s="345">
        <v>4.3499999999999997E-2</v>
      </c>
      <c r="AG126" s="155">
        <f>Datos_Origen[[#This Row],[Básico Actual]]*230/Datos_Origen[[#This Row],['# horas mes]]</f>
        <v>7900000</v>
      </c>
      <c r="AH126" s="157">
        <v>7900000</v>
      </c>
      <c r="AI126" s="158"/>
      <c r="AJ126" s="158">
        <f>(((Datos_Origen[[#This Row],[Básico]])/30)*$AJ$6)/12</f>
        <v>0</v>
      </c>
      <c r="AK126" s="158"/>
      <c r="AL126" s="143">
        <f>((Datos_Origen[[#This Row],[Básico]])/30)*$AL$6/12</f>
        <v>0</v>
      </c>
      <c r="AM126" s="158"/>
      <c r="AN126" s="158"/>
      <c r="AO126" s="158"/>
      <c r="AP126" s="158"/>
      <c r="AQ126" s="158"/>
      <c r="AR126" s="149">
        <v>0</v>
      </c>
      <c r="AS126" s="149"/>
      <c r="AT126" s="159" t="str">
        <f>IFERROR(Datos_Origen[[#This Row],[Comisiones Target]]/Datos_Origen[[#This Row],[Promedio de Comisiones  ]],"")</f>
        <v/>
      </c>
      <c r="AU126" s="160"/>
      <c r="AV126" s="143">
        <v>0</v>
      </c>
      <c r="AW126" s="160"/>
      <c r="AX126" s="143">
        <f>Datos_Origen[[#This Row],[N Salarios de la Bonificación2]]*Datos_Origen[[#This Row],[Básico]]/12</f>
        <v>0</v>
      </c>
      <c r="AY126" s="160"/>
      <c r="AZ126" s="158"/>
      <c r="BA126" s="149">
        <v>0</v>
      </c>
      <c r="BB126" s="149"/>
      <c r="BC126" s="149"/>
      <c r="BD126" s="149"/>
      <c r="BE126" s="149"/>
      <c r="BF126" s="149"/>
      <c r="BG126" s="149"/>
      <c r="BH126" s="149"/>
      <c r="BI126" s="149"/>
      <c r="BJ126" s="149"/>
      <c r="BK126" s="159">
        <f>IFERROR(Datos_Origen[[#This Row],[Variable]]/Datos_Origen[[#This Row],[CT]],"")</f>
        <v>0</v>
      </c>
      <c r="BL126" s="159">
        <f>IFERROR(Datos_Origen[[#This Row],[Beneficios]]/Datos_Origen[[#This Row],[CT]],"")</f>
        <v>0</v>
      </c>
      <c r="BM126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6722651.8092292752</v>
      </c>
      <c r="BN126" s="161">
        <f>Datos_Origen[[#This Row],[G]]/Datos_Origen[[#This Row],[Geq]]</f>
        <v>1.3827419988103942</v>
      </c>
      <c r="BO126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6877026.4942380982</v>
      </c>
      <c r="BP126" s="161">
        <f>Datos_Origen[[#This Row],[G+V]]/Datos_Origen[[#This Row],[G+Veq]]</f>
        <v>1.3517023684274558</v>
      </c>
      <c r="BQ126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6889921.0548498491</v>
      </c>
      <c r="BR126" s="161">
        <f>Datos_Origen[[#This Row],[CT]]/Datos_Origen[[#This Row],[CTeq]]</f>
        <v>1.3491726430532489</v>
      </c>
      <c r="BS126" s="139">
        <f>ROUNDUP(VLOOKUP(Datos_Origen[[#This Row],[Categoria]],Competitividad_1[#All],2,0)*IndiceIncrementoC,-3)</f>
        <v>8624000</v>
      </c>
      <c r="BT126" s="161">
        <f>Datos_Origen[[#This Row],[G]]/Datos_Origen[[#This Row],[GQ1]]</f>
        <v>1.0778864795918368</v>
      </c>
      <c r="BU126" s="155">
        <f>ROUNDUP(VLOOKUP(Datos_Origen[[#This Row],[Categoria]],Competitividad_1[#All],3,0)*IndiceIncrementoC,-3)</f>
        <v>9004000</v>
      </c>
      <c r="BV126" s="161">
        <f>Datos_Origen[[#This Row],[G+V]]/Datos_Origen[[#This Row],[G+VQ1]]</f>
        <v>1.0323959351399379</v>
      </c>
      <c r="BW126" s="155">
        <f>ROUNDUP(VLOOKUP(Datos_Origen[[#This Row],[Categoria]],Competitividad_1[#All],4,0)*IndiceIncrementoC,-3)</f>
        <v>9397000</v>
      </c>
      <c r="BX126" s="161">
        <f>Datos_Origen[[#This Row],[CT]]/Datos_Origen[[#This Row],[CTQ1]]</f>
        <v>0.98921921889964881</v>
      </c>
      <c r="BY126" s="155">
        <f>ROUNDUP(VLOOKUP(Datos_Origen[[#This Row],[Categoria]],Competitividad_1[#All],5,0)*IndiceIncrementoC,-3)</f>
        <v>10024000</v>
      </c>
      <c r="BZ126" s="161">
        <f>Datos_Origen[[#This Row],[G]]/Datos_Origen[[#This Row],[GMd]]</f>
        <v>0.92734367517956906</v>
      </c>
      <c r="CA126" s="155">
        <f>ROUNDUP(VLOOKUP(Datos_Origen[[#This Row],[Categoria]],Competitividad_1[#All],6,0)*IndiceIncrementoC,-3)</f>
        <v>10385000</v>
      </c>
      <c r="CB126" s="161">
        <f>Datos_Origen[[#This Row],[G+V]]/Datos_Origen[[#This Row],[G+VMd]]</f>
        <v>0.89510765527202696</v>
      </c>
      <c r="CC126" s="155">
        <f>ROUNDUP(VLOOKUP(Datos_Origen[[#This Row],[Categoria]],Competitividad_1[#All],7,0)*IndiceIncrementoC,-3)</f>
        <v>10807000</v>
      </c>
      <c r="CD126" s="161">
        <f>Datos_Origen[[#This Row],[CT]]/Datos_Origen[[#This Row],[CTMd]]</f>
        <v>0.86015480706949199</v>
      </c>
      <c r="CE126" s="155">
        <f>+Datos_Origen[[#This Row],[GMd]]/1.17666666667</f>
        <v>8518980.1699475385</v>
      </c>
      <c r="CF126" s="161">
        <f>+Datos_Origen[[#This Row],[Básico Actual]]/Datos_Origen[[#This Row],[Salario Basico Md]]</f>
        <v>0.92734104815373097</v>
      </c>
      <c r="CG126" s="155">
        <f>ROUNDUP(VLOOKUP(Datos_Origen[[#This Row],[Categoria]],Competitividad_1[#All],8,0)*IndiceIncrementoC,-3)</f>
        <v>10804000</v>
      </c>
      <c r="CH126" s="161">
        <f>Datos_Origen[[#This Row],[G]]/Datos_Origen[[#This Row],[GQ3]]</f>
        <v>0.86039365049981487</v>
      </c>
      <c r="CI126" s="155">
        <f>ROUNDUP(VLOOKUP(Datos_Origen[[#This Row],[Categoria]],Competitividad_1[#All],9,0)*IndiceIncrementoC,-3)</f>
        <v>11073000</v>
      </c>
      <c r="CJ126" s="161">
        <f>Datos_Origen[[#This Row],[G+V]]/Datos_Origen[[#This Row],[G+VQ3]]</f>
        <v>0.83949182696649505</v>
      </c>
      <c r="CK126" s="155">
        <f>ROUNDUP(VLOOKUP(Datos_Origen[[#This Row],[Categoria]],Competitividad_1[#All],10,0)*IndiceIncrementoC,-3)</f>
        <v>11207000</v>
      </c>
      <c r="CL126" s="161">
        <f>Datos_Origen[[#This Row],[CT]]/Datos_Origen[[#This Row],[CTQ3]]</f>
        <v>0.82945418042294994</v>
      </c>
      <c r="CM126" s="162">
        <f>IF(ROUND(Datos_Origen[[#This Row],[Salario Ordinario Pol2]],-3)&lt;SMMLV,SMMLV,ROUND(Datos_Origen[[#This Row],[Salario Ordinario Pol2]],-3))</f>
        <v>8817000</v>
      </c>
      <c r="CN126" s="155">
        <f>IF(Datos_Origen[[#This Row],[Gpol]]/(1+FactorPrestacionalOrdinario)&lt;SMMLV,SMMLV,Datos_Origen[[#This Row],[Gpol]]/(1+FactorPrestacionalOrdinario))</f>
        <v>11020963.172804533</v>
      </c>
      <c r="CO126" s="161">
        <f>IFERROR(IF(Datos_Origen[[#This Row],[Salarios Año]]=14.12,Datos_Origen[[#This Row],[Básico]]/Datos_Origen[[#This Row],[Salario Ordinario Pol]],""),"")</f>
        <v>0.71681575159366651</v>
      </c>
      <c r="CP126" s="155">
        <f>IF(ROUND(Datos_Origen[[#This Row],[Salario Ordinario Pol22]],-3)&lt;SMMLV,SMMLV,ROUND(Datos_Origen[[#This Row],[Salario Ordinario Pol22]],-3))</f>
        <v>13225000</v>
      </c>
      <c r="CQ126" s="155" t="str">
        <f>IFERROR(ROUND(Datos_Origen[[#This Row],[Salario Integral Pol4]],-3),"")</f>
        <v/>
      </c>
      <c r="CR126" s="139" t="str">
        <f>IF((Datos_Origen[[#This Row],[Gpol]]/(1+FactorPrestacionalIntegral))&lt;(13*SMMLV),"",(Datos_Origen[[#This Row],[Gpol]]/(1+FactorPrestacionalIntegral)))</f>
        <v/>
      </c>
      <c r="CS126" s="161" t="str">
        <f>IFERROR(IF(Datos_Origen[[#This Row],[Salarios Año]]=12,Datos_Origen[[#This Row],[Básico]]/Datos_Origen[[#This Row],[Salario Integral Pol]],""),"")</f>
        <v/>
      </c>
      <c r="CT126" s="155" t="str">
        <f>IFERROR(ROUND(Datos_Origen[[#This Row],[Salario Integral Pol44]],-3),"")</f>
        <v/>
      </c>
      <c r="CU126" s="155">
        <f>Datos_Origen[[#This Row],[G+Vpol]]-Datos_Origen[[#This Row],[Variable]]</f>
        <v>12968000</v>
      </c>
      <c r="CV126" s="161">
        <f>Datos_Origen[[#This Row],[G]]/Datos_Origen[[#This Row],[Gpol]]</f>
        <v>0.71681778223318937</v>
      </c>
      <c r="CW126" s="154">
        <f>Datos_Origen[[#This Row],[Ctpol]]-Datos_Origen[[#This Row],[Beneficios]]</f>
        <v>12968000</v>
      </c>
      <c r="CX126" s="161">
        <f>Datos_Origen[[#This Row],[G+V]]/Datos_Origen[[#This Row],[G+Vpol]]</f>
        <v>0.71681778223318937</v>
      </c>
      <c r="CY126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12968000</v>
      </c>
      <c r="CZ126" s="161">
        <f>Datos_Origen[[#This Row],[CT]]/Datos_Origen[[#This Row],[Ctpol]]</f>
        <v>0.71681778223318937</v>
      </c>
      <c r="DA126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7900000</v>
      </c>
      <c r="DB126" s="158">
        <f>IF(Datos_Origen[[#This Row],[Básico]]&lt;10*SMMLV,0,Datos_Origen[[#This Row],[Base Seguridad Social Actual]]*8.5%)</f>
        <v>0</v>
      </c>
      <c r="DC126" s="158">
        <f>Datos_Origen[[#This Row],[Base Seguridad Social Actual]]*12%</f>
        <v>948000</v>
      </c>
      <c r="DD126" s="158">
        <f>Datos_Origen[[#This Row],[Base Seguridad Social Actual]]*Datos_Origen[[#This Row],[%ARL]]</f>
        <v>343650</v>
      </c>
      <c r="DE126" s="158">
        <f>IF(Datos_Origen[[#This Row],[Básico]]&lt;10*SMMLV,Datos_Origen[[#This Row],[Base Seguridad Social Actual]]*4%,Datos_Origen[[#This Row],[Base Seguridad Social Actual]]*9%)</f>
        <v>316000</v>
      </c>
      <c r="DF126" s="158">
        <f>Datos_Origen[[#This Row],[Salud]]+Datos_Origen[[#This Row],[Pensión]]+Datos_Origen[[#This Row],[ARL]]+Datos_Origen[[#This Row],[Parafiscales]]</f>
        <v>1607650</v>
      </c>
      <c r="DG126" s="163">
        <f>Datos_Origen[[#This Row],[Costo Laboral Actual]]+Datos_Origen[[#This Row],[CT]]</f>
        <v>10903343</v>
      </c>
      <c r="DH126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11020963.172804533</v>
      </c>
      <c r="DI126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26" s="158">
        <f>Datos_Origen[[#This Row],[Base Seguridad Social Nueva]]*12%</f>
        <v>1322515.5807365438</v>
      </c>
      <c r="DK126" s="158">
        <f>Datos_Origen[[#This Row],[Base Seguridad Social Nueva]]*Datos_Origen[[#This Row],[%ARL]]</f>
        <v>479411.89801699715</v>
      </c>
      <c r="DL126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440838.52691218129</v>
      </c>
      <c r="DM126" s="158">
        <f>Datos_Origen[[#This Row],[Salud Nueva]]+Datos_Origen[[#This Row],[Pensión Nueva]]+Datos_Origen[[#This Row],[ARL nueva]]+Datos_Origen[[#This Row],[Parafiscales Nuevos]]</f>
        <v>2242766.0056657223</v>
      </c>
      <c r="DN126" s="158">
        <f>Datos_Origen[[#This Row],[Costo Laboral Nuevo]]+Datos_Origen[[#This Row],[Ctpol]]</f>
        <v>15210766.005665723</v>
      </c>
      <c r="DO126" s="158">
        <f>IF(Datos_Origen[[#This Row],[Ctpol]]-Datos_Origen[[#This Row],[CT]]&lt;=0,0,Datos_Origen[[#This Row],[Costo Total Nuevo]]-Datos_Origen[[#This Row],[Costo Total Actual]])</f>
        <v>4307423.0056657232</v>
      </c>
      <c r="DP126" s="158">
        <f>IF(Datos_Origen[[#This Row],[Ctpol]]-Datos_Origen[[#This Row],[CT]]&lt;=0,0,Datos_Origen[[#This Row],[Ctpol]]-Datos_Origen[[#This Row],[CT]])</f>
        <v>3672307</v>
      </c>
      <c r="DQ126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635116.0056657223</v>
      </c>
      <c r="DR126" s="158">
        <f>ROUNDDOWN(VLOOKUP(Datos_Origen[[#This Row],[Categoria]],Competitividad_1[],7,0)*IndiceIncrementoC,-3)</f>
        <v>10806000</v>
      </c>
      <c r="DS126" s="158">
        <f>Datos_Origen[[#This Row],[CTeq]]*0.8</f>
        <v>5511936.8438798795</v>
      </c>
      <c r="DT126" s="158">
        <f>Datos_Origen[[#This Row],[CTeq]]*1.2</f>
        <v>8267905.2658198187</v>
      </c>
      <c r="DU126" s="155">
        <f>IF(Datos_Origen[[#This Row],[Gpol6]]/(1+FactorPrestacionalOrdinario)&lt;SMMLV,SMMLV,Datos_Origen[[#This Row],[Gpol6]]/(1+FactorPrestacionalOrdinario))</f>
        <v>8816770.5382436253</v>
      </c>
      <c r="DV126" s="139" t="str">
        <f>IF((Datos_Origen[[#This Row],[Gpol6]]/(1+FactorPrestacionalIntegral))&lt;(13*SMMLV),"",(Datos_Origen[[#This Row],[Gpol6]]/(1+FactorPrestacionalIntegral)))</f>
        <v/>
      </c>
      <c r="DW126" s="154">
        <f>Datos_Origen[[#This Row],[G+Vpol8]]</f>
        <v>10374400</v>
      </c>
      <c r="DX126" s="154">
        <f>Datos_Origen[[#This Row],[Ctpol10]]-Datos_Origen[[#This Row],[Beneficios]]</f>
        <v>10374400</v>
      </c>
      <c r="DY126" s="154">
        <f>Datos_Origen[[#This Row],[Ctpol]]*$CM$6</f>
        <v>10374400</v>
      </c>
      <c r="DZ126" s="155">
        <f>IF(Datos_Origen[[#This Row],[Gpol66]]/(1+FactorPrestacionalOrdinario)&lt;SMMLV,SMMLV,Datos_Origen[[#This Row],[Gpol66]]/(1+FactorPrestacionalOrdinario))</f>
        <v>13225155.807365438</v>
      </c>
      <c r="EA126" s="139" t="str">
        <f>IF((Datos_Origen[[#This Row],[Gpol66]]/(1+FactorPrestacionalIntegral))&lt;(13*SMMLV),"",(Datos_Origen[[#This Row],[Gpol66]]/(1+FactorPrestacionalIntegral)))</f>
        <v/>
      </c>
      <c r="EB126" s="154">
        <f>Datos_Origen[[#This Row],[G+Vpol88]]</f>
        <v>15561600</v>
      </c>
      <c r="EC126" s="154">
        <f>Datos_Origen[[#This Row],[Ctpol1010]]-Datos_Origen[[#This Row],[Beneficios]]</f>
        <v>15561600</v>
      </c>
      <c r="ED126" s="154">
        <f>Datos_Origen[[#This Row],[Ctpol]]*$CP$6</f>
        <v>15561600</v>
      </c>
      <c r="EE126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27" spans="2:135">
      <c r="B127" s="132"/>
      <c r="C127" s="149"/>
      <c r="D127" s="150"/>
      <c r="E127" s="151"/>
      <c r="F127" s="151"/>
      <c r="G127" s="152" t="s">
        <v>285</v>
      </c>
      <c r="H127" s="153"/>
      <c r="I127" s="152" t="s">
        <v>285</v>
      </c>
      <c r="J127" s="130" t="str">
        <f>IFERROR(VLOOKUP(Datos_Origen[[#This Row],[Cargo Tipo Valorado]],Cargos_Catalogo[[#All],[Cargo]:[Área]],2,0),"")</f>
        <v/>
      </c>
      <c r="K127" s="153"/>
      <c r="L127" s="153"/>
      <c r="M127" s="153"/>
      <c r="N127" s="153"/>
      <c r="O127" s="154">
        <f>Datos_Origen[[#This Row],[Segmentación Individual]]</f>
        <v>0</v>
      </c>
      <c r="P127" s="153"/>
      <c r="Q127" s="154">
        <f>VLOOKUP(Datos_Origen[[#This Row],[Cargo Tipo Valorado]],Cargos_Catalogo[#Data],MATCH(Cargos_Catalogo[[#Headers],[Puntos]],Cargos_Catalogo[#Headers],0),FALSE)</f>
        <v>536</v>
      </c>
      <c r="R127" s="130">
        <f>VLOOKUP(Datos_Origen[[#This Row],[Puntos valoración]],Categorias_Registro[#Data],MATCH(Categorias_Registro[[#Headers],[Categoria]],Categorias_Registro[#Headers],0),FALSE)</f>
        <v>14</v>
      </c>
      <c r="S127" s="130" t="str">
        <f>VLOOKUP(Datos_Origen[[#This Row],[Cargo Tipo Valorado]],Cargos_Catalogo[#Data],MATCH(Cargos_Catalogo[[#Headers],[Nivel SHR]],Cargos_Catalogo[#Headers],0),FALSE)</f>
        <v>Gerencia media</v>
      </c>
      <c r="T127" s="130" t="str">
        <f>VLOOKUP(Datos_Origen[[#This Row],[Cargo Tipo Valorado]],Cargos_Catalogo[#Data],MATCH(Cargos_Catalogo[[#Headers],[Criticidad]],Cargos_Catalogo[#Headers],0),FALSE)</f>
        <v>Muy Importante</v>
      </c>
      <c r="U127" s="154">
        <f>VLOOKUP(Datos_Origen[[#This Row],[Puntos valoración]],Categorias_Registro[#Data],5,FALSE)</f>
        <v>577</v>
      </c>
      <c r="V127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9295693</v>
      </c>
      <c r="W127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27" s="154">
        <f>SUMIF($BA$5:$BJ$5,"NCS",Datos_Origen[[#This Row],[auxilio Gasolina]:[Otro Beneficio10]])+(SUMIF($BA$5:$BJ$5,"CS",Datos_Origen[[#This Row],[auxilio Gasolina]:[Otro Beneficio10]])*1.17667)</f>
        <v>0</v>
      </c>
      <c r="Y127" s="155">
        <f>Datos_Origen[[#This Row],[Básico]]+Datos_Origen[[#This Row],[Promedio de Comisiones  ]]</f>
        <v>7900000</v>
      </c>
      <c r="Z127" s="155">
        <f>Datos_Origen[[#This Row],[Básico]]+Datos_Origen[[#This Row],[Promedio de Comisiones  ]]</f>
        <v>7900000</v>
      </c>
      <c r="AA127" s="155">
        <f>Datos_Origen[[#This Row],[Garantizado]]</f>
        <v>9295693</v>
      </c>
      <c r="AB127" s="155">
        <f>Datos_Origen[[#This Row],[Variable]]+Datos_Origen[[#This Row],[Garantizado]]</f>
        <v>9295693</v>
      </c>
      <c r="AC127" s="155">
        <f>Datos_Origen[[#This Row],[Beneficios]]+Datos_Origen[[#This Row],[Variable]]+Datos_Origen[[#This Row],[Garantizado]]</f>
        <v>9295693</v>
      </c>
      <c r="AD127" s="156">
        <v>14.12</v>
      </c>
      <c r="AE127" s="141">
        <v>230</v>
      </c>
      <c r="AF127" s="345">
        <v>5.2199999999999998E-3</v>
      </c>
      <c r="AG127" s="155">
        <f>Datos_Origen[[#This Row],[Básico Actual]]*230/Datos_Origen[[#This Row],['# horas mes]]</f>
        <v>7900000</v>
      </c>
      <c r="AH127" s="157">
        <v>7900000</v>
      </c>
      <c r="AI127" s="158"/>
      <c r="AJ127" s="158">
        <f>(((Datos_Origen[[#This Row],[Básico]])/30)*$AJ$6)/12</f>
        <v>0</v>
      </c>
      <c r="AK127" s="158"/>
      <c r="AL127" s="143">
        <f>((Datos_Origen[[#This Row],[Básico]])/30)*$AL$6/12</f>
        <v>0</v>
      </c>
      <c r="AM127" s="158"/>
      <c r="AN127" s="158"/>
      <c r="AO127" s="158"/>
      <c r="AP127" s="158"/>
      <c r="AQ127" s="158"/>
      <c r="AR127" s="149">
        <v>0</v>
      </c>
      <c r="AS127" s="149"/>
      <c r="AT127" s="159" t="str">
        <f>IFERROR(Datos_Origen[[#This Row],[Comisiones Target]]/Datos_Origen[[#This Row],[Promedio de Comisiones  ]],"")</f>
        <v/>
      </c>
      <c r="AU127" s="160"/>
      <c r="AV127" s="143">
        <f>Datos_Origen[[#This Row],[N Salarios de la Bonificación]]*Datos_Origen[[#This Row],[Básico]]/12</f>
        <v>0</v>
      </c>
      <c r="AW127" s="160"/>
      <c r="AX127" s="143">
        <f>Datos_Origen[[#This Row],[N Salarios de la Bonificación2]]*Datos_Origen[[#This Row],[Básico]]/12</f>
        <v>0</v>
      </c>
      <c r="AY127" s="160"/>
      <c r="AZ127" s="158"/>
      <c r="BA127" s="149">
        <v>0</v>
      </c>
      <c r="BB127" s="149"/>
      <c r="BC127" s="149"/>
      <c r="BD127" s="149"/>
      <c r="BE127" s="149"/>
      <c r="BF127" s="149"/>
      <c r="BG127" s="149"/>
      <c r="BH127" s="149"/>
      <c r="BI127" s="149"/>
      <c r="BJ127" s="149"/>
      <c r="BK127" s="159">
        <f>IFERROR(Datos_Origen[[#This Row],[Variable]]/Datos_Origen[[#This Row],[CT]],"")</f>
        <v>0</v>
      </c>
      <c r="BL127" s="159">
        <f>IFERROR(Datos_Origen[[#This Row],[Beneficios]]/Datos_Origen[[#This Row],[CT]],"")</f>
        <v>0</v>
      </c>
      <c r="BM127" s="164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8085950.2104020286</v>
      </c>
      <c r="BN127" s="393">
        <f>Datos_Origen[[#This Row],[G]]/Datos_Origen[[#This Row],[Geq]]</f>
        <v>1.1496104673068255</v>
      </c>
      <c r="BO127" s="164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8118539.3770910595</v>
      </c>
      <c r="BP127" s="393">
        <f>Datos_Origen[[#This Row],[G+V]]/Datos_Origen[[#This Row],[G+Veq]]</f>
        <v>1.1449957397793302</v>
      </c>
      <c r="BQ127" s="164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8141302.2238852717</v>
      </c>
      <c r="BR127" s="393">
        <f>Datos_Origen[[#This Row],[CT]]/Datos_Origen[[#This Row],[CTeq]]</f>
        <v>1.1417943646322244</v>
      </c>
      <c r="BS127" s="139">
        <f>ROUNDUP(VLOOKUP(Datos_Origen[[#This Row],[Categoria]],Competitividad_1[#All],2,0)*IndiceIncrementoC,-3)</f>
        <v>11052000</v>
      </c>
      <c r="BT127" s="161">
        <f>Datos_Origen[[#This Row],[G]]/Datos_Origen[[#This Row],[GQ1]]</f>
        <v>0.84108695258776689</v>
      </c>
      <c r="BU127" s="155">
        <f>ROUNDUP(VLOOKUP(Datos_Origen[[#This Row],[Categoria]],Competitividad_1[#All],3,0)*IndiceIncrementoC,-3)</f>
        <v>11581000</v>
      </c>
      <c r="BV127" s="161">
        <f>Datos_Origen[[#This Row],[G+V]]/Datos_Origen[[#This Row],[G+VQ1]]</f>
        <v>0.80266755893273467</v>
      </c>
      <c r="BW127" s="155">
        <f>ROUNDUP(VLOOKUP(Datos_Origen[[#This Row],[Categoria]],Competitividad_1[#All],4,0)*IndiceIncrementoC,-3)</f>
        <v>12057000</v>
      </c>
      <c r="BX127" s="161">
        <f>Datos_Origen[[#This Row],[CT]]/Datos_Origen[[#This Row],[CTQ1]]</f>
        <v>0.77097893339968482</v>
      </c>
      <c r="BY127" s="155">
        <f>ROUNDUP(VLOOKUP(Datos_Origen[[#This Row],[Categoria]],Competitividad_1[#All],5,0)*IndiceIncrementoC,-3)</f>
        <v>12296000</v>
      </c>
      <c r="BZ127" s="161">
        <f>Datos_Origen[[#This Row],[G]]/Datos_Origen[[#This Row],[GMd]]</f>
        <v>0.7559932498373455</v>
      </c>
      <c r="CA127" s="155">
        <f>ROUNDUP(VLOOKUP(Datos_Origen[[#This Row],[Categoria]],Competitividad_1[#All],6,0)*IndiceIncrementoC,-3)</f>
        <v>12769000</v>
      </c>
      <c r="CB127" s="161">
        <f>Datos_Origen[[#This Row],[G+V]]/Datos_Origen[[#This Row],[G+VMd]]</f>
        <v>0.72798911426110113</v>
      </c>
      <c r="CC127" s="155">
        <f>ROUNDUP(VLOOKUP(Datos_Origen[[#This Row],[Categoria]],Competitividad_1[#All],7,0)*IndiceIncrementoC,-3)</f>
        <v>13266000</v>
      </c>
      <c r="CD127" s="161">
        <f>Datos_Origen[[#This Row],[CT]]/Datos_Origen[[#This Row],[CTMd]]</f>
        <v>0.7007155887230514</v>
      </c>
      <c r="CE127" s="155">
        <f>+Datos_Origen[[#This Row],[GMd]]/1.17666666667</f>
        <v>10449858.356910907</v>
      </c>
      <c r="CF127" s="161">
        <f>+Datos_Origen[[#This Row],[Básico Actual]]/Datos_Origen[[#This Row],[Salario Basico Md]]</f>
        <v>0.75599110822161675</v>
      </c>
      <c r="CG127" s="155">
        <f>ROUNDUP(VLOOKUP(Datos_Origen[[#This Row],[Categoria]],Competitividad_1[#All],8,0)*IndiceIncrementoC,-3)</f>
        <v>12957000</v>
      </c>
      <c r="CH127" s="161">
        <f>Datos_Origen[[#This Row],[G]]/Datos_Origen[[#This Row],[GQ3]]</f>
        <v>0.71742633325615501</v>
      </c>
      <c r="CI127" s="155">
        <f>ROUNDUP(VLOOKUP(Datos_Origen[[#This Row],[Categoria]],Competitividad_1[#All],9,0)*IndiceIncrementoC,-3)</f>
        <v>13265000</v>
      </c>
      <c r="CJ127" s="161">
        <f>Datos_Origen[[#This Row],[G+V]]/Datos_Origen[[#This Row],[G+VQ3]]</f>
        <v>0.70076841311722582</v>
      </c>
      <c r="CK127" s="155">
        <f>ROUNDUP(VLOOKUP(Datos_Origen[[#This Row],[Categoria]],Competitividad_1[#All],10,0)*IndiceIncrementoC,-3)</f>
        <v>13298000</v>
      </c>
      <c r="CL127" s="161">
        <f>Datos_Origen[[#This Row],[CT]]/Datos_Origen[[#This Row],[CTQ3]]</f>
        <v>0.69902940291773197</v>
      </c>
      <c r="CM127" s="162">
        <f>IF(ROUND(Datos_Origen[[#This Row],[Salario Ordinario Pol2]],-3)&lt;SMMLV,SMMLV,ROUND(Datos_Origen[[#This Row],[Salario Ordinario Pol2]],-3))</f>
        <v>9921000</v>
      </c>
      <c r="CN127" s="155">
        <f>IF(Datos_Origen[[#This Row],[Gpol]]/(1+FactorPrestacionalOrdinario)&lt;SMMLV,SMMLV,Datos_Origen[[#This Row],[Gpol]]/(1+FactorPrestacionalOrdinario))</f>
        <v>12401133.14447592</v>
      </c>
      <c r="CO127" s="393">
        <f>IFERROR(IF(Datos_Origen[[#This Row],[Salarios Año]]=14.12,Datos_Origen[[#This Row],[Básico]]/Datos_Origen[[#This Row],[Salario Ordinario Pol]],""),"")</f>
        <v>0.63703855994152048</v>
      </c>
      <c r="CP127" s="155">
        <f>IF(ROUND(Datos_Origen[[#This Row],[Salario Ordinario Pol22]],-3)&lt;SMMLV,SMMLV,ROUND(Datos_Origen[[#This Row],[Salario Ordinario Pol22]],-3))</f>
        <v>14881000</v>
      </c>
      <c r="CQ127" s="155" t="str">
        <f>IFERROR(ROUND(Datos_Origen[[#This Row],[Salario Integral Pol4]],-3),"")</f>
        <v/>
      </c>
      <c r="CR127" s="139" t="str">
        <f>IF((Datos_Origen[[#This Row],[Gpol]]/(1+FactorPrestacionalIntegral))&lt;(13*SMMLV),"",(Datos_Origen[[#This Row],[Gpol]]/(1+FactorPrestacionalIntegral)))</f>
        <v/>
      </c>
      <c r="CS127" s="161" t="str">
        <f>IFERROR(IF(Datos_Origen[[#This Row],[Salarios Año]]=12,Datos_Origen[[#This Row],[Básico]]/Datos_Origen[[#This Row],[Salario Integral Pol]],""),"")</f>
        <v/>
      </c>
      <c r="CT127" s="155" t="str">
        <f>IFERROR(ROUND(Datos_Origen[[#This Row],[Salario Integral Pol44]],-3),"")</f>
        <v/>
      </c>
      <c r="CU127" s="155">
        <f>Datos_Origen[[#This Row],[G+Vpol]]-Datos_Origen[[#This Row],[Variable]]</f>
        <v>14592000</v>
      </c>
      <c r="CV127" s="161">
        <f>Datos_Origen[[#This Row],[G]]/Datos_Origen[[#This Row],[Gpol]]</f>
        <v>0.63704036458333335</v>
      </c>
      <c r="CW127" s="154">
        <f>Datos_Origen[[#This Row],[Ctpol]]-Datos_Origen[[#This Row],[Beneficios]]</f>
        <v>14592000</v>
      </c>
      <c r="CX127" s="161">
        <f>Datos_Origen[[#This Row],[G+V]]/Datos_Origen[[#This Row],[G+Vpol]]</f>
        <v>0.63704036458333335</v>
      </c>
      <c r="CY127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14592000</v>
      </c>
      <c r="CZ127" s="161">
        <f>Datos_Origen[[#This Row],[CT]]/Datos_Origen[[#This Row],[Ctpol]]</f>
        <v>0.63704036458333335</v>
      </c>
      <c r="DA127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7900000</v>
      </c>
      <c r="DB127" s="158">
        <f>IF(Datos_Origen[[#This Row],[Básico]]&lt;10*SMMLV,0,Datos_Origen[[#This Row],[Base Seguridad Social Actual]]*8.5%)</f>
        <v>0</v>
      </c>
      <c r="DC127" s="158">
        <f>Datos_Origen[[#This Row],[Base Seguridad Social Actual]]*12%</f>
        <v>948000</v>
      </c>
      <c r="DD127" s="158">
        <f>Datos_Origen[[#This Row],[Base Seguridad Social Actual]]*Datos_Origen[[#This Row],[%ARL]]</f>
        <v>41238</v>
      </c>
      <c r="DE127" s="158">
        <f>IF(Datos_Origen[[#This Row],[Básico]]&lt;10*SMMLV,Datos_Origen[[#This Row],[Base Seguridad Social Actual]]*4%,Datos_Origen[[#This Row],[Base Seguridad Social Actual]]*9%)</f>
        <v>316000</v>
      </c>
      <c r="DF127" s="158">
        <f>Datos_Origen[[#This Row],[Salud]]+Datos_Origen[[#This Row],[Pensión]]+Datos_Origen[[#This Row],[ARL]]+Datos_Origen[[#This Row],[Parafiscales]]</f>
        <v>1305238</v>
      </c>
      <c r="DG127" s="158">
        <f>Datos_Origen[[#This Row],[Costo Laboral Actual]]+Datos_Origen[[#This Row],[CT]]</f>
        <v>10600931</v>
      </c>
      <c r="DH127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12401133.14447592</v>
      </c>
      <c r="DI127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27" s="158">
        <f>Datos_Origen[[#This Row],[Base Seguridad Social Nueva]]*12%</f>
        <v>1488135.9773371103</v>
      </c>
      <c r="DK127" s="158">
        <f>Datos_Origen[[#This Row],[Base Seguridad Social Nueva]]*Datos_Origen[[#This Row],[%ARL]]</f>
        <v>64733.915014164304</v>
      </c>
      <c r="DL127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496045.32577903679</v>
      </c>
      <c r="DM127" s="158">
        <f>Datos_Origen[[#This Row],[Salud Nueva]]+Datos_Origen[[#This Row],[Pensión Nueva]]+Datos_Origen[[#This Row],[ARL nueva]]+Datos_Origen[[#This Row],[Parafiscales Nuevos]]</f>
        <v>2048915.2181303115</v>
      </c>
      <c r="DN127" s="158">
        <f>Datos_Origen[[#This Row],[Costo Laboral Nuevo]]+Datos_Origen[[#This Row],[Ctpol]]</f>
        <v>16640915.218130311</v>
      </c>
      <c r="DO127" s="158">
        <f>IF(Datos_Origen[[#This Row],[Ctpol]]-Datos_Origen[[#This Row],[CT]]&lt;=0,0,Datos_Origen[[#This Row],[Costo Total Nuevo]]-Datos_Origen[[#This Row],[Costo Total Actual]])</f>
        <v>6039984.218130311</v>
      </c>
      <c r="DP127" s="158">
        <f>IF(Datos_Origen[[#This Row],[Ctpol]]-Datos_Origen[[#This Row],[CT]]&lt;=0,0,Datos_Origen[[#This Row],[Ctpol]]-Datos_Origen[[#This Row],[CT]])</f>
        <v>5296307</v>
      </c>
      <c r="DQ127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743677.21813031146</v>
      </c>
      <c r="DR127" s="158">
        <f>ROUNDDOWN(VLOOKUP(Datos_Origen[[#This Row],[Categoria]],Competitividad_1[],7,0)*IndiceIncrementoC,-3)</f>
        <v>13265000</v>
      </c>
      <c r="DS127" s="158">
        <f>Datos_Origen[[#This Row],[CTeq]]*0.8</f>
        <v>6513041.7791082179</v>
      </c>
      <c r="DT127" s="158">
        <f>Datos_Origen[[#This Row],[CTeq]]*1.2</f>
        <v>9769562.6686623264</v>
      </c>
      <c r="DU127" s="155">
        <f>IF(Datos_Origen[[#This Row],[Gpol6]]/(1+FactorPrestacionalOrdinario)&lt;SMMLV,SMMLV,Datos_Origen[[#This Row],[Gpol6]]/(1+FactorPrestacionalOrdinario))</f>
        <v>9920906.5155807361</v>
      </c>
      <c r="DV127" s="139" t="str">
        <f>IF((Datos_Origen[[#This Row],[Gpol6]]/(1+FactorPrestacionalIntegral))&lt;(13*SMMLV),"",(Datos_Origen[[#This Row],[Gpol6]]/(1+FactorPrestacionalIntegral)))</f>
        <v/>
      </c>
      <c r="DW127" s="154">
        <f>Datos_Origen[[#This Row],[G+Vpol8]]</f>
        <v>11673600</v>
      </c>
      <c r="DX127" s="154">
        <f>Datos_Origen[[#This Row],[Ctpol10]]-Datos_Origen[[#This Row],[Beneficios]]</f>
        <v>11673600</v>
      </c>
      <c r="DY127" s="154">
        <f>Datos_Origen[[#This Row],[Ctpol]]*$CM$6</f>
        <v>11673600</v>
      </c>
      <c r="DZ127" s="155">
        <f>IF(Datos_Origen[[#This Row],[Gpol66]]/(1+FactorPrestacionalOrdinario)&lt;SMMLV,SMMLV,Datos_Origen[[#This Row],[Gpol66]]/(1+FactorPrestacionalOrdinario))</f>
        <v>14881359.773371104</v>
      </c>
      <c r="EA127" s="139" t="str">
        <f>IF((Datos_Origen[[#This Row],[Gpol66]]/(1+FactorPrestacionalIntegral))&lt;(13*SMMLV),"",(Datos_Origen[[#This Row],[Gpol66]]/(1+FactorPrestacionalIntegral)))</f>
        <v/>
      </c>
      <c r="EB127" s="154">
        <f>Datos_Origen[[#This Row],[G+Vpol88]]</f>
        <v>17510400</v>
      </c>
      <c r="EC127" s="154">
        <f>Datos_Origen[[#This Row],[Ctpol1010]]-Datos_Origen[[#This Row],[Beneficios]]</f>
        <v>17510400</v>
      </c>
      <c r="ED127" s="154">
        <f>Datos_Origen[[#This Row],[Ctpol]]*$CP$6</f>
        <v>17510400</v>
      </c>
      <c r="EE127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28" spans="2:135">
      <c r="B128" s="132"/>
      <c r="C128" s="149"/>
      <c r="D128" s="150"/>
      <c r="E128" s="151"/>
      <c r="F128" s="151"/>
      <c r="G128" s="150" t="s">
        <v>286</v>
      </c>
      <c r="H128" s="153"/>
      <c r="I128" s="152" t="s">
        <v>286</v>
      </c>
      <c r="J128" s="130" t="str">
        <f>IFERROR(VLOOKUP(Datos_Origen[[#This Row],[Cargo Tipo Valorado]],Cargos_Catalogo[[#All],[Cargo]:[Área]],2,0),"")</f>
        <v xml:space="preserve">Gerente de operaciones </v>
      </c>
      <c r="K128" s="153"/>
      <c r="L128" s="153"/>
      <c r="M128" s="153"/>
      <c r="N128" s="153"/>
      <c r="O128" s="154">
        <f>Datos_Origen[[#This Row],[Segmentación Individual]]</f>
        <v>0</v>
      </c>
      <c r="P128" s="153"/>
      <c r="Q128" s="154">
        <f>VLOOKUP(Datos_Origen[[#This Row],[Cargo Tipo Valorado]],Cargos_Catalogo[#Data],MATCH(Cargos_Catalogo[[#Headers],[Puntos]],Cargos_Catalogo[#Headers],0),FALSE)</f>
        <v>540</v>
      </c>
      <c r="R128" s="130">
        <f>VLOOKUP(Datos_Origen[[#This Row],[Puntos valoración]],Categorias_Registro[#Data],MATCH(Categorias_Registro[[#Headers],[Categoria]],Categorias_Registro[#Headers],0),FALSE)</f>
        <v>14</v>
      </c>
      <c r="S128" s="130" t="str">
        <f>VLOOKUP(Datos_Origen[[#This Row],[Cargo Tipo Valorado]],Cargos_Catalogo[#Data],MATCH(Cargos_Catalogo[[#Headers],[Nivel SHR]],Cargos_Catalogo[#Headers],0),FALSE)</f>
        <v>Gerencia media</v>
      </c>
      <c r="T128" s="130" t="str">
        <f>VLOOKUP(Datos_Origen[[#This Row],[Cargo Tipo Valorado]],Cargos_Catalogo[#Data],MATCH(Cargos_Catalogo[[#Headers],[Criticidad]],Cargos_Catalogo[#Headers],0),FALSE)</f>
        <v>Muy Importante</v>
      </c>
      <c r="U128" s="154">
        <f>VLOOKUP(Datos_Origen[[#This Row],[Puntos valoración]],Categorias_Registro[#Data],5,FALSE)</f>
        <v>577</v>
      </c>
      <c r="V128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9295693</v>
      </c>
      <c r="W128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28" s="154">
        <f>SUMIF($BA$5:$BJ$5,"NCS",Datos_Origen[[#This Row],[auxilio Gasolina]:[Otro Beneficio10]])+(SUMIF($BA$5:$BJ$5,"CS",Datos_Origen[[#This Row],[auxilio Gasolina]:[Otro Beneficio10]])*1.17667)</f>
        <v>0</v>
      </c>
      <c r="Y128" s="155">
        <f>Datos_Origen[[#This Row],[Básico]]+Datos_Origen[[#This Row],[Promedio de Comisiones  ]]</f>
        <v>7900000</v>
      </c>
      <c r="Z128" s="155">
        <f>Datos_Origen[[#This Row],[Básico]]+Datos_Origen[[#This Row],[Promedio de Comisiones  ]]</f>
        <v>7900000</v>
      </c>
      <c r="AA128" s="155">
        <f>Datos_Origen[[#This Row],[Garantizado]]</f>
        <v>9295693</v>
      </c>
      <c r="AB128" s="155">
        <f>Datos_Origen[[#This Row],[Variable]]+Datos_Origen[[#This Row],[Garantizado]]</f>
        <v>9295693</v>
      </c>
      <c r="AC128" s="155">
        <f>Datos_Origen[[#This Row],[Beneficios]]+Datos_Origen[[#This Row],[Variable]]+Datos_Origen[[#This Row],[Garantizado]]</f>
        <v>9295693</v>
      </c>
      <c r="AD128" s="156">
        <v>14.12</v>
      </c>
      <c r="AE128" s="141">
        <v>230</v>
      </c>
      <c r="AF128" s="345">
        <v>4.3499999999999997E-2</v>
      </c>
      <c r="AG128" s="155">
        <f>Datos_Origen[[#This Row],[Básico Actual]]*230/Datos_Origen[[#This Row],['# horas mes]]</f>
        <v>7900000</v>
      </c>
      <c r="AH128" s="157">
        <v>7900000</v>
      </c>
      <c r="AI128" s="158"/>
      <c r="AJ128" s="158">
        <f>(((Datos_Origen[[#This Row],[Básico]])/30)*$AJ$6)/12</f>
        <v>0</v>
      </c>
      <c r="AK128" s="158"/>
      <c r="AL128" s="143">
        <f>((Datos_Origen[[#This Row],[Básico]])/30)*$AL$6/12</f>
        <v>0</v>
      </c>
      <c r="AM128" s="158"/>
      <c r="AN128" s="158"/>
      <c r="AO128" s="158"/>
      <c r="AP128" s="158"/>
      <c r="AQ128" s="158"/>
      <c r="AR128" s="149">
        <v>0</v>
      </c>
      <c r="AS128" s="149"/>
      <c r="AT128" s="159" t="str">
        <f>IFERROR(Datos_Origen[[#This Row],[Comisiones Target]]/Datos_Origen[[#This Row],[Promedio de Comisiones  ]],"")</f>
        <v/>
      </c>
      <c r="AU128" s="160"/>
      <c r="AV128" s="143">
        <v>0</v>
      </c>
      <c r="AW128" s="160"/>
      <c r="AX128" s="143">
        <f>Datos_Origen[[#This Row],[N Salarios de la Bonificación2]]*Datos_Origen[[#This Row],[Básico]]/12</f>
        <v>0</v>
      </c>
      <c r="AY128" s="160"/>
      <c r="AZ128" s="158"/>
      <c r="BA128" s="149">
        <v>0</v>
      </c>
      <c r="BB128" s="149"/>
      <c r="BC128" s="149"/>
      <c r="BD128" s="149"/>
      <c r="BE128" s="149"/>
      <c r="BF128" s="149"/>
      <c r="BG128" s="149"/>
      <c r="BH128" s="149"/>
      <c r="BI128" s="149"/>
      <c r="BJ128" s="149"/>
      <c r="BK128" s="159">
        <f>IFERROR(Datos_Origen[[#This Row],[Variable]]/Datos_Origen[[#This Row],[CT]],"")</f>
        <v>0</v>
      </c>
      <c r="BL128" s="159">
        <f>IFERROR(Datos_Origen[[#This Row],[Beneficios]]/Datos_Origen[[#This Row],[CT]],"")</f>
        <v>0</v>
      </c>
      <c r="BM128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8085950.2104020286</v>
      </c>
      <c r="BN128" s="161">
        <f>Datos_Origen[[#This Row],[G]]/Datos_Origen[[#This Row],[Geq]]</f>
        <v>1.1496104673068255</v>
      </c>
      <c r="BO128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8118539.3770910595</v>
      </c>
      <c r="BP128" s="161">
        <f>Datos_Origen[[#This Row],[G+V]]/Datos_Origen[[#This Row],[G+Veq]]</f>
        <v>1.1449957397793302</v>
      </c>
      <c r="BQ128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8141302.2238852717</v>
      </c>
      <c r="BR128" s="161">
        <f>Datos_Origen[[#This Row],[CT]]/Datos_Origen[[#This Row],[CTeq]]</f>
        <v>1.1417943646322244</v>
      </c>
      <c r="BS128" s="139">
        <f>ROUNDUP(VLOOKUP(Datos_Origen[[#This Row],[Categoria]],Competitividad_1[#All],2,0)*IndiceIncrementoC,-3)</f>
        <v>11052000</v>
      </c>
      <c r="BT128" s="161">
        <f>Datos_Origen[[#This Row],[G]]/Datos_Origen[[#This Row],[GQ1]]</f>
        <v>0.84108695258776689</v>
      </c>
      <c r="BU128" s="155">
        <f>ROUNDUP(VLOOKUP(Datos_Origen[[#This Row],[Categoria]],Competitividad_1[#All],3,0)*IndiceIncrementoC,-3)</f>
        <v>11581000</v>
      </c>
      <c r="BV128" s="161">
        <f>Datos_Origen[[#This Row],[G+V]]/Datos_Origen[[#This Row],[G+VQ1]]</f>
        <v>0.80266755893273467</v>
      </c>
      <c r="BW128" s="155">
        <f>ROUNDUP(VLOOKUP(Datos_Origen[[#This Row],[Categoria]],Competitividad_1[#All],4,0)*IndiceIncrementoC,-3)</f>
        <v>12057000</v>
      </c>
      <c r="BX128" s="161">
        <f>Datos_Origen[[#This Row],[CT]]/Datos_Origen[[#This Row],[CTQ1]]</f>
        <v>0.77097893339968482</v>
      </c>
      <c r="BY128" s="155">
        <f>ROUNDUP(VLOOKUP(Datos_Origen[[#This Row],[Categoria]],Competitividad_1[#All],5,0)*IndiceIncrementoC,-3)</f>
        <v>12296000</v>
      </c>
      <c r="BZ128" s="161">
        <f>Datos_Origen[[#This Row],[G]]/Datos_Origen[[#This Row],[GMd]]</f>
        <v>0.7559932498373455</v>
      </c>
      <c r="CA128" s="155">
        <f>ROUNDUP(VLOOKUP(Datos_Origen[[#This Row],[Categoria]],Competitividad_1[#All],6,0)*IndiceIncrementoC,-3)</f>
        <v>12769000</v>
      </c>
      <c r="CB128" s="161">
        <f>Datos_Origen[[#This Row],[G+V]]/Datos_Origen[[#This Row],[G+VMd]]</f>
        <v>0.72798911426110113</v>
      </c>
      <c r="CC128" s="155">
        <f>ROUNDUP(VLOOKUP(Datos_Origen[[#This Row],[Categoria]],Competitividad_1[#All],7,0)*IndiceIncrementoC,-3)</f>
        <v>13266000</v>
      </c>
      <c r="CD128" s="161">
        <f>Datos_Origen[[#This Row],[CT]]/Datos_Origen[[#This Row],[CTMd]]</f>
        <v>0.7007155887230514</v>
      </c>
      <c r="CE128" s="155">
        <f>+Datos_Origen[[#This Row],[GMd]]/1.17666666667</f>
        <v>10449858.356910907</v>
      </c>
      <c r="CF128" s="161">
        <f>+Datos_Origen[[#This Row],[Básico Actual]]/Datos_Origen[[#This Row],[Salario Basico Md]]</f>
        <v>0.75599110822161675</v>
      </c>
      <c r="CG128" s="155">
        <f>ROUNDUP(VLOOKUP(Datos_Origen[[#This Row],[Categoria]],Competitividad_1[#All],8,0)*IndiceIncrementoC,-3)</f>
        <v>12957000</v>
      </c>
      <c r="CH128" s="161">
        <f>Datos_Origen[[#This Row],[G]]/Datos_Origen[[#This Row],[GQ3]]</f>
        <v>0.71742633325615501</v>
      </c>
      <c r="CI128" s="155">
        <f>ROUNDUP(VLOOKUP(Datos_Origen[[#This Row],[Categoria]],Competitividad_1[#All],9,0)*IndiceIncrementoC,-3)</f>
        <v>13265000</v>
      </c>
      <c r="CJ128" s="161">
        <f>Datos_Origen[[#This Row],[G+V]]/Datos_Origen[[#This Row],[G+VQ3]]</f>
        <v>0.70076841311722582</v>
      </c>
      <c r="CK128" s="155">
        <f>ROUNDUP(VLOOKUP(Datos_Origen[[#This Row],[Categoria]],Competitividad_1[#All],10,0)*IndiceIncrementoC,-3)</f>
        <v>13298000</v>
      </c>
      <c r="CL128" s="161">
        <f>Datos_Origen[[#This Row],[CT]]/Datos_Origen[[#This Row],[CTQ3]]</f>
        <v>0.69902940291773197</v>
      </c>
      <c r="CM128" s="162">
        <f>IF(ROUND(Datos_Origen[[#This Row],[Salario Ordinario Pol2]],-3)&lt;SMMLV,SMMLV,ROUND(Datos_Origen[[#This Row],[Salario Ordinario Pol2]],-3))</f>
        <v>9921000</v>
      </c>
      <c r="CN128" s="155">
        <f>IF(Datos_Origen[[#This Row],[Gpol]]/(1+FactorPrestacionalOrdinario)&lt;SMMLV,SMMLV,Datos_Origen[[#This Row],[Gpol]]/(1+FactorPrestacionalOrdinario))</f>
        <v>12401133.14447592</v>
      </c>
      <c r="CO128" s="161">
        <f>IFERROR(IF(Datos_Origen[[#This Row],[Salarios Año]]=14.12,Datos_Origen[[#This Row],[Básico]]/Datos_Origen[[#This Row],[Salario Ordinario Pol]],""),"")</f>
        <v>0.63703855994152048</v>
      </c>
      <c r="CP128" s="155">
        <f>IF(ROUND(Datos_Origen[[#This Row],[Salario Ordinario Pol22]],-3)&lt;SMMLV,SMMLV,ROUND(Datos_Origen[[#This Row],[Salario Ordinario Pol22]],-3))</f>
        <v>14881000</v>
      </c>
      <c r="CQ128" s="155" t="str">
        <f>IFERROR(ROUND(Datos_Origen[[#This Row],[Salario Integral Pol4]],-3),"")</f>
        <v/>
      </c>
      <c r="CR128" s="139" t="str">
        <f>IF((Datos_Origen[[#This Row],[Gpol]]/(1+FactorPrestacionalIntegral))&lt;(13*SMMLV),"",(Datos_Origen[[#This Row],[Gpol]]/(1+FactorPrestacionalIntegral)))</f>
        <v/>
      </c>
      <c r="CS128" s="161" t="str">
        <f>IFERROR(IF(Datos_Origen[[#This Row],[Salarios Año]]=12,Datos_Origen[[#This Row],[Básico]]/Datos_Origen[[#This Row],[Salario Integral Pol]],""),"")</f>
        <v/>
      </c>
      <c r="CT128" s="155" t="str">
        <f>IFERROR(ROUND(Datos_Origen[[#This Row],[Salario Integral Pol44]],-3),"")</f>
        <v/>
      </c>
      <c r="CU128" s="155">
        <f>Datos_Origen[[#This Row],[G+Vpol]]-Datos_Origen[[#This Row],[Variable]]</f>
        <v>14592000</v>
      </c>
      <c r="CV128" s="161">
        <f>Datos_Origen[[#This Row],[G]]/Datos_Origen[[#This Row],[Gpol]]</f>
        <v>0.63704036458333335</v>
      </c>
      <c r="CW128" s="154">
        <f>Datos_Origen[[#This Row],[Ctpol]]-Datos_Origen[[#This Row],[Beneficios]]</f>
        <v>14592000</v>
      </c>
      <c r="CX128" s="161">
        <f>Datos_Origen[[#This Row],[G+V]]/Datos_Origen[[#This Row],[G+Vpol]]</f>
        <v>0.63704036458333335</v>
      </c>
      <c r="CY128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14592000</v>
      </c>
      <c r="CZ128" s="161">
        <f>Datos_Origen[[#This Row],[CT]]/Datos_Origen[[#This Row],[Ctpol]]</f>
        <v>0.63704036458333335</v>
      </c>
      <c r="DA128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7900000</v>
      </c>
      <c r="DB128" s="158">
        <f>IF(Datos_Origen[[#This Row],[Básico]]&lt;10*SMMLV,0,Datos_Origen[[#This Row],[Base Seguridad Social Actual]]*8.5%)</f>
        <v>0</v>
      </c>
      <c r="DC128" s="158">
        <f>Datos_Origen[[#This Row],[Base Seguridad Social Actual]]*12%</f>
        <v>948000</v>
      </c>
      <c r="DD128" s="158">
        <f>Datos_Origen[[#This Row],[Base Seguridad Social Actual]]*Datos_Origen[[#This Row],[%ARL]]</f>
        <v>343650</v>
      </c>
      <c r="DE128" s="158">
        <f>IF(Datos_Origen[[#This Row],[Básico]]&lt;10*SMMLV,Datos_Origen[[#This Row],[Base Seguridad Social Actual]]*4%,Datos_Origen[[#This Row],[Base Seguridad Social Actual]]*9%)</f>
        <v>316000</v>
      </c>
      <c r="DF128" s="158">
        <f>Datos_Origen[[#This Row],[Salud]]+Datos_Origen[[#This Row],[Pensión]]+Datos_Origen[[#This Row],[ARL]]+Datos_Origen[[#This Row],[Parafiscales]]</f>
        <v>1607650</v>
      </c>
      <c r="DG128" s="158">
        <f>Datos_Origen[[#This Row],[Costo Laboral Actual]]+Datos_Origen[[#This Row],[CT]]</f>
        <v>10903343</v>
      </c>
      <c r="DH128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12401133.14447592</v>
      </c>
      <c r="DI128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28" s="158">
        <f>Datos_Origen[[#This Row],[Base Seguridad Social Nueva]]*12%</f>
        <v>1488135.9773371103</v>
      </c>
      <c r="DK128" s="158">
        <f>Datos_Origen[[#This Row],[Base Seguridad Social Nueva]]*Datos_Origen[[#This Row],[%ARL]]</f>
        <v>539449.29178470245</v>
      </c>
      <c r="DL128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496045.32577903679</v>
      </c>
      <c r="DM128" s="158">
        <f>Datos_Origen[[#This Row],[Salud Nueva]]+Datos_Origen[[#This Row],[Pensión Nueva]]+Datos_Origen[[#This Row],[ARL nueva]]+Datos_Origen[[#This Row],[Parafiscales Nuevos]]</f>
        <v>2523630.5949008493</v>
      </c>
      <c r="DN128" s="158">
        <f>Datos_Origen[[#This Row],[Costo Laboral Nuevo]]+Datos_Origen[[#This Row],[Ctpol]]</f>
        <v>17115630.59490085</v>
      </c>
      <c r="DO128" s="158">
        <f>IF(Datos_Origen[[#This Row],[Ctpol]]-Datos_Origen[[#This Row],[CT]]&lt;=0,0,Datos_Origen[[#This Row],[Costo Total Nuevo]]-Datos_Origen[[#This Row],[Costo Total Actual]])</f>
        <v>6212287.5949008502</v>
      </c>
      <c r="DP128" s="158">
        <f>IF(Datos_Origen[[#This Row],[Ctpol]]-Datos_Origen[[#This Row],[CT]]&lt;=0,0,Datos_Origen[[#This Row],[Ctpol]]-Datos_Origen[[#This Row],[CT]])</f>
        <v>5296307</v>
      </c>
      <c r="DQ128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915980.59490084928</v>
      </c>
      <c r="DR128" s="158">
        <f>ROUNDDOWN(VLOOKUP(Datos_Origen[[#This Row],[Categoria]],Competitividad_1[],7,0)*IndiceIncrementoC,-3)</f>
        <v>13265000</v>
      </c>
      <c r="DS128" s="158">
        <f>Datos_Origen[[#This Row],[CTeq]]*0.8</f>
        <v>6513041.7791082179</v>
      </c>
      <c r="DT128" s="158">
        <f>Datos_Origen[[#This Row],[CTeq]]*1.2</f>
        <v>9769562.6686623264</v>
      </c>
      <c r="DU128" s="155">
        <f>IF(Datos_Origen[[#This Row],[Gpol6]]/(1+FactorPrestacionalOrdinario)&lt;SMMLV,SMMLV,Datos_Origen[[#This Row],[Gpol6]]/(1+FactorPrestacionalOrdinario))</f>
        <v>9920906.5155807361</v>
      </c>
      <c r="DV128" s="139" t="str">
        <f>IF((Datos_Origen[[#This Row],[Gpol6]]/(1+FactorPrestacionalIntegral))&lt;(13*SMMLV),"",(Datos_Origen[[#This Row],[Gpol6]]/(1+FactorPrestacionalIntegral)))</f>
        <v/>
      </c>
      <c r="DW128" s="154">
        <f>Datos_Origen[[#This Row],[G+Vpol8]]</f>
        <v>11673600</v>
      </c>
      <c r="DX128" s="154">
        <f>Datos_Origen[[#This Row],[Ctpol10]]-Datos_Origen[[#This Row],[Beneficios]]</f>
        <v>11673600</v>
      </c>
      <c r="DY128" s="154">
        <f>Datos_Origen[[#This Row],[Ctpol]]*$CM$6</f>
        <v>11673600</v>
      </c>
      <c r="DZ128" s="155">
        <f>IF(Datos_Origen[[#This Row],[Gpol66]]/(1+FactorPrestacionalOrdinario)&lt;SMMLV,SMMLV,Datos_Origen[[#This Row],[Gpol66]]/(1+FactorPrestacionalOrdinario))</f>
        <v>14881359.773371104</v>
      </c>
      <c r="EA128" s="139" t="str">
        <f>IF((Datos_Origen[[#This Row],[Gpol66]]/(1+FactorPrestacionalIntegral))&lt;(13*SMMLV),"",(Datos_Origen[[#This Row],[Gpol66]]/(1+FactorPrestacionalIntegral)))</f>
        <v/>
      </c>
      <c r="EB128" s="154">
        <f>Datos_Origen[[#This Row],[G+Vpol88]]</f>
        <v>17510400</v>
      </c>
      <c r="EC128" s="154">
        <f>Datos_Origen[[#This Row],[Ctpol1010]]-Datos_Origen[[#This Row],[Beneficios]]</f>
        <v>17510400</v>
      </c>
      <c r="ED128" s="154">
        <f>Datos_Origen[[#This Row],[Ctpol]]*$CP$6</f>
        <v>17510400</v>
      </c>
      <c r="EE128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29" spans="2:135">
      <c r="B129" s="132"/>
      <c r="C129" s="149"/>
      <c r="D129" s="150"/>
      <c r="E129" s="151"/>
      <c r="F129" s="151"/>
      <c r="G129" s="150" t="s">
        <v>287</v>
      </c>
      <c r="H129" s="153"/>
      <c r="I129" s="152" t="s">
        <v>287</v>
      </c>
      <c r="J129" s="130" t="str">
        <f>IFERROR(VLOOKUP(Datos_Origen[[#This Row],[Cargo Tipo Valorado]],Cargos_Catalogo[[#All],[Cargo]:[Área]],2,0),"")</f>
        <v xml:space="preserve">Gerente de operaciones </v>
      </c>
      <c r="K129" s="153"/>
      <c r="L129" s="153"/>
      <c r="M129" s="153"/>
      <c r="N129" s="153"/>
      <c r="O129" s="154">
        <f>Datos_Origen[[#This Row],[Segmentación Individual]]</f>
        <v>0</v>
      </c>
      <c r="P129" s="153"/>
      <c r="Q129" s="154">
        <f>VLOOKUP(Datos_Origen[[#This Row],[Cargo Tipo Valorado]],Cargos_Catalogo[#Data],MATCH(Cargos_Catalogo[[#Headers],[Puntos]],Cargos_Catalogo[#Headers],0),FALSE)</f>
        <v>556</v>
      </c>
      <c r="R129" s="130">
        <f>VLOOKUP(Datos_Origen[[#This Row],[Puntos valoración]],Categorias_Registro[#Data],MATCH(Categorias_Registro[[#Headers],[Categoria]],Categorias_Registro[#Headers],0),FALSE)</f>
        <v>14</v>
      </c>
      <c r="S129" s="130" t="str">
        <f>VLOOKUP(Datos_Origen[[#This Row],[Cargo Tipo Valorado]],Cargos_Catalogo[#Data],MATCH(Cargos_Catalogo[[#Headers],[Nivel SHR]],Cargos_Catalogo[#Headers],0),FALSE)</f>
        <v>Gerencia media</v>
      </c>
      <c r="T129" s="130" t="str">
        <f>VLOOKUP(Datos_Origen[[#This Row],[Cargo Tipo Valorado]],Cargos_Catalogo[#Data],MATCH(Cargos_Catalogo[[#Headers],[Criticidad]],Cargos_Catalogo[#Headers],0),FALSE)</f>
        <v>Crítico</v>
      </c>
      <c r="U129" s="154">
        <f>VLOOKUP(Datos_Origen[[#This Row],[Puntos valoración]],Categorias_Registro[#Data],5,FALSE)</f>
        <v>577</v>
      </c>
      <c r="V129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9295693</v>
      </c>
      <c r="W129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29" s="154">
        <f>SUMIF($BA$5:$BJ$5,"NCS",Datos_Origen[[#This Row],[auxilio Gasolina]:[Otro Beneficio10]])+(SUMIF($BA$5:$BJ$5,"CS",Datos_Origen[[#This Row],[auxilio Gasolina]:[Otro Beneficio10]])*1.17667)</f>
        <v>0</v>
      </c>
      <c r="Y129" s="155">
        <f>Datos_Origen[[#This Row],[Básico]]+Datos_Origen[[#This Row],[Promedio de Comisiones  ]]</f>
        <v>7900000</v>
      </c>
      <c r="Z129" s="155">
        <f>Datos_Origen[[#This Row],[Básico]]+Datos_Origen[[#This Row],[Promedio de Comisiones  ]]</f>
        <v>7900000</v>
      </c>
      <c r="AA129" s="155">
        <f>Datos_Origen[[#This Row],[Garantizado]]</f>
        <v>9295693</v>
      </c>
      <c r="AB129" s="155">
        <f>Datos_Origen[[#This Row],[Variable]]+Datos_Origen[[#This Row],[Garantizado]]</f>
        <v>9295693</v>
      </c>
      <c r="AC129" s="155">
        <f>Datos_Origen[[#This Row],[Beneficios]]+Datos_Origen[[#This Row],[Variable]]+Datos_Origen[[#This Row],[Garantizado]]</f>
        <v>9295693</v>
      </c>
      <c r="AD129" s="156">
        <v>14.12</v>
      </c>
      <c r="AE129" s="141">
        <v>230</v>
      </c>
      <c r="AF129" s="345">
        <v>4.3499999999999997E-2</v>
      </c>
      <c r="AG129" s="155">
        <f>Datos_Origen[[#This Row],[Básico Actual]]*230/Datos_Origen[[#This Row],['# horas mes]]</f>
        <v>7900000</v>
      </c>
      <c r="AH129" s="157">
        <v>7900000</v>
      </c>
      <c r="AI129" s="158"/>
      <c r="AJ129" s="158">
        <f>(((Datos_Origen[[#This Row],[Básico]])/30)*$AJ$6)/12</f>
        <v>0</v>
      </c>
      <c r="AK129" s="158"/>
      <c r="AL129" s="143">
        <f>((Datos_Origen[[#This Row],[Básico]])/30)*$AL$6/12</f>
        <v>0</v>
      </c>
      <c r="AM129" s="158"/>
      <c r="AN129" s="158"/>
      <c r="AO129" s="158"/>
      <c r="AP129" s="158"/>
      <c r="AQ129" s="158"/>
      <c r="AR129" s="149">
        <v>0</v>
      </c>
      <c r="AS129" s="149"/>
      <c r="AT129" s="159" t="str">
        <f>IFERROR(Datos_Origen[[#This Row],[Comisiones Target]]/Datos_Origen[[#This Row],[Promedio de Comisiones  ]],"")</f>
        <v/>
      </c>
      <c r="AU129" s="160"/>
      <c r="AV129" s="143">
        <v>0</v>
      </c>
      <c r="AW129" s="160"/>
      <c r="AX129" s="143">
        <f>Datos_Origen[[#This Row],[N Salarios de la Bonificación2]]*Datos_Origen[[#This Row],[Básico]]/12</f>
        <v>0</v>
      </c>
      <c r="AY129" s="160"/>
      <c r="AZ129" s="158"/>
      <c r="BA129" s="149">
        <v>0</v>
      </c>
      <c r="BB129" s="149"/>
      <c r="BC129" s="149"/>
      <c r="BD129" s="149"/>
      <c r="BE129" s="149"/>
      <c r="BF129" s="149"/>
      <c r="BG129" s="149"/>
      <c r="BH129" s="149"/>
      <c r="BI129" s="149"/>
      <c r="BJ129" s="149"/>
      <c r="BK129" s="159">
        <f>IFERROR(Datos_Origen[[#This Row],[Variable]]/Datos_Origen[[#This Row],[CT]],"")</f>
        <v>0</v>
      </c>
      <c r="BL129" s="159">
        <f>IFERROR(Datos_Origen[[#This Row],[Beneficios]]/Datos_Origen[[#This Row],[CT]],"")</f>
        <v>0</v>
      </c>
      <c r="BM129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8085950.2104020286</v>
      </c>
      <c r="BN129" s="161">
        <f>Datos_Origen[[#This Row],[G]]/Datos_Origen[[#This Row],[Geq]]</f>
        <v>1.1496104673068255</v>
      </c>
      <c r="BO129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8118539.3770910595</v>
      </c>
      <c r="BP129" s="161">
        <f>Datos_Origen[[#This Row],[G+V]]/Datos_Origen[[#This Row],[G+Veq]]</f>
        <v>1.1449957397793302</v>
      </c>
      <c r="BQ129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8141302.2238852717</v>
      </c>
      <c r="BR129" s="161">
        <f>Datos_Origen[[#This Row],[CT]]/Datos_Origen[[#This Row],[CTeq]]</f>
        <v>1.1417943646322244</v>
      </c>
      <c r="BS129" s="139">
        <f>ROUNDUP(VLOOKUP(Datos_Origen[[#This Row],[Categoria]],Competitividad_1[#All],2,0)*IndiceIncrementoC,-3)</f>
        <v>11052000</v>
      </c>
      <c r="BT129" s="161">
        <f>Datos_Origen[[#This Row],[G]]/Datos_Origen[[#This Row],[GQ1]]</f>
        <v>0.84108695258776689</v>
      </c>
      <c r="BU129" s="155">
        <f>ROUNDUP(VLOOKUP(Datos_Origen[[#This Row],[Categoria]],Competitividad_1[#All],3,0)*IndiceIncrementoC,-3)</f>
        <v>11581000</v>
      </c>
      <c r="BV129" s="161">
        <f>Datos_Origen[[#This Row],[G+V]]/Datos_Origen[[#This Row],[G+VQ1]]</f>
        <v>0.80266755893273467</v>
      </c>
      <c r="BW129" s="155">
        <f>ROUNDUP(VLOOKUP(Datos_Origen[[#This Row],[Categoria]],Competitividad_1[#All],4,0)*IndiceIncrementoC,-3)</f>
        <v>12057000</v>
      </c>
      <c r="BX129" s="161">
        <f>Datos_Origen[[#This Row],[CT]]/Datos_Origen[[#This Row],[CTQ1]]</f>
        <v>0.77097893339968482</v>
      </c>
      <c r="BY129" s="155">
        <f>ROUNDUP(VLOOKUP(Datos_Origen[[#This Row],[Categoria]],Competitividad_1[#All],5,0)*IndiceIncrementoC,-3)</f>
        <v>12296000</v>
      </c>
      <c r="BZ129" s="161">
        <f>Datos_Origen[[#This Row],[G]]/Datos_Origen[[#This Row],[GMd]]</f>
        <v>0.7559932498373455</v>
      </c>
      <c r="CA129" s="155">
        <f>ROUNDUP(VLOOKUP(Datos_Origen[[#This Row],[Categoria]],Competitividad_1[#All],6,0)*IndiceIncrementoC,-3)</f>
        <v>12769000</v>
      </c>
      <c r="CB129" s="161">
        <f>Datos_Origen[[#This Row],[G+V]]/Datos_Origen[[#This Row],[G+VMd]]</f>
        <v>0.72798911426110113</v>
      </c>
      <c r="CC129" s="155">
        <f>ROUNDUP(VLOOKUP(Datos_Origen[[#This Row],[Categoria]],Competitividad_1[#All],7,0)*IndiceIncrementoC,-3)</f>
        <v>13266000</v>
      </c>
      <c r="CD129" s="161">
        <f>Datos_Origen[[#This Row],[CT]]/Datos_Origen[[#This Row],[CTMd]]</f>
        <v>0.7007155887230514</v>
      </c>
      <c r="CE129" s="155">
        <f>+Datos_Origen[[#This Row],[GMd]]/1.17666666667</f>
        <v>10449858.356910907</v>
      </c>
      <c r="CF129" s="161">
        <f>+Datos_Origen[[#This Row],[Básico Actual]]/Datos_Origen[[#This Row],[Salario Basico Md]]</f>
        <v>0.75599110822161675</v>
      </c>
      <c r="CG129" s="155">
        <f>ROUNDUP(VLOOKUP(Datos_Origen[[#This Row],[Categoria]],Competitividad_1[#All],8,0)*IndiceIncrementoC,-3)</f>
        <v>12957000</v>
      </c>
      <c r="CH129" s="161">
        <f>Datos_Origen[[#This Row],[G]]/Datos_Origen[[#This Row],[GQ3]]</f>
        <v>0.71742633325615501</v>
      </c>
      <c r="CI129" s="155">
        <f>ROUNDUP(VLOOKUP(Datos_Origen[[#This Row],[Categoria]],Competitividad_1[#All],9,0)*IndiceIncrementoC,-3)</f>
        <v>13265000</v>
      </c>
      <c r="CJ129" s="161">
        <f>Datos_Origen[[#This Row],[G+V]]/Datos_Origen[[#This Row],[G+VQ3]]</f>
        <v>0.70076841311722582</v>
      </c>
      <c r="CK129" s="155">
        <f>ROUNDUP(VLOOKUP(Datos_Origen[[#This Row],[Categoria]],Competitividad_1[#All],10,0)*IndiceIncrementoC,-3)</f>
        <v>13298000</v>
      </c>
      <c r="CL129" s="161">
        <f>Datos_Origen[[#This Row],[CT]]/Datos_Origen[[#This Row],[CTQ3]]</f>
        <v>0.69902940291773197</v>
      </c>
      <c r="CM129" s="162">
        <f>IF(ROUND(Datos_Origen[[#This Row],[Salario Ordinario Pol2]],-3)&lt;SMMLV,SMMLV,ROUND(Datos_Origen[[#This Row],[Salario Ordinario Pol2]],-3))</f>
        <v>10823000</v>
      </c>
      <c r="CN129" s="155">
        <f>IF(Datos_Origen[[#This Row],[Gpol]]/(1+FactorPrestacionalOrdinario)&lt;SMMLV,SMMLV,Datos_Origen[[#This Row],[Gpol]]/(1+FactorPrestacionalOrdinario))</f>
        <v>13528895.184135977</v>
      </c>
      <c r="CO129" s="161">
        <f>IFERROR(IF(Datos_Origen[[#This Row],[Salarios Año]]=14.12,Datos_Origen[[#This Row],[Básico]]/Datos_Origen[[#This Row],[Salario Ordinario Pol]],""),"")</f>
        <v>0.58393533932198427</v>
      </c>
      <c r="CP129" s="155">
        <f>IF(ROUND(Datos_Origen[[#This Row],[Salario Ordinario Pol22]],-3)&lt;SMMLV,SMMLV,ROUND(Datos_Origen[[#This Row],[Salario Ordinario Pol22]],-3))</f>
        <v>16235000</v>
      </c>
      <c r="CQ129" s="155" t="str">
        <f>IFERROR(ROUND(Datos_Origen[[#This Row],[Salario Integral Pol4]],-3),"")</f>
        <v/>
      </c>
      <c r="CR129" s="139" t="str">
        <f>IF((Datos_Origen[[#This Row],[Gpol]]/(1+FactorPrestacionalIntegral))&lt;(13*SMMLV),"",(Datos_Origen[[#This Row],[Gpol]]/(1+FactorPrestacionalIntegral)))</f>
        <v/>
      </c>
      <c r="CS129" s="161" t="str">
        <f>IFERROR(IF(Datos_Origen[[#This Row],[Salarios Año]]=12,Datos_Origen[[#This Row],[Básico]]/Datos_Origen[[#This Row],[Salario Integral Pol]],""),"")</f>
        <v/>
      </c>
      <c r="CT129" s="155">
        <f>IFERROR(ROUND(Datos_Origen[[#This Row],[Salario Integral Pol44]],-3),"")</f>
        <v>19103000</v>
      </c>
      <c r="CU129" s="155">
        <f>Datos_Origen[[#This Row],[G+Vpol]]-Datos_Origen[[#This Row],[Variable]]</f>
        <v>15919000</v>
      </c>
      <c r="CV129" s="161">
        <f>Datos_Origen[[#This Row],[G]]/Datos_Origen[[#This Row],[Gpol]]</f>
        <v>0.58393699352974437</v>
      </c>
      <c r="CW129" s="154">
        <f>Datos_Origen[[#This Row],[Ctpol]]-Datos_Origen[[#This Row],[Beneficios]]</f>
        <v>15919000</v>
      </c>
      <c r="CX129" s="161">
        <f>Datos_Origen[[#This Row],[G+V]]/Datos_Origen[[#This Row],[G+Vpol]]</f>
        <v>0.58393699352974437</v>
      </c>
      <c r="CY129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15919000</v>
      </c>
      <c r="CZ129" s="161">
        <f>Datos_Origen[[#This Row],[CT]]/Datos_Origen[[#This Row],[Ctpol]]</f>
        <v>0.58393699352974437</v>
      </c>
      <c r="DA129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7900000</v>
      </c>
      <c r="DB129" s="158">
        <f>IF(Datos_Origen[[#This Row],[Básico]]&lt;10*SMMLV,0,Datos_Origen[[#This Row],[Base Seguridad Social Actual]]*8.5%)</f>
        <v>0</v>
      </c>
      <c r="DC129" s="158">
        <f>Datos_Origen[[#This Row],[Base Seguridad Social Actual]]*12%</f>
        <v>948000</v>
      </c>
      <c r="DD129" s="158">
        <f>Datos_Origen[[#This Row],[Base Seguridad Social Actual]]*Datos_Origen[[#This Row],[%ARL]]</f>
        <v>343650</v>
      </c>
      <c r="DE129" s="158">
        <f>IF(Datos_Origen[[#This Row],[Básico]]&lt;10*SMMLV,Datos_Origen[[#This Row],[Base Seguridad Social Actual]]*4%,Datos_Origen[[#This Row],[Base Seguridad Social Actual]]*9%)</f>
        <v>316000</v>
      </c>
      <c r="DF129" s="158">
        <f>Datos_Origen[[#This Row],[Salud]]+Datos_Origen[[#This Row],[Pensión]]+Datos_Origen[[#This Row],[ARL]]+Datos_Origen[[#This Row],[Parafiscales]]</f>
        <v>1607650</v>
      </c>
      <c r="DG129" s="158">
        <f>Datos_Origen[[#This Row],[Costo Laboral Actual]]+Datos_Origen[[#This Row],[CT]]</f>
        <v>10903343</v>
      </c>
      <c r="DH129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13528895.184135977</v>
      </c>
      <c r="DI129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29" s="158">
        <f>Datos_Origen[[#This Row],[Base Seguridad Social Nueva]]*12%</f>
        <v>1623467.4220963172</v>
      </c>
      <c r="DK129" s="158">
        <f>Datos_Origen[[#This Row],[Base Seguridad Social Nueva]]*Datos_Origen[[#This Row],[%ARL]]</f>
        <v>588506.940509915</v>
      </c>
      <c r="DL129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541155.80736543913</v>
      </c>
      <c r="DM129" s="158">
        <f>Datos_Origen[[#This Row],[Salud Nueva]]+Datos_Origen[[#This Row],[Pensión Nueva]]+Datos_Origen[[#This Row],[ARL nueva]]+Datos_Origen[[#This Row],[Parafiscales Nuevos]]</f>
        <v>2753130.169971671</v>
      </c>
      <c r="DN129" s="158">
        <f>Datos_Origen[[#This Row],[Costo Laboral Nuevo]]+Datos_Origen[[#This Row],[Ctpol]]</f>
        <v>18672130.169971671</v>
      </c>
      <c r="DO129" s="158">
        <f>IF(Datos_Origen[[#This Row],[Ctpol]]-Datos_Origen[[#This Row],[CT]]&lt;=0,0,Datos_Origen[[#This Row],[Costo Total Nuevo]]-Datos_Origen[[#This Row],[Costo Total Actual]])</f>
        <v>7768787.169971671</v>
      </c>
      <c r="DP129" s="158">
        <f>IF(Datos_Origen[[#This Row],[Ctpol]]-Datos_Origen[[#This Row],[CT]]&lt;=0,0,Datos_Origen[[#This Row],[Ctpol]]-Datos_Origen[[#This Row],[CT]])</f>
        <v>6623307</v>
      </c>
      <c r="DQ129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1145480.169971671</v>
      </c>
      <c r="DR129" s="158">
        <f>ROUNDDOWN(VLOOKUP(Datos_Origen[[#This Row],[Categoria]],Competitividad_1[],7,0)*IndiceIncrementoC,-3)</f>
        <v>13265000</v>
      </c>
      <c r="DS129" s="158">
        <f>Datos_Origen[[#This Row],[CTeq]]*0.8</f>
        <v>6513041.7791082179</v>
      </c>
      <c r="DT129" s="158">
        <f>Datos_Origen[[#This Row],[CTeq]]*1.2</f>
        <v>9769562.6686623264</v>
      </c>
      <c r="DU129" s="155">
        <f>IF(Datos_Origen[[#This Row],[Gpol6]]/(1+FactorPrestacionalOrdinario)&lt;SMMLV,SMMLV,Datos_Origen[[#This Row],[Gpol6]]/(1+FactorPrestacionalOrdinario))</f>
        <v>10823116.147308782</v>
      </c>
      <c r="DV129" s="139" t="str">
        <f>IF((Datos_Origen[[#This Row],[Gpol6]]/(1+FactorPrestacionalIntegral))&lt;(13*SMMLV),"",(Datos_Origen[[#This Row],[Gpol6]]/(1+FactorPrestacionalIntegral)))</f>
        <v/>
      </c>
      <c r="DW129" s="154">
        <f>Datos_Origen[[#This Row],[G+Vpol8]]</f>
        <v>12735200</v>
      </c>
      <c r="DX129" s="154">
        <f>Datos_Origen[[#This Row],[Ctpol10]]-Datos_Origen[[#This Row],[Beneficios]]</f>
        <v>12735200</v>
      </c>
      <c r="DY129" s="154">
        <f>Datos_Origen[[#This Row],[Ctpol]]*$CM$6</f>
        <v>12735200</v>
      </c>
      <c r="DZ129" s="155">
        <f>IF(Datos_Origen[[#This Row],[Gpol66]]/(1+FactorPrestacionalOrdinario)&lt;SMMLV,SMMLV,Datos_Origen[[#This Row],[Gpol66]]/(1+FactorPrestacionalOrdinario))</f>
        <v>16234674.220963171</v>
      </c>
      <c r="EA129" s="139">
        <f>IF((Datos_Origen[[#This Row],[Gpol66]]/(1+FactorPrestacionalIntegral))&lt;(13*SMMLV),"",(Datos_Origen[[#This Row],[Gpol66]]/(1+FactorPrestacionalIntegral)))</f>
        <v>19102800</v>
      </c>
      <c r="EB129" s="154">
        <f>Datos_Origen[[#This Row],[G+Vpol88]]</f>
        <v>19102800</v>
      </c>
      <c r="EC129" s="154">
        <f>Datos_Origen[[#This Row],[Ctpol1010]]-Datos_Origen[[#This Row],[Beneficios]]</f>
        <v>19102800</v>
      </c>
      <c r="ED129" s="154">
        <f>Datos_Origen[[#This Row],[Ctpol]]*$CP$6</f>
        <v>19102800</v>
      </c>
      <c r="EE129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30" spans="2:135">
      <c r="B130" s="132"/>
      <c r="C130" s="149"/>
      <c r="D130" s="150"/>
      <c r="E130" s="151"/>
      <c r="F130" s="151"/>
      <c r="G130" s="150" t="s">
        <v>537</v>
      </c>
      <c r="H130" s="153"/>
      <c r="I130" s="152" t="s">
        <v>288</v>
      </c>
      <c r="J130" s="130" t="str">
        <f>IFERROR(VLOOKUP(Datos_Origen[[#This Row],[Cargo Tipo Valorado]],Cargos_Catalogo[[#All],[Cargo]:[Área]],2,0),"")</f>
        <v/>
      </c>
      <c r="K130" s="153"/>
      <c r="L130" s="153"/>
      <c r="M130" s="153"/>
      <c r="N130" s="153"/>
      <c r="O130" s="154">
        <f>Datos_Origen[[#This Row],[Segmentación Individual]]</f>
        <v>0</v>
      </c>
      <c r="P130" s="153"/>
      <c r="Q130" s="154">
        <f>VLOOKUP(Datos_Origen[[#This Row],[Cargo Tipo Valorado]],Cargos_Catalogo[#Data],MATCH(Cargos_Catalogo[[#Headers],[Puntos]],Cargos_Catalogo[#Headers],0),FALSE)</f>
        <v>559</v>
      </c>
      <c r="R130" s="130">
        <f>VLOOKUP(Datos_Origen[[#This Row],[Puntos valoración]],Categorias_Registro[#Data],MATCH(Categorias_Registro[[#Headers],[Categoria]],Categorias_Registro[#Headers],0),FALSE)</f>
        <v>14</v>
      </c>
      <c r="S130" s="130" t="str">
        <f>VLOOKUP(Datos_Origen[[#This Row],[Cargo Tipo Valorado]],Cargos_Catalogo[#Data],MATCH(Cargos_Catalogo[[#Headers],[Nivel SHR]],Cargos_Catalogo[#Headers],0),FALSE)</f>
        <v>Gerencia media</v>
      </c>
      <c r="T130" s="130" t="str">
        <f>VLOOKUP(Datos_Origen[[#This Row],[Cargo Tipo Valorado]],Cargos_Catalogo[#Data],MATCH(Cargos_Catalogo[[#Headers],[Criticidad]],Cargos_Catalogo[#Headers],0),FALSE)</f>
        <v>Muy Importante</v>
      </c>
      <c r="U130" s="154">
        <f>VLOOKUP(Datos_Origen[[#This Row],[Puntos valoración]],Categorias_Registro[#Data],5,FALSE)</f>
        <v>577</v>
      </c>
      <c r="V130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9295693</v>
      </c>
      <c r="W130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30" s="154">
        <f>SUMIF($BA$5:$BJ$5,"NCS",Datos_Origen[[#This Row],[auxilio Gasolina]:[Otro Beneficio10]])+(SUMIF($BA$5:$BJ$5,"CS",Datos_Origen[[#This Row],[auxilio Gasolina]:[Otro Beneficio10]])*1.17667)</f>
        <v>0</v>
      </c>
      <c r="Y130" s="155">
        <f>Datos_Origen[[#This Row],[Básico]]+Datos_Origen[[#This Row],[Promedio de Comisiones  ]]</f>
        <v>7900000</v>
      </c>
      <c r="Z130" s="155">
        <f>Datos_Origen[[#This Row],[Básico]]+Datos_Origen[[#This Row],[Promedio de Comisiones  ]]</f>
        <v>7900000</v>
      </c>
      <c r="AA130" s="155">
        <f>Datos_Origen[[#This Row],[Garantizado]]</f>
        <v>9295693</v>
      </c>
      <c r="AB130" s="155">
        <f>Datos_Origen[[#This Row],[Variable]]+Datos_Origen[[#This Row],[Garantizado]]</f>
        <v>9295693</v>
      </c>
      <c r="AC130" s="155">
        <f>Datos_Origen[[#This Row],[Beneficios]]+Datos_Origen[[#This Row],[Variable]]+Datos_Origen[[#This Row],[Garantizado]]</f>
        <v>9295693</v>
      </c>
      <c r="AD130" s="156">
        <v>14.12</v>
      </c>
      <c r="AE130" s="141">
        <v>230</v>
      </c>
      <c r="AF130" s="345">
        <v>4.3499999999999997E-2</v>
      </c>
      <c r="AG130" s="155">
        <f>Datos_Origen[[#This Row],[Básico Actual]]*230/Datos_Origen[[#This Row],['# horas mes]]</f>
        <v>7900000</v>
      </c>
      <c r="AH130" s="157">
        <v>7900000</v>
      </c>
      <c r="AI130" s="158"/>
      <c r="AJ130" s="158">
        <f>(((Datos_Origen[[#This Row],[Básico]])/30)*$AJ$6)/12</f>
        <v>0</v>
      </c>
      <c r="AK130" s="158"/>
      <c r="AL130" s="143">
        <f>((Datos_Origen[[#This Row],[Básico]])/30)*$AL$6/12</f>
        <v>0</v>
      </c>
      <c r="AM130" s="158"/>
      <c r="AN130" s="158"/>
      <c r="AO130" s="158"/>
      <c r="AP130" s="158"/>
      <c r="AQ130" s="158"/>
      <c r="AR130" s="149">
        <v>0</v>
      </c>
      <c r="AS130" s="149"/>
      <c r="AT130" s="159" t="str">
        <f>IFERROR(Datos_Origen[[#This Row],[Comisiones Target]]/Datos_Origen[[#This Row],[Promedio de Comisiones  ]],"")</f>
        <v/>
      </c>
      <c r="AU130" s="160"/>
      <c r="AV130" s="143">
        <v>0</v>
      </c>
      <c r="AW130" s="160"/>
      <c r="AX130" s="143">
        <f>Datos_Origen[[#This Row],[N Salarios de la Bonificación2]]*Datos_Origen[[#This Row],[Básico]]/12</f>
        <v>0</v>
      </c>
      <c r="AY130" s="160"/>
      <c r="AZ130" s="158"/>
      <c r="BA130" s="149">
        <v>0</v>
      </c>
      <c r="BB130" s="149"/>
      <c r="BC130" s="149"/>
      <c r="BD130" s="149"/>
      <c r="BE130" s="149"/>
      <c r="BF130" s="149"/>
      <c r="BG130" s="149"/>
      <c r="BH130" s="149"/>
      <c r="BI130" s="149"/>
      <c r="BJ130" s="149"/>
      <c r="BK130" s="159">
        <f>IFERROR(Datos_Origen[[#This Row],[Variable]]/Datos_Origen[[#This Row],[CT]],"")</f>
        <v>0</v>
      </c>
      <c r="BL130" s="159">
        <f>IFERROR(Datos_Origen[[#This Row],[Beneficios]]/Datos_Origen[[#This Row],[CT]],"")</f>
        <v>0</v>
      </c>
      <c r="BM130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8085950.2104020286</v>
      </c>
      <c r="BN130" s="161">
        <f>Datos_Origen[[#This Row],[G]]/Datos_Origen[[#This Row],[Geq]]</f>
        <v>1.1496104673068255</v>
      </c>
      <c r="BO130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8118539.3770910595</v>
      </c>
      <c r="BP130" s="161">
        <f>Datos_Origen[[#This Row],[G+V]]/Datos_Origen[[#This Row],[G+Veq]]</f>
        <v>1.1449957397793302</v>
      </c>
      <c r="BQ130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8141302.2238852717</v>
      </c>
      <c r="BR130" s="161">
        <f>Datos_Origen[[#This Row],[CT]]/Datos_Origen[[#This Row],[CTeq]]</f>
        <v>1.1417943646322244</v>
      </c>
      <c r="BS130" s="139">
        <f>ROUNDUP(VLOOKUP(Datos_Origen[[#This Row],[Categoria]],Competitividad_1[#All],2,0)*IndiceIncrementoC,-3)</f>
        <v>11052000</v>
      </c>
      <c r="BT130" s="161">
        <f>Datos_Origen[[#This Row],[G]]/Datos_Origen[[#This Row],[GQ1]]</f>
        <v>0.84108695258776689</v>
      </c>
      <c r="BU130" s="155">
        <f>ROUNDUP(VLOOKUP(Datos_Origen[[#This Row],[Categoria]],Competitividad_1[#All],3,0)*IndiceIncrementoC,-3)</f>
        <v>11581000</v>
      </c>
      <c r="BV130" s="161">
        <f>Datos_Origen[[#This Row],[G+V]]/Datos_Origen[[#This Row],[G+VQ1]]</f>
        <v>0.80266755893273467</v>
      </c>
      <c r="BW130" s="155">
        <f>ROUNDUP(VLOOKUP(Datos_Origen[[#This Row],[Categoria]],Competitividad_1[#All],4,0)*IndiceIncrementoC,-3)</f>
        <v>12057000</v>
      </c>
      <c r="BX130" s="161">
        <f>Datos_Origen[[#This Row],[CT]]/Datos_Origen[[#This Row],[CTQ1]]</f>
        <v>0.77097893339968482</v>
      </c>
      <c r="BY130" s="155">
        <f>ROUNDUP(VLOOKUP(Datos_Origen[[#This Row],[Categoria]],Competitividad_1[#All],5,0)*IndiceIncrementoC,-3)</f>
        <v>12296000</v>
      </c>
      <c r="BZ130" s="161">
        <f>Datos_Origen[[#This Row],[G]]/Datos_Origen[[#This Row],[GMd]]</f>
        <v>0.7559932498373455</v>
      </c>
      <c r="CA130" s="155">
        <f>ROUNDUP(VLOOKUP(Datos_Origen[[#This Row],[Categoria]],Competitividad_1[#All],6,0)*IndiceIncrementoC,-3)</f>
        <v>12769000</v>
      </c>
      <c r="CB130" s="161">
        <f>Datos_Origen[[#This Row],[G+V]]/Datos_Origen[[#This Row],[G+VMd]]</f>
        <v>0.72798911426110113</v>
      </c>
      <c r="CC130" s="155">
        <f>ROUNDUP(VLOOKUP(Datos_Origen[[#This Row],[Categoria]],Competitividad_1[#All],7,0)*IndiceIncrementoC,-3)</f>
        <v>13266000</v>
      </c>
      <c r="CD130" s="161">
        <f>Datos_Origen[[#This Row],[CT]]/Datos_Origen[[#This Row],[CTMd]]</f>
        <v>0.7007155887230514</v>
      </c>
      <c r="CE130" s="155">
        <f>+Datos_Origen[[#This Row],[GMd]]/1.17666666667</f>
        <v>10449858.356910907</v>
      </c>
      <c r="CF130" s="161">
        <f>+Datos_Origen[[#This Row],[Básico Actual]]/Datos_Origen[[#This Row],[Salario Basico Md]]</f>
        <v>0.75599110822161675</v>
      </c>
      <c r="CG130" s="155">
        <f>ROUNDUP(VLOOKUP(Datos_Origen[[#This Row],[Categoria]],Competitividad_1[#All],8,0)*IndiceIncrementoC,-3)</f>
        <v>12957000</v>
      </c>
      <c r="CH130" s="161">
        <f>Datos_Origen[[#This Row],[G]]/Datos_Origen[[#This Row],[GQ3]]</f>
        <v>0.71742633325615501</v>
      </c>
      <c r="CI130" s="155">
        <f>ROUNDUP(VLOOKUP(Datos_Origen[[#This Row],[Categoria]],Competitividad_1[#All],9,0)*IndiceIncrementoC,-3)</f>
        <v>13265000</v>
      </c>
      <c r="CJ130" s="161">
        <f>Datos_Origen[[#This Row],[G+V]]/Datos_Origen[[#This Row],[G+VQ3]]</f>
        <v>0.70076841311722582</v>
      </c>
      <c r="CK130" s="155">
        <f>ROUNDUP(VLOOKUP(Datos_Origen[[#This Row],[Categoria]],Competitividad_1[#All],10,0)*IndiceIncrementoC,-3)</f>
        <v>13298000</v>
      </c>
      <c r="CL130" s="161">
        <f>Datos_Origen[[#This Row],[CT]]/Datos_Origen[[#This Row],[CTQ3]]</f>
        <v>0.69902940291773197</v>
      </c>
      <c r="CM130" s="162">
        <f>IF(ROUND(Datos_Origen[[#This Row],[Salario Ordinario Pol2]],-3)&lt;SMMLV,SMMLV,ROUND(Datos_Origen[[#This Row],[Salario Ordinario Pol2]],-3))</f>
        <v>9921000</v>
      </c>
      <c r="CN130" s="155">
        <f>IF(Datos_Origen[[#This Row],[Gpol]]/(1+FactorPrestacionalOrdinario)&lt;SMMLV,SMMLV,Datos_Origen[[#This Row],[Gpol]]/(1+FactorPrestacionalOrdinario))</f>
        <v>12401133.14447592</v>
      </c>
      <c r="CO130" s="161">
        <f>IFERROR(IF(Datos_Origen[[#This Row],[Salarios Año]]=14.12,Datos_Origen[[#This Row],[Básico]]/Datos_Origen[[#This Row],[Salario Ordinario Pol]],""),"")</f>
        <v>0.63703855994152048</v>
      </c>
      <c r="CP130" s="155">
        <f>IF(ROUND(Datos_Origen[[#This Row],[Salario Ordinario Pol22]],-3)&lt;SMMLV,SMMLV,ROUND(Datos_Origen[[#This Row],[Salario Ordinario Pol22]],-3))</f>
        <v>14881000</v>
      </c>
      <c r="CQ130" s="155" t="str">
        <f>IFERROR(ROUND(Datos_Origen[[#This Row],[Salario Integral Pol4]],-3),"")</f>
        <v/>
      </c>
      <c r="CR130" s="139" t="str">
        <f>IF((Datos_Origen[[#This Row],[Gpol]]/(1+FactorPrestacionalIntegral))&lt;(13*SMMLV),"",(Datos_Origen[[#This Row],[Gpol]]/(1+FactorPrestacionalIntegral)))</f>
        <v/>
      </c>
      <c r="CS130" s="161" t="str">
        <f>IFERROR(IF(Datos_Origen[[#This Row],[Salarios Año]]=12,Datos_Origen[[#This Row],[Básico]]/Datos_Origen[[#This Row],[Salario Integral Pol]],""),"")</f>
        <v/>
      </c>
      <c r="CT130" s="155" t="str">
        <f>IFERROR(ROUND(Datos_Origen[[#This Row],[Salario Integral Pol44]],-3),"")</f>
        <v/>
      </c>
      <c r="CU130" s="155">
        <f>Datos_Origen[[#This Row],[G+Vpol]]-Datos_Origen[[#This Row],[Variable]]</f>
        <v>14592000</v>
      </c>
      <c r="CV130" s="161">
        <f>Datos_Origen[[#This Row],[G]]/Datos_Origen[[#This Row],[Gpol]]</f>
        <v>0.63704036458333335</v>
      </c>
      <c r="CW130" s="154">
        <f>Datos_Origen[[#This Row],[Ctpol]]-Datos_Origen[[#This Row],[Beneficios]]</f>
        <v>14592000</v>
      </c>
      <c r="CX130" s="161">
        <f>Datos_Origen[[#This Row],[G+V]]/Datos_Origen[[#This Row],[G+Vpol]]</f>
        <v>0.63704036458333335</v>
      </c>
      <c r="CY130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14592000</v>
      </c>
      <c r="CZ130" s="161">
        <f>Datos_Origen[[#This Row],[CT]]/Datos_Origen[[#This Row],[Ctpol]]</f>
        <v>0.63704036458333335</v>
      </c>
      <c r="DA130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7900000</v>
      </c>
      <c r="DB130" s="158">
        <f>IF(Datos_Origen[[#This Row],[Básico]]&lt;10*SMMLV,0,Datos_Origen[[#This Row],[Base Seguridad Social Actual]]*8.5%)</f>
        <v>0</v>
      </c>
      <c r="DC130" s="158">
        <f>Datos_Origen[[#This Row],[Base Seguridad Social Actual]]*12%</f>
        <v>948000</v>
      </c>
      <c r="DD130" s="158">
        <f>Datos_Origen[[#This Row],[Base Seguridad Social Actual]]*Datos_Origen[[#This Row],[%ARL]]</f>
        <v>343650</v>
      </c>
      <c r="DE130" s="158">
        <f>IF(Datos_Origen[[#This Row],[Básico]]&lt;10*SMMLV,Datos_Origen[[#This Row],[Base Seguridad Social Actual]]*4%,Datos_Origen[[#This Row],[Base Seguridad Social Actual]]*9%)</f>
        <v>316000</v>
      </c>
      <c r="DF130" s="158">
        <f>Datos_Origen[[#This Row],[Salud]]+Datos_Origen[[#This Row],[Pensión]]+Datos_Origen[[#This Row],[ARL]]+Datos_Origen[[#This Row],[Parafiscales]]</f>
        <v>1607650</v>
      </c>
      <c r="DG130" s="163">
        <f>Datos_Origen[[#This Row],[Costo Laboral Actual]]+Datos_Origen[[#This Row],[CT]]</f>
        <v>10903343</v>
      </c>
      <c r="DH130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12401133.14447592</v>
      </c>
      <c r="DI130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30" s="158">
        <f>Datos_Origen[[#This Row],[Base Seguridad Social Nueva]]*12%</f>
        <v>1488135.9773371103</v>
      </c>
      <c r="DK130" s="158">
        <f>Datos_Origen[[#This Row],[Base Seguridad Social Nueva]]*Datos_Origen[[#This Row],[%ARL]]</f>
        <v>539449.29178470245</v>
      </c>
      <c r="DL130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496045.32577903679</v>
      </c>
      <c r="DM130" s="158">
        <f>Datos_Origen[[#This Row],[Salud Nueva]]+Datos_Origen[[#This Row],[Pensión Nueva]]+Datos_Origen[[#This Row],[ARL nueva]]+Datos_Origen[[#This Row],[Parafiscales Nuevos]]</f>
        <v>2523630.5949008493</v>
      </c>
      <c r="DN130" s="158">
        <f>Datos_Origen[[#This Row],[Costo Laboral Nuevo]]+Datos_Origen[[#This Row],[Ctpol]]</f>
        <v>17115630.59490085</v>
      </c>
      <c r="DO130" s="158">
        <f>IF(Datos_Origen[[#This Row],[Ctpol]]-Datos_Origen[[#This Row],[CT]]&lt;=0,0,Datos_Origen[[#This Row],[Costo Total Nuevo]]-Datos_Origen[[#This Row],[Costo Total Actual]])</f>
        <v>6212287.5949008502</v>
      </c>
      <c r="DP130" s="158">
        <f>IF(Datos_Origen[[#This Row],[Ctpol]]-Datos_Origen[[#This Row],[CT]]&lt;=0,0,Datos_Origen[[#This Row],[Ctpol]]-Datos_Origen[[#This Row],[CT]])</f>
        <v>5296307</v>
      </c>
      <c r="DQ130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915980.59490084928</v>
      </c>
      <c r="DR130" s="158">
        <f>ROUNDDOWN(VLOOKUP(Datos_Origen[[#This Row],[Categoria]],Competitividad_1[],7,0)*IndiceIncrementoC,-3)</f>
        <v>13265000</v>
      </c>
      <c r="DS130" s="158">
        <f>Datos_Origen[[#This Row],[CTeq]]*0.8</f>
        <v>6513041.7791082179</v>
      </c>
      <c r="DT130" s="158">
        <f>Datos_Origen[[#This Row],[CTeq]]*1.2</f>
        <v>9769562.6686623264</v>
      </c>
      <c r="DU130" s="155">
        <f>IF(Datos_Origen[[#This Row],[Gpol6]]/(1+FactorPrestacionalOrdinario)&lt;SMMLV,SMMLV,Datos_Origen[[#This Row],[Gpol6]]/(1+FactorPrestacionalOrdinario))</f>
        <v>9920906.5155807361</v>
      </c>
      <c r="DV130" s="139" t="str">
        <f>IF((Datos_Origen[[#This Row],[Gpol6]]/(1+FactorPrestacionalIntegral))&lt;(13*SMMLV),"",(Datos_Origen[[#This Row],[Gpol6]]/(1+FactorPrestacionalIntegral)))</f>
        <v/>
      </c>
      <c r="DW130" s="154">
        <f>Datos_Origen[[#This Row],[G+Vpol8]]</f>
        <v>11673600</v>
      </c>
      <c r="DX130" s="154">
        <f>Datos_Origen[[#This Row],[Ctpol10]]-Datos_Origen[[#This Row],[Beneficios]]</f>
        <v>11673600</v>
      </c>
      <c r="DY130" s="154">
        <f>Datos_Origen[[#This Row],[Ctpol]]*$CM$6</f>
        <v>11673600</v>
      </c>
      <c r="DZ130" s="155">
        <f>IF(Datos_Origen[[#This Row],[Gpol66]]/(1+FactorPrestacionalOrdinario)&lt;SMMLV,SMMLV,Datos_Origen[[#This Row],[Gpol66]]/(1+FactorPrestacionalOrdinario))</f>
        <v>14881359.773371104</v>
      </c>
      <c r="EA130" s="139" t="str">
        <f>IF((Datos_Origen[[#This Row],[Gpol66]]/(1+FactorPrestacionalIntegral))&lt;(13*SMMLV),"",(Datos_Origen[[#This Row],[Gpol66]]/(1+FactorPrestacionalIntegral)))</f>
        <v/>
      </c>
      <c r="EB130" s="154">
        <f>Datos_Origen[[#This Row],[G+Vpol88]]</f>
        <v>17510400</v>
      </c>
      <c r="EC130" s="154">
        <f>Datos_Origen[[#This Row],[Ctpol1010]]-Datos_Origen[[#This Row],[Beneficios]]</f>
        <v>17510400</v>
      </c>
      <c r="ED130" s="154">
        <f>Datos_Origen[[#This Row],[Ctpol]]*$CP$6</f>
        <v>17510400</v>
      </c>
      <c r="EE130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31" spans="2:135">
      <c r="B131" s="132"/>
      <c r="C131" s="149"/>
      <c r="D131" s="150"/>
      <c r="E131" s="151"/>
      <c r="F131" s="151"/>
      <c r="G131" s="150" t="s">
        <v>538</v>
      </c>
      <c r="H131" s="153"/>
      <c r="I131" s="152" t="s">
        <v>289</v>
      </c>
      <c r="J131" s="130" t="str">
        <f>IFERROR(VLOOKUP(Datos_Origen[[#This Row],[Cargo Tipo Valorado]],Cargos_Catalogo[[#All],[Cargo]:[Área]],2,0),"")</f>
        <v/>
      </c>
      <c r="K131" s="153"/>
      <c r="L131" s="153"/>
      <c r="M131" s="153"/>
      <c r="N131" s="153"/>
      <c r="O131" s="154">
        <f>Datos_Origen[[#This Row],[Segmentación Individual]]</f>
        <v>0</v>
      </c>
      <c r="P131" s="153"/>
      <c r="Q131" s="154">
        <f>VLOOKUP(Datos_Origen[[#This Row],[Cargo Tipo Valorado]],Cargos_Catalogo[#Data],MATCH(Cargos_Catalogo[[#Headers],[Puntos]],Cargos_Catalogo[#Headers],0),FALSE)</f>
        <v>559</v>
      </c>
      <c r="R131" s="130">
        <f>VLOOKUP(Datos_Origen[[#This Row],[Puntos valoración]],Categorias_Registro[#Data],MATCH(Categorias_Registro[[#Headers],[Categoria]],Categorias_Registro[#Headers],0),FALSE)</f>
        <v>14</v>
      </c>
      <c r="S131" s="130" t="str">
        <f>VLOOKUP(Datos_Origen[[#This Row],[Cargo Tipo Valorado]],Cargos_Catalogo[#Data],MATCH(Cargos_Catalogo[[#Headers],[Nivel SHR]],Cargos_Catalogo[#Headers],0),FALSE)</f>
        <v>Gerencia media</v>
      </c>
      <c r="T131" s="130" t="str">
        <f>VLOOKUP(Datos_Origen[[#This Row],[Cargo Tipo Valorado]],Cargos_Catalogo[#Data],MATCH(Cargos_Catalogo[[#Headers],[Criticidad]],Cargos_Catalogo[#Headers],0),FALSE)</f>
        <v>Relevante</v>
      </c>
      <c r="U131" s="154">
        <f>VLOOKUP(Datos_Origen[[#This Row],[Puntos valoración]],Categorias_Registro[#Data],5,FALSE)</f>
        <v>577</v>
      </c>
      <c r="V131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12175004.49</v>
      </c>
      <c r="W131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31" s="154">
        <f>SUMIF($BA$5:$BJ$5,"NCS",Datos_Origen[[#This Row],[auxilio Gasolina]:[Otro Beneficio10]])+(SUMIF($BA$5:$BJ$5,"CS",Datos_Origen[[#This Row],[auxilio Gasolina]:[Otro Beneficio10]])*1.17667)</f>
        <v>0</v>
      </c>
      <c r="Y131" s="155">
        <f>Datos_Origen[[#This Row],[Básico]]+Datos_Origen[[#This Row],[Promedio de Comisiones  ]]</f>
        <v>10347000</v>
      </c>
      <c r="Z131" s="155">
        <f>Datos_Origen[[#This Row],[Básico]]+Datos_Origen[[#This Row],[Promedio de Comisiones  ]]</f>
        <v>10347000</v>
      </c>
      <c r="AA131" s="155">
        <f>Datos_Origen[[#This Row],[Garantizado]]</f>
        <v>12175004.49</v>
      </c>
      <c r="AB131" s="155">
        <f>Datos_Origen[[#This Row],[Variable]]+Datos_Origen[[#This Row],[Garantizado]]</f>
        <v>12175004.49</v>
      </c>
      <c r="AC131" s="155">
        <f>Datos_Origen[[#This Row],[Beneficios]]+Datos_Origen[[#This Row],[Variable]]+Datos_Origen[[#This Row],[Garantizado]]</f>
        <v>12175004.49</v>
      </c>
      <c r="AD131" s="156">
        <v>14.12</v>
      </c>
      <c r="AE131" s="141">
        <v>230</v>
      </c>
      <c r="AF131" s="345">
        <v>5.2199999999999998E-3</v>
      </c>
      <c r="AG131" s="155">
        <f>Datos_Origen[[#This Row],[Básico Actual]]*230/Datos_Origen[[#This Row],['# horas mes]]</f>
        <v>10347000</v>
      </c>
      <c r="AH131" s="157">
        <v>10347000</v>
      </c>
      <c r="AI131" s="158"/>
      <c r="AJ131" s="158">
        <f>(((Datos_Origen[[#This Row],[Básico]])/30)*$AJ$6)/12</f>
        <v>0</v>
      </c>
      <c r="AK131" s="158"/>
      <c r="AL131" s="143">
        <f>((Datos_Origen[[#This Row],[Básico]])/30)*$AL$6/12</f>
        <v>0</v>
      </c>
      <c r="AM131" s="158"/>
      <c r="AN131" s="158"/>
      <c r="AO131" s="158"/>
      <c r="AP131" s="158"/>
      <c r="AQ131" s="158"/>
      <c r="AR131" s="149">
        <v>0</v>
      </c>
      <c r="AS131" s="149"/>
      <c r="AT131" s="159" t="str">
        <f>IFERROR(Datos_Origen[[#This Row],[Comisiones Target]]/Datos_Origen[[#This Row],[Promedio de Comisiones  ]],"")</f>
        <v/>
      </c>
      <c r="AU131" s="160"/>
      <c r="AV131" s="143">
        <v>0</v>
      </c>
      <c r="AW131" s="160"/>
      <c r="AX131" s="143">
        <f>Datos_Origen[[#This Row],[N Salarios de la Bonificación2]]*Datos_Origen[[#This Row],[Básico]]/12</f>
        <v>0</v>
      </c>
      <c r="AY131" s="160"/>
      <c r="AZ131" s="158"/>
      <c r="BA131" s="149">
        <v>0</v>
      </c>
      <c r="BB131" s="149"/>
      <c r="BC131" s="149"/>
      <c r="BD131" s="149"/>
      <c r="BE131" s="149"/>
      <c r="BF131" s="149"/>
      <c r="BG131" s="149"/>
      <c r="BH131" s="149"/>
      <c r="BI131" s="149"/>
      <c r="BJ131" s="149"/>
      <c r="BK131" s="159">
        <f>IFERROR(Datos_Origen[[#This Row],[Variable]]/Datos_Origen[[#This Row],[CT]],"")</f>
        <v>0</v>
      </c>
      <c r="BL131" s="159">
        <f>IFERROR(Datos_Origen[[#This Row],[Beneficios]]/Datos_Origen[[#This Row],[CT]],"")</f>
        <v>0</v>
      </c>
      <c r="BM131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8085950.2104020286</v>
      </c>
      <c r="BN131" s="161">
        <f>Datos_Origen[[#This Row],[G]]/Datos_Origen[[#This Row],[Geq]]</f>
        <v>1.5056986715473069</v>
      </c>
      <c r="BO131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8118539.3770910595</v>
      </c>
      <c r="BP131" s="161">
        <f>Datos_Origen[[#This Row],[G+V]]/Datos_Origen[[#This Row],[G+Veq]]</f>
        <v>1.4996545467717379</v>
      </c>
      <c r="BQ131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8141302.2238852717</v>
      </c>
      <c r="BR131" s="161">
        <f>Datos_Origen[[#This Row],[CT]]/Datos_Origen[[#This Row],[CTeq]]</f>
        <v>1.4954615558037503</v>
      </c>
      <c r="BS131" s="139">
        <f>ROUNDUP(VLOOKUP(Datos_Origen[[#This Row],[Categoria]],Competitividad_1[#All],2,0)*IndiceIncrementoC,-3)</f>
        <v>11052000</v>
      </c>
      <c r="BT131" s="161">
        <f>Datos_Origen[[#This Row],[G]]/Datos_Origen[[#This Row],[GQ1]]</f>
        <v>1.1016109744842562</v>
      </c>
      <c r="BU131" s="155">
        <f>ROUNDUP(VLOOKUP(Datos_Origen[[#This Row],[Categoria]],Competitividad_1[#All],3,0)*IndiceIncrementoC,-3)</f>
        <v>11581000</v>
      </c>
      <c r="BV131" s="161">
        <f>Datos_Origen[[#This Row],[G+V]]/Datos_Origen[[#This Row],[G+VQ1]]</f>
        <v>1.0512912952249374</v>
      </c>
      <c r="BW131" s="155">
        <f>ROUNDUP(VLOOKUP(Datos_Origen[[#This Row],[Categoria]],Competitividad_1[#All],4,0)*IndiceIncrementoC,-3)</f>
        <v>12057000</v>
      </c>
      <c r="BX131" s="161">
        <f>Datos_Origen[[#This Row],[CT]]/Datos_Origen[[#This Row],[CTQ1]]</f>
        <v>1.0097872182134859</v>
      </c>
      <c r="BY131" s="155">
        <f>ROUNDUP(VLOOKUP(Datos_Origen[[#This Row],[Categoria]],Competitividad_1[#All],5,0)*IndiceIncrementoC,-3)</f>
        <v>12296000</v>
      </c>
      <c r="BZ131" s="161">
        <f>Datos_Origen[[#This Row],[G]]/Datos_Origen[[#This Row],[GMd]]</f>
        <v>0.99015976659076121</v>
      </c>
      <c r="CA131" s="155">
        <f>ROUNDUP(VLOOKUP(Datos_Origen[[#This Row],[Categoria]],Competitividad_1[#All],6,0)*IndiceIncrementoC,-3)</f>
        <v>12769000</v>
      </c>
      <c r="CB131" s="161">
        <f>Datos_Origen[[#This Row],[G+V]]/Datos_Origen[[#This Row],[G+VMd]]</f>
        <v>0.95348143864045742</v>
      </c>
      <c r="CC131" s="155">
        <f>ROUNDUP(VLOOKUP(Datos_Origen[[#This Row],[Categoria]],Competitividad_1[#All],7,0)*IndiceIncrementoC,-3)</f>
        <v>13266000</v>
      </c>
      <c r="CD131" s="161">
        <f>Datos_Origen[[#This Row],[CT]]/Datos_Origen[[#This Row],[CTMd]]</f>
        <v>0.91776002487562192</v>
      </c>
      <c r="CE131" s="155">
        <f>+Datos_Origen[[#This Row],[GMd]]/1.17666666667</f>
        <v>10449858.356910907</v>
      </c>
      <c r="CF131" s="161">
        <f>+Datos_Origen[[#This Row],[Básico Actual]]/Datos_Origen[[#This Row],[Salario Basico Md]]</f>
        <v>0.99015696161633782</v>
      </c>
      <c r="CG131" s="155">
        <f>ROUNDUP(VLOOKUP(Datos_Origen[[#This Row],[Categoria]],Competitividad_1[#All],8,0)*IndiceIncrementoC,-3)</f>
        <v>12957000</v>
      </c>
      <c r="CH131" s="161">
        <f>Datos_Origen[[#This Row],[G]]/Datos_Origen[[#This Row],[GQ3]]</f>
        <v>0.93964686964575139</v>
      </c>
      <c r="CI131" s="155">
        <f>ROUNDUP(VLOOKUP(Datos_Origen[[#This Row],[Categoria]],Competitividad_1[#All],9,0)*IndiceIncrementoC,-3)</f>
        <v>13265000</v>
      </c>
      <c r="CJ131" s="161">
        <f>Datos_Origen[[#This Row],[G+V]]/Datos_Origen[[#This Row],[G+VQ3]]</f>
        <v>0.91782921145872598</v>
      </c>
      <c r="CK131" s="155">
        <f>ROUNDUP(VLOOKUP(Datos_Origen[[#This Row],[Categoria]],Competitividad_1[#All],10,0)*IndiceIncrementoC,-3)</f>
        <v>13298000</v>
      </c>
      <c r="CL131" s="161">
        <f>Datos_Origen[[#This Row],[CT]]/Datos_Origen[[#This Row],[CTQ3]]</f>
        <v>0.91555154835313579</v>
      </c>
      <c r="CM131" s="162">
        <f>IF(ROUND(Datos_Origen[[#This Row],[Salario Ordinario Pol2]],-3)&lt;SMMLV,SMMLV,ROUND(Datos_Origen[[#This Row],[Salario Ordinario Pol2]],-3))</f>
        <v>8117000</v>
      </c>
      <c r="CN131" s="155">
        <f>IF(Datos_Origen[[#This Row],[Gpol]]/(1+FactorPrestacionalOrdinario)&lt;SMMLV,SMMLV,Datos_Origen[[#This Row],[Gpol]]/(1+FactorPrestacionalOrdinario))</f>
        <v>10146458.923512748</v>
      </c>
      <c r="CO131" s="161">
        <f>IFERROR(IF(Datos_Origen[[#This Row],[Salarios Año]]=14.12,Datos_Origen[[#This Row],[Básico]]/Datos_Origen[[#This Row],[Salario Ordinario Pol]],""),"")</f>
        <v>1.0197646369042634</v>
      </c>
      <c r="CP131" s="155">
        <f>IF(ROUND(Datos_Origen[[#This Row],[Salario Ordinario Pol22]],-3)&lt;SMMLV,SMMLV,ROUND(Datos_Origen[[#This Row],[Salario Ordinario Pol22]],-3))</f>
        <v>12176000</v>
      </c>
      <c r="CQ131" s="155" t="str">
        <f>IFERROR(ROUND(Datos_Origen[[#This Row],[Salario Integral Pol4]],-3),"")</f>
        <v/>
      </c>
      <c r="CR131" s="139" t="str">
        <f>IF((Datos_Origen[[#This Row],[Gpol]]/(1+FactorPrestacionalIntegral))&lt;(13*SMMLV),"",(Datos_Origen[[#This Row],[Gpol]]/(1+FactorPrestacionalIntegral)))</f>
        <v/>
      </c>
      <c r="CS131" s="161" t="str">
        <f>IFERROR(IF(Datos_Origen[[#This Row],[Salarios Año]]=12,Datos_Origen[[#This Row],[Básico]]/Datos_Origen[[#This Row],[Salario Integral Pol]],""),"")</f>
        <v/>
      </c>
      <c r="CT131" s="155" t="str">
        <f>IFERROR(ROUND(Datos_Origen[[#This Row],[Salario Integral Pol44]],-3),"")</f>
        <v/>
      </c>
      <c r="CU131" s="155">
        <f>Datos_Origen[[#This Row],[G+Vpol]]-Datos_Origen[[#This Row],[Variable]]</f>
        <v>11939000</v>
      </c>
      <c r="CV131" s="161">
        <f>Datos_Origen[[#This Row],[G]]/Datos_Origen[[#This Row],[Gpol]]</f>
        <v>1.019767525755926</v>
      </c>
      <c r="CW131" s="154">
        <f>Datos_Origen[[#This Row],[Ctpol]]-Datos_Origen[[#This Row],[Beneficios]]</f>
        <v>11939000</v>
      </c>
      <c r="CX131" s="161">
        <f>Datos_Origen[[#This Row],[G+V]]/Datos_Origen[[#This Row],[G+Vpol]]</f>
        <v>1.019767525755926</v>
      </c>
      <c r="CY131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11939000</v>
      </c>
      <c r="CZ131" s="161">
        <f>Datos_Origen[[#This Row],[CT]]/Datos_Origen[[#This Row],[Ctpol]]</f>
        <v>1.019767525755926</v>
      </c>
      <c r="DA131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10347000</v>
      </c>
      <c r="DB131" s="158">
        <f>IF(Datos_Origen[[#This Row],[Básico]]&lt;10*SMMLV,0,Datos_Origen[[#This Row],[Base Seguridad Social Actual]]*8.5%)</f>
        <v>0</v>
      </c>
      <c r="DC131" s="158">
        <f>Datos_Origen[[#This Row],[Base Seguridad Social Actual]]*12%</f>
        <v>1241640</v>
      </c>
      <c r="DD131" s="158">
        <f>Datos_Origen[[#This Row],[Base Seguridad Social Actual]]*Datos_Origen[[#This Row],[%ARL]]</f>
        <v>54011.34</v>
      </c>
      <c r="DE131" s="158">
        <f>IF(Datos_Origen[[#This Row],[Básico]]&lt;10*SMMLV,Datos_Origen[[#This Row],[Base Seguridad Social Actual]]*4%,Datos_Origen[[#This Row],[Base Seguridad Social Actual]]*9%)</f>
        <v>413880</v>
      </c>
      <c r="DF131" s="158">
        <f>Datos_Origen[[#This Row],[Salud]]+Datos_Origen[[#This Row],[Pensión]]+Datos_Origen[[#This Row],[ARL]]+Datos_Origen[[#This Row],[Parafiscales]]</f>
        <v>1709531.34</v>
      </c>
      <c r="DG131" s="163">
        <f>Datos_Origen[[#This Row],[Costo Laboral Actual]]+Datos_Origen[[#This Row],[CT]]</f>
        <v>13884535.83</v>
      </c>
      <c r="DH131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10146458.923512748</v>
      </c>
      <c r="DI131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31" s="158">
        <f>Datos_Origen[[#This Row],[Base Seguridad Social Nueva]]*12%</f>
        <v>1217575.0708215297</v>
      </c>
      <c r="DK131" s="158">
        <f>Datos_Origen[[#This Row],[Base Seguridad Social Nueva]]*Datos_Origen[[#This Row],[%ARL]]</f>
        <v>52964.515580736537</v>
      </c>
      <c r="DL131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405858.35694050993</v>
      </c>
      <c r="DM131" s="158">
        <f>Datos_Origen[[#This Row],[Salud Nueva]]+Datos_Origen[[#This Row],[Pensión Nueva]]+Datos_Origen[[#This Row],[ARL nueva]]+Datos_Origen[[#This Row],[Parafiscales Nuevos]]</f>
        <v>1676397.9433427763</v>
      </c>
      <c r="DN131" s="158">
        <f>Datos_Origen[[#This Row],[Costo Laboral Nuevo]]+Datos_Origen[[#This Row],[Ctpol]]</f>
        <v>13615397.943342777</v>
      </c>
      <c r="DO131" s="158">
        <f>IF(Datos_Origen[[#This Row],[Ctpol]]-Datos_Origen[[#This Row],[CT]]&lt;=0,0,Datos_Origen[[#This Row],[Costo Total Nuevo]]-Datos_Origen[[#This Row],[Costo Total Actual]])</f>
        <v>0</v>
      </c>
      <c r="DP131" s="158">
        <f>IF(Datos_Origen[[#This Row],[Ctpol]]-Datos_Origen[[#This Row],[CT]]&lt;=0,0,Datos_Origen[[#This Row],[Ctpol]]-Datos_Origen[[#This Row],[CT]])</f>
        <v>0</v>
      </c>
      <c r="DQ131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0</v>
      </c>
      <c r="DR131" s="158">
        <f>ROUNDDOWN(VLOOKUP(Datos_Origen[[#This Row],[Categoria]],Competitividad_1[],7,0)*IndiceIncrementoC,-3)</f>
        <v>13265000</v>
      </c>
      <c r="DS131" s="158">
        <f>Datos_Origen[[#This Row],[CTeq]]*0.8</f>
        <v>6513041.7791082179</v>
      </c>
      <c r="DT131" s="158">
        <f>Datos_Origen[[#This Row],[CTeq]]*1.2</f>
        <v>9769562.6686623264</v>
      </c>
      <c r="DU131" s="155">
        <f>IF(Datos_Origen[[#This Row],[Gpol6]]/(1+FactorPrestacionalOrdinario)&lt;SMMLV,SMMLV,Datos_Origen[[#This Row],[Gpol6]]/(1+FactorPrestacionalOrdinario))</f>
        <v>8117167.1388101978</v>
      </c>
      <c r="DV131" s="139" t="str">
        <f>IF((Datos_Origen[[#This Row],[Gpol6]]/(1+FactorPrestacionalIntegral))&lt;(13*SMMLV),"",(Datos_Origen[[#This Row],[Gpol6]]/(1+FactorPrestacionalIntegral)))</f>
        <v/>
      </c>
      <c r="DW131" s="154">
        <f>Datos_Origen[[#This Row],[G+Vpol8]]</f>
        <v>9551200</v>
      </c>
      <c r="DX131" s="154">
        <f>Datos_Origen[[#This Row],[Ctpol10]]-Datos_Origen[[#This Row],[Beneficios]]</f>
        <v>9551200</v>
      </c>
      <c r="DY131" s="154">
        <f>Datos_Origen[[#This Row],[Ctpol]]*$CM$6</f>
        <v>9551200</v>
      </c>
      <c r="DZ131" s="155">
        <f>IF(Datos_Origen[[#This Row],[Gpol66]]/(1+FactorPrestacionalOrdinario)&lt;SMMLV,SMMLV,Datos_Origen[[#This Row],[Gpol66]]/(1+FactorPrestacionalOrdinario))</f>
        <v>12175750.708215296</v>
      </c>
      <c r="EA131" s="139" t="str">
        <f>IF((Datos_Origen[[#This Row],[Gpol66]]/(1+FactorPrestacionalIntegral))&lt;(13*SMMLV),"",(Datos_Origen[[#This Row],[Gpol66]]/(1+FactorPrestacionalIntegral)))</f>
        <v/>
      </c>
      <c r="EB131" s="154">
        <f>Datos_Origen[[#This Row],[G+Vpol88]]</f>
        <v>14326800</v>
      </c>
      <c r="EC131" s="154">
        <f>Datos_Origen[[#This Row],[Ctpol1010]]-Datos_Origen[[#This Row],[Beneficios]]</f>
        <v>14326800</v>
      </c>
      <c r="ED131" s="154">
        <f>Datos_Origen[[#This Row],[Ctpol]]*$CP$6</f>
        <v>14326800</v>
      </c>
      <c r="EE131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32" spans="2:135">
      <c r="B132" s="132"/>
      <c r="C132" s="149"/>
      <c r="D132" s="150"/>
      <c r="E132" s="151"/>
      <c r="F132" s="151"/>
      <c r="G132" s="150" t="s">
        <v>539</v>
      </c>
      <c r="H132" s="153"/>
      <c r="I132" s="152" t="s">
        <v>291</v>
      </c>
      <c r="J132" s="130" t="str">
        <f>IFERROR(VLOOKUP(Datos_Origen[[#This Row],[Cargo Tipo Valorado]],Cargos_Catalogo[[#All],[Cargo]:[Área]],2,0),"")</f>
        <v/>
      </c>
      <c r="K132" s="153"/>
      <c r="L132" s="153"/>
      <c r="M132" s="153"/>
      <c r="N132" s="153"/>
      <c r="O132" s="154">
        <f>Datos_Origen[[#This Row],[Segmentación Individual]]</f>
        <v>0</v>
      </c>
      <c r="P132" s="153"/>
      <c r="Q132" s="154">
        <f>VLOOKUP(Datos_Origen[[#This Row],[Cargo Tipo Valorado]],Cargos_Catalogo[#Data],MATCH(Cargos_Catalogo[[#Headers],[Puntos]],Cargos_Catalogo[#Headers],0),FALSE)</f>
        <v>559</v>
      </c>
      <c r="R132" s="130">
        <f>VLOOKUP(Datos_Origen[[#This Row],[Puntos valoración]],Categorias_Registro[#Data],MATCH(Categorias_Registro[[#Headers],[Categoria]],Categorias_Registro[#Headers],0),FALSE)</f>
        <v>14</v>
      </c>
      <c r="S132" s="130" t="str">
        <f>VLOOKUP(Datos_Origen[[#This Row],[Cargo Tipo Valorado]],Cargos_Catalogo[#Data],MATCH(Cargos_Catalogo[[#Headers],[Nivel SHR]],Cargos_Catalogo[#Headers],0),FALSE)</f>
        <v>Gerencia media</v>
      </c>
      <c r="T132" s="130" t="str">
        <f>VLOOKUP(Datos_Origen[[#This Row],[Cargo Tipo Valorado]],Cargos_Catalogo[#Data],MATCH(Cargos_Catalogo[[#Headers],[Criticidad]],Cargos_Catalogo[#Headers],0),FALSE)</f>
        <v>Muy Importante</v>
      </c>
      <c r="U132" s="154">
        <f>VLOOKUP(Datos_Origen[[#This Row],[Puntos valoración]],Categorias_Registro[#Data],5,FALSE)</f>
        <v>577</v>
      </c>
      <c r="V132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6023373.7300000004</v>
      </c>
      <c r="W132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32" s="154">
        <f>SUMIF($BA$5:$BJ$5,"NCS",Datos_Origen[[#This Row],[auxilio Gasolina]:[Otro Beneficio10]])+(SUMIF($BA$5:$BJ$5,"CS",Datos_Origen[[#This Row],[auxilio Gasolina]:[Otro Beneficio10]])*1.17667)</f>
        <v>0</v>
      </c>
      <c r="Y132" s="155">
        <f>Datos_Origen[[#This Row],[Básico]]+Datos_Origen[[#This Row],[Promedio de Comisiones  ]]</f>
        <v>5119000</v>
      </c>
      <c r="Z132" s="155">
        <f>Datos_Origen[[#This Row],[Básico]]+Datos_Origen[[#This Row],[Promedio de Comisiones  ]]</f>
        <v>5119000</v>
      </c>
      <c r="AA132" s="155">
        <f>Datos_Origen[[#This Row],[Garantizado]]</f>
        <v>6023373.7300000004</v>
      </c>
      <c r="AB132" s="155">
        <f>Datos_Origen[[#This Row],[Variable]]+Datos_Origen[[#This Row],[Garantizado]]</f>
        <v>6023373.7300000004</v>
      </c>
      <c r="AC132" s="155">
        <f>Datos_Origen[[#This Row],[Beneficios]]+Datos_Origen[[#This Row],[Variable]]+Datos_Origen[[#This Row],[Garantizado]]</f>
        <v>6023373.7300000004</v>
      </c>
      <c r="AD132" s="156">
        <v>14.12</v>
      </c>
      <c r="AE132" s="141">
        <v>230</v>
      </c>
      <c r="AF132" s="345">
        <v>5.2199999999999998E-3</v>
      </c>
      <c r="AG132" s="155">
        <f>Datos_Origen[[#This Row],[Básico Actual]]*230/Datos_Origen[[#This Row],['# horas mes]]</f>
        <v>5119000</v>
      </c>
      <c r="AH132" s="157">
        <v>5119000</v>
      </c>
      <c r="AI132" s="158"/>
      <c r="AJ132" s="158">
        <f>(((Datos_Origen[[#This Row],[Básico]])/30)*$AJ$6)/12</f>
        <v>0</v>
      </c>
      <c r="AK132" s="158"/>
      <c r="AL132" s="143">
        <f>((Datos_Origen[[#This Row],[Básico]])/30)*$AL$6/12</f>
        <v>0</v>
      </c>
      <c r="AM132" s="158"/>
      <c r="AN132" s="158"/>
      <c r="AO132" s="158"/>
      <c r="AP132" s="158"/>
      <c r="AQ132" s="158"/>
      <c r="AR132" s="149">
        <v>0</v>
      </c>
      <c r="AS132" s="149"/>
      <c r="AT132" s="159" t="str">
        <f>IFERROR(Datos_Origen[[#This Row],[Comisiones Target]]/Datos_Origen[[#This Row],[Promedio de Comisiones  ]],"")</f>
        <v/>
      </c>
      <c r="AU132" s="160"/>
      <c r="AV132" s="143">
        <v>0</v>
      </c>
      <c r="AW132" s="160"/>
      <c r="AX132" s="143">
        <f>Datos_Origen[[#This Row],[N Salarios de la Bonificación2]]*Datos_Origen[[#This Row],[Básico]]/12</f>
        <v>0</v>
      </c>
      <c r="AY132" s="160"/>
      <c r="AZ132" s="158"/>
      <c r="BA132" s="149">
        <v>0</v>
      </c>
      <c r="BB132" s="149"/>
      <c r="BC132" s="149"/>
      <c r="BD132" s="149"/>
      <c r="BE132" s="149"/>
      <c r="BF132" s="149"/>
      <c r="BG132" s="149"/>
      <c r="BH132" s="149"/>
      <c r="BI132" s="149"/>
      <c r="BJ132" s="149"/>
      <c r="BK132" s="159">
        <f>IFERROR(Datos_Origen[[#This Row],[Variable]]/Datos_Origen[[#This Row],[CT]],"")</f>
        <v>0</v>
      </c>
      <c r="BL132" s="159">
        <f>IFERROR(Datos_Origen[[#This Row],[Beneficios]]/Datos_Origen[[#This Row],[CT]],"")</f>
        <v>0</v>
      </c>
      <c r="BM132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8085950.2104020286</v>
      </c>
      <c r="BN132" s="161">
        <f>Datos_Origen[[#This Row],[G]]/Datos_Origen[[#This Row],[Geq]]</f>
        <v>0.7449184787523595</v>
      </c>
      <c r="BO132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8118539.3770910595</v>
      </c>
      <c r="BP132" s="161">
        <f>Datos_Origen[[#This Row],[G+V]]/Datos_Origen[[#This Row],[G+Veq]]</f>
        <v>0.74192825214308755</v>
      </c>
      <c r="BQ132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8141302.2238852717</v>
      </c>
      <c r="BR132" s="161">
        <f>Datos_Origen[[#This Row],[CT]]/Datos_Origen[[#This Row],[CTeq]]</f>
        <v>0.73985384209523508</v>
      </c>
      <c r="BS132" s="139">
        <f>ROUNDUP(VLOOKUP(Datos_Origen[[#This Row],[Categoria]],Competitividad_1[#All],2,0)*IndiceIncrementoC,-3)</f>
        <v>11052000</v>
      </c>
      <c r="BT132" s="161">
        <f>Datos_Origen[[#This Row],[G]]/Datos_Origen[[#This Row],[GQ1]]</f>
        <v>0.54500305193630116</v>
      </c>
      <c r="BU132" s="155">
        <f>ROUNDUP(VLOOKUP(Datos_Origen[[#This Row],[Categoria]],Competitividad_1[#All],3,0)*IndiceIncrementoC,-3)</f>
        <v>11581000</v>
      </c>
      <c r="BV132" s="161">
        <f>Datos_Origen[[#This Row],[G+V]]/Datos_Origen[[#This Row],[G+VQ1]]</f>
        <v>0.52010825749071754</v>
      </c>
      <c r="BW132" s="155">
        <f>ROUNDUP(VLOOKUP(Datos_Origen[[#This Row],[Categoria]],Competitividad_1[#All],4,0)*IndiceIncrementoC,-3)</f>
        <v>12057000</v>
      </c>
      <c r="BX132" s="161">
        <f>Datos_Origen[[#This Row],[CT]]/Datos_Origen[[#This Row],[CTQ1]]</f>
        <v>0.4995748303889857</v>
      </c>
      <c r="BY132" s="155">
        <f>ROUNDUP(VLOOKUP(Datos_Origen[[#This Row],[Categoria]],Competitividad_1[#All],5,0)*IndiceIncrementoC,-3)</f>
        <v>12296000</v>
      </c>
      <c r="BZ132" s="161">
        <f>Datos_Origen[[#This Row],[G]]/Datos_Origen[[#This Row],[GMd]]</f>
        <v>0.48986448682498379</v>
      </c>
      <c r="CA132" s="155">
        <f>ROUNDUP(VLOOKUP(Datos_Origen[[#This Row],[Categoria]],Competitividad_1[#All],6,0)*IndiceIncrementoC,-3)</f>
        <v>12769000</v>
      </c>
      <c r="CB132" s="161">
        <f>Datos_Origen[[#This Row],[G+V]]/Datos_Origen[[#This Row],[G+VMd]]</f>
        <v>0.47171851593703507</v>
      </c>
      <c r="CC132" s="155">
        <f>ROUNDUP(VLOOKUP(Datos_Origen[[#This Row],[Categoria]],Competitividad_1[#All],7,0)*IndiceIncrementoC,-3)</f>
        <v>13266000</v>
      </c>
      <c r="CD132" s="161">
        <f>Datos_Origen[[#This Row],[CT]]/Datos_Origen[[#This Row],[CTMd]]</f>
        <v>0.45404596185737978</v>
      </c>
      <c r="CE132" s="155">
        <f>+Datos_Origen[[#This Row],[GMd]]/1.17666666667</f>
        <v>10449858.356910907</v>
      </c>
      <c r="CF132" s="161">
        <f>+Datos_Origen[[#This Row],[Básico Actual]]/Datos_Origen[[#This Row],[Salario Basico Md]]</f>
        <v>0.48986309911220965</v>
      </c>
      <c r="CG132" s="155">
        <f>ROUNDUP(VLOOKUP(Datos_Origen[[#This Row],[Categoria]],Competitividad_1[#All],8,0)*IndiceIncrementoC,-3)</f>
        <v>12957000</v>
      </c>
      <c r="CH132" s="161">
        <f>Datos_Origen[[#This Row],[G]]/Datos_Origen[[#This Row],[GQ3]]</f>
        <v>0.46487410125800727</v>
      </c>
      <c r="CI132" s="155">
        <f>ROUNDUP(VLOOKUP(Datos_Origen[[#This Row],[Categoria]],Competitividad_1[#All],9,0)*IndiceIncrementoC,-3)</f>
        <v>13265000</v>
      </c>
      <c r="CJ132" s="161">
        <f>Datos_Origen[[#This Row],[G+V]]/Datos_Origen[[#This Row],[G+VQ3]]</f>
        <v>0.45408019072747835</v>
      </c>
      <c r="CK132" s="155">
        <f>ROUNDUP(VLOOKUP(Datos_Origen[[#This Row],[Categoria]],Competitividad_1[#All],10,0)*IndiceIncrementoC,-3)</f>
        <v>13298000</v>
      </c>
      <c r="CL132" s="161">
        <f>Datos_Origen[[#This Row],[CT]]/Datos_Origen[[#This Row],[CTQ3]]</f>
        <v>0.45295335614378107</v>
      </c>
      <c r="CM132" s="162">
        <f>IF(ROUND(Datos_Origen[[#This Row],[Salario Ordinario Pol2]],-3)&lt;SMMLV,SMMLV,ROUND(Datos_Origen[[#This Row],[Salario Ordinario Pol2]],-3))</f>
        <v>9921000</v>
      </c>
      <c r="CN132" s="155">
        <f>IF(Datos_Origen[[#This Row],[Gpol]]/(1+FactorPrestacionalOrdinario)&lt;SMMLV,SMMLV,Datos_Origen[[#This Row],[Gpol]]/(1+FactorPrestacionalOrdinario))</f>
        <v>12401133.14447592</v>
      </c>
      <c r="CO132" s="161">
        <f>IFERROR(IF(Datos_Origen[[#This Row],[Salarios Año]]=14.12,Datos_Origen[[#This Row],[Básico]]/Datos_Origen[[#This Row],[Salario Ordinario Pol]],""),"")</f>
        <v>0.41278485928362574</v>
      </c>
      <c r="CP132" s="155">
        <f>IF(ROUND(Datos_Origen[[#This Row],[Salario Ordinario Pol22]],-3)&lt;SMMLV,SMMLV,ROUND(Datos_Origen[[#This Row],[Salario Ordinario Pol22]],-3))</f>
        <v>14881000</v>
      </c>
      <c r="CQ132" s="155" t="str">
        <f>IFERROR(ROUND(Datos_Origen[[#This Row],[Salario Integral Pol4]],-3),"")</f>
        <v/>
      </c>
      <c r="CR132" s="139" t="str">
        <f>IF((Datos_Origen[[#This Row],[Gpol]]/(1+FactorPrestacionalIntegral))&lt;(13*SMMLV),"",(Datos_Origen[[#This Row],[Gpol]]/(1+FactorPrestacionalIntegral)))</f>
        <v/>
      </c>
      <c r="CS132" s="161" t="str">
        <f>IFERROR(IF(Datos_Origen[[#This Row],[Salarios Año]]=12,Datos_Origen[[#This Row],[Básico]]/Datos_Origen[[#This Row],[Salario Integral Pol]],""),"")</f>
        <v/>
      </c>
      <c r="CT132" s="155" t="str">
        <f>IFERROR(ROUND(Datos_Origen[[#This Row],[Salario Integral Pol44]],-3),"")</f>
        <v/>
      </c>
      <c r="CU132" s="155">
        <f>Datos_Origen[[#This Row],[G+Vpol]]-Datos_Origen[[#This Row],[Variable]]</f>
        <v>14592000</v>
      </c>
      <c r="CV132" s="161">
        <f>Datos_Origen[[#This Row],[G]]/Datos_Origen[[#This Row],[Gpol]]</f>
        <v>0.41278602864583336</v>
      </c>
      <c r="CW132" s="154">
        <f>Datos_Origen[[#This Row],[Ctpol]]-Datos_Origen[[#This Row],[Beneficios]]</f>
        <v>14592000</v>
      </c>
      <c r="CX132" s="161">
        <f>Datos_Origen[[#This Row],[G+V]]/Datos_Origen[[#This Row],[G+Vpol]]</f>
        <v>0.41278602864583336</v>
      </c>
      <c r="CY132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14592000</v>
      </c>
      <c r="CZ132" s="161">
        <f>Datos_Origen[[#This Row],[CT]]/Datos_Origen[[#This Row],[Ctpol]]</f>
        <v>0.41278602864583336</v>
      </c>
      <c r="DA132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5119000</v>
      </c>
      <c r="DB132" s="158">
        <f>IF(Datos_Origen[[#This Row],[Básico]]&lt;10*SMMLV,0,Datos_Origen[[#This Row],[Base Seguridad Social Actual]]*8.5%)</f>
        <v>0</v>
      </c>
      <c r="DC132" s="158">
        <f>Datos_Origen[[#This Row],[Base Seguridad Social Actual]]*12%</f>
        <v>614280</v>
      </c>
      <c r="DD132" s="158">
        <f>Datos_Origen[[#This Row],[Base Seguridad Social Actual]]*Datos_Origen[[#This Row],[%ARL]]</f>
        <v>26721.18</v>
      </c>
      <c r="DE132" s="158">
        <f>IF(Datos_Origen[[#This Row],[Básico]]&lt;10*SMMLV,Datos_Origen[[#This Row],[Base Seguridad Social Actual]]*4%,Datos_Origen[[#This Row],[Base Seguridad Social Actual]]*9%)</f>
        <v>204760</v>
      </c>
      <c r="DF132" s="158">
        <f>Datos_Origen[[#This Row],[Salud]]+Datos_Origen[[#This Row],[Pensión]]+Datos_Origen[[#This Row],[ARL]]+Datos_Origen[[#This Row],[Parafiscales]]</f>
        <v>845761.18</v>
      </c>
      <c r="DG132" s="158">
        <f>Datos_Origen[[#This Row],[Costo Laboral Actual]]+Datos_Origen[[#This Row],[CT]]</f>
        <v>6869134.9100000001</v>
      </c>
      <c r="DH132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12401133.14447592</v>
      </c>
      <c r="DI132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32" s="158">
        <f>Datos_Origen[[#This Row],[Base Seguridad Social Nueva]]*12%</f>
        <v>1488135.9773371103</v>
      </c>
      <c r="DK132" s="158">
        <f>Datos_Origen[[#This Row],[Base Seguridad Social Nueva]]*Datos_Origen[[#This Row],[%ARL]]</f>
        <v>64733.915014164304</v>
      </c>
      <c r="DL132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496045.32577903679</v>
      </c>
      <c r="DM132" s="158">
        <f>Datos_Origen[[#This Row],[Salud Nueva]]+Datos_Origen[[#This Row],[Pensión Nueva]]+Datos_Origen[[#This Row],[ARL nueva]]+Datos_Origen[[#This Row],[Parafiscales Nuevos]]</f>
        <v>2048915.2181303115</v>
      </c>
      <c r="DN132" s="158">
        <f>Datos_Origen[[#This Row],[Costo Laboral Nuevo]]+Datos_Origen[[#This Row],[Ctpol]]</f>
        <v>16640915.218130311</v>
      </c>
      <c r="DO132" s="158">
        <f>IF(Datos_Origen[[#This Row],[Ctpol]]-Datos_Origen[[#This Row],[CT]]&lt;=0,0,Datos_Origen[[#This Row],[Costo Total Nuevo]]-Datos_Origen[[#This Row],[Costo Total Actual]])</f>
        <v>9771780.3081303108</v>
      </c>
      <c r="DP132" s="158">
        <f>IF(Datos_Origen[[#This Row],[Ctpol]]-Datos_Origen[[#This Row],[CT]]&lt;=0,0,Datos_Origen[[#This Row],[Ctpol]]-Datos_Origen[[#This Row],[CT]])</f>
        <v>8568626.2699999996</v>
      </c>
      <c r="DQ132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1203154.0381303113</v>
      </c>
      <c r="DR132" s="158">
        <f>ROUNDDOWN(VLOOKUP(Datos_Origen[[#This Row],[Categoria]],Competitividad_1[],7,0)*IndiceIncrementoC,-3)</f>
        <v>13265000</v>
      </c>
      <c r="DS132" s="158">
        <f>Datos_Origen[[#This Row],[CTeq]]*0.8</f>
        <v>6513041.7791082179</v>
      </c>
      <c r="DT132" s="158">
        <f>Datos_Origen[[#This Row],[CTeq]]*1.2</f>
        <v>9769562.6686623264</v>
      </c>
      <c r="DU132" s="155">
        <f>IF(Datos_Origen[[#This Row],[Gpol6]]/(1+FactorPrestacionalOrdinario)&lt;SMMLV,SMMLV,Datos_Origen[[#This Row],[Gpol6]]/(1+FactorPrestacionalOrdinario))</f>
        <v>9920906.5155807361</v>
      </c>
      <c r="DV132" s="139" t="str">
        <f>IF((Datos_Origen[[#This Row],[Gpol6]]/(1+FactorPrestacionalIntegral))&lt;(13*SMMLV),"",(Datos_Origen[[#This Row],[Gpol6]]/(1+FactorPrestacionalIntegral)))</f>
        <v/>
      </c>
      <c r="DW132" s="154">
        <f>Datos_Origen[[#This Row],[G+Vpol8]]</f>
        <v>11673600</v>
      </c>
      <c r="DX132" s="154">
        <f>Datos_Origen[[#This Row],[Ctpol10]]-Datos_Origen[[#This Row],[Beneficios]]</f>
        <v>11673600</v>
      </c>
      <c r="DY132" s="154">
        <f>Datos_Origen[[#This Row],[Ctpol]]*$CM$6</f>
        <v>11673600</v>
      </c>
      <c r="DZ132" s="155">
        <f>IF(Datos_Origen[[#This Row],[Gpol66]]/(1+FactorPrestacionalOrdinario)&lt;SMMLV,SMMLV,Datos_Origen[[#This Row],[Gpol66]]/(1+FactorPrestacionalOrdinario))</f>
        <v>14881359.773371104</v>
      </c>
      <c r="EA132" s="139" t="str">
        <f>IF((Datos_Origen[[#This Row],[Gpol66]]/(1+FactorPrestacionalIntegral))&lt;(13*SMMLV),"",(Datos_Origen[[#This Row],[Gpol66]]/(1+FactorPrestacionalIntegral)))</f>
        <v/>
      </c>
      <c r="EB132" s="154">
        <f>Datos_Origen[[#This Row],[G+Vpol88]]</f>
        <v>17510400</v>
      </c>
      <c r="EC132" s="154">
        <f>Datos_Origen[[#This Row],[Ctpol1010]]-Datos_Origen[[#This Row],[Beneficios]]</f>
        <v>17510400</v>
      </c>
      <c r="ED132" s="154">
        <f>Datos_Origen[[#This Row],[Ctpol]]*$CP$6</f>
        <v>17510400</v>
      </c>
      <c r="EE132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33" spans="2:135">
      <c r="B133" s="132"/>
      <c r="C133" s="149"/>
      <c r="D133" s="150"/>
      <c r="E133" s="151"/>
      <c r="F133" s="151"/>
      <c r="G133" s="150" t="s">
        <v>540</v>
      </c>
      <c r="H133" s="153"/>
      <c r="I133" s="152" t="s">
        <v>292</v>
      </c>
      <c r="J133" s="130" t="str">
        <f>IFERROR(VLOOKUP(Datos_Origen[[#This Row],[Cargo Tipo Valorado]],Cargos_Catalogo[[#All],[Cargo]:[Área]],2,0),"")</f>
        <v/>
      </c>
      <c r="K133" s="153"/>
      <c r="L133" s="153"/>
      <c r="M133" s="153"/>
      <c r="N133" s="153"/>
      <c r="O133" s="154">
        <f>Datos_Origen[[#This Row],[Segmentación Individual]]</f>
        <v>0</v>
      </c>
      <c r="P133" s="153"/>
      <c r="Q133" s="154">
        <f>VLOOKUP(Datos_Origen[[#This Row],[Cargo Tipo Valorado]],Cargos_Catalogo[#Data],MATCH(Cargos_Catalogo[[#Headers],[Puntos]],Cargos_Catalogo[#Headers],0),FALSE)</f>
        <v>599</v>
      </c>
      <c r="R133" s="130">
        <f>VLOOKUP(Datos_Origen[[#This Row],[Puntos valoración]],Categorias_Registro[#Data],MATCH(Categorias_Registro[[#Headers],[Categoria]],Categorias_Registro[#Headers],0),FALSE)</f>
        <v>14</v>
      </c>
      <c r="S133" s="130" t="str">
        <f>VLOOKUP(Datos_Origen[[#This Row],[Cargo Tipo Valorado]],Cargos_Catalogo[#Data],MATCH(Cargos_Catalogo[[#Headers],[Nivel SHR]],Cargos_Catalogo[#Headers],0),FALSE)</f>
        <v>Gerencia media</v>
      </c>
      <c r="T133" s="130" t="str">
        <f>VLOOKUP(Datos_Origen[[#This Row],[Cargo Tipo Valorado]],Cargos_Catalogo[#Data],MATCH(Cargos_Catalogo[[#Headers],[Criticidad]],Cargos_Catalogo[#Headers],0),FALSE)</f>
        <v>Relevante</v>
      </c>
      <c r="U133" s="154">
        <f>VLOOKUP(Datos_Origen[[#This Row],[Puntos valoración]],Categorias_Registro[#Data],5,FALSE)</f>
        <v>577</v>
      </c>
      <c r="V133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11477239.180000002</v>
      </c>
      <c r="W133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33" s="154">
        <f>SUMIF($BA$5:$BJ$5,"NCS",Datos_Origen[[#This Row],[auxilio Gasolina]:[Otro Beneficio10]])+(SUMIF($BA$5:$BJ$5,"CS",Datos_Origen[[#This Row],[auxilio Gasolina]:[Otro Beneficio10]])*1.17667)</f>
        <v>0</v>
      </c>
      <c r="Y133" s="155">
        <f>Datos_Origen[[#This Row],[Básico]]+Datos_Origen[[#This Row],[Promedio de Comisiones  ]]</f>
        <v>9754000</v>
      </c>
      <c r="Z133" s="155">
        <f>Datos_Origen[[#This Row],[Básico]]+Datos_Origen[[#This Row],[Promedio de Comisiones  ]]</f>
        <v>9754000</v>
      </c>
      <c r="AA133" s="155">
        <f>Datos_Origen[[#This Row],[Garantizado]]</f>
        <v>11477239.180000002</v>
      </c>
      <c r="AB133" s="155">
        <f>Datos_Origen[[#This Row],[Variable]]+Datos_Origen[[#This Row],[Garantizado]]</f>
        <v>11477239.180000002</v>
      </c>
      <c r="AC133" s="155">
        <f>Datos_Origen[[#This Row],[Beneficios]]+Datos_Origen[[#This Row],[Variable]]+Datos_Origen[[#This Row],[Garantizado]]</f>
        <v>11477239.180000002</v>
      </c>
      <c r="AD133" s="156">
        <v>14.12</v>
      </c>
      <c r="AE133" s="141">
        <v>230</v>
      </c>
      <c r="AF133" s="345">
        <v>5.2199999999999998E-3</v>
      </c>
      <c r="AG133" s="155">
        <f>Datos_Origen[[#This Row],[Básico Actual]]*230/Datos_Origen[[#This Row],['# horas mes]]</f>
        <v>9754000</v>
      </c>
      <c r="AH133" s="157">
        <v>9754000</v>
      </c>
      <c r="AI133" s="158"/>
      <c r="AJ133" s="158">
        <f>(((Datos_Origen[[#This Row],[Básico]])/30)*$AJ$6)/12</f>
        <v>0</v>
      </c>
      <c r="AK133" s="158"/>
      <c r="AL133" s="143">
        <f>((Datos_Origen[[#This Row],[Básico]])/30)*$AL$6/12</f>
        <v>0</v>
      </c>
      <c r="AM133" s="158"/>
      <c r="AN133" s="158"/>
      <c r="AO133" s="158"/>
      <c r="AP133" s="158"/>
      <c r="AQ133" s="158"/>
      <c r="AR133" s="149">
        <v>0</v>
      </c>
      <c r="AS133" s="149"/>
      <c r="AT133" s="159" t="str">
        <f>IFERROR(Datos_Origen[[#This Row],[Comisiones Target]]/Datos_Origen[[#This Row],[Promedio de Comisiones  ]],"")</f>
        <v/>
      </c>
      <c r="AU133" s="160"/>
      <c r="AV133" s="143">
        <v>0</v>
      </c>
      <c r="AW133" s="160"/>
      <c r="AX133" s="143">
        <f>Datos_Origen[[#This Row],[N Salarios de la Bonificación2]]*Datos_Origen[[#This Row],[Básico]]/12</f>
        <v>0</v>
      </c>
      <c r="AY133" s="160"/>
      <c r="AZ133" s="158"/>
      <c r="BA133" s="149">
        <v>0</v>
      </c>
      <c r="BB133" s="149"/>
      <c r="BC133" s="149"/>
      <c r="BD133" s="149"/>
      <c r="BE133" s="149"/>
      <c r="BF133" s="149"/>
      <c r="BG133" s="149"/>
      <c r="BH133" s="149"/>
      <c r="BI133" s="149"/>
      <c r="BJ133" s="149"/>
      <c r="BK133" s="159">
        <f>IFERROR(Datos_Origen[[#This Row],[Variable]]/Datos_Origen[[#This Row],[CT]],"")</f>
        <v>0</v>
      </c>
      <c r="BL133" s="159">
        <f>IFERROR(Datos_Origen[[#This Row],[Beneficios]]/Datos_Origen[[#This Row],[CT]],"")</f>
        <v>0</v>
      </c>
      <c r="BM133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8085950.2104020286</v>
      </c>
      <c r="BN133" s="161">
        <f>Datos_Origen[[#This Row],[G]]/Datos_Origen[[#This Row],[Geq]]</f>
        <v>1.4194051263431364</v>
      </c>
      <c r="BO133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8118539.3770910595</v>
      </c>
      <c r="BP133" s="161">
        <f>Datos_Origen[[#This Row],[G+V]]/Datos_Origen[[#This Row],[G+Veq]]</f>
        <v>1.4137073982034922</v>
      </c>
      <c r="BQ133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8141302.2238852717</v>
      </c>
      <c r="BR133" s="161">
        <f>Datos_Origen[[#This Row],[CT]]/Datos_Origen[[#This Row],[CTeq]]</f>
        <v>1.4097547129902177</v>
      </c>
      <c r="BS133" s="139">
        <f>ROUNDUP(VLOOKUP(Datos_Origen[[#This Row],[Categoria]],Competitividad_1[#All],2,0)*IndiceIncrementoC,-3)</f>
        <v>11052000</v>
      </c>
      <c r="BT133" s="161">
        <f>Datos_Origen[[#This Row],[G]]/Datos_Origen[[#This Row],[GQ1]]</f>
        <v>1.0384762196887443</v>
      </c>
      <c r="BU133" s="155">
        <f>ROUNDUP(VLOOKUP(Datos_Origen[[#This Row],[Categoria]],Competitividad_1[#All],3,0)*IndiceIncrementoC,-3)</f>
        <v>11581000</v>
      </c>
      <c r="BV133" s="161">
        <f>Datos_Origen[[#This Row],[G+V]]/Datos_Origen[[#This Row],[G+VQ1]]</f>
        <v>0.9910404265607462</v>
      </c>
      <c r="BW133" s="155">
        <f>ROUNDUP(VLOOKUP(Datos_Origen[[#This Row],[Categoria]],Competitividad_1[#All],4,0)*IndiceIncrementoC,-3)</f>
        <v>12057000</v>
      </c>
      <c r="BX133" s="161">
        <f>Datos_Origen[[#This Row],[CT]]/Datos_Origen[[#This Row],[CTQ1]]</f>
        <v>0.95191500207348445</v>
      </c>
      <c r="BY133" s="155">
        <f>ROUNDUP(VLOOKUP(Datos_Origen[[#This Row],[Categoria]],Competitividad_1[#All],5,0)*IndiceIncrementoC,-3)</f>
        <v>12296000</v>
      </c>
      <c r="BZ133" s="161">
        <f>Datos_Origen[[#This Row],[G]]/Datos_Origen[[#This Row],[GMd]]</f>
        <v>0.93341242517892009</v>
      </c>
      <c r="CA133" s="155">
        <f>ROUNDUP(VLOOKUP(Datos_Origen[[#This Row],[Categoria]],Competitividad_1[#All],6,0)*IndiceIncrementoC,-3)</f>
        <v>12769000</v>
      </c>
      <c r="CB133" s="161">
        <f>Datos_Origen[[#This Row],[G+V]]/Datos_Origen[[#This Row],[G+VMd]]</f>
        <v>0.89883617981047859</v>
      </c>
      <c r="CC133" s="155">
        <f>ROUNDUP(VLOOKUP(Datos_Origen[[#This Row],[Categoria]],Competitividad_1[#All],7,0)*IndiceIncrementoC,-3)</f>
        <v>13266000</v>
      </c>
      <c r="CD133" s="161">
        <f>Datos_Origen[[#This Row],[CT]]/Datos_Origen[[#This Row],[CTMd]]</f>
        <v>0.86516200663349929</v>
      </c>
      <c r="CE133" s="155">
        <f>+Datos_Origen[[#This Row],[GMd]]/1.17666666667</f>
        <v>10449858.356910907</v>
      </c>
      <c r="CF133" s="161">
        <f>+Datos_Origen[[#This Row],[Básico Actual]]/Datos_Origen[[#This Row],[Salario Basico Md]]</f>
        <v>0.93340978096122151</v>
      </c>
      <c r="CG133" s="155">
        <f>ROUNDUP(VLOOKUP(Datos_Origen[[#This Row],[Categoria]],Competitividad_1[#All],8,0)*IndiceIncrementoC,-3)</f>
        <v>12957000</v>
      </c>
      <c r="CH133" s="161">
        <f>Datos_Origen[[#This Row],[G]]/Datos_Origen[[#This Row],[GQ3]]</f>
        <v>0.88579448792158688</v>
      </c>
      <c r="CI133" s="155">
        <f>ROUNDUP(VLOOKUP(Datos_Origen[[#This Row],[Categoria]],Competitividad_1[#All],9,0)*IndiceIncrementoC,-3)</f>
        <v>13265000</v>
      </c>
      <c r="CJ133" s="161">
        <f>Datos_Origen[[#This Row],[G+V]]/Datos_Origen[[#This Row],[G+VQ3]]</f>
        <v>0.86522722804372421</v>
      </c>
      <c r="CK133" s="155">
        <f>ROUNDUP(VLOOKUP(Datos_Origen[[#This Row],[Categoria]],Competitividad_1[#All],10,0)*IndiceIncrementoC,-3)</f>
        <v>13298000</v>
      </c>
      <c r="CL133" s="161">
        <f>Datos_Origen[[#This Row],[CT]]/Datos_Origen[[#This Row],[CTQ3]]</f>
        <v>0.86308010076703279</v>
      </c>
      <c r="CM133" s="162">
        <f>IF(ROUND(Datos_Origen[[#This Row],[Salario Ordinario Pol2]],-3)&lt;SMMLV,SMMLV,ROUND(Datos_Origen[[#This Row],[Salario Ordinario Pol2]],-3))</f>
        <v>8117000</v>
      </c>
      <c r="CN133" s="155">
        <f>IF(Datos_Origen[[#This Row],[Gpol]]/(1+FactorPrestacionalOrdinario)&lt;SMMLV,SMMLV,Datos_Origen[[#This Row],[Gpol]]/(1+FactorPrestacionalOrdinario))</f>
        <v>10146458.923512748</v>
      </c>
      <c r="CO133" s="161">
        <f>IFERROR(IF(Datos_Origen[[#This Row],[Salarios Año]]=14.12,Datos_Origen[[#This Row],[Básico]]/Datos_Origen[[#This Row],[Salario Ordinario Pol]],""),"")</f>
        <v>0.96132060194879532</v>
      </c>
      <c r="CP133" s="155">
        <f>IF(ROUND(Datos_Origen[[#This Row],[Salario Ordinario Pol22]],-3)&lt;SMMLV,SMMLV,ROUND(Datos_Origen[[#This Row],[Salario Ordinario Pol22]],-3))</f>
        <v>12176000</v>
      </c>
      <c r="CQ133" s="155" t="str">
        <f>IFERROR(ROUND(Datos_Origen[[#This Row],[Salario Integral Pol4]],-3),"")</f>
        <v/>
      </c>
      <c r="CR133" s="139" t="str">
        <f>IF((Datos_Origen[[#This Row],[Gpol]]/(1+FactorPrestacionalIntegral))&lt;(13*SMMLV),"",(Datos_Origen[[#This Row],[Gpol]]/(1+FactorPrestacionalIntegral)))</f>
        <v/>
      </c>
      <c r="CS133" s="161" t="str">
        <f>IFERROR(IF(Datos_Origen[[#This Row],[Salarios Año]]=12,Datos_Origen[[#This Row],[Básico]]/Datos_Origen[[#This Row],[Salario Integral Pol]],""),"")</f>
        <v/>
      </c>
      <c r="CT133" s="155" t="str">
        <f>IFERROR(ROUND(Datos_Origen[[#This Row],[Salario Integral Pol44]],-3),"")</f>
        <v/>
      </c>
      <c r="CU133" s="155">
        <f>Datos_Origen[[#This Row],[G+Vpol]]-Datos_Origen[[#This Row],[Variable]]</f>
        <v>11939000</v>
      </c>
      <c r="CV133" s="161">
        <f>Datos_Origen[[#This Row],[G]]/Datos_Origen[[#This Row],[Gpol]]</f>
        <v>0.96132332523661956</v>
      </c>
      <c r="CW133" s="154">
        <f>Datos_Origen[[#This Row],[Ctpol]]-Datos_Origen[[#This Row],[Beneficios]]</f>
        <v>11939000</v>
      </c>
      <c r="CX133" s="161">
        <f>Datos_Origen[[#This Row],[G+V]]/Datos_Origen[[#This Row],[G+Vpol]]</f>
        <v>0.96132332523661956</v>
      </c>
      <c r="CY133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11939000</v>
      </c>
      <c r="CZ133" s="161">
        <f>Datos_Origen[[#This Row],[CT]]/Datos_Origen[[#This Row],[Ctpol]]</f>
        <v>0.96132332523661956</v>
      </c>
      <c r="DA133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9754000</v>
      </c>
      <c r="DB133" s="158">
        <f>IF(Datos_Origen[[#This Row],[Básico]]&lt;10*SMMLV,0,Datos_Origen[[#This Row],[Base Seguridad Social Actual]]*8.5%)</f>
        <v>0</v>
      </c>
      <c r="DC133" s="158">
        <f>Datos_Origen[[#This Row],[Base Seguridad Social Actual]]*12%</f>
        <v>1170480</v>
      </c>
      <c r="DD133" s="158">
        <f>Datos_Origen[[#This Row],[Base Seguridad Social Actual]]*Datos_Origen[[#This Row],[%ARL]]</f>
        <v>50915.88</v>
      </c>
      <c r="DE133" s="158">
        <f>IF(Datos_Origen[[#This Row],[Básico]]&lt;10*SMMLV,Datos_Origen[[#This Row],[Base Seguridad Social Actual]]*4%,Datos_Origen[[#This Row],[Base Seguridad Social Actual]]*9%)</f>
        <v>390160</v>
      </c>
      <c r="DF133" s="158">
        <f>Datos_Origen[[#This Row],[Salud]]+Datos_Origen[[#This Row],[Pensión]]+Datos_Origen[[#This Row],[ARL]]+Datos_Origen[[#This Row],[Parafiscales]]</f>
        <v>1611555.88</v>
      </c>
      <c r="DG133" s="163">
        <f>Datos_Origen[[#This Row],[Costo Laboral Actual]]+Datos_Origen[[#This Row],[CT]]</f>
        <v>13088795.060000002</v>
      </c>
      <c r="DH133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10146458.923512748</v>
      </c>
      <c r="DI133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33" s="158">
        <f>Datos_Origen[[#This Row],[Base Seguridad Social Nueva]]*12%</f>
        <v>1217575.0708215297</v>
      </c>
      <c r="DK133" s="158">
        <f>Datos_Origen[[#This Row],[Base Seguridad Social Nueva]]*Datos_Origen[[#This Row],[%ARL]]</f>
        <v>52964.515580736537</v>
      </c>
      <c r="DL133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405858.35694050993</v>
      </c>
      <c r="DM133" s="158">
        <f>Datos_Origen[[#This Row],[Salud Nueva]]+Datos_Origen[[#This Row],[Pensión Nueva]]+Datos_Origen[[#This Row],[ARL nueva]]+Datos_Origen[[#This Row],[Parafiscales Nuevos]]</f>
        <v>1676397.9433427763</v>
      </c>
      <c r="DN133" s="158">
        <f>Datos_Origen[[#This Row],[Costo Laboral Nuevo]]+Datos_Origen[[#This Row],[Ctpol]]</f>
        <v>13615397.943342777</v>
      </c>
      <c r="DO133" s="158">
        <f>IF(Datos_Origen[[#This Row],[Ctpol]]-Datos_Origen[[#This Row],[CT]]&lt;=0,0,Datos_Origen[[#This Row],[Costo Total Nuevo]]-Datos_Origen[[#This Row],[Costo Total Actual]])</f>
        <v>526602.88334277458</v>
      </c>
      <c r="DP133" s="158">
        <f>IF(Datos_Origen[[#This Row],[Ctpol]]-Datos_Origen[[#This Row],[CT]]&lt;=0,0,Datos_Origen[[#This Row],[Ctpol]]-Datos_Origen[[#This Row],[CT]])</f>
        <v>461760.81999999844</v>
      </c>
      <c r="DQ133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64842.063342776382</v>
      </c>
      <c r="DR133" s="158">
        <f>ROUNDDOWN(VLOOKUP(Datos_Origen[[#This Row],[Categoria]],Competitividad_1[],7,0)*IndiceIncrementoC,-3)</f>
        <v>13265000</v>
      </c>
      <c r="DS133" s="158">
        <f>Datos_Origen[[#This Row],[CTeq]]*0.8</f>
        <v>6513041.7791082179</v>
      </c>
      <c r="DT133" s="158">
        <f>Datos_Origen[[#This Row],[CTeq]]*1.2</f>
        <v>9769562.6686623264</v>
      </c>
      <c r="DU133" s="155">
        <f>IF(Datos_Origen[[#This Row],[Gpol6]]/(1+FactorPrestacionalOrdinario)&lt;SMMLV,SMMLV,Datos_Origen[[#This Row],[Gpol6]]/(1+FactorPrestacionalOrdinario))</f>
        <v>8117167.1388101978</v>
      </c>
      <c r="DV133" s="139" t="str">
        <f>IF((Datos_Origen[[#This Row],[Gpol6]]/(1+FactorPrestacionalIntegral))&lt;(13*SMMLV),"",(Datos_Origen[[#This Row],[Gpol6]]/(1+FactorPrestacionalIntegral)))</f>
        <v/>
      </c>
      <c r="DW133" s="154">
        <f>Datos_Origen[[#This Row],[G+Vpol8]]</f>
        <v>9551200</v>
      </c>
      <c r="DX133" s="154">
        <f>Datos_Origen[[#This Row],[Ctpol10]]-Datos_Origen[[#This Row],[Beneficios]]</f>
        <v>9551200</v>
      </c>
      <c r="DY133" s="154">
        <f>Datos_Origen[[#This Row],[Ctpol]]*$CM$6</f>
        <v>9551200</v>
      </c>
      <c r="DZ133" s="155">
        <f>IF(Datos_Origen[[#This Row],[Gpol66]]/(1+FactorPrestacionalOrdinario)&lt;SMMLV,SMMLV,Datos_Origen[[#This Row],[Gpol66]]/(1+FactorPrestacionalOrdinario))</f>
        <v>12175750.708215296</v>
      </c>
      <c r="EA133" s="139" t="str">
        <f>IF((Datos_Origen[[#This Row],[Gpol66]]/(1+FactorPrestacionalIntegral))&lt;(13*SMMLV),"",(Datos_Origen[[#This Row],[Gpol66]]/(1+FactorPrestacionalIntegral)))</f>
        <v/>
      </c>
      <c r="EB133" s="154">
        <f>Datos_Origen[[#This Row],[G+Vpol88]]</f>
        <v>14326800</v>
      </c>
      <c r="EC133" s="154">
        <f>Datos_Origen[[#This Row],[Ctpol1010]]-Datos_Origen[[#This Row],[Beneficios]]</f>
        <v>14326800</v>
      </c>
      <c r="ED133" s="154">
        <f>Datos_Origen[[#This Row],[Ctpol]]*$CP$6</f>
        <v>14326800</v>
      </c>
      <c r="EE133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34" spans="2:135">
      <c r="B134" s="132"/>
      <c r="C134" s="149"/>
      <c r="D134" s="150"/>
      <c r="E134" s="151"/>
      <c r="F134" s="151"/>
      <c r="G134" s="152" t="s">
        <v>541</v>
      </c>
      <c r="H134" s="153"/>
      <c r="I134" s="152" t="s">
        <v>293</v>
      </c>
      <c r="J134" s="130" t="str">
        <f>IFERROR(VLOOKUP(Datos_Origen[[#This Row],[Cargo Tipo Valorado]],Cargos_Catalogo[[#All],[Cargo]:[Área]],2,0),"")</f>
        <v/>
      </c>
      <c r="K134" s="153"/>
      <c r="L134" s="153"/>
      <c r="M134" s="153"/>
      <c r="N134" s="153"/>
      <c r="O134" s="154">
        <f>Datos_Origen[[#This Row],[Segmentación Individual]]</f>
        <v>0</v>
      </c>
      <c r="P134" s="153"/>
      <c r="Q134" s="154">
        <f>VLOOKUP(Datos_Origen[[#This Row],[Cargo Tipo Valorado]],Cargos_Catalogo[#Data],MATCH(Cargos_Catalogo[[#Headers],[Puntos]],Cargos_Catalogo[#Headers],0),FALSE)</f>
        <v>610</v>
      </c>
      <c r="R134" s="130">
        <f>VLOOKUP(Datos_Origen[[#This Row],[Puntos valoración]],Categorias_Registro[#Data],MATCH(Categorias_Registro[[#Headers],[Categoria]],Categorias_Registro[#Headers],0),FALSE)</f>
        <v>14</v>
      </c>
      <c r="S134" s="130" t="str">
        <f>VLOOKUP(Datos_Origen[[#This Row],[Cargo Tipo Valorado]],Cargos_Catalogo[#Data],MATCH(Cargos_Catalogo[[#Headers],[Nivel SHR]],Cargos_Catalogo[#Headers],0),FALSE)</f>
        <v>Gerencia media</v>
      </c>
      <c r="T134" s="130" t="str">
        <f>VLOOKUP(Datos_Origen[[#This Row],[Cargo Tipo Valorado]],Cargos_Catalogo[#Data],MATCH(Cargos_Catalogo[[#Headers],[Criticidad]],Cargos_Catalogo[#Headers],0),FALSE)</f>
        <v>Crítico</v>
      </c>
      <c r="U134" s="154">
        <f>VLOOKUP(Datos_Origen[[#This Row],[Puntos valoración]],Categorias_Registro[#Data],5,FALSE)</f>
        <v>577</v>
      </c>
      <c r="V134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9295693</v>
      </c>
      <c r="W134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34" s="154">
        <f>SUMIF($BA$5:$BJ$5,"NCS",Datos_Origen[[#This Row],[auxilio Gasolina]:[Otro Beneficio10]])+(SUMIF($BA$5:$BJ$5,"CS",Datos_Origen[[#This Row],[auxilio Gasolina]:[Otro Beneficio10]])*1.17667)</f>
        <v>0</v>
      </c>
      <c r="Y134" s="155">
        <f>Datos_Origen[[#This Row],[Básico]]+Datos_Origen[[#This Row],[Promedio de Comisiones  ]]</f>
        <v>7900000</v>
      </c>
      <c r="Z134" s="155">
        <f>Datos_Origen[[#This Row],[Básico]]+Datos_Origen[[#This Row],[Promedio de Comisiones  ]]</f>
        <v>7900000</v>
      </c>
      <c r="AA134" s="155">
        <f>Datos_Origen[[#This Row],[Garantizado]]</f>
        <v>9295693</v>
      </c>
      <c r="AB134" s="155">
        <f>Datos_Origen[[#This Row],[Variable]]+Datos_Origen[[#This Row],[Garantizado]]</f>
        <v>9295693</v>
      </c>
      <c r="AC134" s="155">
        <f>Datos_Origen[[#This Row],[Beneficios]]+Datos_Origen[[#This Row],[Variable]]+Datos_Origen[[#This Row],[Garantizado]]</f>
        <v>9295693</v>
      </c>
      <c r="AD134" s="156">
        <v>14.12</v>
      </c>
      <c r="AE134" s="141">
        <v>230</v>
      </c>
      <c r="AF134" s="345">
        <v>5.2199999999999998E-3</v>
      </c>
      <c r="AG134" s="155">
        <f>Datos_Origen[[#This Row],[Básico Actual]]*230/Datos_Origen[[#This Row],['# horas mes]]</f>
        <v>7900000</v>
      </c>
      <c r="AH134" s="157">
        <v>7900000</v>
      </c>
      <c r="AI134" s="158"/>
      <c r="AJ134" s="158">
        <f>(((Datos_Origen[[#This Row],[Básico]])/30)*$AJ$6)/12</f>
        <v>0</v>
      </c>
      <c r="AK134" s="158"/>
      <c r="AL134" s="143">
        <f>((Datos_Origen[[#This Row],[Básico]])/30)*$AL$6/12</f>
        <v>0</v>
      </c>
      <c r="AM134" s="158"/>
      <c r="AN134" s="158"/>
      <c r="AO134" s="158"/>
      <c r="AP134" s="158"/>
      <c r="AQ134" s="158"/>
      <c r="AR134" s="149">
        <v>0</v>
      </c>
      <c r="AS134" s="149"/>
      <c r="AT134" s="159" t="str">
        <f>IFERROR(Datos_Origen[[#This Row],[Comisiones Target]]/Datos_Origen[[#This Row],[Promedio de Comisiones  ]],"")</f>
        <v/>
      </c>
      <c r="AU134" s="160"/>
      <c r="AV134" s="143">
        <f>Datos_Origen[[#This Row],[N Salarios de la Bonificación]]*Datos_Origen[[#This Row],[Básico]]/12</f>
        <v>0</v>
      </c>
      <c r="AW134" s="160"/>
      <c r="AX134" s="143">
        <f>Datos_Origen[[#This Row],[N Salarios de la Bonificación2]]*Datos_Origen[[#This Row],[Básico]]/12</f>
        <v>0</v>
      </c>
      <c r="AY134" s="160"/>
      <c r="AZ134" s="158"/>
      <c r="BA134" s="149">
        <v>0</v>
      </c>
      <c r="BB134" s="149"/>
      <c r="BC134" s="149"/>
      <c r="BD134" s="149"/>
      <c r="BE134" s="149"/>
      <c r="BF134" s="149"/>
      <c r="BG134" s="149"/>
      <c r="BH134" s="149"/>
      <c r="BI134" s="149"/>
      <c r="BJ134" s="149"/>
      <c r="BK134" s="159">
        <f>IFERROR(Datos_Origen[[#This Row],[Variable]]/Datos_Origen[[#This Row],[CT]],"")</f>
        <v>0</v>
      </c>
      <c r="BL134" s="159">
        <f>IFERROR(Datos_Origen[[#This Row],[Beneficios]]/Datos_Origen[[#This Row],[CT]],"")</f>
        <v>0</v>
      </c>
      <c r="BM134" s="164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8085950.2104020286</v>
      </c>
      <c r="BN134" s="393">
        <f>Datos_Origen[[#This Row],[G]]/Datos_Origen[[#This Row],[Geq]]</f>
        <v>1.1496104673068255</v>
      </c>
      <c r="BO134" s="164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8118539.3770910595</v>
      </c>
      <c r="BP134" s="393">
        <f>Datos_Origen[[#This Row],[G+V]]/Datos_Origen[[#This Row],[G+Veq]]</f>
        <v>1.1449957397793302</v>
      </c>
      <c r="BQ134" s="164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8141302.2238852717</v>
      </c>
      <c r="BR134" s="393">
        <f>Datos_Origen[[#This Row],[CT]]/Datos_Origen[[#This Row],[CTeq]]</f>
        <v>1.1417943646322244</v>
      </c>
      <c r="BS134" s="139">
        <f>ROUNDUP(VLOOKUP(Datos_Origen[[#This Row],[Categoria]],Competitividad_1[#All],2,0)*IndiceIncrementoC,-3)</f>
        <v>11052000</v>
      </c>
      <c r="BT134" s="161">
        <f>Datos_Origen[[#This Row],[G]]/Datos_Origen[[#This Row],[GQ1]]</f>
        <v>0.84108695258776689</v>
      </c>
      <c r="BU134" s="155">
        <f>ROUNDUP(VLOOKUP(Datos_Origen[[#This Row],[Categoria]],Competitividad_1[#All],3,0)*IndiceIncrementoC,-3)</f>
        <v>11581000</v>
      </c>
      <c r="BV134" s="161">
        <f>Datos_Origen[[#This Row],[G+V]]/Datos_Origen[[#This Row],[G+VQ1]]</f>
        <v>0.80266755893273467</v>
      </c>
      <c r="BW134" s="155">
        <f>ROUNDUP(VLOOKUP(Datos_Origen[[#This Row],[Categoria]],Competitividad_1[#All],4,0)*IndiceIncrementoC,-3)</f>
        <v>12057000</v>
      </c>
      <c r="BX134" s="161">
        <f>Datos_Origen[[#This Row],[CT]]/Datos_Origen[[#This Row],[CTQ1]]</f>
        <v>0.77097893339968482</v>
      </c>
      <c r="BY134" s="155">
        <f>ROUNDUP(VLOOKUP(Datos_Origen[[#This Row],[Categoria]],Competitividad_1[#All],5,0)*IndiceIncrementoC,-3)</f>
        <v>12296000</v>
      </c>
      <c r="BZ134" s="161">
        <f>Datos_Origen[[#This Row],[G]]/Datos_Origen[[#This Row],[GMd]]</f>
        <v>0.7559932498373455</v>
      </c>
      <c r="CA134" s="155">
        <f>ROUNDUP(VLOOKUP(Datos_Origen[[#This Row],[Categoria]],Competitividad_1[#All],6,0)*IndiceIncrementoC,-3)</f>
        <v>12769000</v>
      </c>
      <c r="CB134" s="161">
        <f>Datos_Origen[[#This Row],[G+V]]/Datos_Origen[[#This Row],[G+VMd]]</f>
        <v>0.72798911426110113</v>
      </c>
      <c r="CC134" s="155">
        <f>ROUNDUP(VLOOKUP(Datos_Origen[[#This Row],[Categoria]],Competitividad_1[#All],7,0)*IndiceIncrementoC,-3)</f>
        <v>13266000</v>
      </c>
      <c r="CD134" s="161">
        <f>Datos_Origen[[#This Row],[CT]]/Datos_Origen[[#This Row],[CTMd]]</f>
        <v>0.7007155887230514</v>
      </c>
      <c r="CE134" s="155">
        <f>+Datos_Origen[[#This Row],[GMd]]/1.17666666667</f>
        <v>10449858.356910907</v>
      </c>
      <c r="CF134" s="161">
        <f>+Datos_Origen[[#This Row],[Básico Actual]]/Datos_Origen[[#This Row],[Salario Basico Md]]</f>
        <v>0.75599110822161675</v>
      </c>
      <c r="CG134" s="155">
        <f>ROUNDUP(VLOOKUP(Datos_Origen[[#This Row],[Categoria]],Competitividad_1[#All],8,0)*IndiceIncrementoC,-3)</f>
        <v>12957000</v>
      </c>
      <c r="CH134" s="161">
        <f>Datos_Origen[[#This Row],[G]]/Datos_Origen[[#This Row],[GQ3]]</f>
        <v>0.71742633325615501</v>
      </c>
      <c r="CI134" s="155">
        <f>ROUNDUP(VLOOKUP(Datos_Origen[[#This Row],[Categoria]],Competitividad_1[#All],9,0)*IndiceIncrementoC,-3)</f>
        <v>13265000</v>
      </c>
      <c r="CJ134" s="161">
        <f>Datos_Origen[[#This Row],[G+V]]/Datos_Origen[[#This Row],[G+VQ3]]</f>
        <v>0.70076841311722582</v>
      </c>
      <c r="CK134" s="155">
        <f>ROUNDUP(VLOOKUP(Datos_Origen[[#This Row],[Categoria]],Competitividad_1[#All],10,0)*IndiceIncrementoC,-3)</f>
        <v>13298000</v>
      </c>
      <c r="CL134" s="161">
        <f>Datos_Origen[[#This Row],[CT]]/Datos_Origen[[#This Row],[CTQ3]]</f>
        <v>0.69902940291773197</v>
      </c>
      <c r="CM134" s="162">
        <f>IF(ROUND(Datos_Origen[[#This Row],[Salario Ordinario Pol2]],-3)&lt;SMMLV,SMMLV,ROUND(Datos_Origen[[#This Row],[Salario Ordinario Pol2]],-3))</f>
        <v>10823000</v>
      </c>
      <c r="CN134" s="155">
        <f>IF(Datos_Origen[[#This Row],[Gpol]]/(1+FactorPrestacionalOrdinario)&lt;SMMLV,SMMLV,Datos_Origen[[#This Row],[Gpol]]/(1+FactorPrestacionalOrdinario))</f>
        <v>13528895.184135977</v>
      </c>
      <c r="CO134" s="393">
        <f>IFERROR(IF(Datos_Origen[[#This Row],[Salarios Año]]=14.12,Datos_Origen[[#This Row],[Básico]]/Datos_Origen[[#This Row],[Salario Ordinario Pol]],""),"")</f>
        <v>0.58393533932198427</v>
      </c>
      <c r="CP134" s="155">
        <f>IF(ROUND(Datos_Origen[[#This Row],[Salario Ordinario Pol22]],-3)&lt;SMMLV,SMMLV,ROUND(Datos_Origen[[#This Row],[Salario Ordinario Pol22]],-3))</f>
        <v>16235000</v>
      </c>
      <c r="CQ134" s="155" t="str">
        <f>IFERROR(ROUND(Datos_Origen[[#This Row],[Salario Integral Pol4]],-3),"")</f>
        <v/>
      </c>
      <c r="CR134" s="139" t="str">
        <f>IF((Datos_Origen[[#This Row],[Gpol]]/(1+FactorPrestacionalIntegral))&lt;(13*SMMLV),"",(Datos_Origen[[#This Row],[Gpol]]/(1+FactorPrestacionalIntegral)))</f>
        <v/>
      </c>
      <c r="CS134" s="161" t="str">
        <f>IFERROR(IF(Datos_Origen[[#This Row],[Salarios Año]]=12,Datos_Origen[[#This Row],[Básico]]/Datos_Origen[[#This Row],[Salario Integral Pol]],""),"")</f>
        <v/>
      </c>
      <c r="CT134" s="155">
        <f>IFERROR(ROUND(Datos_Origen[[#This Row],[Salario Integral Pol44]],-3),"")</f>
        <v>19103000</v>
      </c>
      <c r="CU134" s="155">
        <f>Datos_Origen[[#This Row],[G+Vpol]]-Datos_Origen[[#This Row],[Variable]]</f>
        <v>15919000</v>
      </c>
      <c r="CV134" s="161">
        <f>Datos_Origen[[#This Row],[G]]/Datos_Origen[[#This Row],[Gpol]]</f>
        <v>0.58393699352974437</v>
      </c>
      <c r="CW134" s="154">
        <f>Datos_Origen[[#This Row],[Ctpol]]-Datos_Origen[[#This Row],[Beneficios]]</f>
        <v>15919000</v>
      </c>
      <c r="CX134" s="161">
        <f>Datos_Origen[[#This Row],[G+V]]/Datos_Origen[[#This Row],[G+Vpol]]</f>
        <v>0.58393699352974437</v>
      </c>
      <c r="CY134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15919000</v>
      </c>
      <c r="CZ134" s="161">
        <f>Datos_Origen[[#This Row],[CT]]/Datos_Origen[[#This Row],[Ctpol]]</f>
        <v>0.58393699352974437</v>
      </c>
      <c r="DA134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7900000</v>
      </c>
      <c r="DB134" s="158">
        <f>IF(Datos_Origen[[#This Row],[Básico]]&lt;10*SMMLV,0,Datos_Origen[[#This Row],[Base Seguridad Social Actual]]*8.5%)</f>
        <v>0</v>
      </c>
      <c r="DC134" s="158">
        <f>Datos_Origen[[#This Row],[Base Seguridad Social Actual]]*12%</f>
        <v>948000</v>
      </c>
      <c r="DD134" s="158">
        <f>Datos_Origen[[#This Row],[Base Seguridad Social Actual]]*Datos_Origen[[#This Row],[%ARL]]</f>
        <v>41238</v>
      </c>
      <c r="DE134" s="158">
        <f>IF(Datos_Origen[[#This Row],[Básico]]&lt;10*SMMLV,Datos_Origen[[#This Row],[Base Seguridad Social Actual]]*4%,Datos_Origen[[#This Row],[Base Seguridad Social Actual]]*9%)</f>
        <v>316000</v>
      </c>
      <c r="DF134" s="158">
        <f>Datos_Origen[[#This Row],[Salud]]+Datos_Origen[[#This Row],[Pensión]]+Datos_Origen[[#This Row],[ARL]]+Datos_Origen[[#This Row],[Parafiscales]]</f>
        <v>1305238</v>
      </c>
      <c r="DG134" s="158">
        <f>Datos_Origen[[#This Row],[Costo Laboral Actual]]+Datos_Origen[[#This Row],[CT]]</f>
        <v>10600931</v>
      </c>
      <c r="DH134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13528895.184135977</v>
      </c>
      <c r="DI134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34" s="158">
        <f>Datos_Origen[[#This Row],[Base Seguridad Social Nueva]]*12%</f>
        <v>1623467.4220963172</v>
      </c>
      <c r="DK134" s="158">
        <f>Datos_Origen[[#This Row],[Base Seguridad Social Nueva]]*Datos_Origen[[#This Row],[%ARL]]</f>
        <v>70620.832861189803</v>
      </c>
      <c r="DL134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541155.80736543913</v>
      </c>
      <c r="DM134" s="158">
        <f>Datos_Origen[[#This Row],[Salud Nueva]]+Datos_Origen[[#This Row],[Pensión Nueva]]+Datos_Origen[[#This Row],[ARL nueva]]+Datos_Origen[[#This Row],[Parafiscales Nuevos]]</f>
        <v>2235244.0623229463</v>
      </c>
      <c r="DN134" s="158">
        <f>Datos_Origen[[#This Row],[Costo Laboral Nuevo]]+Datos_Origen[[#This Row],[Ctpol]]</f>
        <v>18154244.062322944</v>
      </c>
      <c r="DO134" s="158">
        <f>IF(Datos_Origen[[#This Row],[Ctpol]]-Datos_Origen[[#This Row],[CT]]&lt;=0,0,Datos_Origen[[#This Row],[Costo Total Nuevo]]-Datos_Origen[[#This Row],[Costo Total Actual]])</f>
        <v>7553313.0623229444</v>
      </c>
      <c r="DP134" s="158">
        <f>IF(Datos_Origen[[#This Row],[Ctpol]]-Datos_Origen[[#This Row],[CT]]&lt;=0,0,Datos_Origen[[#This Row],[Ctpol]]-Datos_Origen[[#This Row],[CT]])</f>
        <v>6623307</v>
      </c>
      <c r="DQ134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930006.06232294627</v>
      </c>
      <c r="DR134" s="158">
        <f>ROUNDDOWN(VLOOKUP(Datos_Origen[[#This Row],[Categoria]],Competitividad_1[],7,0)*IndiceIncrementoC,-3)</f>
        <v>13265000</v>
      </c>
      <c r="DS134" s="158">
        <f>Datos_Origen[[#This Row],[CTeq]]*0.8</f>
        <v>6513041.7791082179</v>
      </c>
      <c r="DT134" s="158">
        <f>Datos_Origen[[#This Row],[CTeq]]*1.2</f>
        <v>9769562.6686623264</v>
      </c>
      <c r="DU134" s="155">
        <f>IF(Datos_Origen[[#This Row],[Gpol6]]/(1+FactorPrestacionalOrdinario)&lt;SMMLV,SMMLV,Datos_Origen[[#This Row],[Gpol6]]/(1+FactorPrestacionalOrdinario))</f>
        <v>10823116.147308782</v>
      </c>
      <c r="DV134" s="139" t="str">
        <f>IF((Datos_Origen[[#This Row],[Gpol6]]/(1+FactorPrestacionalIntegral))&lt;(13*SMMLV),"",(Datos_Origen[[#This Row],[Gpol6]]/(1+FactorPrestacionalIntegral)))</f>
        <v/>
      </c>
      <c r="DW134" s="154">
        <f>Datos_Origen[[#This Row],[G+Vpol8]]</f>
        <v>12735200</v>
      </c>
      <c r="DX134" s="154">
        <f>Datos_Origen[[#This Row],[Ctpol10]]-Datos_Origen[[#This Row],[Beneficios]]</f>
        <v>12735200</v>
      </c>
      <c r="DY134" s="154">
        <f>Datos_Origen[[#This Row],[Ctpol]]*$CM$6</f>
        <v>12735200</v>
      </c>
      <c r="DZ134" s="155">
        <f>IF(Datos_Origen[[#This Row],[Gpol66]]/(1+FactorPrestacionalOrdinario)&lt;SMMLV,SMMLV,Datos_Origen[[#This Row],[Gpol66]]/(1+FactorPrestacionalOrdinario))</f>
        <v>16234674.220963171</v>
      </c>
      <c r="EA134" s="139">
        <f>IF((Datos_Origen[[#This Row],[Gpol66]]/(1+FactorPrestacionalIntegral))&lt;(13*SMMLV),"",(Datos_Origen[[#This Row],[Gpol66]]/(1+FactorPrestacionalIntegral)))</f>
        <v>19102800</v>
      </c>
      <c r="EB134" s="154">
        <f>Datos_Origen[[#This Row],[G+Vpol88]]</f>
        <v>19102800</v>
      </c>
      <c r="EC134" s="154">
        <f>Datos_Origen[[#This Row],[Ctpol1010]]-Datos_Origen[[#This Row],[Beneficios]]</f>
        <v>19102800</v>
      </c>
      <c r="ED134" s="154">
        <f>Datos_Origen[[#This Row],[Ctpol]]*$CP$6</f>
        <v>19102800</v>
      </c>
      <c r="EE134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35" spans="2:135">
      <c r="B135" s="132"/>
      <c r="C135" s="149"/>
      <c r="D135" s="150"/>
      <c r="E135" s="151"/>
      <c r="F135" s="151"/>
      <c r="G135" s="150" t="s">
        <v>542</v>
      </c>
      <c r="H135" s="153"/>
      <c r="I135" s="152" t="s">
        <v>280</v>
      </c>
      <c r="J135" s="130" t="str">
        <f>IFERROR(VLOOKUP(Datos_Origen[[#This Row],[Cargo Tipo Valorado]],Cargos_Catalogo[[#All],[Cargo]:[Área]],2,0),"")</f>
        <v/>
      </c>
      <c r="K135" s="153"/>
      <c r="L135" s="153"/>
      <c r="M135" s="153"/>
      <c r="N135" s="153"/>
      <c r="O135" s="154">
        <f>Datos_Origen[[#This Row],[Segmentación Individual]]</f>
        <v>0</v>
      </c>
      <c r="P135" s="153"/>
      <c r="Q135" s="154">
        <f>VLOOKUP(Datos_Origen[[#This Row],[Cargo Tipo Valorado]],Cargos_Catalogo[#Data],MATCH(Cargos_Catalogo[[#Headers],[Puntos]],Cargos_Catalogo[#Headers],0),FALSE)</f>
        <v>619</v>
      </c>
      <c r="R135" s="130">
        <f>VLOOKUP(Datos_Origen[[#This Row],[Puntos valoración]],Categorias_Registro[#Data],MATCH(Categorias_Registro[[#Headers],[Categoria]],Categorias_Registro[#Headers],0),FALSE)</f>
        <v>15</v>
      </c>
      <c r="S135" s="130" t="str">
        <f>VLOOKUP(Datos_Origen[[#This Row],[Cargo Tipo Valorado]],Cargos_Catalogo[#Data],MATCH(Cargos_Catalogo[[#Headers],[Nivel SHR]],Cargos_Catalogo[#Headers],0),FALSE)</f>
        <v>Gerencia media</v>
      </c>
      <c r="T135" s="130" t="str">
        <f>VLOOKUP(Datos_Origen[[#This Row],[Cargo Tipo Valorado]],Cargos_Catalogo[#Data],MATCH(Cargos_Catalogo[[#Headers],[Criticidad]],Cargos_Catalogo[#Headers],0),FALSE)</f>
        <v>Crítico</v>
      </c>
      <c r="U135" s="154">
        <f>VLOOKUP(Datos_Origen[[#This Row],[Puntos valoración]],Categorias_Registro[#Data],5,FALSE)</f>
        <v>663</v>
      </c>
      <c r="V135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9295693</v>
      </c>
      <c r="W135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35" s="154">
        <f>SUMIF($BA$5:$BJ$5,"NCS",Datos_Origen[[#This Row],[auxilio Gasolina]:[Otro Beneficio10]])+(SUMIF($BA$5:$BJ$5,"CS",Datos_Origen[[#This Row],[auxilio Gasolina]:[Otro Beneficio10]])*1.17667)</f>
        <v>0</v>
      </c>
      <c r="Y135" s="155">
        <f>Datos_Origen[[#This Row],[Básico]]+Datos_Origen[[#This Row],[Promedio de Comisiones  ]]</f>
        <v>7900000</v>
      </c>
      <c r="Z135" s="155">
        <f>Datos_Origen[[#This Row],[Básico]]+Datos_Origen[[#This Row],[Promedio de Comisiones  ]]</f>
        <v>7900000</v>
      </c>
      <c r="AA135" s="155">
        <f>Datos_Origen[[#This Row],[Garantizado]]</f>
        <v>9295693</v>
      </c>
      <c r="AB135" s="155">
        <f>Datos_Origen[[#This Row],[Variable]]+Datos_Origen[[#This Row],[Garantizado]]</f>
        <v>9295693</v>
      </c>
      <c r="AC135" s="155">
        <f>Datos_Origen[[#This Row],[Beneficios]]+Datos_Origen[[#This Row],[Variable]]+Datos_Origen[[#This Row],[Garantizado]]</f>
        <v>9295693</v>
      </c>
      <c r="AD135" s="156">
        <v>14.12</v>
      </c>
      <c r="AE135" s="141">
        <v>230</v>
      </c>
      <c r="AF135" s="345">
        <v>4.3499999999999997E-2</v>
      </c>
      <c r="AG135" s="155">
        <f>Datos_Origen[[#This Row],[Básico Actual]]*230/Datos_Origen[[#This Row],['# horas mes]]</f>
        <v>7900000</v>
      </c>
      <c r="AH135" s="157">
        <v>7900000</v>
      </c>
      <c r="AI135" s="158"/>
      <c r="AJ135" s="158">
        <f>(((Datos_Origen[[#This Row],[Básico]])/30)*$AJ$6)/12</f>
        <v>0</v>
      </c>
      <c r="AK135" s="158"/>
      <c r="AL135" s="143">
        <f>((Datos_Origen[[#This Row],[Básico]])/30)*$AL$6/12</f>
        <v>0</v>
      </c>
      <c r="AM135" s="158"/>
      <c r="AN135" s="158"/>
      <c r="AO135" s="158"/>
      <c r="AP135" s="158"/>
      <c r="AQ135" s="158"/>
      <c r="AR135" s="149">
        <v>0</v>
      </c>
      <c r="AS135" s="149"/>
      <c r="AT135" s="159" t="str">
        <f>IFERROR(Datos_Origen[[#This Row],[Comisiones Target]]/Datos_Origen[[#This Row],[Promedio de Comisiones  ]],"")</f>
        <v/>
      </c>
      <c r="AU135" s="160"/>
      <c r="AV135" s="143">
        <v>0</v>
      </c>
      <c r="AW135" s="160"/>
      <c r="AX135" s="143">
        <f>Datos_Origen[[#This Row],[N Salarios de la Bonificación2]]*Datos_Origen[[#This Row],[Básico]]/12</f>
        <v>0</v>
      </c>
      <c r="AY135" s="160"/>
      <c r="AZ135" s="158"/>
      <c r="BA135" s="149">
        <v>0</v>
      </c>
      <c r="BB135" s="149"/>
      <c r="BC135" s="149"/>
      <c r="BD135" s="149"/>
      <c r="BE135" s="149"/>
      <c r="BF135" s="149"/>
      <c r="BG135" s="149"/>
      <c r="BH135" s="149"/>
      <c r="BI135" s="149"/>
      <c r="BJ135" s="149"/>
      <c r="BK135" s="159">
        <f>IFERROR(Datos_Origen[[#This Row],[Variable]]/Datos_Origen[[#This Row],[CT]],"")</f>
        <v>0</v>
      </c>
      <c r="BL135" s="159">
        <f>IFERROR(Datos_Origen[[#This Row],[Beneficios]]/Datos_Origen[[#This Row],[CT]],"")</f>
        <v>0</v>
      </c>
      <c r="BM135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10700392.258823581</v>
      </c>
      <c r="BN135" s="161">
        <f>Datos_Origen[[#This Row],[G]]/Datos_Origen[[#This Row],[Geq]]</f>
        <v>0.86872450795761613</v>
      </c>
      <c r="BO135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10921021.83990635</v>
      </c>
      <c r="BP135" s="161">
        <f>Datos_Origen[[#This Row],[G+V]]/Datos_Origen[[#This Row],[G+Veq]]</f>
        <v>0.85117428902419567</v>
      </c>
      <c r="BQ135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10966470.005261846</v>
      </c>
      <c r="BR135" s="161">
        <f>Datos_Origen[[#This Row],[CT]]/Datos_Origen[[#This Row],[CTeq]]</f>
        <v>0.84764678110092062</v>
      </c>
      <c r="BS135" s="139">
        <f>ROUNDUP(VLOOKUP(Datos_Origen[[#This Row],[Categoria]],Competitividad_1[#All],2,0)*IndiceIncrementoC,-3)</f>
        <v>13836000</v>
      </c>
      <c r="BT135" s="161">
        <f>Datos_Origen[[#This Row],[G]]/Datos_Origen[[#This Row],[GQ1]]</f>
        <v>0.67184829430471238</v>
      </c>
      <c r="BU135" s="155">
        <f>ROUNDUP(VLOOKUP(Datos_Origen[[#This Row],[Categoria]],Competitividad_1[#All],3,0)*IndiceIncrementoC,-3)</f>
        <v>14536000</v>
      </c>
      <c r="BV135" s="161">
        <f>Datos_Origen[[#This Row],[G+V]]/Datos_Origen[[#This Row],[G+VQ1]]</f>
        <v>0.63949456521739134</v>
      </c>
      <c r="BW135" s="155">
        <f>ROUNDUP(VLOOKUP(Datos_Origen[[#This Row],[Categoria]],Competitividad_1[#All],4,0)*IndiceIncrementoC,-3)</f>
        <v>15107000</v>
      </c>
      <c r="BX135" s="161">
        <f>Datos_Origen[[#This Row],[CT]]/Datos_Origen[[#This Row],[CTQ1]]</f>
        <v>0.61532355861521149</v>
      </c>
      <c r="BY135" s="155">
        <f>ROUNDUP(VLOOKUP(Datos_Origen[[#This Row],[Categoria]],Competitividad_1[#All],5,0)*IndiceIncrementoC,-3)</f>
        <v>16762000</v>
      </c>
      <c r="BZ135" s="161">
        <f>Datos_Origen[[#This Row],[G]]/Datos_Origen[[#This Row],[GMd]]</f>
        <v>0.55456944278725684</v>
      </c>
      <c r="CA135" s="155">
        <f>ROUNDUP(VLOOKUP(Datos_Origen[[#This Row],[Categoria]],Competitividad_1[#All],6,0)*IndiceIncrementoC,-3)</f>
        <v>17437000</v>
      </c>
      <c r="CB135" s="161">
        <f>Datos_Origen[[#This Row],[G+V]]/Datos_Origen[[#This Row],[G+VMd]]</f>
        <v>0.53310162298560537</v>
      </c>
      <c r="CC135" s="155">
        <f>ROUNDUP(VLOOKUP(Datos_Origen[[#This Row],[Categoria]],Competitividad_1[#All],7,0)*IndiceIncrementoC,-3)</f>
        <v>18041000</v>
      </c>
      <c r="CD135" s="161">
        <f>Datos_Origen[[#This Row],[CT]]/Datos_Origen[[#This Row],[CTMd]]</f>
        <v>0.51525375533507012</v>
      </c>
      <c r="CE135" s="155">
        <f>+Datos_Origen[[#This Row],[GMd]]/1.17666666667</f>
        <v>14245325.778996471</v>
      </c>
      <c r="CF135" s="161">
        <f>+Datos_Origen[[#This Row],[Básico Actual]]/Datos_Origen[[#This Row],[Salario Basico Md]]</f>
        <v>0.55456787177502687</v>
      </c>
      <c r="CG135" s="155">
        <f>ROUNDUP(VLOOKUP(Datos_Origen[[#This Row],[Categoria]],Competitividad_1[#All],8,0)*IndiceIncrementoC,-3)</f>
        <v>16880000</v>
      </c>
      <c r="CH135" s="161">
        <f>Datos_Origen[[#This Row],[G]]/Datos_Origen[[#This Row],[GQ3]]</f>
        <v>0.55069271327014213</v>
      </c>
      <c r="CI135" s="155">
        <f>ROUNDUP(VLOOKUP(Datos_Origen[[#This Row],[Categoria]],Competitividad_1[#All],9,0)*IndiceIncrementoC,-3)</f>
        <v>17439000</v>
      </c>
      <c r="CJ135" s="161">
        <f>Datos_Origen[[#This Row],[G+V]]/Datos_Origen[[#This Row],[G+VQ3]]</f>
        <v>0.53304048397270487</v>
      </c>
      <c r="CK135" s="155">
        <f>ROUNDUP(VLOOKUP(Datos_Origen[[#This Row],[Categoria]],Competitividad_1[#All],10,0)*IndiceIncrementoC,-3)</f>
        <v>17813000</v>
      </c>
      <c r="CL135" s="161">
        <f>Datos_Origen[[#This Row],[CT]]/Datos_Origen[[#This Row],[CTQ3]]</f>
        <v>0.52184881827878515</v>
      </c>
      <c r="CM135" s="162">
        <f>IF(ROUND(Datos_Origen[[#This Row],[Salario Ordinario Pol2]],-3)&lt;SMMLV,SMMLV,ROUND(Datos_Origen[[#This Row],[Salario Ordinario Pol2]],-3))</f>
        <v>14720000</v>
      </c>
      <c r="CN135" s="155">
        <f>IF(Datos_Origen[[#This Row],[Gpol]]/(1+FactorPrestacionalOrdinario)&lt;SMMLV,SMMLV,Datos_Origen[[#This Row],[Gpol]]/(1+FactorPrestacionalOrdinario))</f>
        <v>18399433.427762039</v>
      </c>
      <c r="CO135" s="161">
        <f>IFERROR(IF(Datos_Origen[[#This Row],[Salarios Año]]=14.12,Datos_Origen[[#This Row],[Básico]]/Datos_Origen[[#This Row],[Salario Ordinario Pol]],""),"")</f>
        <v>0.42936104695919941</v>
      </c>
      <c r="CP135" s="155">
        <f>IF(ROUND(Datos_Origen[[#This Row],[Salario Ordinario Pol22]],-3)&lt;SMMLV,SMMLV,ROUND(Datos_Origen[[#This Row],[Salario Ordinario Pol22]],-3))</f>
        <v>22079000</v>
      </c>
      <c r="CQ135" s="155" t="str">
        <f>IFERROR(ROUND(Datos_Origen[[#This Row],[Salario Integral Pol4]],-3),"")</f>
        <v/>
      </c>
      <c r="CR135" s="139">
        <f>IF((Datos_Origen[[#This Row],[Gpol]]/(1+FactorPrestacionalIntegral))&lt;(13*SMMLV),"",(Datos_Origen[[#This Row],[Gpol]]/(1+FactorPrestacionalIntegral)))</f>
        <v>21650000</v>
      </c>
      <c r="CS135" s="161" t="str">
        <f>IFERROR(IF(Datos_Origen[[#This Row],[Salarios Año]]=12,Datos_Origen[[#This Row],[Básico]]/Datos_Origen[[#This Row],[Salario Integral Pol]],""),"")</f>
        <v/>
      </c>
      <c r="CT135" s="155">
        <f>IFERROR(ROUND(Datos_Origen[[#This Row],[Salario Integral Pol44]],-3),"")</f>
        <v>25980000</v>
      </c>
      <c r="CU135" s="155">
        <f>Datos_Origen[[#This Row],[G+Vpol]]-Datos_Origen[[#This Row],[Variable]]</f>
        <v>21650000</v>
      </c>
      <c r="CV135" s="161">
        <f>Datos_Origen[[#This Row],[G]]/Datos_Origen[[#This Row],[Gpol]]</f>
        <v>0.42936226327944571</v>
      </c>
      <c r="CW135" s="154">
        <f>Datos_Origen[[#This Row],[Ctpol]]-Datos_Origen[[#This Row],[Beneficios]]</f>
        <v>21650000</v>
      </c>
      <c r="CX135" s="161">
        <f>Datos_Origen[[#This Row],[G+V]]/Datos_Origen[[#This Row],[G+Vpol]]</f>
        <v>0.42936226327944571</v>
      </c>
      <c r="CY135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21650000</v>
      </c>
      <c r="CZ135" s="161">
        <f>Datos_Origen[[#This Row],[CT]]/Datos_Origen[[#This Row],[Ctpol]]</f>
        <v>0.42936226327944571</v>
      </c>
      <c r="DA135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7900000</v>
      </c>
      <c r="DB135" s="158">
        <f>IF(Datos_Origen[[#This Row],[Básico]]&lt;10*SMMLV,0,Datos_Origen[[#This Row],[Base Seguridad Social Actual]]*8.5%)</f>
        <v>0</v>
      </c>
      <c r="DC135" s="158">
        <f>Datos_Origen[[#This Row],[Base Seguridad Social Actual]]*12%</f>
        <v>948000</v>
      </c>
      <c r="DD135" s="158">
        <f>Datos_Origen[[#This Row],[Base Seguridad Social Actual]]*Datos_Origen[[#This Row],[%ARL]]</f>
        <v>343650</v>
      </c>
      <c r="DE135" s="158">
        <f>IF(Datos_Origen[[#This Row],[Básico]]&lt;10*SMMLV,Datos_Origen[[#This Row],[Base Seguridad Social Actual]]*4%,Datos_Origen[[#This Row],[Base Seguridad Social Actual]]*9%)</f>
        <v>316000</v>
      </c>
      <c r="DF135" s="158">
        <f>Datos_Origen[[#This Row],[Salud]]+Datos_Origen[[#This Row],[Pensión]]+Datos_Origen[[#This Row],[ARL]]+Datos_Origen[[#This Row],[Parafiscales]]</f>
        <v>1607650</v>
      </c>
      <c r="DG135" s="163">
        <f>Datos_Origen[[#This Row],[Costo Laboral Actual]]+Datos_Origen[[#This Row],[CT]]</f>
        <v>10903343</v>
      </c>
      <c r="DH135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18399433.427762039</v>
      </c>
      <c r="DI135" s="158">
        <f>IF(IF(Datos_Origen[[#This Row],[Salarios Año]]=12,Datos_Origen[[#This Row],[Salario Integral Pol]],Datos_Origen[[#This Row],[Salario Ordinario Pol]])&lt;10*SMMLV,0,Datos_Origen[[#This Row],[Base Seguridad Social Nueva]]*8.5%)</f>
        <v>1563951.8413597734</v>
      </c>
      <c r="DJ135" s="158">
        <f>Datos_Origen[[#This Row],[Base Seguridad Social Nueva]]*12%</f>
        <v>2207932.0113314446</v>
      </c>
      <c r="DK135" s="158">
        <f>Datos_Origen[[#This Row],[Base Seguridad Social Nueva]]*Datos_Origen[[#This Row],[%ARL]]</f>
        <v>800375.3541076486</v>
      </c>
      <c r="DL135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1655949.0084985835</v>
      </c>
      <c r="DM135" s="158">
        <f>Datos_Origen[[#This Row],[Salud Nueva]]+Datos_Origen[[#This Row],[Pensión Nueva]]+Datos_Origen[[#This Row],[ARL nueva]]+Datos_Origen[[#This Row],[Parafiscales Nuevos]]</f>
        <v>6228208.2152974494</v>
      </c>
      <c r="DN135" s="158">
        <f>Datos_Origen[[#This Row],[Costo Laboral Nuevo]]+Datos_Origen[[#This Row],[Ctpol]]</f>
        <v>27878208.215297449</v>
      </c>
      <c r="DO135" s="158">
        <f>IF(Datos_Origen[[#This Row],[Ctpol]]-Datos_Origen[[#This Row],[CT]]&lt;=0,0,Datos_Origen[[#This Row],[Costo Total Nuevo]]-Datos_Origen[[#This Row],[Costo Total Actual]])</f>
        <v>16974865.215297449</v>
      </c>
      <c r="DP135" s="158">
        <f>IF(Datos_Origen[[#This Row],[Ctpol]]-Datos_Origen[[#This Row],[CT]]&lt;=0,0,Datos_Origen[[#This Row],[Ctpol]]-Datos_Origen[[#This Row],[CT]])</f>
        <v>12354307</v>
      </c>
      <c r="DQ135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4620558.2152974494</v>
      </c>
      <c r="DR135" s="158">
        <f>ROUNDDOWN(VLOOKUP(Datos_Origen[[#This Row],[Categoria]],Competitividad_1[],7,0)*IndiceIncrementoC,-3)</f>
        <v>18040000</v>
      </c>
      <c r="DS135" s="158">
        <f>Datos_Origen[[#This Row],[CTeq]]*0.8</f>
        <v>8773176.0042094775</v>
      </c>
      <c r="DT135" s="158">
        <f>Datos_Origen[[#This Row],[CTeq]]*1.2</f>
        <v>13159764.006314214</v>
      </c>
      <c r="DU135" s="155">
        <f>IF(Datos_Origen[[#This Row],[Gpol6]]/(1+FactorPrestacionalOrdinario)&lt;SMMLV,SMMLV,Datos_Origen[[#This Row],[Gpol6]]/(1+FactorPrestacionalOrdinario))</f>
        <v>14719546.74220963</v>
      </c>
      <c r="DV135" s="139" t="str">
        <f>IF((Datos_Origen[[#This Row],[Gpol6]]/(1+FactorPrestacionalIntegral))&lt;(13*SMMLV),"",(Datos_Origen[[#This Row],[Gpol6]]/(1+FactorPrestacionalIntegral)))</f>
        <v/>
      </c>
      <c r="DW135" s="154">
        <f>Datos_Origen[[#This Row],[G+Vpol8]]</f>
        <v>17320000</v>
      </c>
      <c r="DX135" s="154">
        <f>Datos_Origen[[#This Row],[Ctpol10]]-Datos_Origen[[#This Row],[Beneficios]]</f>
        <v>17320000</v>
      </c>
      <c r="DY135" s="154">
        <f>Datos_Origen[[#This Row],[Ctpol]]*$CM$6</f>
        <v>17320000</v>
      </c>
      <c r="DZ135" s="155">
        <f>IF(Datos_Origen[[#This Row],[Gpol66]]/(1+FactorPrestacionalOrdinario)&lt;SMMLV,SMMLV,Datos_Origen[[#This Row],[Gpol66]]/(1+FactorPrestacionalOrdinario))</f>
        <v>22079320.113314446</v>
      </c>
      <c r="EA135" s="139">
        <f>IF((Datos_Origen[[#This Row],[Gpol66]]/(1+FactorPrestacionalIntegral))&lt;(13*SMMLV),"",(Datos_Origen[[#This Row],[Gpol66]]/(1+FactorPrestacionalIntegral)))</f>
        <v>25980000</v>
      </c>
      <c r="EB135" s="154">
        <f>Datos_Origen[[#This Row],[G+Vpol88]]</f>
        <v>25980000</v>
      </c>
      <c r="EC135" s="154">
        <f>Datos_Origen[[#This Row],[Ctpol1010]]-Datos_Origen[[#This Row],[Beneficios]]</f>
        <v>25980000</v>
      </c>
      <c r="ED135" s="154">
        <f>Datos_Origen[[#This Row],[Ctpol]]*$CP$6</f>
        <v>25980000</v>
      </c>
      <c r="EE135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36" spans="2:135">
      <c r="B136" s="148"/>
      <c r="C136" s="149"/>
      <c r="D136" s="150"/>
      <c r="E136" s="151"/>
      <c r="F136" s="151"/>
      <c r="G136" s="150" t="s">
        <v>281</v>
      </c>
      <c r="H136" s="153"/>
      <c r="I136" s="152" t="s">
        <v>281</v>
      </c>
      <c r="J136" s="130" t="str">
        <f>IFERROR(VLOOKUP(Datos_Origen[[#This Row],[Cargo Tipo Valorado]],Cargos_Catalogo[[#All],[Cargo]:[Área]],2,0),"")</f>
        <v xml:space="preserve">Gerente general </v>
      </c>
      <c r="K136" s="153"/>
      <c r="L136" s="153"/>
      <c r="M136" s="153"/>
      <c r="N136" s="153"/>
      <c r="O136" s="154">
        <f>Datos_Origen[[#This Row],[Segmentación Individual]]</f>
        <v>0</v>
      </c>
      <c r="P136" s="153"/>
      <c r="Q136" s="154">
        <f>VLOOKUP(Datos_Origen[[#This Row],[Cargo Tipo Valorado]],Cargos_Catalogo[#Data],MATCH(Cargos_Catalogo[[#Headers],[Puntos]],Cargos_Catalogo[#Headers],0),FALSE)</f>
        <v>625</v>
      </c>
      <c r="R136" s="130">
        <f>VLOOKUP(Datos_Origen[[#This Row],[Puntos valoración]],Categorias_Registro[#Data],MATCH(Categorias_Registro[[#Headers],[Categoria]],Categorias_Registro[#Headers],0),FALSE)</f>
        <v>15</v>
      </c>
      <c r="S136" s="130" t="str">
        <f>VLOOKUP(Datos_Origen[[#This Row],[Cargo Tipo Valorado]],Cargos_Catalogo[#Data],MATCH(Cargos_Catalogo[[#Headers],[Nivel SHR]],Cargos_Catalogo[#Headers],0),FALSE)</f>
        <v>Gerencia media</v>
      </c>
      <c r="T136" s="130" t="str">
        <f>VLOOKUP(Datos_Origen[[#This Row],[Cargo Tipo Valorado]],Cargos_Catalogo[#Data],MATCH(Cargos_Catalogo[[#Headers],[Criticidad]],Cargos_Catalogo[#Headers],0),FALSE)</f>
        <v>Crítico</v>
      </c>
      <c r="U136" s="154">
        <f>VLOOKUP(Datos_Origen[[#This Row],[Puntos valoración]],Categorias_Registro[#Data],5,FALSE)</f>
        <v>663</v>
      </c>
      <c r="V136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13526998.32</v>
      </c>
      <c r="W136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36" s="154">
        <f>SUMIF($BA$5:$BJ$5,"NCS",Datos_Origen[[#This Row],[auxilio Gasolina]:[Otro Beneficio10]])+(SUMIF($BA$5:$BJ$5,"CS",Datos_Origen[[#This Row],[auxilio Gasolina]:[Otro Beneficio10]])*1.17667)</f>
        <v>0</v>
      </c>
      <c r="Y136" s="155">
        <f>Datos_Origen[[#This Row],[Básico]]+Datos_Origen[[#This Row],[Promedio de Comisiones  ]]</f>
        <v>11496000</v>
      </c>
      <c r="Z136" s="155">
        <f>Datos_Origen[[#This Row],[Básico]]+Datos_Origen[[#This Row],[Promedio de Comisiones  ]]</f>
        <v>11496000</v>
      </c>
      <c r="AA136" s="155">
        <f>Datos_Origen[[#This Row],[Garantizado]]</f>
        <v>13526998.32</v>
      </c>
      <c r="AB136" s="155">
        <f>Datos_Origen[[#This Row],[Variable]]+Datos_Origen[[#This Row],[Garantizado]]</f>
        <v>13526998.32</v>
      </c>
      <c r="AC136" s="155">
        <f>Datos_Origen[[#This Row],[Beneficios]]+Datos_Origen[[#This Row],[Variable]]+Datos_Origen[[#This Row],[Garantizado]]</f>
        <v>13526998.32</v>
      </c>
      <c r="AD136" s="156">
        <v>14.12</v>
      </c>
      <c r="AE136" s="141">
        <v>230</v>
      </c>
      <c r="AF136" s="345">
        <v>4.3499999999999997E-2</v>
      </c>
      <c r="AG136" s="155">
        <f>Datos_Origen[[#This Row],[Básico Actual]]*230/Datos_Origen[[#This Row],['# horas mes]]</f>
        <v>11496000</v>
      </c>
      <c r="AH136" s="157">
        <v>11496000</v>
      </c>
      <c r="AI136" s="158"/>
      <c r="AJ136" s="158">
        <f>(((Datos_Origen[[#This Row],[Básico]])/30)*$AJ$6)/12</f>
        <v>0</v>
      </c>
      <c r="AK136" s="158"/>
      <c r="AL136" s="143">
        <f>((Datos_Origen[[#This Row],[Básico]])/30)*$AL$6/12</f>
        <v>0</v>
      </c>
      <c r="AM136" s="158"/>
      <c r="AN136" s="158"/>
      <c r="AO136" s="158"/>
      <c r="AP136" s="158"/>
      <c r="AQ136" s="158"/>
      <c r="AR136" s="149">
        <v>0</v>
      </c>
      <c r="AS136" s="149"/>
      <c r="AT136" s="159" t="str">
        <f>IFERROR(Datos_Origen[[#This Row],[Comisiones Target]]/Datos_Origen[[#This Row],[Promedio de Comisiones  ]],"")</f>
        <v/>
      </c>
      <c r="AU136" s="160"/>
      <c r="AV136" s="143">
        <v>0</v>
      </c>
      <c r="AW136" s="160"/>
      <c r="AX136" s="143">
        <f>Datos_Origen[[#This Row],[N Salarios de la Bonificación2]]*Datos_Origen[[#This Row],[Básico]]/12</f>
        <v>0</v>
      </c>
      <c r="AY136" s="160"/>
      <c r="AZ136" s="158"/>
      <c r="BA136" s="149">
        <v>0</v>
      </c>
      <c r="BB136" s="149"/>
      <c r="BC136" s="149"/>
      <c r="BD136" s="149"/>
      <c r="BE136" s="149"/>
      <c r="BF136" s="149"/>
      <c r="BG136" s="149"/>
      <c r="BH136" s="149"/>
      <c r="BI136" s="149"/>
      <c r="BJ136" s="149"/>
      <c r="BK136" s="159">
        <f>IFERROR(Datos_Origen[[#This Row],[Variable]]/Datos_Origen[[#This Row],[CT]],"")</f>
        <v>0</v>
      </c>
      <c r="BL136" s="159">
        <f>IFERROR(Datos_Origen[[#This Row],[Beneficios]]/Datos_Origen[[#This Row],[CT]],"")</f>
        <v>0</v>
      </c>
      <c r="BM136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10700392.258823581</v>
      </c>
      <c r="BN136" s="161">
        <f>Datos_Origen[[#This Row],[G]]/Datos_Origen[[#This Row],[Geq]]</f>
        <v>1.2641591067697158</v>
      </c>
      <c r="BO136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10921021.83990635</v>
      </c>
      <c r="BP136" s="161">
        <f>Datos_Origen[[#This Row],[G+V]]/Datos_Origen[[#This Row],[G+Veq]]</f>
        <v>1.2386202059015383</v>
      </c>
      <c r="BQ136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10966470.005261846</v>
      </c>
      <c r="BR136" s="161">
        <f>Datos_Origen[[#This Row],[CT]]/Datos_Origen[[#This Row],[CTeq]]</f>
        <v>1.2334870120931878</v>
      </c>
      <c r="BS136" s="139">
        <f>ROUNDUP(VLOOKUP(Datos_Origen[[#This Row],[Categoria]],Competitividad_1[#All],2,0)*IndiceIncrementoC,-3)</f>
        <v>13836000</v>
      </c>
      <c r="BT136" s="161">
        <f>Datos_Origen[[#This Row],[G]]/Datos_Origen[[#This Row],[GQ1]]</f>
        <v>0.97766683434518653</v>
      </c>
      <c r="BU136" s="155">
        <f>ROUNDUP(VLOOKUP(Datos_Origen[[#This Row],[Categoria]],Competitividad_1[#All],3,0)*IndiceIncrementoC,-3)</f>
        <v>14536000</v>
      </c>
      <c r="BV136" s="161">
        <f>Datos_Origen[[#This Row],[G+V]]/Datos_Origen[[#This Row],[G+VQ1]]</f>
        <v>0.93058601541001651</v>
      </c>
      <c r="BW136" s="155">
        <f>ROUNDUP(VLOOKUP(Datos_Origen[[#This Row],[Categoria]],Competitividad_1[#All],4,0)*IndiceIncrementoC,-3)</f>
        <v>15107000</v>
      </c>
      <c r="BX136" s="161">
        <f>Datos_Origen[[#This Row],[CT]]/Datos_Origen[[#This Row],[CTQ1]]</f>
        <v>0.89541261137221162</v>
      </c>
      <c r="BY136" s="155">
        <f>ROUNDUP(VLOOKUP(Datos_Origen[[#This Row],[Categoria]],Competitividad_1[#All],5,0)*IndiceIncrementoC,-3)</f>
        <v>16762000</v>
      </c>
      <c r="BZ136" s="161">
        <f>Datos_Origen[[#This Row],[G]]/Datos_Origen[[#This Row],[GMd]]</f>
        <v>0.80700383725092473</v>
      </c>
      <c r="CA136" s="155">
        <f>ROUNDUP(VLOOKUP(Datos_Origen[[#This Row],[Categoria]],Competitividad_1[#All],6,0)*IndiceIncrementoC,-3)</f>
        <v>17437000</v>
      </c>
      <c r="CB136" s="161">
        <f>Datos_Origen[[#This Row],[G+V]]/Datos_Origen[[#This Row],[G+VMd]]</f>
        <v>0.77576408327120494</v>
      </c>
      <c r="CC136" s="155">
        <f>ROUNDUP(VLOOKUP(Datos_Origen[[#This Row],[Categoria]],Competitividad_1[#All],7,0)*IndiceIncrementoC,-3)</f>
        <v>18041000</v>
      </c>
      <c r="CD136" s="161">
        <f>Datos_Origen[[#This Row],[CT]]/Datos_Origen[[#This Row],[CTMd]]</f>
        <v>0.74979204700404634</v>
      </c>
      <c r="CE136" s="155">
        <f>+Datos_Origen[[#This Row],[GMd]]/1.17666666667</f>
        <v>14245325.778996471</v>
      </c>
      <c r="CF136" s="161">
        <f>+Datos_Origen[[#This Row],[Básico Actual]]/Datos_Origen[[#This Row],[Salario Basico Md]]</f>
        <v>0.80700155112983663</v>
      </c>
      <c r="CG136" s="155">
        <f>ROUNDUP(VLOOKUP(Datos_Origen[[#This Row],[Categoria]],Competitividad_1[#All],8,0)*IndiceIncrementoC,-3)</f>
        <v>16880000</v>
      </c>
      <c r="CH136" s="161">
        <f>Datos_Origen[[#This Row],[G]]/Datos_Origen[[#This Row],[GQ3]]</f>
        <v>0.8013624597156398</v>
      </c>
      <c r="CI136" s="155">
        <f>ROUNDUP(VLOOKUP(Datos_Origen[[#This Row],[Categoria]],Competitividad_1[#All],9,0)*IndiceIncrementoC,-3)</f>
        <v>17439000</v>
      </c>
      <c r="CJ136" s="161">
        <f>Datos_Origen[[#This Row],[G+V]]/Datos_Origen[[#This Row],[G+VQ3]]</f>
        <v>0.77567511439876147</v>
      </c>
      <c r="CK136" s="155">
        <f>ROUNDUP(VLOOKUP(Datos_Origen[[#This Row],[Categoria]],Competitividad_1[#All],10,0)*IndiceIncrementoC,-3)</f>
        <v>17813000</v>
      </c>
      <c r="CL136" s="161">
        <f>Datos_Origen[[#This Row],[CT]]/Datos_Origen[[#This Row],[CTQ3]]</f>
        <v>0.75938911581429291</v>
      </c>
      <c r="CM136" s="162">
        <f>IF(ROUND(Datos_Origen[[#This Row],[Salario Ordinario Pol2]],-3)&lt;SMMLV,SMMLV,ROUND(Datos_Origen[[#This Row],[Salario Ordinario Pol2]],-3))</f>
        <v>14720000</v>
      </c>
      <c r="CN136" s="155">
        <f>IF(Datos_Origen[[#This Row],[Gpol]]/(1+FactorPrestacionalOrdinario)&lt;SMMLV,SMMLV,Datos_Origen[[#This Row],[Gpol]]/(1+FactorPrestacionalOrdinario))</f>
        <v>18399433.427762039</v>
      </c>
      <c r="CO136" s="161">
        <f>IFERROR(IF(Datos_Origen[[#This Row],[Salarios Año]]=14.12,Datos_Origen[[#This Row],[Básico]]/Datos_Origen[[#This Row],[Salario Ordinario Pol]],""),"")</f>
        <v>0.62480184757505774</v>
      </c>
      <c r="CP136" s="155">
        <f>IF(ROUND(Datos_Origen[[#This Row],[Salario Ordinario Pol22]],-3)&lt;SMMLV,SMMLV,ROUND(Datos_Origen[[#This Row],[Salario Ordinario Pol22]],-3))</f>
        <v>22079000</v>
      </c>
      <c r="CQ136" s="155" t="str">
        <f>IFERROR(ROUND(Datos_Origen[[#This Row],[Salario Integral Pol4]],-3),"")</f>
        <v/>
      </c>
      <c r="CR136" s="139">
        <f>IF((Datos_Origen[[#This Row],[Gpol]]/(1+FactorPrestacionalIntegral))&lt;(13*SMMLV),"",(Datos_Origen[[#This Row],[Gpol]]/(1+FactorPrestacionalIntegral)))</f>
        <v>21650000</v>
      </c>
      <c r="CS136" s="161" t="str">
        <f>IFERROR(IF(Datos_Origen[[#This Row],[Salarios Año]]=12,Datos_Origen[[#This Row],[Básico]]/Datos_Origen[[#This Row],[Salario Integral Pol]],""),"")</f>
        <v/>
      </c>
      <c r="CT136" s="155">
        <f>IFERROR(ROUND(Datos_Origen[[#This Row],[Salario Integral Pol44]],-3),"")</f>
        <v>25980000</v>
      </c>
      <c r="CU136" s="155">
        <f>Datos_Origen[[#This Row],[G+Vpol]]-Datos_Origen[[#This Row],[Variable]]</f>
        <v>21650000</v>
      </c>
      <c r="CV136" s="161">
        <f>Datos_Origen[[#This Row],[G]]/Datos_Origen[[#This Row],[Gpol]]</f>
        <v>0.62480361755196301</v>
      </c>
      <c r="CW136" s="154">
        <f>Datos_Origen[[#This Row],[Ctpol]]-Datos_Origen[[#This Row],[Beneficios]]</f>
        <v>21650000</v>
      </c>
      <c r="CX136" s="161">
        <f>Datos_Origen[[#This Row],[G+V]]/Datos_Origen[[#This Row],[G+Vpol]]</f>
        <v>0.62480361755196301</v>
      </c>
      <c r="CY136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21650000</v>
      </c>
      <c r="CZ136" s="161">
        <f>Datos_Origen[[#This Row],[CT]]/Datos_Origen[[#This Row],[Ctpol]]</f>
        <v>0.62480361755196301</v>
      </c>
      <c r="DA136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11496000</v>
      </c>
      <c r="DB136" s="158">
        <f>IF(Datos_Origen[[#This Row],[Básico]]&lt;10*SMMLV,0,Datos_Origen[[#This Row],[Base Seguridad Social Actual]]*8.5%)</f>
        <v>0</v>
      </c>
      <c r="DC136" s="158">
        <f>Datos_Origen[[#This Row],[Base Seguridad Social Actual]]*12%</f>
        <v>1379520</v>
      </c>
      <c r="DD136" s="158">
        <f>Datos_Origen[[#This Row],[Base Seguridad Social Actual]]*Datos_Origen[[#This Row],[%ARL]]</f>
        <v>500075.99999999994</v>
      </c>
      <c r="DE136" s="158">
        <f>IF(Datos_Origen[[#This Row],[Básico]]&lt;10*SMMLV,Datos_Origen[[#This Row],[Base Seguridad Social Actual]]*4%,Datos_Origen[[#This Row],[Base Seguridad Social Actual]]*9%)</f>
        <v>459840</v>
      </c>
      <c r="DF136" s="158">
        <f>Datos_Origen[[#This Row],[Salud]]+Datos_Origen[[#This Row],[Pensión]]+Datos_Origen[[#This Row],[ARL]]+Datos_Origen[[#This Row],[Parafiscales]]</f>
        <v>2339436</v>
      </c>
      <c r="DG136" s="158">
        <f>Datos_Origen[[#This Row],[Costo Laboral Actual]]+Datos_Origen[[#This Row],[CT]]</f>
        <v>15866434.32</v>
      </c>
      <c r="DH136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18399433.427762039</v>
      </c>
      <c r="DI136" s="158">
        <f>IF(IF(Datos_Origen[[#This Row],[Salarios Año]]=12,Datos_Origen[[#This Row],[Salario Integral Pol]],Datos_Origen[[#This Row],[Salario Ordinario Pol]])&lt;10*SMMLV,0,Datos_Origen[[#This Row],[Base Seguridad Social Nueva]]*8.5%)</f>
        <v>1563951.8413597734</v>
      </c>
      <c r="DJ136" s="158">
        <f>Datos_Origen[[#This Row],[Base Seguridad Social Nueva]]*12%</f>
        <v>2207932.0113314446</v>
      </c>
      <c r="DK136" s="158">
        <f>Datos_Origen[[#This Row],[Base Seguridad Social Nueva]]*Datos_Origen[[#This Row],[%ARL]]</f>
        <v>800375.3541076486</v>
      </c>
      <c r="DL136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1655949.0084985835</v>
      </c>
      <c r="DM136" s="158">
        <f>Datos_Origen[[#This Row],[Salud Nueva]]+Datos_Origen[[#This Row],[Pensión Nueva]]+Datos_Origen[[#This Row],[ARL nueva]]+Datos_Origen[[#This Row],[Parafiscales Nuevos]]</f>
        <v>6228208.2152974494</v>
      </c>
      <c r="DN136" s="158">
        <f>Datos_Origen[[#This Row],[Costo Laboral Nuevo]]+Datos_Origen[[#This Row],[Ctpol]]</f>
        <v>27878208.215297449</v>
      </c>
      <c r="DO136" s="158">
        <f>IF(Datos_Origen[[#This Row],[Ctpol]]-Datos_Origen[[#This Row],[CT]]&lt;=0,0,Datos_Origen[[#This Row],[Costo Total Nuevo]]-Datos_Origen[[#This Row],[Costo Total Actual]])</f>
        <v>12011773.895297449</v>
      </c>
      <c r="DP136" s="158">
        <f>IF(Datos_Origen[[#This Row],[Ctpol]]-Datos_Origen[[#This Row],[CT]]&lt;=0,0,Datos_Origen[[#This Row],[Ctpol]]-Datos_Origen[[#This Row],[CT]])</f>
        <v>8123001.6799999997</v>
      </c>
      <c r="DQ136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3888772.2152974494</v>
      </c>
      <c r="DR136" s="158">
        <f>ROUNDDOWN(VLOOKUP(Datos_Origen[[#This Row],[Categoria]],Competitividad_1[],7,0)*IndiceIncrementoC,-3)</f>
        <v>18040000</v>
      </c>
      <c r="DS136" s="158">
        <f>Datos_Origen[[#This Row],[CTeq]]*0.8</f>
        <v>8773176.0042094775</v>
      </c>
      <c r="DT136" s="158">
        <f>Datos_Origen[[#This Row],[CTeq]]*1.2</f>
        <v>13159764.006314214</v>
      </c>
      <c r="DU136" s="155">
        <f>IF(Datos_Origen[[#This Row],[Gpol6]]/(1+FactorPrestacionalOrdinario)&lt;SMMLV,SMMLV,Datos_Origen[[#This Row],[Gpol6]]/(1+FactorPrestacionalOrdinario))</f>
        <v>14719546.74220963</v>
      </c>
      <c r="DV136" s="139" t="str">
        <f>IF((Datos_Origen[[#This Row],[Gpol6]]/(1+FactorPrestacionalIntegral))&lt;(13*SMMLV),"",(Datos_Origen[[#This Row],[Gpol6]]/(1+FactorPrestacionalIntegral)))</f>
        <v/>
      </c>
      <c r="DW136" s="154">
        <f>Datos_Origen[[#This Row],[G+Vpol8]]</f>
        <v>17320000</v>
      </c>
      <c r="DX136" s="154">
        <f>Datos_Origen[[#This Row],[Ctpol10]]-Datos_Origen[[#This Row],[Beneficios]]</f>
        <v>17320000</v>
      </c>
      <c r="DY136" s="154">
        <f>Datos_Origen[[#This Row],[Ctpol]]*$CM$6</f>
        <v>17320000</v>
      </c>
      <c r="DZ136" s="155">
        <f>IF(Datos_Origen[[#This Row],[Gpol66]]/(1+FactorPrestacionalOrdinario)&lt;SMMLV,SMMLV,Datos_Origen[[#This Row],[Gpol66]]/(1+FactorPrestacionalOrdinario))</f>
        <v>22079320.113314446</v>
      </c>
      <c r="EA136" s="139">
        <f>IF((Datos_Origen[[#This Row],[Gpol66]]/(1+FactorPrestacionalIntegral))&lt;(13*SMMLV),"",(Datos_Origen[[#This Row],[Gpol66]]/(1+FactorPrestacionalIntegral)))</f>
        <v>25980000</v>
      </c>
      <c r="EB136" s="154">
        <f>Datos_Origen[[#This Row],[G+Vpol88]]</f>
        <v>25980000</v>
      </c>
      <c r="EC136" s="154">
        <f>Datos_Origen[[#This Row],[Ctpol1010]]-Datos_Origen[[#This Row],[Beneficios]]</f>
        <v>25980000</v>
      </c>
      <c r="ED136" s="154">
        <f>Datos_Origen[[#This Row],[Ctpol]]*$CP$6</f>
        <v>25980000</v>
      </c>
      <c r="EE136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37" spans="2:135">
      <c r="B137" s="132"/>
      <c r="C137" s="149"/>
      <c r="D137" s="150"/>
      <c r="E137" s="151"/>
      <c r="F137" s="151"/>
      <c r="G137" s="150" t="s">
        <v>279</v>
      </c>
      <c r="H137" s="153"/>
      <c r="I137" s="152" t="s">
        <v>279</v>
      </c>
      <c r="J137" s="130" t="str">
        <f>IFERROR(VLOOKUP(Datos_Origen[[#This Row],[Cargo Tipo Valorado]],Cargos_Catalogo[[#All],[Cargo]:[Área]],2,0),"")</f>
        <v xml:space="preserve">Gerente General </v>
      </c>
      <c r="K137" s="153"/>
      <c r="L137" s="153"/>
      <c r="M137" s="153"/>
      <c r="N137" s="153"/>
      <c r="O137" s="154">
        <f>Datos_Origen[[#This Row],[Segmentación Individual]]</f>
        <v>0</v>
      </c>
      <c r="P137" s="153"/>
      <c r="Q137" s="154">
        <f>VLOOKUP(Datos_Origen[[#This Row],[Cargo Tipo Valorado]],Cargos_Catalogo[#Data],MATCH(Cargos_Catalogo[[#Headers],[Puntos]],Cargos_Catalogo[#Headers],0),FALSE)</f>
        <v>632</v>
      </c>
      <c r="R137" s="130">
        <f>VLOOKUP(Datos_Origen[[#This Row],[Puntos valoración]],Categorias_Registro[#Data],MATCH(Categorias_Registro[[#Headers],[Categoria]],Categorias_Registro[#Headers],0),FALSE)</f>
        <v>15</v>
      </c>
      <c r="S137" s="130" t="str">
        <f>VLOOKUP(Datos_Origen[[#This Row],[Cargo Tipo Valorado]],Cargos_Catalogo[#Data],MATCH(Cargos_Catalogo[[#Headers],[Nivel SHR]],Cargos_Catalogo[#Headers],0),FALSE)</f>
        <v>Gerencia media</v>
      </c>
      <c r="T137" s="130" t="str">
        <f>VLOOKUP(Datos_Origen[[#This Row],[Cargo Tipo Valorado]],Cargos_Catalogo[#Data],MATCH(Cargos_Catalogo[[#Headers],[Criticidad]],Cargos_Catalogo[#Headers],0),FALSE)</f>
        <v>Muy Importante</v>
      </c>
      <c r="U137" s="154">
        <f>VLOOKUP(Datos_Origen[[#This Row],[Puntos valoración]],Categorias_Registro[#Data],5,FALSE)</f>
        <v>663</v>
      </c>
      <c r="V137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10253502.380000001</v>
      </c>
      <c r="W137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37" s="154">
        <f>SUMIF($BA$5:$BJ$5,"NCS",Datos_Origen[[#This Row],[auxilio Gasolina]:[Otro Beneficio10]])+(SUMIF($BA$5:$BJ$5,"CS",Datos_Origen[[#This Row],[auxilio Gasolina]:[Otro Beneficio10]])*1.17667)</f>
        <v>0</v>
      </c>
      <c r="Y137" s="155">
        <f>Datos_Origen[[#This Row],[Básico]]+Datos_Origen[[#This Row],[Promedio de Comisiones  ]]</f>
        <v>8714000</v>
      </c>
      <c r="Z137" s="155">
        <f>Datos_Origen[[#This Row],[Básico]]+Datos_Origen[[#This Row],[Promedio de Comisiones  ]]</f>
        <v>8714000</v>
      </c>
      <c r="AA137" s="155">
        <f>Datos_Origen[[#This Row],[Garantizado]]</f>
        <v>10253502.380000001</v>
      </c>
      <c r="AB137" s="155">
        <f>Datos_Origen[[#This Row],[Variable]]+Datos_Origen[[#This Row],[Garantizado]]</f>
        <v>10253502.380000001</v>
      </c>
      <c r="AC137" s="155">
        <f>Datos_Origen[[#This Row],[Beneficios]]+Datos_Origen[[#This Row],[Variable]]+Datos_Origen[[#This Row],[Garantizado]]</f>
        <v>10253502.380000001</v>
      </c>
      <c r="AD137" s="156">
        <v>14.12</v>
      </c>
      <c r="AE137" s="141">
        <v>230</v>
      </c>
      <c r="AF137" s="345">
        <v>5.2199999999999998E-3</v>
      </c>
      <c r="AG137" s="155">
        <f>Datos_Origen[[#This Row],[Básico Actual]]*230/Datos_Origen[[#This Row],['# horas mes]]</f>
        <v>8714000</v>
      </c>
      <c r="AH137" s="157">
        <v>8714000</v>
      </c>
      <c r="AI137" s="158"/>
      <c r="AJ137" s="158">
        <f>(((Datos_Origen[[#This Row],[Básico]])/30)*$AJ$6)/12</f>
        <v>0</v>
      </c>
      <c r="AK137" s="158"/>
      <c r="AL137" s="143">
        <f>((Datos_Origen[[#This Row],[Básico]])/30)*$AL$6/12</f>
        <v>0</v>
      </c>
      <c r="AM137" s="158"/>
      <c r="AN137" s="158"/>
      <c r="AO137" s="158"/>
      <c r="AP137" s="158"/>
      <c r="AQ137" s="158"/>
      <c r="AR137" s="149">
        <v>0</v>
      </c>
      <c r="AS137" s="149"/>
      <c r="AT137" s="159" t="str">
        <f>IFERROR(Datos_Origen[[#This Row],[Comisiones Target]]/Datos_Origen[[#This Row],[Promedio de Comisiones  ]],"")</f>
        <v/>
      </c>
      <c r="AU137" s="160"/>
      <c r="AV137" s="143">
        <v>0</v>
      </c>
      <c r="AW137" s="160"/>
      <c r="AX137" s="143">
        <f>Datos_Origen[[#This Row],[N Salarios de la Bonificación2]]*Datos_Origen[[#This Row],[Básico]]/12</f>
        <v>0</v>
      </c>
      <c r="AY137" s="160"/>
      <c r="AZ137" s="158"/>
      <c r="BA137" s="149">
        <v>0</v>
      </c>
      <c r="BB137" s="149"/>
      <c r="BC137" s="149"/>
      <c r="BD137" s="149"/>
      <c r="BE137" s="149"/>
      <c r="BF137" s="149"/>
      <c r="BG137" s="149"/>
      <c r="BH137" s="149"/>
      <c r="BI137" s="149"/>
      <c r="BJ137" s="149"/>
      <c r="BK137" s="159">
        <f>IFERROR(Datos_Origen[[#This Row],[Variable]]/Datos_Origen[[#This Row],[CT]],"")</f>
        <v>0</v>
      </c>
      <c r="BL137" s="159">
        <f>IFERROR(Datos_Origen[[#This Row],[Beneficios]]/Datos_Origen[[#This Row],[CT]],"")</f>
        <v>0</v>
      </c>
      <c r="BM137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10700392.258823581</v>
      </c>
      <c r="BN137" s="161">
        <f>Datos_Origen[[#This Row],[G]]/Datos_Origen[[#This Row],[Geq]]</f>
        <v>0.95823612181552753</v>
      </c>
      <c r="BO137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10921021.83990635</v>
      </c>
      <c r="BP137" s="161">
        <f>Datos_Origen[[#This Row],[G+V]]/Datos_Origen[[#This Row],[G+Veq]]</f>
        <v>0.93887756386795462</v>
      </c>
      <c r="BQ137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10966470.005261846</v>
      </c>
      <c r="BR137" s="161">
        <f>Datos_Origen[[#This Row],[CT]]/Datos_Origen[[#This Row],[CTeq]]</f>
        <v>0.93498658867258522</v>
      </c>
      <c r="BS137" s="139">
        <f>ROUNDUP(VLOOKUP(Datos_Origen[[#This Row],[Categoria]],Competitividad_1[#All],2,0)*IndiceIncrementoC,-3)</f>
        <v>13836000</v>
      </c>
      <c r="BT137" s="161">
        <f>Datos_Origen[[#This Row],[G]]/Datos_Origen[[#This Row],[GQ1]]</f>
        <v>0.74107418184446383</v>
      </c>
      <c r="BU137" s="155">
        <f>ROUNDUP(VLOOKUP(Datos_Origen[[#This Row],[Categoria]],Competitividad_1[#All],3,0)*IndiceIncrementoC,-3)</f>
        <v>14536000</v>
      </c>
      <c r="BV137" s="161">
        <f>Datos_Origen[[#This Row],[G+V]]/Datos_Origen[[#This Row],[G+VQ1]]</f>
        <v>0.70538679003852511</v>
      </c>
      <c r="BW137" s="155">
        <f>ROUNDUP(VLOOKUP(Datos_Origen[[#This Row],[Categoria]],Competitividad_1[#All],4,0)*IndiceIncrementoC,-3)</f>
        <v>15107000</v>
      </c>
      <c r="BX137" s="161">
        <f>Datos_Origen[[#This Row],[CT]]/Datos_Origen[[#This Row],[CTQ1]]</f>
        <v>0.67872525186999411</v>
      </c>
      <c r="BY137" s="155">
        <f>ROUNDUP(VLOOKUP(Datos_Origen[[#This Row],[Categoria]],Competitividad_1[#All],5,0)*IndiceIncrementoC,-3)</f>
        <v>16762000</v>
      </c>
      <c r="BZ137" s="161">
        <f>Datos_Origen[[#This Row],[G]]/Datos_Origen[[#This Row],[GMd]]</f>
        <v>0.61171115499343753</v>
      </c>
      <c r="CA137" s="155">
        <f>ROUNDUP(VLOOKUP(Datos_Origen[[#This Row],[Categoria]],Competitividad_1[#All],6,0)*IndiceIncrementoC,-3)</f>
        <v>17437000</v>
      </c>
      <c r="CB137" s="161">
        <f>Datos_Origen[[#This Row],[G+V]]/Datos_Origen[[#This Row],[G+VMd]]</f>
        <v>0.5880313345185525</v>
      </c>
      <c r="CC137" s="155">
        <f>ROUNDUP(VLOOKUP(Datos_Origen[[#This Row],[Categoria]],Competitividad_1[#All],7,0)*IndiceIncrementoC,-3)</f>
        <v>18041000</v>
      </c>
      <c r="CD137" s="161">
        <f>Datos_Origen[[#This Row],[CT]]/Datos_Origen[[#This Row],[CTMd]]</f>
        <v>0.5683444587328863</v>
      </c>
      <c r="CE137" s="155">
        <f>+Datos_Origen[[#This Row],[GMd]]/1.17666666667</f>
        <v>14245325.778996471</v>
      </c>
      <c r="CF137" s="161">
        <f>+Datos_Origen[[#This Row],[Básico Actual]]/Datos_Origen[[#This Row],[Salario Basico Md]]</f>
        <v>0.61170942210728918</v>
      </c>
      <c r="CG137" s="155">
        <f>ROUNDUP(VLOOKUP(Datos_Origen[[#This Row],[Categoria]],Competitividad_1[#All],8,0)*IndiceIncrementoC,-3)</f>
        <v>16880000</v>
      </c>
      <c r="CH137" s="161">
        <f>Datos_Origen[[#This Row],[G]]/Datos_Origen[[#This Row],[GQ3]]</f>
        <v>0.60743497511848343</v>
      </c>
      <c r="CI137" s="155">
        <f>ROUNDUP(VLOOKUP(Datos_Origen[[#This Row],[Categoria]],Competitividad_1[#All],9,0)*IndiceIncrementoC,-3)</f>
        <v>17439000</v>
      </c>
      <c r="CJ137" s="161">
        <f>Datos_Origen[[#This Row],[G+V]]/Datos_Origen[[#This Row],[G+VQ3]]</f>
        <v>0.58796389586558861</v>
      </c>
      <c r="CK137" s="155">
        <f>ROUNDUP(VLOOKUP(Datos_Origen[[#This Row],[Categoria]],Competitividad_1[#All],10,0)*IndiceIncrementoC,-3)</f>
        <v>17813000</v>
      </c>
      <c r="CL137" s="161">
        <f>Datos_Origen[[#This Row],[CT]]/Datos_Origen[[#This Row],[CTQ3]]</f>
        <v>0.57561906360523218</v>
      </c>
      <c r="CM137" s="162">
        <f>IF(ROUND(Datos_Origen[[#This Row],[Salario Ordinario Pol2]],-3)&lt;SMMLV,SMMLV,ROUND(Datos_Origen[[#This Row],[Salario Ordinario Pol2]],-3))</f>
        <v>13493000</v>
      </c>
      <c r="CN137" s="155">
        <f>IF(Datos_Origen[[#This Row],[Gpol]]/(1+FactorPrestacionalOrdinario)&lt;SMMLV,SMMLV,Datos_Origen[[#This Row],[Gpol]]/(1+FactorPrestacionalOrdinario))</f>
        <v>16866288.951841358</v>
      </c>
      <c r="CO137" s="161">
        <f>IFERROR(IF(Datos_Origen[[#This Row],[Salarios Año]]=14.12,Datos_Origen[[#This Row],[Básico]]/Datos_Origen[[#This Row],[Salario Ordinario Pol]],""),"")</f>
        <v>0.51665188619033231</v>
      </c>
      <c r="CP137" s="155">
        <f>IF(ROUND(Datos_Origen[[#This Row],[Salario Ordinario Pol22]],-3)&lt;SMMLV,SMMLV,ROUND(Datos_Origen[[#This Row],[Salario Ordinario Pol22]],-3))</f>
        <v>20240000</v>
      </c>
      <c r="CQ137" s="155" t="str">
        <f>IFERROR(ROUND(Datos_Origen[[#This Row],[Salario Integral Pol4]],-3),"")</f>
        <v/>
      </c>
      <c r="CR137" s="139">
        <f>IF((Datos_Origen[[#This Row],[Gpol]]/(1+FactorPrestacionalIntegral))&lt;(13*SMMLV),"",(Datos_Origen[[#This Row],[Gpol]]/(1+FactorPrestacionalIntegral)))</f>
        <v>19846000</v>
      </c>
      <c r="CS137" s="161" t="str">
        <f>IFERROR(IF(Datos_Origen[[#This Row],[Salarios Año]]=12,Datos_Origen[[#This Row],[Básico]]/Datos_Origen[[#This Row],[Salario Integral Pol]],""),"")</f>
        <v/>
      </c>
      <c r="CT137" s="155">
        <f>IFERROR(ROUND(Datos_Origen[[#This Row],[Salario Integral Pol44]],-3),"")</f>
        <v>23815000</v>
      </c>
      <c r="CU137" s="155">
        <f>Datos_Origen[[#This Row],[G+Vpol]]-Datos_Origen[[#This Row],[Variable]]</f>
        <v>19846000</v>
      </c>
      <c r="CV137" s="161">
        <f>Datos_Origen[[#This Row],[G]]/Datos_Origen[[#This Row],[Gpol]]</f>
        <v>0.51665334979340927</v>
      </c>
      <c r="CW137" s="154">
        <f>Datos_Origen[[#This Row],[Ctpol]]-Datos_Origen[[#This Row],[Beneficios]]</f>
        <v>19846000</v>
      </c>
      <c r="CX137" s="161">
        <f>Datos_Origen[[#This Row],[G+V]]/Datos_Origen[[#This Row],[G+Vpol]]</f>
        <v>0.51665334979340927</v>
      </c>
      <c r="CY137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19846000</v>
      </c>
      <c r="CZ137" s="161">
        <f>Datos_Origen[[#This Row],[CT]]/Datos_Origen[[#This Row],[Ctpol]]</f>
        <v>0.51665334979340927</v>
      </c>
      <c r="DA137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8714000</v>
      </c>
      <c r="DB137" s="158">
        <f>IF(Datos_Origen[[#This Row],[Básico]]&lt;10*SMMLV,0,Datos_Origen[[#This Row],[Base Seguridad Social Actual]]*8.5%)</f>
        <v>0</v>
      </c>
      <c r="DC137" s="158">
        <f>Datos_Origen[[#This Row],[Base Seguridad Social Actual]]*12%</f>
        <v>1045680</v>
      </c>
      <c r="DD137" s="158">
        <f>Datos_Origen[[#This Row],[Base Seguridad Social Actual]]*Datos_Origen[[#This Row],[%ARL]]</f>
        <v>45487.08</v>
      </c>
      <c r="DE137" s="158">
        <f>IF(Datos_Origen[[#This Row],[Básico]]&lt;10*SMMLV,Datos_Origen[[#This Row],[Base Seguridad Social Actual]]*4%,Datos_Origen[[#This Row],[Base Seguridad Social Actual]]*9%)</f>
        <v>348560</v>
      </c>
      <c r="DF137" s="158">
        <f>Datos_Origen[[#This Row],[Salud]]+Datos_Origen[[#This Row],[Pensión]]+Datos_Origen[[#This Row],[ARL]]+Datos_Origen[[#This Row],[Parafiscales]]</f>
        <v>1439727.08</v>
      </c>
      <c r="DG137" s="158">
        <f>Datos_Origen[[#This Row],[Costo Laboral Actual]]+Datos_Origen[[#This Row],[CT]]</f>
        <v>11693229.460000001</v>
      </c>
      <c r="DH137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16866288.951841358</v>
      </c>
      <c r="DI137" s="158">
        <f>IF(IF(Datos_Origen[[#This Row],[Salarios Año]]=12,Datos_Origen[[#This Row],[Salario Integral Pol]],Datos_Origen[[#This Row],[Salario Ordinario Pol]])&lt;10*SMMLV,0,Datos_Origen[[#This Row],[Base Seguridad Social Nueva]]*8.5%)</f>
        <v>1433634.5609065155</v>
      </c>
      <c r="DJ137" s="158">
        <f>Datos_Origen[[#This Row],[Base Seguridad Social Nueva]]*12%</f>
        <v>2023954.6742209629</v>
      </c>
      <c r="DK137" s="158">
        <f>Datos_Origen[[#This Row],[Base Seguridad Social Nueva]]*Datos_Origen[[#This Row],[%ARL]]</f>
        <v>88042.028328611879</v>
      </c>
      <c r="DL137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1517966.0056657221</v>
      </c>
      <c r="DM137" s="158">
        <f>Datos_Origen[[#This Row],[Salud Nueva]]+Datos_Origen[[#This Row],[Pensión Nueva]]+Datos_Origen[[#This Row],[ARL nueva]]+Datos_Origen[[#This Row],[Parafiscales Nuevos]]</f>
        <v>5063597.2691218127</v>
      </c>
      <c r="DN137" s="158">
        <f>Datos_Origen[[#This Row],[Costo Laboral Nuevo]]+Datos_Origen[[#This Row],[Ctpol]]</f>
        <v>24909597.269121811</v>
      </c>
      <c r="DO137" s="158">
        <f>IF(Datos_Origen[[#This Row],[Ctpol]]-Datos_Origen[[#This Row],[CT]]&lt;=0,0,Datos_Origen[[#This Row],[Costo Total Nuevo]]-Datos_Origen[[#This Row],[Costo Total Actual]])</f>
        <v>13216367.80912181</v>
      </c>
      <c r="DP137" s="158">
        <f>IF(Datos_Origen[[#This Row],[Ctpol]]-Datos_Origen[[#This Row],[CT]]&lt;=0,0,Datos_Origen[[#This Row],[Ctpol]]-Datos_Origen[[#This Row],[CT]])</f>
        <v>9592497.6199999992</v>
      </c>
      <c r="DQ137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3623870.1891218126</v>
      </c>
      <c r="DR137" s="158">
        <f>ROUNDDOWN(VLOOKUP(Datos_Origen[[#This Row],[Categoria]],Competitividad_1[],7,0)*IndiceIncrementoC,-3)</f>
        <v>18040000</v>
      </c>
      <c r="DS137" s="158">
        <f>Datos_Origen[[#This Row],[CTeq]]*0.8</f>
        <v>8773176.0042094775</v>
      </c>
      <c r="DT137" s="158">
        <f>Datos_Origen[[#This Row],[CTeq]]*1.2</f>
        <v>13159764.006314214</v>
      </c>
      <c r="DU137" s="155">
        <f>IF(Datos_Origen[[#This Row],[Gpol6]]/(1+FactorPrestacionalOrdinario)&lt;SMMLV,SMMLV,Datos_Origen[[#This Row],[Gpol6]]/(1+FactorPrestacionalOrdinario))</f>
        <v>13493031.161473086</v>
      </c>
      <c r="DV137" s="139" t="str">
        <f>IF((Datos_Origen[[#This Row],[Gpol6]]/(1+FactorPrestacionalIntegral))&lt;(13*SMMLV),"",(Datos_Origen[[#This Row],[Gpol6]]/(1+FactorPrestacionalIntegral)))</f>
        <v/>
      </c>
      <c r="DW137" s="154">
        <f>Datos_Origen[[#This Row],[G+Vpol8]]</f>
        <v>15876800</v>
      </c>
      <c r="DX137" s="154">
        <f>Datos_Origen[[#This Row],[Ctpol10]]-Datos_Origen[[#This Row],[Beneficios]]</f>
        <v>15876800</v>
      </c>
      <c r="DY137" s="154">
        <f>Datos_Origen[[#This Row],[Ctpol]]*$CM$6</f>
        <v>15876800</v>
      </c>
      <c r="DZ137" s="155">
        <f>IF(Datos_Origen[[#This Row],[Gpol66]]/(1+FactorPrestacionalOrdinario)&lt;SMMLV,SMMLV,Datos_Origen[[#This Row],[Gpol66]]/(1+FactorPrestacionalOrdinario))</f>
        <v>20239546.742209632</v>
      </c>
      <c r="EA137" s="139">
        <f>IF((Datos_Origen[[#This Row],[Gpol66]]/(1+FactorPrestacionalIntegral))&lt;(13*SMMLV),"",(Datos_Origen[[#This Row],[Gpol66]]/(1+FactorPrestacionalIntegral)))</f>
        <v>23815200</v>
      </c>
      <c r="EB137" s="154">
        <f>Datos_Origen[[#This Row],[G+Vpol88]]</f>
        <v>23815200</v>
      </c>
      <c r="EC137" s="154">
        <f>Datos_Origen[[#This Row],[Ctpol1010]]-Datos_Origen[[#This Row],[Beneficios]]</f>
        <v>23815200</v>
      </c>
      <c r="ED137" s="154">
        <f>Datos_Origen[[#This Row],[Ctpol]]*$CP$6</f>
        <v>23815200</v>
      </c>
      <c r="EE137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38" spans="2:135">
      <c r="B138" s="148"/>
      <c r="C138" s="149"/>
      <c r="D138" s="150"/>
      <c r="E138" s="151"/>
      <c r="F138" s="151"/>
      <c r="G138" s="150" t="s">
        <v>278</v>
      </c>
      <c r="H138" s="153"/>
      <c r="I138" s="152" t="s">
        <v>278</v>
      </c>
      <c r="J138" s="130" t="str">
        <f>IFERROR(VLOOKUP(Datos_Origen[[#This Row],[Cargo Tipo Valorado]],Cargos_Catalogo[[#All],[Cargo]:[Área]],2,0),"")</f>
        <v xml:space="preserve">Gerente de operaciones </v>
      </c>
      <c r="K138" s="153"/>
      <c r="L138" s="153"/>
      <c r="M138" s="153"/>
      <c r="N138" s="153"/>
      <c r="O138" s="154">
        <f>Datos_Origen[[#This Row],[Segmentación Individual]]</f>
        <v>0</v>
      </c>
      <c r="P138" s="153"/>
      <c r="Q138" s="154">
        <f>VLOOKUP(Datos_Origen[[#This Row],[Cargo Tipo Valorado]],Cargos_Catalogo[#Data],MATCH(Cargos_Catalogo[[#Headers],[Puntos]],Cargos_Catalogo[#Headers],0),FALSE)</f>
        <v>633</v>
      </c>
      <c r="R138" s="130">
        <f>VLOOKUP(Datos_Origen[[#This Row],[Puntos valoración]],Categorias_Registro[#Data],MATCH(Categorias_Registro[[#Headers],[Categoria]],Categorias_Registro[#Headers],0),FALSE)</f>
        <v>15</v>
      </c>
      <c r="S138" s="130" t="str">
        <f>VLOOKUP(Datos_Origen[[#This Row],[Cargo Tipo Valorado]],Cargos_Catalogo[#Data],MATCH(Cargos_Catalogo[[#Headers],[Nivel SHR]],Cargos_Catalogo[#Headers],0),FALSE)</f>
        <v>Gerencia media</v>
      </c>
      <c r="T138" s="130" t="str">
        <f>VLOOKUP(Datos_Origen[[#This Row],[Cargo Tipo Valorado]],Cargos_Catalogo[#Data],MATCH(Cargos_Catalogo[[#Headers],[Criticidad]],Cargos_Catalogo[#Headers],0),FALSE)</f>
        <v>Muy Importante</v>
      </c>
      <c r="U138" s="154">
        <f>VLOOKUP(Datos_Origen[[#This Row],[Puntos valoración]],Categorias_Registro[#Data],5,FALSE)</f>
        <v>663</v>
      </c>
      <c r="V138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13526998.32</v>
      </c>
      <c r="W138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38" s="154">
        <f>SUMIF($BA$5:$BJ$5,"NCS",Datos_Origen[[#This Row],[auxilio Gasolina]:[Otro Beneficio10]])+(SUMIF($BA$5:$BJ$5,"CS",Datos_Origen[[#This Row],[auxilio Gasolina]:[Otro Beneficio10]])*1.17667)</f>
        <v>0</v>
      </c>
      <c r="Y138" s="154">
        <f>Datos_Origen[[#This Row],[Básico]]+Datos_Origen[[#This Row],[Promedio de Comisiones  ]]</f>
        <v>11496000</v>
      </c>
      <c r="Z138" s="154">
        <f>Datos_Origen[[#This Row],[Básico]]+Datos_Origen[[#This Row],[Promedio de Comisiones  ]]</f>
        <v>11496000</v>
      </c>
      <c r="AA138" s="155">
        <f>Datos_Origen[[#This Row],[Garantizado]]</f>
        <v>13526998.32</v>
      </c>
      <c r="AB138" s="155">
        <f>Datos_Origen[[#This Row],[Variable]]+Datos_Origen[[#This Row],[Garantizado]]</f>
        <v>13526998.32</v>
      </c>
      <c r="AC138" s="155">
        <f>Datos_Origen[[#This Row],[Beneficios]]+Datos_Origen[[#This Row],[Variable]]+Datos_Origen[[#This Row],[Garantizado]]</f>
        <v>13526998.32</v>
      </c>
      <c r="AD138" s="156">
        <v>14.12</v>
      </c>
      <c r="AE138" s="141">
        <v>230</v>
      </c>
      <c r="AF138" s="345">
        <v>5.2199999999999998E-3</v>
      </c>
      <c r="AG138" s="154">
        <f>Datos_Origen[[#This Row],[Básico Actual]]*230/Datos_Origen[[#This Row],['# horas mes]]</f>
        <v>11496000</v>
      </c>
      <c r="AH138" s="157">
        <v>11496000</v>
      </c>
      <c r="AI138" s="158"/>
      <c r="AJ138" s="158">
        <f>(((Datos_Origen[[#This Row],[Básico]])/30)*$AJ$6)/12</f>
        <v>0</v>
      </c>
      <c r="AK138" s="158"/>
      <c r="AL138" s="143">
        <f>((Datos_Origen[[#This Row],[Básico]])/30)*$AL$6/12</f>
        <v>0</v>
      </c>
      <c r="AM138" s="158"/>
      <c r="AN138" s="158"/>
      <c r="AO138" s="158"/>
      <c r="AP138" s="158"/>
      <c r="AQ138" s="158"/>
      <c r="AR138" s="149">
        <v>0</v>
      </c>
      <c r="AS138" s="149"/>
      <c r="AT138" s="159" t="str">
        <f>IFERROR(Datos_Origen[[#This Row],[Comisiones Target]]/Datos_Origen[[#This Row],[Promedio de Comisiones  ]],"")</f>
        <v/>
      </c>
      <c r="AU138" s="160"/>
      <c r="AV138" s="143">
        <v>0</v>
      </c>
      <c r="AW138" s="160"/>
      <c r="AX138" s="143">
        <f>Datos_Origen[[#This Row],[N Salarios de la Bonificación2]]*Datos_Origen[[#This Row],[Básico]]/12</f>
        <v>0</v>
      </c>
      <c r="AY138" s="160"/>
      <c r="AZ138" s="158"/>
      <c r="BA138" s="149">
        <v>0</v>
      </c>
      <c r="BB138" s="149"/>
      <c r="BC138" s="149"/>
      <c r="BD138" s="149"/>
      <c r="BE138" s="149"/>
      <c r="BF138" s="149"/>
      <c r="BG138" s="149"/>
      <c r="BH138" s="149"/>
      <c r="BI138" s="149"/>
      <c r="BJ138" s="149"/>
      <c r="BK138" s="159">
        <f>IFERROR(Datos_Origen[[#This Row],[Variable]]/Datos_Origen[[#This Row],[CT]],"")</f>
        <v>0</v>
      </c>
      <c r="BL138" s="159">
        <f>IFERROR(Datos_Origen[[#This Row],[Beneficios]]/Datos_Origen[[#This Row],[CT]],"")</f>
        <v>0</v>
      </c>
      <c r="BM138" s="154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10700392.258823581</v>
      </c>
      <c r="BN138" s="161">
        <f>Datos_Origen[[#This Row],[G]]/Datos_Origen[[#This Row],[Geq]]</f>
        <v>1.2641591067697158</v>
      </c>
      <c r="BO138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10921021.83990635</v>
      </c>
      <c r="BP138" s="161">
        <f>Datos_Origen[[#This Row],[G+V]]/Datos_Origen[[#This Row],[G+Veq]]</f>
        <v>1.2386202059015383</v>
      </c>
      <c r="BQ138" s="154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10966470.005261846</v>
      </c>
      <c r="BR138" s="161">
        <f>Datos_Origen[[#This Row],[CT]]/Datos_Origen[[#This Row],[CTeq]]</f>
        <v>1.2334870120931878</v>
      </c>
      <c r="BS138" s="139">
        <f>ROUNDUP(VLOOKUP(Datos_Origen[[#This Row],[Categoria]],Competitividad_1[#All],2,0)*IndiceIncrementoC,-3)</f>
        <v>13836000</v>
      </c>
      <c r="BT138" s="161">
        <f>Datos_Origen[[#This Row],[G]]/Datos_Origen[[#This Row],[GQ1]]</f>
        <v>0.97766683434518653</v>
      </c>
      <c r="BU138" s="155">
        <f>ROUNDUP(VLOOKUP(Datos_Origen[[#This Row],[Categoria]],Competitividad_1[#All],3,0)*IndiceIncrementoC,-3)</f>
        <v>14536000</v>
      </c>
      <c r="BV138" s="161">
        <f>Datos_Origen[[#This Row],[G+V]]/Datos_Origen[[#This Row],[G+VQ1]]</f>
        <v>0.93058601541001651</v>
      </c>
      <c r="BW138" s="155">
        <f>ROUNDUP(VLOOKUP(Datos_Origen[[#This Row],[Categoria]],Competitividad_1[#All],4,0)*IndiceIncrementoC,-3)</f>
        <v>15107000</v>
      </c>
      <c r="BX138" s="161">
        <f>Datos_Origen[[#This Row],[CT]]/Datos_Origen[[#This Row],[CTQ1]]</f>
        <v>0.89541261137221162</v>
      </c>
      <c r="BY138" s="155">
        <f>ROUNDUP(VLOOKUP(Datos_Origen[[#This Row],[Categoria]],Competitividad_1[#All],5,0)*IndiceIncrementoC,-3)</f>
        <v>16762000</v>
      </c>
      <c r="BZ138" s="161">
        <f>Datos_Origen[[#This Row],[G]]/Datos_Origen[[#This Row],[GMd]]</f>
        <v>0.80700383725092473</v>
      </c>
      <c r="CA138" s="155">
        <f>ROUNDUP(VLOOKUP(Datos_Origen[[#This Row],[Categoria]],Competitividad_1[#All],6,0)*IndiceIncrementoC,-3)</f>
        <v>17437000</v>
      </c>
      <c r="CB138" s="161">
        <f>Datos_Origen[[#This Row],[G+V]]/Datos_Origen[[#This Row],[G+VMd]]</f>
        <v>0.77576408327120494</v>
      </c>
      <c r="CC138" s="154">
        <f>ROUNDUP(VLOOKUP(Datos_Origen[[#This Row],[Categoria]],Competitividad_1[#All],7,0)*IndiceIncrementoC,-3)</f>
        <v>18041000</v>
      </c>
      <c r="CD138" s="161">
        <f>Datos_Origen[[#This Row],[CT]]/Datos_Origen[[#This Row],[CTMd]]</f>
        <v>0.74979204700404634</v>
      </c>
      <c r="CE138" s="154">
        <f>+Datos_Origen[[#This Row],[GMd]]/1.17666666667</f>
        <v>14245325.778996471</v>
      </c>
      <c r="CF138" s="161">
        <f>+Datos_Origen[[#This Row],[Básico Actual]]/Datos_Origen[[#This Row],[Salario Basico Md]]</f>
        <v>0.80700155112983663</v>
      </c>
      <c r="CG138" s="154">
        <f>ROUNDUP(VLOOKUP(Datos_Origen[[#This Row],[Categoria]],Competitividad_1[#All],8,0)*IndiceIncrementoC,-3)</f>
        <v>16880000</v>
      </c>
      <c r="CH138" s="161">
        <f>Datos_Origen[[#This Row],[G]]/Datos_Origen[[#This Row],[GQ3]]</f>
        <v>0.8013624597156398</v>
      </c>
      <c r="CI138" s="155">
        <f>ROUNDUP(VLOOKUP(Datos_Origen[[#This Row],[Categoria]],Competitividad_1[#All],9,0)*IndiceIncrementoC,-3)</f>
        <v>17439000</v>
      </c>
      <c r="CJ138" s="161">
        <f>Datos_Origen[[#This Row],[G+V]]/Datos_Origen[[#This Row],[G+VQ3]]</f>
        <v>0.77567511439876147</v>
      </c>
      <c r="CK138" s="155">
        <f>ROUNDUP(VLOOKUP(Datos_Origen[[#This Row],[Categoria]],Competitividad_1[#All],10,0)*IndiceIncrementoC,-3)</f>
        <v>17813000</v>
      </c>
      <c r="CL138" s="161">
        <f>Datos_Origen[[#This Row],[CT]]/Datos_Origen[[#This Row],[CTQ3]]</f>
        <v>0.75938911581429291</v>
      </c>
      <c r="CM138" s="165">
        <f>IF(ROUND(Datos_Origen[[#This Row],[Salario Ordinario Pol2]],-3)&lt;SMMLV,SMMLV,ROUND(Datos_Origen[[#This Row],[Salario Ordinario Pol2]],-3))</f>
        <v>13493000</v>
      </c>
      <c r="CN138" s="155">
        <f>IF(Datos_Origen[[#This Row],[Gpol]]/(1+FactorPrestacionalOrdinario)&lt;SMMLV,SMMLV,Datos_Origen[[#This Row],[Gpol]]/(1+FactorPrestacionalOrdinario))</f>
        <v>16866288.951841358</v>
      </c>
      <c r="CO138" s="161">
        <f>IFERROR(IF(Datos_Origen[[#This Row],[Salarios Año]]=14.12,Datos_Origen[[#This Row],[Básico]]/Datos_Origen[[#This Row],[Salario Ordinario Pol]],""),"")</f>
        <v>0.68159629144411982</v>
      </c>
      <c r="CP138" s="154">
        <f>IF(ROUND(Datos_Origen[[#This Row],[Salario Ordinario Pol22]],-3)&lt;SMMLV,SMMLV,ROUND(Datos_Origen[[#This Row],[Salario Ordinario Pol22]],-3))</f>
        <v>20240000</v>
      </c>
      <c r="CQ138" s="155" t="str">
        <f>IFERROR(ROUND(Datos_Origen[[#This Row],[Salario Integral Pol4]],-3),"")</f>
        <v/>
      </c>
      <c r="CR138" s="139">
        <f>IF((Datos_Origen[[#This Row],[Gpol]]/(1+FactorPrestacionalIntegral))&lt;(13*SMMLV),"",(Datos_Origen[[#This Row],[Gpol]]/(1+FactorPrestacionalIntegral)))</f>
        <v>19846000</v>
      </c>
      <c r="CS138" s="161" t="str">
        <f>IFERROR(IF(Datos_Origen[[#This Row],[Salarios Año]]=12,Datos_Origen[[#This Row],[Básico]]/Datos_Origen[[#This Row],[Salario Integral Pol]],""),"")</f>
        <v/>
      </c>
      <c r="CT138" s="155">
        <f>IFERROR(ROUND(Datos_Origen[[#This Row],[Salario Integral Pol44]],-3),"")</f>
        <v>23815000</v>
      </c>
      <c r="CU138" s="155">
        <f>Datos_Origen[[#This Row],[G+Vpol]]-Datos_Origen[[#This Row],[Variable]]</f>
        <v>19846000</v>
      </c>
      <c r="CV138" s="161">
        <f>Datos_Origen[[#This Row],[G]]/Datos_Origen[[#This Row],[Gpol]]</f>
        <v>0.68159822231180089</v>
      </c>
      <c r="CW138" s="154">
        <f>Datos_Origen[[#This Row],[Ctpol]]-Datos_Origen[[#This Row],[Beneficios]]</f>
        <v>19846000</v>
      </c>
      <c r="CX138" s="161">
        <f>Datos_Origen[[#This Row],[G+V]]/Datos_Origen[[#This Row],[G+Vpol]]</f>
        <v>0.68159822231180089</v>
      </c>
      <c r="CY138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19846000</v>
      </c>
      <c r="CZ138" s="161">
        <f>Datos_Origen[[#This Row],[CT]]/Datos_Origen[[#This Row],[Ctpol]]</f>
        <v>0.68159822231180089</v>
      </c>
      <c r="DA138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11496000</v>
      </c>
      <c r="DB138" s="158">
        <f>IF(Datos_Origen[[#This Row],[Básico]]&lt;10*SMMLV,0,Datos_Origen[[#This Row],[Base Seguridad Social Actual]]*8.5%)</f>
        <v>0</v>
      </c>
      <c r="DC138" s="158">
        <f>Datos_Origen[[#This Row],[Base Seguridad Social Actual]]*12%</f>
        <v>1379520</v>
      </c>
      <c r="DD138" s="158">
        <f>Datos_Origen[[#This Row],[Base Seguridad Social Actual]]*Datos_Origen[[#This Row],[%ARL]]</f>
        <v>60009.119999999995</v>
      </c>
      <c r="DE138" s="158">
        <f>IF(Datos_Origen[[#This Row],[Básico]]&lt;10*SMMLV,Datos_Origen[[#This Row],[Base Seguridad Social Actual]]*4%,Datos_Origen[[#This Row],[Base Seguridad Social Actual]]*9%)</f>
        <v>459840</v>
      </c>
      <c r="DF138" s="158">
        <f>Datos_Origen[[#This Row],[Salud]]+Datos_Origen[[#This Row],[Pensión]]+Datos_Origen[[#This Row],[ARL]]+Datos_Origen[[#This Row],[Parafiscales]]</f>
        <v>1899369.12</v>
      </c>
      <c r="DG138" s="158">
        <f>Datos_Origen[[#This Row],[Costo Laboral Actual]]+Datos_Origen[[#This Row],[CT]]</f>
        <v>15426367.440000001</v>
      </c>
      <c r="DH138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16866288.951841358</v>
      </c>
      <c r="DI138" s="158">
        <f>IF(IF(Datos_Origen[[#This Row],[Salarios Año]]=12,Datos_Origen[[#This Row],[Salario Integral Pol]],Datos_Origen[[#This Row],[Salario Ordinario Pol]])&lt;10*SMMLV,0,Datos_Origen[[#This Row],[Base Seguridad Social Nueva]]*8.5%)</f>
        <v>1433634.5609065155</v>
      </c>
      <c r="DJ138" s="158">
        <f>Datos_Origen[[#This Row],[Base Seguridad Social Nueva]]*12%</f>
        <v>2023954.6742209629</v>
      </c>
      <c r="DK138" s="158">
        <f>Datos_Origen[[#This Row],[Base Seguridad Social Nueva]]*Datos_Origen[[#This Row],[%ARL]]</f>
        <v>88042.028328611879</v>
      </c>
      <c r="DL138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1517966.0056657221</v>
      </c>
      <c r="DM138" s="158">
        <f>Datos_Origen[[#This Row],[Salud Nueva]]+Datos_Origen[[#This Row],[Pensión Nueva]]+Datos_Origen[[#This Row],[ARL nueva]]+Datos_Origen[[#This Row],[Parafiscales Nuevos]]</f>
        <v>5063597.2691218127</v>
      </c>
      <c r="DN138" s="158">
        <f>Datos_Origen[[#This Row],[Costo Laboral Nuevo]]+Datos_Origen[[#This Row],[Ctpol]]</f>
        <v>24909597.269121811</v>
      </c>
      <c r="DO138" s="158">
        <f>IF(Datos_Origen[[#This Row],[Ctpol]]-Datos_Origen[[#This Row],[CT]]&lt;=0,0,Datos_Origen[[#This Row],[Costo Total Nuevo]]-Datos_Origen[[#This Row],[Costo Total Actual]])</f>
        <v>9483229.8291218095</v>
      </c>
      <c r="DP138" s="158">
        <f>IF(Datos_Origen[[#This Row],[Ctpol]]-Datos_Origen[[#This Row],[CT]]&lt;=0,0,Datos_Origen[[#This Row],[Ctpol]]-Datos_Origen[[#This Row],[CT]])</f>
        <v>6319001.6799999997</v>
      </c>
      <c r="DQ138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3164228.1491218125</v>
      </c>
      <c r="DR138" s="158">
        <f>ROUNDDOWN(VLOOKUP(Datos_Origen[[#This Row],[Categoria]],Competitividad_1[],7,0)*IndiceIncrementoC,-3)</f>
        <v>18040000</v>
      </c>
      <c r="DS138" s="158">
        <f>Datos_Origen[[#This Row],[CTeq]]*0.8</f>
        <v>8773176.0042094775</v>
      </c>
      <c r="DT138" s="158">
        <f>Datos_Origen[[#This Row],[CTeq]]*1.2</f>
        <v>13159764.006314214</v>
      </c>
      <c r="DU138" s="155">
        <f>IF(Datos_Origen[[#This Row],[Gpol6]]/(1+FactorPrestacionalOrdinario)&lt;SMMLV,SMMLV,Datos_Origen[[#This Row],[Gpol6]]/(1+FactorPrestacionalOrdinario))</f>
        <v>13493031.161473086</v>
      </c>
      <c r="DV138" s="139" t="str">
        <f>IF((Datos_Origen[[#This Row],[Gpol6]]/(1+FactorPrestacionalIntegral))&lt;(13*SMMLV),"",(Datos_Origen[[#This Row],[Gpol6]]/(1+FactorPrestacionalIntegral)))</f>
        <v/>
      </c>
      <c r="DW138" s="154">
        <f>Datos_Origen[[#This Row],[G+Vpol8]]</f>
        <v>15876800</v>
      </c>
      <c r="DX138" s="154">
        <f>Datos_Origen[[#This Row],[Ctpol10]]-Datos_Origen[[#This Row],[Beneficios]]</f>
        <v>15876800</v>
      </c>
      <c r="DY138" s="154">
        <f>Datos_Origen[[#This Row],[Ctpol]]*$CM$6</f>
        <v>15876800</v>
      </c>
      <c r="DZ138" s="155">
        <f>IF(Datos_Origen[[#This Row],[Gpol66]]/(1+FactorPrestacionalOrdinario)&lt;SMMLV,SMMLV,Datos_Origen[[#This Row],[Gpol66]]/(1+FactorPrestacionalOrdinario))</f>
        <v>20239546.742209632</v>
      </c>
      <c r="EA138" s="139">
        <f>IF((Datos_Origen[[#This Row],[Gpol66]]/(1+FactorPrestacionalIntegral))&lt;(13*SMMLV),"",(Datos_Origen[[#This Row],[Gpol66]]/(1+FactorPrestacionalIntegral)))</f>
        <v>23815200</v>
      </c>
      <c r="EB138" s="154">
        <f>Datos_Origen[[#This Row],[G+Vpol88]]</f>
        <v>23815200</v>
      </c>
      <c r="EC138" s="154">
        <f>Datos_Origen[[#This Row],[Ctpol1010]]-Datos_Origen[[#This Row],[Beneficios]]</f>
        <v>23815200</v>
      </c>
      <c r="ED138" s="154">
        <f>Datos_Origen[[#This Row],[Ctpol]]*$CP$6</f>
        <v>23815200</v>
      </c>
      <c r="EE138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39" spans="2:135">
      <c r="B139" s="132"/>
      <c r="C139" s="149"/>
      <c r="D139" s="150"/>
      <c r="E139" s="151"/>
      <c r="F139" s="151"/>
      <c r="G139" s="150" t="s">
        <v>543</v>
      </c>
      <c r="H139" s="153"/>
      <c r="I139" s="152" t="s">
        <v>282</v>
      </c>
      <c r="J139" s="130" t="str">
        <f>IFERROR(VLOOKUP(Datos_Origen[[#This Row],[Cargo Tipo Valorado]],Cargos_Catalogo[[#All],[Cargo]:[Área]],2,0),"")</f>
        <v/>
      </c>
      <c r="K139" s="153"/>
      <c r="L139" s="153"/>
      <c r="M139" s="153"/>
      <c r="N139" s="153"/>
      <c r="O139" s="154">
        <f>Datos_Origen[[#This Row],[Segmentación Individual]]</f>
        <v>0</v>
      </c>
      <c r="P139" s="153"/>
      <c r="Q139" s="154">
        <f>VLOOKUP(Datos_Origen[[#This Row],[Cargo Tipo Valorado]],Cargos_Catalogo[#Data],MATCH(Cargos_Catalogo[[#Headers],[Puntos]],Cargos_Catalogo[#Headers],0),FALSE)</f>
        <v>652</v>
      </c>
      <c r="R139" s="130">
        <f>VLOOKUP(Datos_Origen[[#This Row],[Puntos valoración]],Categorias_Registro[#Data],MATCH(Categorias_Registro[[#Headers],[Categoria]],Categorias_Registro[#Headers],0),FALSE)</f>
        <v>15</v>
      </c>
      <c r="S139" s="130" t="str">
        <f>VLOOKUP(Datos_Origen[[#This Row],[Cargo Tipo Valorado]],Cargos_Catalogo[#Data],MATCH(Cargos_Catalogo[[#Headers],[Nivel SHR]],Cargos_Catalogo[#Headers],0),FALSE)</f>
        <v>Gerencia media</v>
      </c>
      <c r="T139" s="130" t="str">
        <f>VLOOKUP(Datos_Origen[[#This Row],[Cargo Tipo Valorado]],Cargos_Catalogo[#Data],MATCH(Cargos_Catalogo[[#Headers],[Criticidad]],Cargos_Catalogo[#Headers],0),FALSE)</f>
        <v>Muy Importante</v>
      </c>
      <c r="U139" s="154">
        <f>VLOOKUP(Datos_Origen[[#This Row],[Puntos valoración]],Categorias_Registro[#Data],5,FALSE)</f>
        <v>663</v>
      </c>
      <c r="V139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6304597.8600000003</v>
      </c>
      <c r="W139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3059342.0000000005</v>
      </c>
      <c r="X139" s="154">
        <f>SUMIF($BA$5:$BJ$5,"NCS",Datos_Origen[[#This Row],[auxilio Gasolina]:[Otro Beneficio10]])+(SUMIF($BA$5:$BJ$5,"CS",Datos_Origen[[#This Row],[auxilio Gasolina]:[Otro Beneficio10]])*1.17667)</f>
        <v>0</v>
      </c>
      <c r="Y139" s="155">
        <f>Datos_Origen[[#This Row],[Básico]]+Datos_Origen[[#This Row],[Promedio de Comisiones  ]]</f>
        <v>7958000</v>
      </c>
      <c r="Z139" s="155">
        <f>Datos_Origen[[#This Row],[Básico]]+Datos_Origen[[#This Row],[Promedio de Comisiones  ]]</f>
        <v>7958000</v>
      </c>
      <c r="AA139" s="155">
        <f>Datos_Origen[[#This Row],[Garantizado]]</f>
        <v>6304597.8600000003</v>
      </c>
      <c r="AB139" s="155">
        <f>Datos_Origen[[#This Row],[Variable]]+Datos_Origen[[#This Row],[Garantizado]]</f>
        <v>9363939.8600000013</v>
      </c>
      <c r="AC139" s="155">
        <f>Datos_Origen[[#This Row],[Beneficios]]+Datos_Origen[[#This Row],[Variable]]+Datos_Origen[[#This Row],[Garantizado]]</f>
        <v>9363939.8600000013</v>
      </c>
      <c r="AD139" s="156">
        <v>14.12</v>
      </c>
      <c r="AE139" s="141">
        <v>230</v>
      </c>
      <c r="AF139" s="345">
        <v>4.3499999999999997E-2</v>
      </c>
      <c r="AG139" s="155">
        <f>Datos_Origen[[#This Row],[Básico Actual]]*230/Datos_Origen[[#This Row],['# horas mes]]</f>
        <v>5358000</v>
      </c>
      <c r="AH139" s="157">
        <v>5358000</v>
      </c>
      <c r="AI139" s="158"/>
      <c r="AJ139" s="158">
        <f>(((Datos_Origen[[#This Row],[Básico]])/30)*$AJ$6)/12</f>
        <v>0</v>
      </c>
      <c r="AK139" s="158"/>
      <c r="AL139" s="143">
        <f>((Datos_Origen[[#This Row],[Básico]])/30)*$AL$6/12</f>
        <v>0</v>
      </c>
      <c r="AM139" s="158"/>
      <c r="AN139" s="158"/>
      <c r="AO139" s="158"/>
      <c r="AP139" s="158"/>
      <c r="AQ139" s="158"/>
      <c r="AR139" s="149">
        <v>2600000</v>
      </c>
      <c r="AS139" s="149"/>
      <c r="AT139" s="159">
        <f>IFERROR(Datos_Origen[[#This Row],[Comisiones Target]]/Datos_Origen[[#This Row],[Promedio de Comisiones  ]],"")</f>
        <v>0</v>
      </c>
      <c r="AU139" s="160"/>
      <c r="AV139" s="143">
        <v>0</v>
      </c>
      <c r="AW139" s="160"/>
      <c r="AX139" s="143">
        <f>Datos_Origen[[#This Row],[N Salarios de la Bonificación2]]*Datos_Origen[[#This Row],[Básico]]/12</f>
        <v>0</v>
      </c>
      <c r="AY139" s="160"/>
      <c r="AZ139" s="158"/>
      <c r="BA139" s="149">
        <v>0</v>
      </c>
      <c r="BB139" s="149"/>
      <c r="BC139" s="149"/>
      <c r="BD139" s="149"/>
      <c r="BE139" s="149"/>
      <c r="BF139" s="149"/>
      <c r="BG139" s="149"/>
      <c r="BH139" s="149"/>
      <c r="BI139" s="149"/>
      <c r="BJ139" s="149"/>
      <c r="BK139" s="159">
        <f>IFERROR(Datos_Origen[[#This Row],[Variable]]/Datos_Origen[[#This Row],[CT]],"")</f>
        <v>0.32671525508921839</v>
      </c>
      <c r="BL139" s="159">
        <f>IFERROR(Datos_Origen[[#This Row],[Beneficios]]/Datos_Origen[[#This Row],[CT]],"")</f>
        <v>0</v>
      </c>
      <c r="BM139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10700392.258823581</v>
      </c>
      <c r="BN139" s="161">
        <f>Datos_Origen[[#This Row],[G]]/Datos_Origen[[#This Row],[Geq]]</f>
        <v>0.58919315362492497</v>
      </c>
      <c r="BO139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10921021.83990635</v>
      </c>
      <c r="BP139" s="161">
        <f>Datos_Origen[[#This Row],[G+V]]/Datos_Origen[[#This Row],[G+Veq]]</f>
        <v>0.85742341671576583</v>
      </c>
      <c r="BQ139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10966470.005261846</v>
      </c>
      <c r="BR139" s="161">
        <f>Datos_Origen[[#This Row],[CT]]/Datos_Origen[[#This Row],[CTeq]]</f>
        <v>0.85387001063305412</v>
      </c>
      <c r="BS139" s="139">
        <f>ROUNDUP(VLOOKUP(Datos_Origen[[#This Row],[Categoria]],Competitividad_1[#All],2,0)*IndiceIncrementoC,-3)</f>
        <v>13836000</v>
      </c>
      <c r="BT139" s="161">
        <f>Datos_Origen[[#This Row],[G]]/Datos_Origen[[#This Row],[GQ1]]</f>
        <v>0.45566622289679098</v>
      </c>
      <c r="BU139" s="155">
        <f>ROUNDUP(VLOOKUP(Datos_Origen[[#This Row],[Categoria]],Competitividad_1[#All],3,0)*IndiceIncrementoC,-3)</f>
        <v>14536000</v>
      </c>
      <c r="BV139" s="161">
        <f>Datos_Origen[[#This Row],[G+V]]/Datos_Origen[[#This Row],[G+VQ1]]</f>
        <v>0.64418958860759501</v>
      </c>
      <c r="BW139" s="155">
        <f>ROUNDUP(VLOOKUP(Datos_Origen[[#This Row],[Categoria]],Competitividad_1[#All],4,0)*IndiceIncrementoC,-3)</f>
        <v>15107000</v>
      </c>
      <c r="BX139" s="161">
        <f>Datos_Origen[[#This Row],[CT]]/Datos_Origen[[#This Row],[CTQ1]]</f>
        <v>0.61984112398225999</v>
      </c>
      <c r="BY139" s="155">
        <f>ROUNDUP(VLOOKUP(Datos_Origen[[#This Row],[Categoria]],Competitividad_1[#All],5,0)*IndiceIncrementoC,-3)</f>
        <v>16762000</v>
      </c>
      <c r="BZ139" s="161">
        <f>Datos_Origen[[#This Row],[G]]/Datos_Origen[[#This Row],[GMd]]</f>
        <v>0.37612443980431931</v>
      </c>
      <c r="CA139" s="155">
        <f>ROUNDUP(VLOOKUP(Datos_Origen[[#This Row],[Categoria]],Competitividad_1[#All],6,0)*IndiceIncrementoC,-3)</f>
        <v>17437000</v>
      </c>
      <c r="CB139" s="161">
        <f>Datos_Origen[[#This Row],[G+V]]/Datos_Origen[[#This Row],[G+VMd]]</f>
        <v>0.53701553363537313</v>
      </c>
      <c r="CC139" s="155">
        <f>ROUNDUP(VLOOKUP(Datos_Origen[[#This Row],[Categoria]],Competitividad_1[#All],7,0)*IndiceIncrementoC,-3)</f>
        <v>18041000</v>
      </c>
      <c r="CD139" s="161">
        <f>Datos_Origen[[#This Row],[CT]]/Datos_Origen[[#This Row],[CTMd]]</f>
        <v>0.51903663100715047</v>
      </c>
      <c r="CE139" s="155">
        <f>+Datos_Origen[[#This Row],[GMd]]/1.17666666667</f>
        <v>14245325.778996471</v>
      </c>
      <c r="CF139" s="161">
        <f>+Datos_Origen[[#This Row],[Básico Actual]]/Datos_Origen[[#This Row],[Salario Basico Md]]</f>
        <v>0.3761233743000752</v>
      </c>
      <c r="CG139" s="155">
        <f>ROUNDUP(VLOOKUP(Datos_Origen[[#This Row],[Categoria]],Competitividad_1[#All],8,0)*IndiceIncrementoC,-3)</f>
        <v>16880000</v>
      </c>
      <c r="CH139" s="161">
        <f>Datos_Origen[[#This Row],[G]]/Datos_Origen[[#This Row],[GQ3]]</f>
        <v>0.37349513388625594</v>
      </c>
      <c r="CI139" s="155">
        <f>ROUNDUP(VLOOKUP(Datos_Origen[[#This Row],[Categoria]],Competitividad_1[#All],9,0)*IndiceIncrementoC,-3)</f>
        <v>17439000</v>
      </c>
      <c r="CJ139" s="161">
        <f>Datos_Origen[[#This Row],[G+V]]/Datos_Origen[[#This Row],[G+VQ3]]</f>
        <v>0.53695394575377031</v>
      </c>
      <c r="CK139" s="155">
        <f>ROUNDUP(VLOOKUP(Datos_Origen[[#This Row],[Categoria]],Competitividad_1[#All],10,0)*IndiceIncrementoC,-3)</f>
        <v>17813000</v>
      </c>
      <c r="CL139" s="161">
        <f>Datos_Origen[[#This Row],[CT]]/Datos_Origen[[#This Row],[CTQ3]]</f>
        <v>0.52568011340032572</v>
      </c>
      <c r="CM139" s="162">
        <f>IF(ROUND(Datos_Origen[[#This Row],[Salario Ordinario Pol2]],-3)&lt;SMMLV,SMMLV,ROUND(Datos_Origen[[#This Row],[Salario Ordinario Pol2]],-3))</f>
        <v>13493000</v>
      </c>
      <c r="CN139" s="155">
        <f>IF(Datos_Origen[[#This Row],[Gpol]]/(1+FactorPrestacionalOrdinario)&lt;SMMLV,SMMLV,Datos_Origen[[#This Row],[Gpol]]/(1+FactorPrestacionalOrdinario))</f>
        <v>14266281.586402265</v>
      </c>
      <c r="CO139" s="161">
        <f>IFERROR(IF(Datos_Origen[[#This Row],[Salarios Año]]=14.12,Datos_Origen[[#This Row],[Básico]]/Datos_Origen[[#This Row],[Salario Ordinario Pol]],""),"")</f>
        <v>0.37557088492539731</v>
      </c>
      <c r="CP139" s="155">
        <f>IF(ROUND(Datos_Origen[[#This Row],[Salario Ordinario Pol22]],-3)&lt;SMMLV,SMMLV,ROUND(Datos_Origen[[#This Row],[Salario Ordinario Pol22]],-3))</f>
        <v>20240000</v>
      </c>
      <c r="CQ139" s="155" t="str">
        <f>IFERROR(ROUND(Datos_Origen[[#This Row],[Salario Integral Pol4]],-3),"")</f>
        <v/>
      </c>
      <c r="CR139" s="139" t="str">
        <f>IF((Datos_Origen[[#This Row],[Gpol]]/(1+FactorPrestacionalIntegral))&lt;(13*SMMLV),"",(Datos_Origen[[#This Row],[Gpol]]/(1+FactorPrestacionalIntegral)))</f>
        <v/>
      </c>
      <c r="CS139" s="161" t="str">
        <f>IFERROR(IF(Datos_Origen[[#This Row],[Salarios Año]]=12,Datos_Origen[[#This Row],[Básico]]/Datos_Origen[[#This Row],[Salario Integral Pol]],""),"")</f>
        <v/>
      </c>
      <c r="CT139" s="155">
        <f>IFERROR(ROUND(Datos_Origen[[#This Row],[Salario Integral Pol44]],-3),"")</f>
        <v>23815000</v>
      </c>
      <c r="CU139" s="155">
        <f>Datos_Origen[[#This Row],[G+Vpol]]-Datos_Origen[[#This Row],[Variable]]</f>
        <v>16786658</v>
      </c>
      <c r="CV139" s="161">
        <f>Datos_Origen[[#This Row],[G]]/Datos_Origen[[#This Row],[Gpol]]</f>
        <v>0.37557194886558126</v>
      </c>
      <c r="CW139" s="154">
        <f>Datos_Origen[[#This Row],[Ctpol]]-Datos_Origen[[#This Row],[Beneficios]]</f>
        <v>19846000</v>
      </c>
      <c r="CX139" s="161">
        <f>Datos_Origen[[#This Row],[G+V]]/Datos_Origen[[#This Row],[G+Vpol]]</f>
        <v>0.47183008465181908</v>
      </c>
      <c r="CY139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19846000</v>
      </c>
      <c r="CZ139" s="161">
        <f>Datos_Origen[[#This Row],[CT]]/Datos_Origen[[#This Row],[Ctpol]]</f>
        <v>0.47183008465181908</v>
      </c>
      <c r="DA139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7958000</v>
      </c>
      <c r="DB139" s="158">
        <f>IF(Datos_Origen[[#This Row],[Básico]]&lt;10*SMMLV,0,Datos_Origen[[#This Row],[Base Seguridad Social Actual]]*8.5%)</f>
        <v>0</v>
      </c>
      <c r="DC139" s="158">
        <f>Datos_Origen[[#This Row],[Base Seguridad Social Actual]]*12%</f>
        <v>954960</v>
      </c>
      <c r="DD139" s="158">
        <f>Datos_Origen[[#This Row],[Base Seguridad Social Actual]]*Datos_Origen[[#This Row],[%ARL]]</f>
        <v>346173</v>
      </c>
      <c r="DE139" s="158">
        <f>IF(Datos_Origen[[#This Row],[Básico]]&lt;10*SMMLV,Datos_Origen[[#This Row],[Base Seguridad Social Actual]]*4%,Datos_Origen[[#This Row],[Base Seguridad Social Actual]]*9%)</f>
        <v>318320</v>
      </c>
      <c r="DF139" s="158">
        <f>Datos_Origen[[#This Row],[Salud]]+Datos_Origen[[#This Row],[Pensión]]+Datos_Origen[[#This Row],[ARL]]+Datos_Origen[[#This Row],[Parafiscales]]</f>
        <v>1619453</v>
      </c>
      <c r="DG139" s="163">
        <f>Datos_Origen[[#This Row],[Costo Laboral Actual]]+Datos_Origen[[#This Row],[CT]]</f>
        <v>10983392.860000001</v>
      </c>
      <c r="DH139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14266281.586402265</v>
      </c>
      <c r="DI139" s="158">
        <f>IF(IF(Datos_Origen[[#This Row],[Salarios Año]]=12,Datos_Origen[[#This Row],[Salario Integral Pol]],Datos_Origen[[#This Row],[Salario Ordinario Pol]])&lt;10*SMMLV,0,Datos_Origen[[#This Row],[Base Seguridad Social Nueva]]*8.5%)</f>
        <v>1212633.9348441926</v>
      </c>
      <c r="DJ139" s="158">
        <f>Datos_Origen[[#This Row],[Base Seguridad Social Nueva]]*12%</f>
        <v>1711953.7903682718</v>
      </c>
      <c r="DK139" s="158">
        <f>Datos_Origen[[#This Row],[Base Seguridad Social Nueva]]*Datos_Origen[[#This Row],[%ARL]]</f>
        <v>620583.2490084985</v>
      </c>
      <c r="DL139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1283965.3427762038</v>
      </c>
      <c r="DM139" s="158">
        <f>Datos_Origen[[#This Row],[Salud Nueva]]+Datos_Origen[[#This Row],[Pensión Nueva]]+Datos_Origen[[#This Row],[ARL nueva]]+Datos_Origen[[#This Row],[Parafiscales Nuevos]]</f>
        <v>4829136.3169971667</v>
      </c>
      <c r="DN139" s="158">
        <f>Datos_Origen[[#This Row],[Costo Laboral Nuevo]]+Datos_Origen[[#This Row],[Ctpol]]</f>
        <v>24675136.316997167</v>
      </c>
      <c r="DO139" s="158">
        <f>IF(Datos_Origen[[#This Row],[Ctpol]]-Datos_Origen[[#This Row],[CT]]&lt;=0,0,Datos_Origen[[#This Row],[Costo Total Nuevo]]-Datos_Origen[[#This Row],[Costo Total Actual]])</f>
        <v>13691743.456997165</v>
      </c>
      <c r="DP139" s="158">
        <f>IF(Datos_Origen[[#This Row],[Ctpol]]-Datos_Origen[[#This Row],[CT]]&lt;=0,0,Datos_Origen[[#This Row],[Ctpol]]-Datos_Origen[[#This Row],[CT]])</f>
        <v>10482060.139999999</v>
      </c>
      <c r="DQ139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3209683.3169971667</v>
      </c>
      <c r="DR139" s="158">
        <f>ROUNDDOWN(VLOOKUP(Datos_Origen[[#This Row],[Categoria]],Competitividad_1[],7,0)*IndiceIncrementoC,-3)</f>
        <v>18040000</v>
      </c>
      <c r="DS139" s="158">
        <f>Datos_Origen[[#This Row],[CTeq]]*0.8</f>
        <v>8773176.0042094775</v>
      </c>
      <c r="DT139" s="158">
        <f>Datos_Origen[[#This Row],[CTeq]]*1.2</f>
        <v>13159764.006314214</v>
      </c>
      <c r="DU139" s="155">
        <f>IF(Datos_Origen[[#This Row],[Gpol6]]/(1+FactorPrestacionalOrdinario)&lt;SMMLV,SMMLV,Datos_Origen[[#This Row],[Gpol6]]/(1+FactorPrestacionalOrdinario))</f>
        <v>13493031.161473086</v>
      </c>
      <c r="DV139" s="139" t="str">
        <f>IF((Datos_Origen[[#This Row],[Gpol6]]/(1+FactorPrestacionalIntegral))&lt;(13*SMMLV),"",(Datos_Origen[[#This Row],[Gpol6]]/(1+FactorPrestacionalIntegral)))</f>
        <v/>
      </c>
      <c r="DW139" s="154">
        <f>Datos_Origen[[#This Row],[G+Vpol8]]</f>
        <v>15876800</v>
      </c>
      <c r="DX139" s="154">
        <f>Datos_Origen[[#This Row],[Ctpol10]]-Datos_Origen[[#This Row],[Beneficios]]</f>
        <v>15876800</v>
      </c>
      <c r="DY139" s="154">
        <f>Datos_Origen[[#This Row],[Ctpol]]*$CM$6</f>
        <v>15876800</v>
      </c>
      <c r="DZ139" s="155">
        <f>IF(Datos_Origen[[#This Row],[Gpol66]]/(1+FactorPrestacionalOrdinario)&lt;SMMLV,SMMLV,Datos_Origen[[#This Row],[Gpol66]]/(1+FactorPrestacionalOrdinario))</f>
        <v>20239546.742209632</v>
      </c>
      <c r="EA139" s="139">
        <f>IF((Datos_Origen[[#This Row],[Gpol66]]/(1+FactorPrestacionalIntegral))&lt;(13*SMMLV),"",(Datos_Origen[[#This Row],[Gpol66]]/(1+FactorPrestacionalIntegral)))</f>
        <v>23815200</v>
      </c>
      <c r="EB139" s="154">
        <f>Datos_Origen[[#This Row],[G+Vpol88]]</f>
        <v>23815200</v>
      </c>
      <c r="EC139" s="154">
        <f>Datos_Origen[[#This Row],[Ctpol1010]]-Datos_Origen[[#This Row],[Beneficios]]</f>
        <v>23815200</v>
      </c>
      <c r="ED139" s="154">
        <f>Datos_Origen[[#This Row],[Ctpol]]*$CP$6</f>
        <v>23815200</v>
      </c>
      <c r="EE139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40" spans="2:135">
      <c r="B140" s="148"/>
      <c r="C140" s="149"/>
      <c r="D140" s="150"/>
      <c r="E140" s="151"/>
      <c r="F140" s="151"/>
      <c r="G140" s="152" t="s">
        <v>544</v>
      </c>
      <c r="H140" s="153"/>
      <c r="I140" s="152" t="s">
        <v>283</v>
      </c>
      <c r="J140" s="130" t="str">
        <f>IFERROR(VLOOKUP(Datos_Origen[[#This Row],[Cargo Tipo Valorado]],Cargos_Catalogo[[#All],[Cargo]:[Área]],2,0),"")</f>
        <v xml:space="preserve">Gerente comercial y de mercadeo </v>
      </c>
      <c r="K140" s="153"/>
      <c r="L140" s="153"/>
      <c r="M140" s="153"/>
      <c r="N140" s="153"/>
      <c r="O140" s="154">
        <f>Datos_Origen[[#This Row],[Segmentación Individual]]</f>
        <v>0</v>
      </c>
      <c r="P140" s="153"/>
      <c r="Q140" s="154">
        <f>VLOOKUP(Datos_Origen[[#This Row],[Cargo Tipo Valorado]],Cargos_Catalogo[#Data],MATCH(Cargos_Catalogo[[#Headers],[Puntos]],Cargos_Catalogo[#Headers],0),FALSE)</f>
        <v>655</v>
      </c>
      <c r="R140" s="130">
        <f>VLOOKUP(Datos_Origen[[#This Row],[Puntos valoración]],Categorias_Registro[#Data],MATCH(Categorias_Registro[[#Headers],[Categoria]],Categorias_Registro[#Headers],0),FALSE)</f>
        <v>15</v>
      </c>
      <c r="S140" s="130" t="str">
        <f>VLOOKUP(Datos_Origen[[#This Row],[Cargo Tipo Valorado]],Cargos_Catalogo[#Data],MATCH(Cargos_Catalogo[[#Headers],[Nivel SHR]],Cargos_Catalogo[#Headers],0),FALSE)</f>
        <v>Gerencia media</v>
      </c>
      <c r="T140" s="130" t="str">
        <f>VLOOKUP(Datos_Origen[[#This Row],[Cargo Tipo Valorado]],Cargos_Catalogo[#Data],MATCH(Cargos_Catalogo[[#Headers],[Criticidad]],Cargos_Catalogo[#Headers],0),FALSE)</f>
        <v>Crítico</v>
      </c>
      <c r="U140" s="154">
        <f>VLOOKUP(Datos_Origen[[#This Row],[Puntos valoración]],Categorias_Registro[#Data],5,FALSE)</f>
        <v>663</v>
      </c>
      <c r="V140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11766700.000000002</v>
      </c>
      <c r="W140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0</v>
      </c>
      <c r="X140" s="154">
        <f>SUMIF($BA$5:$BJ$5,"NCS",Datos_Origen[[#This Row],[auxilio Gasolina]:[Otro Beneficio10]])+(SUMIF($BA$5:$BJ$5,"CS",Datos_Origen[[#This Row],[auxilio Gasolina]:[Otro Beneficio10]])*1.17667)</f>
        <v>0</v>
      </c>
      <c r="Y140" s="155">
        <f>Datos_Origen[[#This Row],[Básico]]+Datos_Origen[[#This Row],[Promedio de Comisiones  ]]</f>
        <v>10000000</v>
      </c>
      <c r="Z140" s="155">
        <f>Datos_Origen[[#This Row],[Básico]]+Datos_Origen[[#This Row],[Promedio de Comisiones  ]]</f>
        <v>10000000</v>
      </c>
      <c r="AA140" s="155">
        <f>Datos_Origen[[#This Row],[Garantizado]]</f>
        <v>11766700.000000002</v>
      </c>
      <c r="AB140" s="155">
        <f>Datos_Origen[[#This Row],[Variable]]+Datos_Origen[[#This Row],[Garantizado]]</f>
        <v>11766700.000000002</v>
      </c>
      <c r="AC140" s="155">
        <f>Datos_Origen[[#This Row],[Beneficios]]+Datos_Origen[[#This Row],[Variable]]+Datos_Origen[[#This Row],[Garantizado]]</f>
        <v>11766700.000000002</v>
      </c>
      <c r="AD140" s="156">
        <v>14.12</v>
      </c>
      <c r="AE140" s="141">
        <v>230</v>
      </c>
      <c r="AF140" s="345">
        <v>5.2199999999999998E-3</v>
      </c>
      <c r="AG140" s="155">
        <f>Datos_Origen[[#This Row],[Básico Actual]]*230/Datos_Origen[[#This Row],['# horas mes]]</f>
        <v>10000000</v>
      </c>
      <c r="AH140" s="157">
        <v>10000000</v>
      </c>
      <c r="AI140" s="158"/>
      <c r="AJ140" s="158">
        <f>(((Datos_Origen[[#This Row],[Básico]])/30)*$AJ$6)/12</f>
        <v>0</v>
      </c>
      <c r="AK140" s="158"/>
      <c r="AL140" s="143">
        <f>((Datos_Origen[[#This Row],[Básico]])/30)*$AL$6/12</f>
        <v>0</v>
      </c>
      <c r="AM140" s="158"/>
      <c r="AN140" s="158"/>
      <c r="AO140" s="158"/>
      <c r="AP140" s="158"/>
      <c r="AQ140" s="158"/>
      <c r="AR140" s="149">
        <v>0</v>
      </c>
      <c r="AS140" s="149"/>
      <c r="AT140" s="159" t="str">
        <f>IFERROR(Datos_Origen[[#This Row],[Comisiones Target]]/Datos_Origen[[#This Row],[Promedio de Comisiones  ]],"")</f>
        <v/>
      </c>
      <c r="AU140" s="160"/>
      <c r="AV140" s="143">
        <f>Datos_Origen[[#This Row],[N Salarios de la Bonificación]]*Datos_Origen[[#This Row],[Básico]]/12</f>
        <v>0</v>
      </c>
      <c r="AW140" s="160"/>
      <c r="AX140" s="143">
        <f>Datos_Origen[[#This Row],[N Salarios de la Bonificación2]]*Datos_Origen[[#This Row],[Básico]]/12</f>
        <v>0</v>
      </c>
      <c r="AY140" s="160"/>
      <c r="AZ140" s="158"/>
      <c r="BA140" s="149">
        <v>0</v>
      </c>
      <c r="BB140" s="149"/>
      <c r="BC140" s="149"/>
      <c r="BD140" s="149"/>
      <c r="BE140" s="149"/>
      <c r="BF140" s="149"/>
      <c r="BG140" s="149"/>
      <c r="BH140" s="149"/>
      <c r="BI140" s="149"/>
      <c r="BJ140" s="149"/>
      <c r="BK140" s="159">
        <f>IFERROR(Datos_Origen[[#This Row],[Variable]]/Datos_Origen[[#This Row],[CT]],"")</f>
        <v>0</v>
      </c>
      <c r="BL140" s="159">
        <f>IFERROR(Datos_Origen[[#This Row],[Beneficios]]/Datos_Origen[[#This Row],[CT]],"")</f>
        <v>0</v>
      </c>
      <c r="BM140" s="164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10700392.258823581</v>
      </c>
      <c r="BN140" s="393">
        <f>Datos_Origen[[#This Row],[G]]/Datos_Origen[[#This Row],[Geq]]</f>
        <v>1.0996512758957169</v>
      </c>
      <c r="BO140" s="164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10921021.83990635</v>
      </c>
      <c r="BP140" s="393">
        <f>Datos_Origen[[#This Row],[G+V]]/Datos_Origen[[#This Row],[G+Veq]]</f>
        <v>1.0774358088913871</v>
      </c>
      <c r="BQ140" s="164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10966470.005261846</v>
      </c>
      <c r="BR140" s="393">
        <f>Datos_Origen[[#This Row],[CT]]/Datos_Origen[[#This Row],[CTeq]]</f>
        <v>1.0729706089885074</v>
      </c>
      <c r="BS140" s="139">
        <f>ROUNDUP(VLOOKUP(Datos_Origen[[#This Row],[Categoria]],Competitividad_1[#All],2,0)*IndiceIncrementoC,-3)</f>
        <v>13836000</v>
      </c>
      <c r="BT140" s="161">
        <f>Datos_Origen[[#This Row],[G]]/Datos_Origen[[#This Row],[GQ1]]</f>
        <v>0.85044087886672459</v>
      </c>
      <c r="BU140" s="155">
        <f>ROUNDUP(VLOOKUP(Datos_Origen[[#This Row],[Categoria]],Competitividad_1[#All],3,0)*IndiceIncrementoC,-3)</f>
        <v>14536000</v>
      </c>
      <c r="BV140" s="161">
        <f>Datos_Origen[[#This Row],[G+V]]/Datos_Origen[[#This Row],[G+VQ1]]</f>
        <v>0.80948679141441948</v>
      </c>
      <c r="BW140" s="155">
        <f>ROUNDUP(VLOOKUP(Datos_Origen[[#This Row],[Categoria]],Competitividad_1[#All],4,0)*IndiceIncrementoC,-3)</f>
        <v>15107000</v>
      </c>
      <c r="BX140" s="161">
        <f>Datos_Origen[[#This Row],[CT]]/Datos_Origen[[#This Row],[CTQ1]]</f>
        <v>0.77889058052558424</v>
      </c>
      <c r="BY140" s="155">
        <f>ROUNDUP(VLOOKUP(Datos_Origen[[#This Row],[Categoria]],Competitividad_1[#All],5,0)*IndiceIncrementoC,-3)</f>
        <v>16762000</v>
      </c>
      <c r="BZ140" s="161">
        <f>Datos_Origen[[#This Row],[G]]/Datos_Origen[[#This Row],[GMd]]</f>
        <v>0.70198663643956583</v>
      </c>
      <c r="CA140" s="155">
        <f>ROUNDUP(VLOOKUP(Datos_Origen[[#This Row],[Categoria]],Competitividad_1[#All],6,0)*IndiceIncrementoC,-3)</f>
        <v>17437000</v>
      </c>
      <c r="CB140" s="161">
        <f>Datos_Origen[[#This Row],[G+V]]/Datos_Origen[[#This Row],[G+VMd]]</f>
        <v>0.67481218099443718</v>
      </c>
      <c r="CC140" s="155">
        <f>ROUNDUP(VLOOKUP(Datos_Origen[[#This Row],[Categoria]],Competitividad_1[#All],7,0)*IndiceIncrementoC,-3)</f>
        <v>18041000</v>
      </c>
      <c r="CD140" s="161">
        <f>Datos_Origen[[#This Row],[CT]]/Datos_Origen[[#This Row],[CTMd]]</f>
        <v>0.6522199434621142</v>
      </c>
      <c r="CE140" s="155">
        <f>+Datos_Origen[[#This Row],[GMd]]/1.17666666667</f>
        <v>14245325.778996471</v>
      </c>
      <c r="CF140" s="161">
        <f>+Datos_Origen[[#This Row],[Básico Actual]]/Datos_Origen[[#This Row],[Salario Basico Md]]</f>
        <v>0.70198464781648973</v>
      </c>
      <c r="CG140" s="155">
        <f>ROUNDUP(VLOOKUP(Datos_Origen[[#This Row],[Categoria]],Competitividad_1[#All],8,0)*IndiceIncrementoC,-3)</f>
        <v>16880000</v>
      </c>
      <c r="CH140" s="161">
        <f>Datos_Origen[[#This Row],[G]]/Datos_Origen[[#This Row],[GQ3]]</f>
        <v>0.69707938388625601</v>
      </c>
      <c r="CI140" s="155">
        <f>ROUNDUP(VLOOKUP(Datos_Origen[[#This Row],[Categoria]],Competitividad_1[#All],9,0)*IndiceIncrementoC,-3)</f>
        <v>17439000</v>
      </c>
      <c r="CJ140" s="161">
        <f>Datos_Origen[[#This Row],[G+V]]/Datos_Origen[[#This Row],[G+VQ3]]</f>
        <v>0.67473478983886703</v>
      </c>
      <c r="CK140" s="155">
        <f>ROUNDUP(VLOOKUP(Datos_Origen[[#This Row],[Categoria]],Competitividad_1[#All],10,0)*IndiceIncrementoC,-3)</f>
        <v>17813000</v>
      </c>
      <c r="CL140" s="161">
        <f>Datos_Origen[[#This Row],[CT]]/Datos_Origen[[#This Row],[CTQ3]]</f>
        <v>0.66056812440352564</v>
      </c>
      <c r="CM140" s="162">
        <f>IF(ROUND(Datos_Origen[[#This Row],[Salario Ordinario Pol2]],-3)&lt;SMMLV,SMMLV,ROUND(Datos_Origen[[#This Row],[Salario Ordinario Pol2]],-3))</f>
        <v>14720000</v>
      </c>
      <c r="CN140" s="155">
        <f>IF(Datos_Origen[[#This Row],[Gpol]]/(1+FactorPrestacionalOrdinario)&lt;SMMLV,SMMLV,Datos_Origen[[#This Row],[Gpol]]/(1+FactorPrestacionalOrdinario))</f>
        <v>18399433.427762039</v>
      </c>
      <c r="CO140" s="393">
        <f>IFERROR(IF(Datos_Origen[[#This Row],[Salarios Año]]=14.12,Datos_Origen[[#This Row],[Básico]]/Datos_Origen[[#This Row],[Salario Ordinario Pol]],""),"")</f>
        <v>0.54349499615088537</v>
      </c>
      <c r="CP140" s="155">
        <f>IF(ROUND(Datos_Origen[[#This Row],[Salario Ordinario Pol22]],-3)&lt;SMMLV,SMMLV,ROUND(Datos_Origen[[#This Row],[Salario Ordinario Pol22]],-3))</f>
        <v>22079000</v>
      </c>
      <c r="CQ140" s="155" t="str">
        <f>IFERROR(ROUND(Datos_Origen[[#This Row],[Salario Integral Pol4]],-3),"")</f>
        <v/>
      </c>
      <c r="CR140" s="139">
        <f>IF((Datos_Origen[[#This Row],[Gpol]]/(1+FactorPrestacionalIntegral))&lt;(13*SMMLV),"",(Datos_Origen[[#This Row],[Gpol]]/(1+FactorPrestacionalIntegral)))</f>
        <v>21650000</v>
      </c>
      <c r="CS140" s="161" t="str">
        <f>IFERROR(IF(Datos_Origen[[#This Row],[Salarios Año]]=12,Datos_Origen[[#This Row],[Básico]]/Datos_Origen[[#This Row],[Salario Integral Pol]],""),"")</f>
        <v/>
      </c>
      <c r="CT140" s="155">
        <f>IFERROR(ROUND(Datos_Origen[[#This Row],[Salario Integral Pol44]],-3),"")</f>
        <v>25980000</v>
      </c>
      <c r="CU140" s="155">
        <f>Datos_Origen[[#This Row],[G+Vpol]]-Datos_Origen[[#This Row],[Variable]]</f>
        <v>21650000</v>
      </c>
      <c r="CV140" s="161">
        <f>Datos_Origen[[#This Row],[G]]/Datos_Origen[[#This Row],[Gpol]]</f>
        <v>0.54349653579676682</v>
      </c>
      <c r="CW140" s="154">
        <f>Datos_Origen[[#This Row],[Ctpol]]-Datos_Origen[[#This Row],[Beneficios]]</f>
        <v>21650000</v>
      </c>
      <c r="CX140" s="161">
        <f>Datos_Origen[[#This Row],[G+V]]/Datos_Origen[[#This Row],[G+Vpol]]</f>
        <v>0.54349653579676682</v>
      </c>
      <c r="CY140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21650000</v>
      </c>
      <c r="CZ140" s="161">
        <f>Datos_Origen[[#This Row],[CT]]/Datos_Origen[[#This Row],[Ctpol]]</f>
        <v>0.54349653579676682</v>
      </c>
      <c r="DA140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10000000</v>
      </c>
      <c r="DB140" s="158">
        <f>IF(Datos_Origen[[#This Row],[Básico]]&lt;10*SMMLV,0,Datos_Origen[[#This Row],[Base Seguridad Social Actual]]*8.5%)</f>
        <v>0</v>
      </c>
      <c r="DC140" s="158">
        <f>Datos_Origen[[#This Row],[Base Seguridad Social Actual]]*12%</f>
        <v>1200000</v>
      </c>
      <c r="DD140" s="158">
        <f>Datos_Origen[[#This Row],[Base Seguridad Social Actual]]*Datos_Origen[[#This Row],[%ARL]]</f>
        <v>52200</v>
      </c>
      <c r="DE140" s="158">
        <f>IF(Datos_Origen[[#This Row],[Básico]]&lt;10*SMMLV,Datos_Origen[[#This Row],[Base Seguridad Social Actual]]*4%,Datos_Origen[[#This Row],[Base Seguridad Social Actual]]*9%)</f>
        <v>400000</v>
      </c>
      <c r="DF140" s="158">
        <f>Datos_Origen[[#This Row],[Salud]]+Datos_Origen[[#This Row],[Pensión]]+Datos_Origen[[#This Row],[ARL]]+Datos_Origen[[#This Row],[Parafiscales]]</f>
        <v>1652200</v>
      </c>
      <c r="DG140" s="158">
        <f>Datos_Origen[[#This Row],[Costo Laboral Actual]]+Datos_Origen[[#This Row],[CT]]</f>
        <v>13418900.000000002</v>
      </c>
      <c r="DH140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18399433.427762039</v>
      </c>
      <c r="DI140" s="158">
        <f>IF(IF(Datos_Origen[[#This Row],[Salarios Año]]=12,Datos_Origen[[#This Row],[Salario Integral Pol]],Datos_Origen[[#This Row],[Salario Ordinario Pol]])&lt;10*SMMLV,0,Datos_Origen[[#This Row],[Base Seguridad Social Nueva]]*8.5%)</f>
        <v>1563951.8413597734</v>
      </c>
      <c r="DJ140" s="158">
        <f>Datos_Origen[[#This Row],[Base Seguridad Social Nueva]]*12%</f>
        <v>2207932.0113314446</v>
      </c>
      <c r="DK140" s="158">
        <f>Datos_Origen[[#This Row],[Base Seguridad Social Nueva]]*Datos_Origen[[#This Row],[%ARL]]</f>
        <v>96045.042492917841</v>
      </c>
      <c r="DL140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1655949.0084985835</v>
      </c>
      <c r="DM140" s="158">
        <f>Datos_Origen[[#This Row],[Salud Nueva]]+Datos_Origen[[#This Row],[Pensión Nueva]]+Datos_Origen[[#This Row],[ARL nueva]]+Datos_Origen[[#This Row],[Parafiscales Nuevos]]</f>
        <v>5523877.9036827199</v>
      </c>
      <c r="DN140" s="158">
        <f>Datos_Origen[[#This Row],[Costo Laboral Nuevo]]+Datos_Origen[[#This Row],[Ctpol]]</f>
        <v>27173877.90368272</v>
      </c>
      <c r="DO140" s="158">
        <f>IF(Datos_Origen[[#This Row],[Ctpol]]-Datos_Origen[[#This Row],[CT]]&lt;=0,0,Datos_Origen[[#This Row],[Costo Total Nuevo]]-Datos_Origen[[#This Row],[Costo Total Actual]])</f>
        <v>13754977.903682718</v>
      </c>
      <c r="DP140" s="158">
        <f>IF(Datos_Origen[[#This Row],[Ctpol]]-Datos_Origen[[#This Row],[CT]]&lt;=0,0,Datos_Origen[[#This Row],[Ctpol]]-Datos_Origen[[#This Row],[CT]])</f>
        <v>9883299.9999999981</v>
      </c>
      <c r="DQ140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3871677.9036827199</v>
      </c>
      <c r="DR140" s="158">
        <f>ROUNDDOWN(VLOOKUP(Datos_Origen[[#This Row],[Categoria]],Competitividad_1[],7,0)*IndiceIncrementoC,-3)</f>
        <v>18040000</v>
      </c>
      <c r="DS140" s="158">
        <f>Datos_Origen[[#This Row],[CTeq]]*0.8</f>
        <v>8773176.0042094775</v>
      </c>
      <c r="DT140" s="158">
        <f>Datos_Origen[[#This Row],[CTeq]]*1.2</f>
        <v>13159764.006314214</v>
      </c>
      <c r="DU140" s="155">
        <f>IF(Datos_Origen[[#This Row],[Gpol6]]/(1+FactorPrestacionalOrdinario)&lt;SMMLV,SMMLV,Datos_Origen[[#This Row],[Gpol6]]/(1+FactorPrestacionalOrdinario))</f>
        <v>14719546.74220963</v>
      </c>
      <c r="DV140" s="139" t="str">
        <f>IF((Datos_Origen[[#This Row],[Gpol6]]/(1+FactorPrestacionalIntegral))&lt;(13*SMMLV),"",(Datos_Origen[[#This Row],[Gpol6]]/(1+FactorPrestacionalIntegral)))</f>
        <v/>
      </c>
      <c r="DW140" s="154">
        <f>Datos_Origen[[#This Row],[G+Vpol8]]</f>
        <v>17320000</v>
      </c>
      <c r="DX140" s="154">
        <f>Datos_Origen[[#This Row],[Ctpol10]]-Datos_Origen[[#This Row],[Beneficios]]</f>
        <v>17320000</v>
      </c>
      <c r="DY140" s="154">
        <f>Datos_Origen[[#This Row],[Ctpol]]*$CM$6</f>
        <v>17320000</v>
      </c>
      <c r="DZ140" s="155">
        <f>IF(Datos_Origen[[#This Row],[Gpol66]]/(1+FactorPrestacionalOrdinario)&lt;SMMLV,SMMLV,Datos_Origen[[#This Row],[Gpol66]]/(1+FactorPrestacionalOrdinario))</f>
        <v>22079320.113314446</v>
      </c>
      <c r="EA140" s="139">
        <f>IF((Datos_Origen[[#This Row],[Gpol66]]/(1+FactorPrestacionalIntegral))&lt;(13*SMMLV),"",(Datos_Origen[[#This Row],[Gpol66]]/(1+FactorPrestacionalIntegral)))</f>
        <v>25980000</v>
      </c>
      <c r="EB140" s="154">
        <f>Datos_Origen[[#This Row],[G+Vpol88]]</f>
        <v>25980000</v>
      </c>
      <c r="EC140" s="154">
        <f>Datos_Origen[[#This Row],[Ctpol1010]]-Datos_Origen[[#This Row],[Beneficios]]</f>
        <v>25980000</v>
      </c>
      <c r="ED140" s="154">
        <f>Datos_Origen[[#This Row],[Ctpol]]*$CP$6</f>
        <v>25980000</v>
      </c>
      <c r="EE140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41" spans="2:135">
      <c r="B141" s="132"/>
      <c r="C141" s="149"/>
      <c r="D141" s="150"/>
      <c r="E141" s="151"/>
      <c r="F141" s="151"/>
      <c r="G141" s="150" t="s">
        <v>284</v>
      </c>
      <c r="H141" s="153"/>
      <c r="I141" s="152" t="s">
        <v>284</v>
      </c>
      <c r="J141" s="130" t="str">
        <f>IFERROR(VLOOKUP(Datos_Origen[[#This Row],[Cargo Tipo Valorado]],Cargos_Catalogo[[#All],[Cargo]:[Área]],2,0),"")</f>
        <v/>
      </c>
      <c r="K141" s="153"/>
      <c r="L141" s="153"/>
      <c r="M141" s="153"/>
      <c r="N141" s="153"/>
      <c r="O141" s="154">
        <f>Datos_Origen[[#This Row],[Segmentación Individual]]</f>
        <v>0</v>
      </c>
      <c r="P141" s="153"/>
      <c r="Q141" s="154">
        <f>VLOOKUP(Datos_Origen[[#This Row],[Cargo Tipo Valorado]],Cargos_Catalogo[#Data],MATCH(Cargos_Catalogo[[#Headers],[Puntos]],Cargos_Catalogo[#Headers],0),FALSE)</f>
        <v>666</v>
      </c>
      <c r="R141" s="130">
        <f>VLOOKUP(Datos_Origen[[#This Row],[Puntos valoración]],Categorias_Registro[#Data],MATCH(Categorias_Registro[[#Headers],[Categoria]],Categorias_Registro[#Headers],0),FALSE)</f>
        <v>15</v>
      </c>
      <c r="S141" s="130" t="str">
        <f>VLOOKUP(Datos_Origen[[#This Row],[Cargo Tipo Valorado]],Cargos_Catalogo[#Data],MATCH(Cargos_Catalogo[[#Headers],[Nivel SHR]],Cargos_Catalogo[#Headers],0),FALSE)</f>
        <v>Gerencia media</v>
      </c>
      <c r="T141" s="130" t="str">
        <f>VLOOKUP(Datos_Origen[[#This Row],[Cargo Tipo Valorado]],Cargos_Catalogo[#Data],MATCH(Cargos_Catalogo[[#Headers],[Criticidad]],Cargos_Catalogo[#Headers],0),FALSE)</f>
        <v>Muy Importante</v>
      </c>
      <c r="U141" s="154">
        <f>VLOOKUP(Datos_Origen[[#This Row],[Puntos valoración]],Categorias_Registro[#Data],5,FALSE)</f>
        <v>663</v>
      </c>
      <c r="V141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7427141.040000001</v>
      </c>
      <c r="W141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4706680</v>
      </c>
      <c r="X141" s="154">
        <f>SUMIF($BA$5:$BJ$5,"NCS",Datos_Origen[[#This Row],[auxilio Gasolina]:[Otro Beneficio10]])+(SUMIF($BA$5:$BJ$5,"CS",Datos_Origen[[#This Row],[auxilio Gasolina]:[Otro Beneficio10]])*1.17667)</f>
        <v>0</v>
      </c>
      <c r="Y141" s="155">
        <f>Datos_Origen[[#This Row],[Básico]]+Datos_Origen[[#This Row],[Promedio de Comisiones  ]]</f>
        <v>10312000</v>
      </c>
      <c r="Z141" s="155">
        <f>Datos_Origen[[#This Row],[Básico]]+Datos_Origen[[#This Row],[Promedio de Comisiones  ]]</f>
        <v>10312000</v>
      </c>
      <c r="AA141" s="155">
        <f>Datos_Origen[[#This Row],[Garantizado]]</f>
        <v>7427141.040000001</v>
      </c>
      <c r="AB141" s="155">
        <f>Datos_Origen[[#This Row],[Variable]]+Datos_Origen[[#This Row],[Garantizado]]</f>
        <v>12133821.040000001</v>
      </c>
      <c r="AC141" s="155">
        <f>Datos_Origen[[#This Row],[Beneficios]]+Datos_Origen[[#This Row],[Variable]]+Datos_Origen[[#This Row],[Garantizado]]</f>
        <v>12133821.040000001</v>
      </c>
      <c r="AD141" s="156">
        <v>14.12</v>
      </c>
      <c r="AE141" s="141">
        <v>230</v>
      </c>
      <c r="AF141" s="345">
        <v>4.3499999999999997E-2</v>
      </c>
      <c r="AG141" s="155">
        <f>Datos_Origen[[#This Row],[Básico Actual]]*230/Datos_Origen[[#This Row],['# horas mes]]</f>
        <v>6312000</v>
      </c>
      <c r="AH141" s="157">
        <v>6312000</v>
      </c>
      <c r="AI141" s="158"/>
      <c r="AJ141" s="158">
        <f>(((Datos_Origen[[#This Row],[Básico]])/30)*$AJ$6)/12</f>
        <v>0</v>
      </c>
      <c r="AK141" s="158"/>
      <c r="AL141" s="143">
        <f>((Datos_Origen[[#This Row],[Básico]])/30)*$AL$6/12</f>
        <v>0</v>
      </c>
      <c r="AM141" s="158"/>
      <c r="AN141" s="158"/>
      <c r="AO141" s="158"/>
      <c r="AP141" s="158"/>
      <c r="AQ141" s="158"/>
      <c r="AR141" s="149">
        <v>4000000</v>
      </c>
      <c r="AS141" s="149"/>
      <c r="AT141" s="159">
        <f>IFERROR(Datos_Origen[[#This Row],[Comisiones Target]]/Datos_Origen[[#This Row],[Promedio de Comisiones  ]],"")</f>
        <v>0</v>
      </c>
      <c r="AU141" s="160"/>
      <c r="AV141" s="143">
        <v>0</v>
      </c>
      <c r="AW141" s="160"/>
      <c r="AX141" s="143">
        <f>Datos_Origen[[#This Row],[N Salarios de la Bonificación2]]*Datos_Origen[[#This Row],[Básico]]/12</f>
        <v>0</v>
      </c>
      <c r="AY141" s="160"/>
      <c r="AZ141" s="158"/>
      <c r="BA141" s="149">
        <v>0</v>
      </c>
      <c r="BB141" s="149"/>
      <c r="BC141" s="149"/>
      <c r="BD141" s="149"/>
      <c r="BE141" s="149"/>
      <c r="BF141" s="149"/>
      <c r="BG141" s="149"/>
      <c r="BH141" s="149"/>
      <c r="BI141" s="149"/>
      <c r="BJ141" s="149"/>
      <c r="BK141" s="159">
        <f>IFERROR(Datos_Origen[[#This Row],[Variable]]/Datos_Origen[[#This Row],[CT]],"")</f>
        <v>0.38789759503491072</v>
      </c>
      <c r="BL141" s="159">
        <f>IFERROR(Datos_Origen[[#This Row],[Beneficios]]/Datos_Origen[[#This Row],[CT]],"")</f>
        <v>0</v>
      </c>
      <c r="BM141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10700392.258823581</v>
      </c>
      <c r="BN141" s="161">
        <f>Datos_Origen[[#This Row],[G]]/Datos_Origen[[#This Row],[Geq]]</f>
        <v>0.69409988534537637</v>
      </c>
      <c r="BO141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10921021.83990635</v>
      </c>
      <c r="BP141" s="161">
        <f>Datos_Origen[[#This Row],[G+V]]/Datos_Origen[[#This Row],[G+Veq]]</f>
        <v>1.1110518061287982</v>
      </c>
      <c r="BQ141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10966470.005261846</v>
      </c>
      <c r="BR141" s="161">
        <f>Datos_Origen[[#This Row],[CT]]/Datos_Origen[[#This Row],[CTeq]]</f>
        <v>1.1064472919889488</v>
      </c>
      <c r="BS141" s="139">
        <f>ROUNDUP(VLOOKUP(Datos_Origen[[#This Row],[Categoria]],Competitividad_1[#All],2,0)*IndiceIncrementoC,-3)</f>
        <v>13836000</v>
      </c>
      <c r="BT141" s="161">
        <f>Datos_Origen[[#This Row],[G]]/Datos_Origen[[#This Row],[GQ1]]</f>
        <v>0.53679828274067654</v>
      </c>
      <c r="BU141" s="155">
        <f>ROUNDUP(VLOOKUP(Datos_Origen[[#This Row],[Categoria]],Competitividad_1[#All],3,0)*IndiceIncrementoC,-3)</f>
        <v>14536000</v>
      </c>
      <c r="BV141" s="161">
        <f>Datos_Origen[[#This Row],[G+V]]/Datos_Origen[[#This Row],[G+VQ1]]</f>
        <v>0.83474277930654928</v>
      </c>
      <c r="BW141" s="155">
        <f>ROUNDUP(VLOOKUP(Datos_Origen[[#This Row],[Categoria]],Competitividad_1[#All],4,0)*IndiceIncrementoC,-3)</f>
        <v>15107000</v>
      </c>
      <c r="BX141" s="161">
        <f>Datos_Origen[[#This Row],[CT]]/Datos_Origen[[#This Row],[CTQ1]]</f>
        <v>0.80319196663798242</v>
      </c>
      <c r="BY141" s="155">
        <f>ROUNDUP(VLOOKUP(Datos_Origen[[#This Row],[Categoria]],Competitividad_1[#All],5,0)*IndiceIncrementoC,-3)</f>
        <v>16762000</v>
      </c>
      <c r="BZ141" s="161">
        <f>Datos_Origen[[#This Row],[G]]/Datos_Origen[[#This Row],[GMd]]</f>
        <v>0.44309396492065389</v>
      </c>
      <c r="CA141" s="155">
        <f>ROUNDUP(VLOOKUP(Datos_Origen[[#This Row],[Categoria]],Competitividad_1[#All],6,0)*IndiceIncrementoC,-3)</f>
        <v>17437000</v>
      </c>
      <c r="CB141" s="161">
        <f>Datos_Origen[[#This Row],[G+V]]/Datos_Origen[[#This Row],[G+VMd]]</f>
        <v>0.69586632104146362</v>
      </c>
      <c r="CC141" s="155">
        <f>ROUNDUP(VLOOKUP(Datos_Origen[[#This Row],[Categoria]],Competitividad_1[#All],7,0)*IndiceIncrementoC,-3)</f>
        <v>18041000</v>
      </c>
      <c r="CD141" s="161">
        <f>Datos_Origen[[#This Row],[CT]]/Datos_Origen[[#This Row],[CTMd]]</f>
        <v>0.67256920569813206</v>
      </c>
      <c r="CE141" s="155">
        <f>+Datos_Origen[[#This Row],[GMd]]/1.17666666667</f>
        <v>14245325.778996471</v>
      </c>
      <c r="CF141" s="161">
        <f>+Datos_Origen[[#This Row],[Básico Actual]]/Datos_Origen[[#This Row],[Salario Basico Md]]</f>
        <v>0.44309270970176834</v>
      </c>
      <c r="CG141" s="155">
        <f>ROUNDUP(VLOOKUP(Datos_Origen[[#This Row],[Categoria]],Competitividad_1[#All],8,0)*IndiceIncrementoC,-3)</f>
        <v>16880000</v>
      </c>
      <c r="CH141" s="161">
        <f>Datos_Origen[[#This Row],[G]]/Datos_Origen[[#This Row],[GQ3]]</f>
        <v>0.43999650710900479</v>
      </c>
      <c r="CI141" s="155">
        <f>ROUNDUP(VLOOKUP(Datos_Origen[[#This Row],[Categoria]],Competitividad_1[#All],9,0)*IndiceIncrementoC,-3)</f>
        <v>17439000</v>
      </c>
      <c r="CJ141" s="161">
        <f>Datos_Origen[[#This Row],[G+V]]/Datos_Origen[[#This Row],[G+VQ3]]</f>
        <v>0.69578651528183966</v>
      </c>
      <c r="CK141" s="155">
        <f>ROUNDUP(VLOOKUP(Datos_Origen[[#This Row],[Categoria]],Competitividad_1[#All],10,0)*IndiceIncrementoC,-3)</f>
        <v>17813000</v>
      </c>
      <c r="CL141" s="161">
        <f>Datos_Origen[[#This Row],[CT]]/Datos_Origen[[#This Row],[CTQ3]]</f>
        <v>0.68117784988491559</v>
      </c>
      <c r="CM141" s="162">
        <f>IF(ROUND(Datos_Origen[[#This Row],[Salario Ordinario Pol2]],-3)&lt;SMMLV,SMMLV,ROUND(Datos_Origen[[#This Row],[Salario Ordinario Pol2]],-3))</f>
        <v>13493000</v>
      </c>
      <c r="CN141" s="155">
        <f>IF(Datos_Origen[[#This Row],[Gpol]]/(1+FactorPrestacionalOrdinario)&lt;SMMLV,SMMLV,Datos_Origen[[#This Row],[Gpol]]/(1+FactorPrestacionalOrdinario))</f>
        <v>12866277.620396599</v>
      </c>
      <c r="CO141" s="161">
        <f>IFERROR(IF(Datos_Origen[[#This Row],[Salarios Año]]=14.12,Datos_Origen[[#This Row],[Básico]]/Datos_Origen[[#This Row],[Salario Ordinario Pol]],""),"")</f>
        <v>0.49058478187923904</v>
      </c>
      <c r="CP141" s="155">
        <f>IF(ROUND(Datos_Origen[[#This Row],[Salario Ordinario Pol22]],-3)&lt;SMMLV,SMMLV,ROUND(Datos_Origen[[#This Row],[Salario Ordinario Pol22]],-3))</f>
        <v>20240000</v>
      </c>
      <c r="CQ141" s="155" t="str">
        <f>IFERROR(ROUND(Datos_Origen[[#This Row],[Salario Integral Pol4]],-3),"")</f>
        <v/>
      </c>
      <c r="CR141" s="139" t="str">
        <f>IF((Datos_Origen[[#This Row],[Gpol]]/(1+FactorPrestacionalIntegral))&lt;(13*SMMLV),"",(Datos_Origen[[#This Row],[Gpol]]/(1+FactorPrestacionalIntegral)))</f>
        <v/>
      </c>
      <c r="CS141" s="161" t="str">
        <f>IFERROR(IF(Datos_Origen[[#This Row],[Salarios Año]]=12,Datos_Origen[[#This Row],[Básico]]/Datos_Origen[[#This Row],[Salario Integral Pol]],""),"")</f>
        <v/>
      </c>
      <c r="CT141" s="155">
        <f>IFERROR(ROUND(Datos_Origen[[#This Row],[Salario Integral Pol44]],-3),"")</f>
        <v>23815000</v>
      </c>
      <c r="CU141" s="155">
        <f>Datos_Origen[[#This Row],[G+Vpol]]-Datos_Origen[[#This Row],[Variable]]</f>
        <v>15139320</v>
      </c>
      <c r="CV141" s="161">
        <f>Datos_Origen[[#This Row],[G]]/Datos_Origen[[#This Row],[Gpol]]</f>
        <v>0.49058617163782792</v>
      </c>
      <c r="CW141" s="154">
        <f>Datos_Origen[[#This Row],[Ctpol]]-Datos_Origen[[#This Row],[Beneficios]]</f>
        <v>19846000</v>
      </c>
      <c r="CX141" s="161">
        <f>Datos_Origen[[#This Row],[G+V]]/Datos_Origen[[#This Row],[G+Vpol]]</f>
        <v>0.61139882293661196</v>
      </c>
      <c r="CY141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19846000</v>
      </c>
      <c r="CZ141" s="161">
        <f>Datos_Origen[[#This Row],[CT]]/Datos_Origen[[#This Row],[Ctpol]]</f>
        <v>0.61139882293661196</v>
      </c>
      <c r="DA141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10312000</v>
      </c>
      <c r="DB141" s="158">
        <f>IF(Datos_Origen[[#This Row],[Básico]]&lt;10*SMMLV,0,Datos_Origen[[#This Row],[Base Seguridad Social Actual]]*8.5%)</f>
        <v>0</v>
      </c>
      <c r="DC141" s="158">
        <f>Datos_Origen[[#This Row],[Base Seguridad Social Actual]]*12%</f>
        <v>1237440</v>
      </c>
      <c r="DD141" s="158">
        <f>Datos_Origen[[#This Row],[Base Seguridad Social Actual]]*Datos_Origen[[#This Row],[%ARL]]</f>
        <v>448571.99999999994</v>
      </c>
      <c r="DE141" s="158">
        <f>IF(Datos_Origen[[#This Row],[Básico]]&lt;10*SMMLV,Datos_Origen[[#This Row],[Base Seguridad Social Actual]]*4%,Datos_Origen[[#This Row],[Base Seguridad Social Actual]]*9%)</f>
        <v>412480</v>
      </c>
      <c r="DF141" s="158">
        <f>Datos_Origen[[#This Row],[Salud]]+Datos_Origen[[#This Row],[Pensión]]+Datos_Origen[[#This Row],[ARL]]+Datos_Origen[[#This Row],[Parafiscales]]</f>
        <v>2098492</v>
      </c>
      <c r="DG141" s="163">
        <f>Datos_Origen[[#This Row],[Costo Laboral Actual]]+Datos_Origen[[#This Row],[CT]]</f>
        <v>14232313.040000001</v>
      </c>
      <c r="DH141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12866277.620396599</v>
      </c>
      <c r="DI141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41" s="158">
        <f>Datos_Origen[[#This Row],[Base Seguridad Social Nueva]]*12%</f>
        <v>1543953.3144475918</v>
      </c>
      <c r="DK141" s="158">
        <f>Datos_Origen[[#This Row],[Base Seguridad Social Nueva]]*Datos_Origen[[#This Row],[%ARL]]</f>
        <v>559683.07648725202</v>
      </c>
      <c r="DL141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514651.104815864</v>
      </c>
      <c r="DM141" s="158">
        <f>Datos_Origen[[#This Row],[Salud Nueva]]+Datos_Origen[[#This Row],[Pensión Nueva]]+Datos_Origen[[#This Row],[ARL nueva]]+Datos_Origen[[#This Row],[Parafiscales Nuevos]]</f>
        <v>2618287.4957507076</v>
      </c>
      <c r="DN141" s="158">
        <f>Datos_Origen[[#This Row],[Costo Laboral Nuevo]]+Datos_Origen[[#This Row],[Ctpol]]</f>
        <v>22464287.495750707</v>
      </c>
      <c r="DO141" s="158">
        <f>IF(Datos_Origen[[#This Row],[Ctpol]]-Datos_Origen[[#This Row],[CT]]&lt;=0,0,Datos_Origen[[#This Row],[Costo Total Nuevo]]-Datos_Origen[[#This Row],[Costo Total Actual]])</f>
        <v>8231974.4557507057</v>
      </c>
      <c r="DP141" s="158">
        <f>IF(Datos_Origen[[#This Row],[Ctpol]]-Datos_Origen[[#This Row],[CT]]&lt;=0,0,Datos_Origen[[#This Row],[Ctpol]]-Datos_Origen[[#This Row],[CT]])</f>
        <v>7712178.959999999</v>
      </c>
      <c r="DQ141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519795.49575070757</v>
      </c>
      <c r="DR141" s="158">
        <f>ROUNDDOWN(VLOOKUP(Datos_Origen[[#This Row],[Categoria]],Competitividad_1[],7,0)*IndiceIncrementoC,-3)</f>
        <v>18040000</v>
      </c>
      <c r="DS141" s="158">
        <f>Datos_Origen[[#This Row],[CTeq]]*0.8</f>
        <v>8773176.0042094775</v>
      </c>
      <c r="DT141" s="158">
        <f>Datos_Origen[[#This Row],[CTeq]]*1.2</f>
        <v>13159764.006314214</v>
      </c>
      <c r="DU141" s="155">
        <f>IF(Datos_Origen[[#This Row],[Gpol6]]/(1+FactorPrestacionalOrdinario)&lt;SMMLV,SMMLV,Datos_Origen[[#This Row],[Gpol6]]/(1+FactorPrestacionalOrdinario))</f>
        <v>13493031.161473086</v>
      </c>
      <c r="DV141" s="139" t="str">
        <f>IF((Datos_Origen[[#This Row],[Gpol6]]/(1+FactorPrestacionalIntegral))&lt;(13*SMMLV),"",(Datos_Origen[[#This Row],[Gpol6]]/(1+FactorPrestacionalIntegral)))</f>
        <v/>
      </c>
      <c r="DW141" s="154">
        <f>Datos_Origen[[#This Row],[G+Vpol8]]</f>
        <v>15876800</v>
      </c>
      <c r="DX141" s="154">
        <f>Datos_Origen[[#This Row],[Ctpol10]]-Datos_Origen[[#This Row],[Beneficios]]</f>
        <v>15876800</v>
      </c>
      <c r="DY141" s="154">
        <f>Datos_Origen[[#This Row],[Ctpol]]*$CM$6</f>
        <v>15876800</v>
      </c>
      <c r="DZ141" s="155">
        <f>IF(Datos_Origen[[#This Row],[Gpol66]]/(1+FactorPrestacionalOrdinario)&lt;SMMLV,SMMLV,Datos_Origen[[#This Row],[Gpol66]]/(1+FactorPrestacionalOrdinario))</f>
        <v>20239546.742209632</v>
      </c>
      <c r="EA141" s="139">
        <f>IF((Datos_Origen[[#This Row],[Gpol66]]/(1+FactorPrestacionalIntegral))&lt;(13*SMMLV),"",(Datos_Origen[[#This Row],[Gpol66]]/(1+FactorPrestacionalIntegral)))</f>
        <v>23815200</v>
      </c>
      <c r="EB141" s="154">
        <f>Datos_Origen[[#This Row],[G+Vpol88]]</f>
        <v>23815200</v>
      </c>
      <c r="EC141" s="154">
        <f>Datos_Origen[[#This Row],[Ctpol1010]]-Datos_Origen[[#This Row],[Beneficios]]</f>
        <v>23815200</v>
      </c>
      <c r="ED141" s="154">
        <f>Datos_Origen[[#This Row],[Ctpol]]*$CP$6</f>
        <v>23815200</v>
      </c>
      <c r="EE141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42" spans="2:135">
      <c r="B142" s="148"/>
      <c r="C142" s="149"/>
      <c r="D142" s="150"/>
      <c r="E142" s="151"/>
      <c r="F142" s="151"/>
      <c r="G142" s="150" t="s">
        <v>545</v>
      </c>
      <c r="H142" s="153"/>
      <c r="I142" s="152" t="s">
        <v>284</v>
      </c>
      <c r="J142" s="130" t="str">
        <f>IFERROR(VLOOKUP(Datos_Origen[[#This Row],[Cargo Tipo Valorado]],Cargos_Catalogo[[#All],[Cargo]:[Área]],2,0),"")</f>
        <v/>
      </c>
      <c r="K142" s="153"/>
      <c r="L142" s="153"/>
      <c r="M142" s="153"/>
      <c r="N142" s="153"/>
      <c r="O142" s="154">
        <f>Datos_Origen[[#This Row],[Segmentación Individual]]</f>
        <v>0</v>
      </c>
      <c r="P142" s="153"/>
      <c r="Q142" s="154">
        <f>VLOOKUP(Datos_Origen[[#This Row],[Cargo Tipo Valorado]],Cargos_Catalogo[#Data],MATCH(Cargos_Catalogo[[#Headers],[Puntos]],Cargos_Catalogo[#Headers],0),FALSE)</f>
        <v>666</v>
      </c>
      <c r="R142" s="130">
        <f>VLOOKUP(Datos_Origen[[#This Row],[Puntos valoración]],Categorias_Registro[#Data],MATCH(Categorias_Registro[[#Headers],[Categoria]],Categorias_Registro[#Headers],0),FALSE)</f>
        <v>15</v>
      </c>
      <c r="S142" s="130" t="str">
        <f>VLOOKUP(Datos_Origen[[#This Row],[Cargo Tipo Valorado]],Cargos_Catalogo[#Data],MATCH(Cargos_Catalogo[[#Headers],[Nivel SHR]],Cargos_Catalogo[#Headers],0),FALSE)</f>
        <v>Gerencia media</v>
      </c>
      <c r="T142" s="130" t="str">
        <f>VLOOKUP(Datos_Origen[[#This Row],[Cargo Tipo Valorado]],Cargos_Catalogo[#Data],MATCH(Cargos_Catalogo[[#Headers],[Criticidad]],Cargos_Catalogo[#Headers],0),FALSE)</f>
        <v>Muy Importante</v>
      </c>
      <c r="U142" s="154">
        <f>VLOOKUP(Datos_Origen[[#This Row],[Puntos valoración]],Categorias_Registro[#Data],5,FALSE)</f>
        <v>663</v>
      </c>
      <c r="V142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5203234.74</v>
      </c>
      <c r="W142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3247609.2</v>
      </c>
      <c r="X142" s="154">
        <f>SUMIF($BA$5:$BJ$5,"NCS",Datos_Origen[[#This Row],[auxilio Gasolina]:[Otro Beneficio10]])+(SUMIF($BA$5:$BJ$5,"CS",Datos_Origen[[#This Row],[auxilio Gasolina]:[Otro Beneficio10]])*1.17667)</f>
        <v>0</v>
      </c>
      <c r="Y142" s="155">
        <f>Datos_Origen[[#This Row],[Básico]]+Datos_Origen[[#This Row],[Promedio de Comisiones  ]]</f>
        <v>7182000</v>
      </c>
      <c r="Z142" s="155">
        <f>Datos_Origen[[#This Row],[Básico]]+Datos_Origen[[#This Row],[Promedio de Comisiones  ]]</f>
        <v>7182000</v>
      </c>
      <c r="AA142" s="155">
        <f>Datos_Origen[[#This Row],[Garantizado]]</f>
        <v>5203234.74</v>
      </c>
      <c r="AB142" s="155">
        <f>Datos_Origen[[#This Row],[Variable]]+Datos_Origen[[#This Row],[Garantizado]]</f>
        <v>8450843.9400000013</v>
      </c>
      <c r="AC142" s="155">
        <f>Datos_Origen[[#This Row],[Beneficios]]+Datos_Origen[[#This Row],[Variable]]+Datos_Origen[[#This Row],[Garantizado]]</f>
        <v>8450843.9400000013</v>
      </c>
      <c r="AD142" s="156">
        <v>14.12</v>
      </c>
      <c r="AE142" s="141">
        <v>230</v>
      </c>
      <c r="AF142" s="345">
        <v>4.3499999999999997E-2</v>
      </c>
      <c r="AG142" s="155">
        <f>Datos_Origen[[#This Row],[Básico Actual]]*230/Datos_Origen[[#This Row],['# horas mes]]</f>
        <v>4422000</v>
      </c>
      <c r="AH142" s="164">
        <v>4422000</v>
      </c>
      <c r="AI142" s="158"/>
      <c r="AJ142" s="158">
        <f>(((Datos_Origen[[#This Row],[Básico]])/30)*$AJ$6)/12</f>
        <v>0</v>
      </c>
      <c r="AK142" s="158"/>
      <c r="AL142" s="143">
        <f>((Datos_Origen[[#This Row],[Básico]])/30)*$AL$6/12</f>
        <v>0</v>
      </c>
      <c r="AM142" s="158"/>
      <c r="AN142" s="158"/>
      <c r="AO142" s="158"/>
      <c r="AP142" s="158"/>
      <c r="AQ142" s="158"/>
      <c r="AR142" s="149">
        <v>2760000</v>
      </c>
      <c r="AS142" s="149"/>
      <c r="AT142" s="159">
        <f>IFERROR(Datos_Origen[[#This Row],[Comisiones Target]]/Datos_Origen[[#This Row],[Promedio de Comisiones  ]],"")</f>
        <v>0</v>
      </c>
      <c r="AU142" s="160"/>
      <c r="AV142" s="143">
        <v>0</v>
      </c>
      <c r="AW142" s="160"/>
      <c r="AX142" s="143">
        <f>Datos_Origen[[#This Row],[N Salarios de la Bonificación2]]*Datos_Origen[[#This Row],[Básico]]/12</f>
        <v>0</v>
      </c>
      <c r="AY142" s="160"/>
      <c r="AZ142" s="158"/>
      <c r="BA142" s="149">
        <v>0</v>
      </c>
      <c r="BB142" s="149"/>
      <c r="BC142" s="149"/>
      <c r="BD142" s="149"/>
      <c r="BE142" s="149"/>
      <c r="BF142" s="149"/>
      <c r="BG142" s="149"/>
      <c r="BH142" s="149"/>
      <c r="BI142" s="149"/>
      <c r="BJ142" s="149"/>
      <c r="BK142" s="159">
        <f>IFERROR(Datos_Origen[[#This Row],[Variable]]/Datos_Origen[[#This Row],[CT]],"")</f>
        <v>0.3842940685045948</v>
      </c>
      <c r="BL142" s="159">
        <f>IFERROR(Datos_Origen[[#This Row],[Beneficios]]/Datos_Origen[[#This Row],[CT]],"")</f>
        <v>0</v>
      </c>
      <c r="BM142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10700392.258823581</v>
      </c>
      <c r="BN142" s="161">
        <f>Datos_Origen[[#This Row],[G]]/Datos_Origen[[#This Row],[Geq]]</f>
        <v>0.4862657942010859</v>
      </c>
      <c r="BO142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10921021.83990635</v>
      </c>
      <c r="BP142" s="161">
        <f>Datos_Origen[[#This Row],[G+V]]/Datos_Origen[[#This Row],[G+Veq]]</f>
        <v>0.77381439794579421</v>
      </c>
      <c r="BQ142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10966470.005261846</v>
      </c>
      <c r="BR142" s="161">
        <f>Datos_Origen[[#This Row],[CT]]/Datos_Origen[[#This Row],[CTeq]]</f>
        <v>0.77060749137554596</v>
      </c>
      <c r="BS142" s="139">
        <f>ROUNDUP(VLOOKUP(Datos_Origen[[#This Row],[Categoria]],Competitividad_1[#All],2,0)*IndiceIncrementoC,-3)</f>
        <v>13836000</v>
      </c>
      <c r="BT142" s="161">
        <f>Datos_Origen[[#This Row],[G]]/Datos_Origen[[#This Row],[GQ1]]</f>
        <v>0.37606495663486561</v>
      </c>
      <c r="BU142" s="155">
        <f>ROUNDUP(VLOOKUP(Datos_Origen[[#This Row],[Categoria]],Competitividad_1[#All],3,0)*IndiceIncrementoC,-3)</f>
        <v>14536000</v>
      </c>
      <c r="BV142" s="161">
        <f>Datos_Origen[[#This Row],[G+V]]/Datos_Origen[[#This Row],[G+VQ1]]</f>
        <v>0.5813734135938361</v>
      </c>
      <c r="BW142" s="155">
        <f>ROUNDUP(VLOOKUP(Datos_Origen[[#This Row],[Categoria]],Competitividad_1[#All],4,0)*IndiceIncrementoC,-3)</f>
        <v>15107000</v>
      </c>
      <c r="BX142" s="161">
        <f>Datos_Origen[[#This Row],[CT]]/Datos_Origen[[#This Row],[CTQ1]]</f>
        <v>0.55939921493347466</v>
      </c>
      <c r="BY142" s="155">
        <f>ROUNDUP(VLOOKUP(Datos_Origen[[#This Row],[Categoria]],Competitividad_1[#All],5,0)*IndiceIncrementoC,-3)</f>
        <v>16762000</v>
      </c>
      <c r="BZ142" s="161">
        <f>Datos_Origen[[#This Row],[G]]/Datos_Origen[[#This Row],[GMd]]</f>
        <v>0.31041849063357596</v>
      </c>
      <c r="CA142" s="155">
        <f>ROUNDUP(VLOOKUP(Datos_Origen[[#This Row],[Categoria]],Competitividad_1[#All],6,0)*IndiceIncrementoC,-3)</f>
        <v>17437000</v>
      </c>
      <c r="CB142" s="161">
        <f>Datos_Origen[[#This Row],[G+V]]/Datos_Origen[[#This Row],[G+VMd]]</f>
        <v>0.48465010839020484</v>
      </c>
      <c r="CC142" s="155">
        <f>ROUNDUP(VLOOKUP(Datos_Origen[[#This Row],[Categoria]],Competitividad_1[#All],7,0)*IndiceIncrementoC,-3)</f>
        <v>18041000</v>
      </c>
      <c r="CD142" s="161">
        <f>Datos_Origen[[#This Row],[CT]]/Datos_Origen[[#This Row],[CTMd]]</f>
        <v>0.4684243633944904</v>
      </c>
      <c r="CE142" s="155">
        <f>+Datos_Origen[[#This Row],[GMd]]/1.17666666667</f>
        <v>14245325.778996471</v>
      </c>
      <c r="CF142" s="161">
        <f>+Datos_Origen[[#This Row],[Básico Actual]]/Datos_Origen[[#This Row],[Salario Basico Md]]</f>
        <v>0.31041761126445178</v>
      </c>
      <c r="CG142" s="155">
        <f>ROUNDUP(VLOOKUP(Datos_Origen[[#This Row],[Categoria]],Competitividad_1[#All],8,0)*IndiceIncrementoC,-3)</f>
        <v>16880000</v>
      </c>
      <c r="CH142" s="161">
        <f>Datos_Origen[[#This Row],[G]]/Datos_Origen[[#This Row],[GQ3]]</f>
        <v>0.3082485035545024</v>
      </c>
      <c r="CI142" s="155">
        <f>ROUNDUP(VLOOKUP(Datos_Origen[[#This Row],[Categoria]],Competitividad_1[#All],9,0)*IndiceIncrementoC,-3)</f>
        <v>17439000</v>
      </c>
      <c r="CJ142" s="161">
        <f>Datos_Origen[[#This Row],[G+V]]/Datos_Origen[[#This Row],[G+VQ3]]</f>
        <v>0.48459452606227427</v>
      </c>
      <c r="CK142" s="155">
        <f>ROUNDUP(VLOOKUP(Datos_Origen[[#This Row],[Categoria]],Competitividad_1[#All],10,0)*IndiceIncrementoC,-3)</f>
        <v>17813000</v>
      </c>
      <c r="CL142" s="161">
        <f>Datos_Origen[[#This Row],[CT]]/Datos_Origen[[#This Row],[CTQ3]]</f>
        <v>0.47442002694661212</v>
      </c>
      <c r="CM142" s="162">
        <f>IF(ROUND(Datos_Origen[[#This Row],[Salario Ordinario Pol2]],-3)&lt;SMMLV,SMMLV,ROUND(Datos_Origen[[#This Row],[Salario Ordinario Pol2]],-3))</f>
        <v>13493000</v>
      </c>
      <c r="CN142" s="155">
        <f>IF(Datos_Origen[[#This Row],[Gpol]]/(1+FactorPrestacionalOrdinario)&lt;SMMLV,SMMLV,Datos_Origen[[#This Row],[Gpol]]/(1+FactorPrestacionalOrdinario))</f>
        <v>14106281.133144476</v>
      </c>
      <c r="CO142" s="161">
        <f>IFERROR(IF(Datos_Origen[[#This Row],[Salarios Año]]=14.12,Datos_Origen[[#This Row],[Básico]]/Datos_Origen[[#This Row],[Salario Ordinario Pol]],""),"")</f>
        <v>0.31347737637313611</v>
      </c>
      <c r="CP142" s="155">
        <f>IF(ROUND(Datos_Origen[[#This Row],[Salario Ordinario Pol22]],-3)&lt;SMMLV,SMMLV,ROUND(Datos_Origen[[#This Row],[Salario Ordinario Pol22]],-3))</f>
        <v>20240000</v>
      </c>
      <c r="CQ142" s="155" t="str">
        <f>IFERROR(ROUND(Datos_Origen[[#This Row],[Salario Integral Pol4]],-3),"")</f>
        <v/>
      </c>
      <c r="CR142" s="139" t="str">
        <f>IF((Datos_Origen[[#This Row],[Gpol]]/(1+FactorPrestacionalIntegral))&lt;(13*SMMLV),"",(Datos_Origen[[#This Row],[Gpol]]/(1+FactorPrestacionalIntegral)))</f>
        <v/>
      </c>
      <c r="CS142" s="161" t="str">
        <f>IFERROR(IF(Datos_Origen[[#This Row],[Salarios Año]]=12,Datos_Origen[[#This Row],[Básico]]/Datos_Origen[[#This Row],[Salario Integral Pol]],""),"")</f>
        <v/>
      </c>
      <c r="CT142" s="155">
        <f>IFERROR(ROUND(Datos_Origen[[#This Row],[Salario Integral Pol44]],-3),"")</f>
        <v>23815000</v>
      </c>
      <c r="CU142" s="155">
        <f>Datos_Origen[[#This Row],[G+Vpol]]-Datos_Origen[[#This Row],[Variable]]</f>
        <v>16598390.800000001</v>
      </c>
      <c r="CV142" s="161">
        <f>Datos_Origen[[#This Row],[G]]/Datos_Origen[[#This Row],[Gpol]]</f>
        <v>0.31347826441102955</v>
      </c>
      <c r="CW142" s="154">
        <f>Datos_Origen[[#This Row],[Ctpol]]-Datos_Origen[[#This Row],[Beneficios]]</f>
        <v>19846000</v>
      </c>
      <c r="CX142" s="161">
        <f>Datos_Origen[[#This Row],[G+V]]/Datos_Origen[[#This Row],[G+Vpol]]</f>
        <v>0.42582101884510737</v>
      </c>
      <c r="CY142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19846000</v>
      </c>
      <c r="CZ142" s="161">
        <f>Datos_Origen[[#This Row],[CT]]/Datos_Origen[[#This Row],[Ctpol]]</f>
        <v>0.42582101884510737</v>
      </c>
      <c r="DA142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7182000</v>
      </c>
      <c r="DB142" s="158">
        <f>IF(Datos_Origen[[#This Row],[Básico]]&lt;10*SMMLV,0,Datos_Origen[[#This Row],[Base Seguridad Social Actual]]*8.5%)</f>
        <v>0</v>
      </c>
      <c r="DC142" s="158">
        <f>Datos_Origen[[#This Row],[Base Seguridad Social Actual]]*12%</f>
        <v>861840</v>
      </c>
      <c r="DD142" s="158">
        <f>Datos_Origen[[#This Row],[Base Seguridad Social Actual]]*Datos_Origen[[#This Row],[%ARL]]</f>
        <v>312417</v>
      </c>
      <c r="DE142" s="158">
        <f>IF(Datos_Origen[[#This Row],[Básico]]&lt;10*SMMLV,Datos_Origen[[#This Row],[Base Seguridad Social Actual]]*4%,Datos_Origen[[#This Row],[Base Seguridad Social Actual]]*9%)</f>
        <v>287280</v>
      </c>
      <c r="DF142" s="158">
        <f>Datos_Origen[[#This Row],[Salud]]+Datos_Origen[[#This Row],[Pensión]]+Datos_Origen[[#This Row],[ARL]]+Datos_Origen[[#This Row],[Parafiscales]]</f>
        <v>1461537</v>
      </c>
      <c r="DG142" s="158">
        <f>Datos_Origen[[#This Row],[Costo Laboral Actual]]+Datos_Origen[[#This Row],[CT]]</f>
        <v>9912380.9400000013</v>
      </c>
      <c r="DH142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14106281.133144476</v>
      </c>
      <c r="DI142" s="158">
        <f>IF(IF(Datos_Origen[[#This Row],[Salarios Año]]=12,Datos_Origen[[#This Row],[Salario Integral Pol]],Datos_Origen[[#This Row],[Salario Ordinario Pol]])&lt;10*SMMLV,0,Datos_Origen[[#This Row],[Base Seguridad Social Nueva]]*8.5%)</f>
        <v>0</v>
      </c>
      <c r="DJ142" s="158">
        <f>Datos_Origen[[#This Row],[Base Seguridad Social Nueva]]*12%</f>
        <v>1692753.735977337</v>
      </c>
      <c r="DK142" s="158">
        <f>Datos_Origen[[#This Row],[Base Seguridad Social Nueva]]*Datos_Origen[[#This Row],[%ARL]]</f>
        <v>613623.22929178469</v>
      </c>
      <c r="DL142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564251.24532577908</v>
      </c>
      <c r="DM142" s="158">
        <f>Datos_Origen[[#This Row],[Salud Nueva]]+Datos_Origen[[#This Row],[Pensión Nueva]]+Datos_Origen[[#This Row],[ARL nueva]]+Datos_Origen[[#This Row],[Parafiscales Nuevos]]</f>
        <v>2870628.2105949009</v>
      </c>
      <c r="DN142" s="158">
        <f>Datos_Origen[[#This Row],[Costo Laboral Nuevo]]+Datos_Origen[[#This Row],[Ctpol]]</f>
        <v>22716628.2105949</v>
      </c>
      <c r="DO142" s="158">
        <f>IF(Datos_Origen[[#This Row],[Ctpol]]-Datos_Origen[[#This Row],[CT]]&lt;=0,0,Datos_Origen[[#This Row],[Costo Total Nuevo]]-Datos_Origen[[#This Row],[Costo Total Actual]])</f>
        <v>12804247.270594899</v>
      </c>
      <c r="DP142" s="158">
        <f>IF(Datos_Origen[[#This Row],[Ctpol]]-Datos_Origen[[#This Row],[CT]]&lt;=0,0,Datos_Origen[[#This Row],[Ctpol]]-Datos_Origen[[#This Row],[CT]])</f>
        <v>11395156.059999999</v>
      </c>
      <c r="DQ142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1409091.2105949009</v>
      </c>
      <c r="DR142" s="158">
        <f>ROUNDDOWN(VLOOKUP(Datos_Origen[[#This Row],[Categoria]],Competitividad_1[],7,0)*IndiceIncrementoC,-3)</f>
        <v>18040000</v>
      </c>
      <c r="DS142" s="158">
        <f>Datos_Origen[[#This Row],[CTeq]]*0.8</f>
        <v>8773176.0042094775</v>
      </c>
      <c r="DT142" s="158">
        <f>Datos_Origen[[#This Row],[CTeq]]*1.2</f>
        <v>13159764.006314214</v>
      </c>
      <c r="DU142" s="155">
        <f>IF(Datos_Origen[[#This Row],[Gpol6]]/(1+FactorPrestacionalOrdinario)&lt;SMMLV,SMMLV,Datos_Origen[[#This Row],[Gpol6]]/(1+FactorPrestacionalOrdinario))</f>
        <v>13493031.161473086</v>
      </c>
      <c r="DV142" s="139" t="str">
        <f>IF((Datos_Origen[[#This Row],[Gpol6]]/(1+FactorPrestacionalIntegral))&lt;(13*SMMLV),"",(Datos_Origen[[#This Row],[Gpol6]]/(1+FactorPrestacionalIntegral)))</f>
        <v/>
      </c>
      <c r="DW142" s="154">
        <f>Datos_Origen[[#This Row],[G+Vpol8]]</f>
        <v>15876800</v>
      </c>
      <c r="DX142" s="154">
        <f>Datos_Origen[[#This Row],[Ctpol10]]-Datos_Origen[[#This Row],[Beneficios]]</f>
        <v>15876800</v>
      </c>
      <c r="DY142" s="154">
        <f>Datos_Origen[[#This Row],[Ctpol]]*$CM$6</f>
        <v>15876800</v>
      </c>
      <c r="DZ142" s="155">
        <f>IF(Datos_Origen[[#This Row],[Gpol66]]/(1+FactorPrestacionalOrdinario)&lt;SMMLV,SMMLV,Datos_Origen[[#This Row],[Gpol66]]/(1+FactorPrestacionalOrdinario))</f>
        <v>20239546.742209632</v>
      </c>
      <c r="EA142" s="139">
        <f>IF((Datos_Origen[[#This Row],[Gpol66]]/(1+FactorPrestacionalIntegral))&lt;(13*SMMLV),"",(Datos_Origen[[#This Row],[Gpol66]]/(1+FactorPrestacionalIntegral)))</f>
        <v>23815200</v>
      </c>
      <c r="EB142" s="154">
        <f>Datos_Origen[[#This Row],[G+Vpol88]]</f>
        <v>23815200</v>
      </c>
      <c r="EC142" s="154">
        <f>Datos_Origen[[#This Row],[Ctpol1010]]-Datos_Origen[[#This Row],[Beneficios]]</f>
        <v>23815200</v>
      </c>
      <c r="ED142" s="154">
        <f>Datos_Origen[[#This Row],[Ctpol]]*$CP$6</f>
        <v>23815200</v>
      </c>
      <c r="EE142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43" spans="2:135">
      <c r="B143" s="132"/>
      <c r="C143" s="149"/>
      <c r="D143" s="150"/>
      <c r="E143" s="151"/>
      <c r="F143" s="151"/>
      <c r="G143" s="150" t="s">
        <v>546</v>
      </c>
      <c r="H143" s="153"/>
      <c r="I143" s="152" t="s">
        <v>276</v>
      </c>
      <c r="J143" s="130" t="str">
        <f>IFERROR(VLOOKUP(Datos_Origen[[#This Row],[Cargo Tipo Valorado]],Cargos_Catalogo[[#All],[Cargo]:[Área]],2,0),"")</f>
        <v/>
      </c>
      <c r="K143" s="153"/>
      <c r="L143" s="153"/>
      <c r="M143" s="153"/>
      <c r="N143" s="153"/>
      <c r="O143" s="154">
        <f>Datos_Origen[[#This Row],[Segmentación Individual]]</f>
        <v>0</v>
      </c>
      <c r="P143" s="153"/>
      <c r="Q143" s="154">
        <f>VLOOKUP(Datos_Origen[[#This Row],[Cargo Tipo Valorado]],Cargos_Catalogo[#Data],MATCH(Cargos_Catalogo[[#Headers],[Puntos]],Cargos_Catalogo[#Headers],0),FALSE)</f>
        <v>805</v>
      </c>
      <c r="R143" s="130">
        <f>VLOOKUP(Datos_Origen[[#This Row],[Puntos valoración]],Categorias_Registro[#Data],MATCH(Categorias_Registro[[#Headers],[Categoria]],Categorias_Registro[#Headers],0),FALSE)</f>
        <v>16</v>
      </c>
      <c r="S143" s="130" t="str">
        <f>VLOOKUP(Datos_Origen[[#This Row],[Cargo Tipo Valorado]],Cargos_Catalogo[#Data],MATCH(Cargos_Catalogo[[#Headers],[Nivel SHR]],Cargos_Catalogo[#Headers],0),FALSE)</f>
        <v>Gerencia Alta</v>
      </c>
      <c r="T143" s="130" t="str">
        <f>VLOOKUP(Datos_Origen[[#This Row],[Cargo Tipo Valorado]],Cargos_Catalogo[#Data],MATCH(Cargos_Catalogo[[#Headers],[Criticidad]],Cargos_Catalogo[#Headers],0),FALSE)</f>
        <v>Muy Importante</v>
      </c>
      <c r="U143" s="154">
        <f>VLOOKUP(Datos_Origen[[#This Row],[Puntos valoración]],Categorias_Registro[#Data],5,FALSE)</f>
        <v>762</v>
      </c>
      <c r="V143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16233339.320000002</v>
      </c>
      <c r="W143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1352778.2766666668</v>
      </c>
      <c r="X143" s="154">
        <f>SUMIF($BA$5:$BJ$5,"NCS",Datos_Origen[[#This Row],[auxilio Gasolina]:[Otro Beneficio10]])+(SUMIF($BA$5:$BJ$5,"CS",Datos_Origen[[#This Row],[auxilio Gasolina]:[Otro Beneficio10]])*1.17667)</f>
        <v>0</v>
      </c>
      <c r="Y143" s="155">
        <f>Datos_Origen[[#This Row],[Básico]]+Datos_Origen[[#This Row],[Promedio de Comisiones  ]]</f>
        <v>13796000</v>
      </c>
      <c r="Z143" s="155">
        <f>Datos_Origen[[#This Row],[Básico]]+Datos_Origen[[#This Row],[Promedio de Comisiones  ]]</f>
        <v>13796000</v>
      </c>
      <c r="AA143" s="155">
        <f>Datos_Origen[[#This Row],[Garantizado]]</f>
        <v>16233339.320000002</v>
      </c>
      <c r="AB143" s="155">
        <f>Datos_Origen[[#This Row],[Variable]]+Datos_Origen[[#This Row],[Garantizado]]</f>
        <v>17586117.596666668</v>
      </c>
      <c r="AC143" s="155">
        <f>Datos_Origen[[#This Row],[Beneficios]]+Datos_Origen[[#This Row],[Variable]]+Datos_Origen[[#This Row],[Garantizado]]</f>
        <v>17586117.596666668</v>
      </c>
      <c r="AD143" s="156">
        <v>14.12</v>
      </c>
      <c r="AE143" s="141">
        <v>230</v>
      </c>
      <c r="AF143" s="345">
        <v>5.2199999999999998E-3</v>
      </c>
      <c r="AG143" s="155">
        <f>Datos_Origen[[#This Row],[Básico Actual]]*230/Datos_Origen[[#This Row],['# horas mes]]</f>
        <v>13796000</v>
      </c>
      <c r="AH143" s="157">
        <v>13796000</v>
      </c>
      <c r="AI143" s="158"/>
      <c r="AJ143" s="158">
        <f>(((Datos_Origen[[#This Row],[Básico]])/30)*$AJ$6)/12</f>
        <v>0</v>
      </c>
      <c r="AK143" s="158"/>
      <c r="AL143" s="143">
        <f>((Datos_Origen[[#This Row],[Básico]])/30)*$AL$6/12</f>
        <v>0</v>
      </c>
      <c r="AM143" s="158"/>
      <c r="AN143" s="158"/>
      <c r="AO143" s="158"/>
      <c r="AP143" s="158"/>
      <c r="AQ143" s="158"/>
      <c r="AR143" s="149">
        <v>0</v>
      </c>
      <c r="AS143" s="149"/>
      <c r="AT143" s="159" t="str">
        <f>IFERROR(Datos_Origen[[#This Row],[Comisiones Target]]/Datos_Origen[[#This Row],[Promedio de Comisiones  ]],"")</f>
        <v/>
      </c>
      <c r="AU143" s="160"/>
      <c r="AV143" s="143">
        <f>+(Datos_Origen[[#This Row],[Básico]]+Datos_Origen[[#This Row],[Promedio de Comisiones  ]])/12</f>
        <v>1149666.6666666667</v>
      </c>
      <c r="AW143" s="160"/>
      <c r="AX143" s="143">
        <f>Datos_Origen[[#This Row],[N Salarios de la Bonificación2]]*Datos_Origen[[#This Row],[Básico]]/12</f>
        <v>0</v>
      </c>
      <c r="AY143" s="160"/>
      <c r="AZ143" s="158"/>
      <c r="BA143" s="149">
        <v>0</v>
      </c>
      <c r="BB143" s="149"/>
      <c r="BC143" s="149"/>
      <c r="BD143" s="149"/>
      <c r="BE143" s="149"/>
      <c r="BF143" s="149"/>
      <c r="BG143" s="149"/>
      <c r="BH143" s="149"/>
      <c r="BI143" s="149"/>
      <c r="BJ143" s="149"/>
      <c r="BK143" s="159">
        <f>IFERROR(Datos_Origen[[#This Row],[Variable]]/Datos_Origen[[#This Row],[CT]],"")</f>
        <v>7.6923076923076927E-2</v>
      </c>
      <c r="BL143" s="159">
        <f>IFERROR(Datos_Origen[[#This Row],[Beneficios]]/Datos_Origen[[#This Row],[CT]],"")</f>
        <v>0</v>
      </c>
      <c r="BM143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15856982.544907182</v>
      </c>
      <c r="BN143" s="161">
        <f>Datos_Origen[[#This Row],[G]]/Datos_Origen[[#This Row],[Geq]]</f>
        <v>1.0237344509919823</v>
      </c>
      <c r="BO143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16963342.114860825</v>
      </c>
      <c r="BP143" s="161">
        <f>Datos_Origen[[#This Row],[G+V]]/Datos_Origen[[#This Row],[G+Veq]]</f>
        <v>1.0367130178468933</v>
      </c>
      <c r="BQ143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17058126.053142823</v>
      </c>
      <c r="BR143" s="161">
        <f>Datos_Origen[[#This Row],[CT]]/Datos_Origen[[#This Row],[CTeq]]</f>
        <v>1.0309524939538459</v>
      </c>
      <c r="BS143" s="139">
        <f>ROUNDUP(VLOOKUP(Datos_Origen[[#This Row],[Categoria]],Competitividad_1[#All],2,0)*IndiceIncrementoC,-3)</f>
        <v>17041000</v>
      </c>
      <c r="BT143" s="161">
        <f>Datos_Origen[[#This Row],[G]]/Datos_Origen[[#This Row],[GQ1]]</f>
        <v>0.95260485417522456</v>
      </c>
      <c r="BU143" s="155">
        <f>ROUNDUP(VLOOKUP(Datos_Origen[[#This Row],[Categoria]],Competitividad_1[#All],3,0)*IndiceIncrementoC,-3)</f>
        <v>17937000</v>
      </c>
      <c r="BV143" s="161">
        <f>Datos_Origen[[#This Row],[G+V]]/Datos_Origen[[#This Row],[G+VQ1]]</f>
        <v>0.98043806638047992</v>
      </c>
      <c r="BW143" s="155">
        <f>ROUNDUP(VLOOKUP(Datos_Origen[[#This Row],[Categoria]],Competitividad_1[#All],4,0)*IndiceIncrementoC,-3)</f>
        <v>18617000</v>
      </c>
      <c r="BX143" s="161">
        <f>Datos_Origen[[#This Row],[CT]]/Datos_Origen[[#This Row],[CTQ1]]</f>
        <v>0.94462682476589499</v>
      </c>
      <c r="BY143" s="155">
        <f>ROUNDUP(VLOOKUP(Datos_Origen[[#This Row],[Categoria]],Competitividad_1[#All],5,0)*IndiceIncrementoC,-3)</f>
        <v>21902000</v>
      </c>
      <c r="BZ143" s="161">
        <f>Datos_Origen[[#This Row],[G]]/Datos_Origen[[#This Row],[GMd]]</f>
        <v>0.74118068304264462</v>
      </c>
      <c r="CA143" s="155">
        <f>ROUNDUP(VLOOKUP(Datos_Origen[[#This Row],[Categoria]],Competitividad_1[#All],6,0)*IndiceIncrementoC,-3)</f>
        <v>22811000</v>
      </c>
      <c r="CB143" s="161">
        <f>Datos_Origen[[#This Row],[G+V]]/Datos_Origen[[#This Row],[G+VMd]]</f>
        <v>0.77094899814417028</v>
      </c>
      <c r="CC143" s="155">
        <f>ROUNDUP(VLOOKUP(Datos_Origen[[#This Row],[Categoria]],Competitividad_1[#All],7,0)*IndiceIncrementoC,-3)</f>
        <v>23539000</v>
      </c>
      <c r="CD143" s="161">
        <f>Datos_Origen[[#This Row],[CT]]/Datos_Origen[[#This Row],[CTMd]]</f>
        <v>0.74710555234575249</v>
      </c>
      <c r="CE143" s="155">
        <f>+Datos_Origen[[#This Row],[GMd]]/1.17666666667</f>
        <v>18613597.733658317</v>
      </c>
      <c r="CF143" s="161">
        <f>+Datos_Origen[[#This Row],[Básico Actual]]/Datos_Origen[[#This Row],[Salario Basico Md]]</f>
        <v>0.74117858338870057</v>
      </c>
      <c r="CG143" s="155">
        <f>ROUNDUP(VLOOKUP(Datos_Origen[[#This Row],[Categoria]],Competitividad_1[#All],8,0)*IndiceIncrementoC,-3)</f>
        <v>24365000</v>
      </c>
      <c r="CH143" s="161">
        <f>Datos_Origen[[#This Row],[G]]/Datos_Origen[[#This Row],[GQ3]]</f>
        <v>0.66625648758465017</v>
      </c>
      <c r="CI143" s="155">
        <f>ROUNDUP(VLOOKUP(Datos_Origen[[#This Row],[Categoria]],Competitividad_1[#All],9,0)*IndiceIncrementoC,-3)</f>
        <v>25638000</v>
      </c>
      <c r="CJ143" s="161">
        <f>Datos_Origen[[#This Row],[G+V]]/Datos_Origen[[#This Row],[G+VQ3]]</f>
        <v>0.68593952713420192</v>
      </c>
      <c r="CK143" s="155">
        <f>ROUNDUP(VLOOKUP(Datos_Origen[[#This Row],[Categoria]],Competitividad_1[#All],10,0)*IndiceIncrementoC,-3)</f>
        <v>27337000</v>
      </c>
      <c r="CL143" s="161">
        <f>Datos_Origen[[#This Row],[CT]]/Datos_Origen[[#This Row],[CTQ3]]</f>
        <v>0.64330824877150627</v>
      </c>
      <c r="CM143" s="162">
        <f>IF(ROUND(Datos_Origen[[#This Row],[Salario Ordinario Pol2]],-3)&lt;SMMLV,SMMLV,ROUND(Datos_Origen[[#This Row],[Salario Ordinario Pol2]],-3))</f>
        <v>17604000</v>
      </c>
      <c r="CN143" s="155">
        <f>IF(Datos_Origen[[#This Row],[Gpol]]/(1+FactorPrestacionalOrdinario)&lt;SMMLV,SMMLV,Datos_Origen[[#This Row],[Gpol]]/(1+FactorPrestacionalOrdinario))</f>
        <v>20855712.512747873</v>
      </c>
      <c r="CO143" s="161">
        <f>IFERROR(IF(Datos_Origen[[#This Row],[Salarios Año]]=14.12,Datos_Origen[[#This Row],[Básico]]/Datos_Origen[[#This Row],[Salario Ordinario Pol]],""),"")</f>
        <v>0.66149741906766868</v>
      </c>
      <c r="CP143" s="155">
        <f>IF(ROUND(Datos_Origen[[#This Row],[Salario Ordinario Pol22]],-3)&lt;SMMLV,SMMLV,ROUND(Datos_Origen[[#This Row],[Salario Ordinario Pol22]],-3))</f>
        <v>26406000</v>
      </c>
      <c r="CQ143" s="155">
        <f>IFERROR(ROUND(Datos_Origen[[#This Row],[Salario Integral Pol4]],-3),"")</f>
        <v>20714000</v>
      </c>
      <c r="CR143" s="139">
        <f>IF((Datos_Origen[[#This Row],[Gpol]]/(1+FactorPrestacionalIntegral))&lt;(13*SMMLV),"",(Datos_Origen[[#This Row],[Gpol]]/(1+FactorPrestacionalIntegral)))</f>
        <v>24540221.723333333</v>
      </c>
      <c r="CS143" s="161" t="str">
        <f>IFERROR(IF(Datos_Origen[[#This Row],[Salarios Año]]=12,Datos_Origen[[#This Row],[Básico]]/Datos_Origen[[#This Row],[Salario Integral Pol]],""),"")</f>
        <v/>
      </c>
      <c r="CT143" s="155">
        <f>IFERROR(ROUND(Datos_Origen[[#This Row],[Salario Integral Pol44]],-3),"")</f>
        <v>31072000</v>
      </c>
      <c r="CU143" s="155">
        <f>Datos_Origen[[#This Row],[G+Vpol]]-Datos_Origen[[#This Row],[Variable]]</f>
        <v>24540221.723333333</v>
      </c>
      <c r="CV143" s="161">
        <f>Datos_Origen[[#This Row],[G]]/Datos_Origen[[#This Row],[Gpol]]</f>
        <v>0.66149929299803434</v>
      </c>
      <c r="CW143" s="154">
        <f>Datos_Origen[[#This Row],[Ctpol]]-Datos_Origen[[#This Row],[Beneficios]]</f>
        <v>25893000</v>
      </c>
      <c r="CX143" s="161">
        <f>Datos_Origen[[#This Row],[G+V]]/Datos_Origen[[#This Row],[G+Vpol]]</f>
        <v>0.67918424271682187</v>
      </c>
      <c r="CY143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25893000</v>
      </c>
      <c r="CZ143" s="161">
        <f>Datos_Origen[[#This Row],[CT]]/Datos_Origen[[#This Row],[Ctpol]]</f>
        <v>0.67918424271682187</v>
      </c>
      <c r="DA143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13796000</v>
      </c>
      <c r="DB143" s="158">
        <f>IF(Datos_Origen[[#This Row],[Básico]]&lt;10*SMMLV,0,Datos_Origen[[#This Row],[Base Seguridad Social Actual]]*8.5%)</f>
        <v>0</v>
      </c>
      <c r="DC143" s="158">
        <f>Datos_Origen[[#This Row],[Base Seguridad Social Actual]]*12%</f>
        <v>1655520</v>
      </c>
      <c r="DD143" s="158">
        <f>Datos_Origen[[#This Row],[Base Seguridad Social Actual]]*Datos_Origen[[#This Row],[%ARL]]</f>
        <v>72015.12</v>
      </c>
      <c r="DE143" s="158">
        <f>IF(Datos_Origen[[#This Row],[Básico]]&lt;10*SMMLV,Datos_Origen[[#This Row],[Base Seguridad Social Actual]]*4%,Datos_Origen[[#This Row],[Base Seguridad Social Actual]]*9%)</f>
        <v>551840</v>
      </c>
      <c r="DF143" s="158">
        <f>Datos_Origen[[#This Row],[Salud]]+Datos_Origen[[#This Row],[Pensión]]+Datos_Origen[[#This Row],[ARL]]+Datos_Origen[[#This Row],[Parafiscales]]</f>
        <v>2279375.12</v>
      </c>
      <c r="DG143" s="158">
        <f>Datos_Origen[[#This Row],[Costo Laboral Actual]]+Datos_Origen[[#This Row],[CT]]</f>
        <v>19865492.716666669</v>
      </c>
      <c r="DH143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20855712.512747873</v>
      </c>
      <c r="DI143" s="158">
        <f>IF(IF(Datos_Origen[[#This Row],[Salarios Año]]=12,Datos_Origen[[#This Row],[Salario Integral Pol]],Datos_Origen[[#This Row],[Salario Ordinario Pol]])&lt;10*SMMLV,0,Datos_Origen[[#This Row],[Base Seguridad Social Nueva]]*8.5%)</f>
        <v>1772735.5635835694</v>
      </c>
      <c r="DJ143" s="158">
        <f>Datos_Origen[[#This Row],[Base Seguridad Social Nueva]]*12%</f>
        <v>2502685.5015297448</v>
      </c>
      <c r="DK143" s="158">
        <f>Datos_Origen[[#This Row],[Base Seguridad Social Nueva]]*Datos_Origen[[#This Row],[%ARL]]</f>
        <v>108866.81931654389</v>
      </c>
      <c r="DL143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1877014.1261473084</v>
      </c>
      <c r="DM143" s="158">
        <f>Datos_Origen[[#This Row],[Salud Nueva]]+Datos_Origen[[#This Row],[Pensión Nueva]]+Datos_Origen[[#This Row],[ARL nueva]]+Datos_Origen[[#This Row],[Parafiscales Nuevos]]</f>
        <v>6261302.0105771665</v>
      </c>
      <c r="DN143" s="158">
        <f>Datos_Origen[[#This Row],[Costo Laboral Nuevo]]+Datos_Origen[[#This Row],[Ctpol]]</f>
        <v>32154302.010577165</v>
      </c>
      <c r="DO143" s="158">
        <f>IF(Datos_Origen[[#This Row],[Ctpol]]-Datos_Origen[[#This Row],[CT]]&lt;=0,0,Datos_Origen[[#This Row],[Costo Total Nuevo]]-Datos_Origen[[#This Row],[Costo Total Actual]])</f>
        <v>12288809.293910496</v>
      </c>
      <c r="DP143" s="158">
        <f>IF(Datos_Origen[[#This Row],[Ctpol]]-Datos_Origen[[#This Row],[CT]]&lt;=0,0,Datos_Origen[[#This Row],[Ctpol]]-Datos_Origen[[#This Row],[CT]])</f>
        <v>8306882.4033333324</v>
      </c>
      <c r="DQ143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3981926.8905771663</v>
      </c>
      <c r="DR143" s="158">
        <f>ROUNDDOWN(VLOOKUP(Datos_Origen[[#This Row],[Categoria]],Competitividad_1[],7,0)*IndiceIncrementoC,-3)</f>
        <v>23538000</v>
      </c>
      <c r="DS143" s="158">
        <f>Datos_Origen[[#This Row],[CTeq]]*0.8</f>
        <v>13646500.84251426</v>
      </c>
      <c r="DT143" s="158">
        <f>Datos_Origen[[#This Row],[CTeq]]*1.2</f>
        <v>20469751.263771389</v>
      </c>
      <c r="DU143" s="155">
        <f>IF(Datos_Origen[[#This Row],[Gpol6]]/(1+FactorPrestacionalOrdinario)&lt;SMMLV,SMMLV,Datos_Origen[[#This Row],[Gpol6]]/(1+FactorPrestacionalOrdinario))</f>
        <v>17604305.949008498</v>
      </c>
      <c r="DV143" s="139">
        <f>IF((Datos_Origen[[#This Row],[Gpol6]]/(1+FactorPrestacionalIntegral))&lt;(13*SMMLV),"",(Datos_Origen[[#This Row],[Gpol6]]/(1+FactorPrestacionalIntegral)))</f>
        <v>20714400</v>
      </c>
      <c r="DW143" s="154">
        <f>Datos_Origen[[#This Row],[G+Vpol8]]</f>
        <v>20714400</v>
      </c>
      <c r="DX143" s="154">
        <f>Datos_Origen[[#This Row],[Ctpol10]]-Datos_Origen[[#This Row],[Beneficios]]</f>
        <v>20714400</v>
      </c>
      <c r="DY143" s="154">
        <f>Datos_Origen[[#This Row],[Ctpol]]*$CM$6</f>
        <v>20714400</v>
      </c>
      <c r="DZ143" s="155">
        <f>IF(Datos_Origen[[#This Row],[Gpol66]]/(1+FactorPrestacionalOrdinario)&lt;SMMLV,SMMLV,Datos_Origen[[#This Row],[Gpol66]]/(1+FactorPrestacionalOrdinario))</f>
        <v>26406458.923512746</v>
      </c>
      <c r="EA143" s="139">
        <f>IF((Datos_Origen[[#This Row],[Gpol66]]/(1+FactorPrestacionalIntegral))&lt;(13*SMMLV),"",(Datos_Origen[[#This Row],[Gpol66]]/(1+FactorPrestacionalIntegral)))</f>
        <v>31071600</v>
      </c>
      <c r="EB143" s="154">
        <f>Datos_Origen[[#This Row],[G+Vpol88]]</f>
        <v>31071600</v>
      </c>
      <c r="EC143" s="154">
        <f>Datos_Origen[[#This Row],[Ctpol1010]]-Datos_Origen[[#This Row],[Beneficios]]</f>
        <v>31071600</v>
      </c>
      <c r="ED143" s="154">
        <f>Datos_Origen[[#This Row],[Ctpol]]*$CP$6</f>
        <v>31071600</v>
      </c>
      <c r="EE143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44" spans="2:135">
      <c r="B144" s="148"/>
      <c r="C144" s="149"/>
      <c r="D144" s="150"/>
      <c r="E144" s="151"/>
      <c r="F144" s="151"/>
      <c r="G144" s="150" t="s">
        <v>275</v>
      </c>
      <c r="H144" s="153"/>
      <c r="I144" s="152" t="s">
        <v>275</v>
      </c>
      <c r="J144" s="130">
        <f>IFERROR(VLOOKUP(Datos_Origen[[#This Row],[Cargo Tipo Valorado]],Cargos_Catalogo[[#All],[Cargo]:[Área]],2,0),"")</f>
        <v>0</v>
      </c>
      <c r="K144" s="153"/>
      <c r="L144" s="153"/>
      <c r="M144" s="153"/>
      <c r="N144" s="153"/>
      <c r="O144" s="154">
        <f>Datos_Origen[[#This Row],[Segmentación Individual]]</f>
        <v>0</v>
      </c>
      <c r="P144" s="153"/>
      <c r="Q144" s="154">
        <f>VLOOKUP(Datos_Origen[[#This Row],[Cargo Tipo Valorado]],Cargos_Catalogo[#Data],MATCH(Cargos_Catalogo[[#Headers],[Puntos]],Cargos_Catalogo[#Headers],0),FALSE)</f>
        <v>1025</v>
      </c>
      <c r="R144" s="130">
        <f>VLOOKUP(Datos_Origen[[#This Row],[Puntos valoración]],Categorias_Registro[#Data],MATCH(Categorias_Registro[[#Headers],[Categoria]],Categorias_Registro[#Headers],0),FALSE)</f>
        <v>18</v>
      </c>
      <c r="S144" s="130" t="str">
        <f>VLOOKUP(Datos_Origen[[#This Row],[Cargo Tipo Valorado]],Cargos_Catalogo[#Data],MATCH(Cargos_Catalogo[[#Headers],[Nivel SHR]],Cargos_Catalogo[#Headers],0),FALSE)</f>
        <v>Gerencia Alta</v>
      </c>
      <c r="T144" s="130" t="str">
        <f>VLOOKUP(Datos_Origen[[#This Row],[Cargo Tipo Valorado]],Cargos_Catalogo[#Data],MATCH(Cargos_Catalogo[[#Headers],[Criticidad]],Cargos_Catalogo[#Headers],0),FALSE)</f>
        <v>Crítico</v>
      </c>
      <c r="U144" s="154">
        <f>VLOOKUP(Datos_Origen[[#This Row],[Puntos valoración]],Categorias_Registro[#Data],5,FALSE)</f>
        <v>1007</v>
      </c>
      <c r="V144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20846000</v>
      </c>
      <c r="W144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7005416.666666666</v>
      </c>
      <c r="X144" s="154">
        <f>SUMIF($BA$5:$BJ$5,"NCS",Datos_Origen[[#This Row],[auxilio Gasolina]:[Otro Beneficio10]])+(SUMIF($BA$5:$BJ$5,"CS",Datos_Origen[[#This Row],[auxilio Gasolina]:[Otro Beneficio10]])*1.17667)</f>
        <v>550000</v>
      </c>
      <c r="Y144" s="155">
        <f>Datos_Origen[[#This Row],[Básico]]+Datos_Origen[[#This Row],[Promedio de Comisiones  ]]</f>
        <v>25709000</v>
      </c>
      <c r="Z144" s="155">
        <f>Datos_Origen[[#This Row],[Básico]]+Datos_Origen[[#This Row],[Promedio de Comisiones  ]]</f>
        <v>25709000</v>
      </c>
      <c r="AA144" s="155">
        <f>Datos_Origen[[#This Row],[Garantizado]]</f>
        <v>20846000</v>
      </c>
      <c r="AB144" s="155">
        <f>Datos_Origen[[#This Row],[Variable]]+Datos_Origen[[#This Row],[Garantizado]]</f>
        <v>27851416.666666664</v>
      </c>
      <c r="AC144" s="155">
        <f>Datos_Origen[[#This Row],[Beneficios]]+Datos_Origen[[#This Row],[Variable]]+Datos_Origen[[#This Row],[Garantizado]]</f>
        <v>28401416.666666664</v>
      </c>
      <c r="AD144" s="156">
        <v>12</v>
      </c>
      <c r="AE144" s="141">
        <v>230</v>
      </c>
      <c r="AF144" s="345">
        <v>4.3499999999999997E-2</v>
      </c>
      <c r="AG144" s="155">
        <f>Datos_Origen[[#This Row],[Básico Actual]]*230/Datos_Origen[[#This Row],['# horas mes]]</f>
        <v>20846000</v>
      </c>
      <c r="AH144" s="157">
        <v>20846000</v>
      </c>
      <c r="AI144" s="158"/>
      <c r="AJ144" s="158">
        <f>(((Datos_Origen[[#This Row],[Básico]])/30)*$AJ$6)/12</f>
        <v>0</v>
      </c>
      <c r="AK144" s="158"/>
      <c r="AL144" s="143">
        <f>((Datos_Origen[[#This Row],[Básico]])/30)*$AL$6/12</f>
        <v>0</v>
      </c>
      <c r="AM144" s="158"/>
      <c r="AN144" s="158"/>
      <c r="AO144" s="158"/>
      <c r="AP144" s="158"/>
      <c r="AQ144" s="158"/>
      <c r="AR144" s="149">
        <v>4863000</v>
      </c>
      <c r="AS144" s="149"/>
      <c r="AT144" s="159">
        <f>IFERROR(Datos_Origen[[#This Row],[Comisiones Target]]/Datos_Origen[[#This Row],[Promedio de Comisiones  ]],"")</f>
        <v>0</v>
      </c>
      <c r="AU144" s="160"/>
      <c r="AV144" s="143">
        <f>+(Datos_Origen[[#This Row],[Básico]]+Datos_Origen[[#This Row],[Promedio de Comisiones  ]])/12</f>
        <v>2142416.6666666665</v>
      </c>
      <c r="AW144" s="160"/>
      <c r="AX144" s="143"/>
      <c r="AY144" s="160"/>
      <c r="AZ144" s="158"/>
      <c r="BA144" s="149">
        <v>550000</v>
      </c>
      <c r="BB144" s="149"/>
      <c r="BC144" s="149"/>
      <c r="BD144" s="149"/>
      <c r="BE144" s="149"/>
      <c r="BF144" s="149"/>
      <c r="BG144" s="149"/>
      <c r="BH144" s="149"/>
      <c r="BI144" s="149"/>
      <c r="BJ144" s="149"/>
      <c r="BK144" s="159">
        <f>IFERROR(Datos_Origen[[#This Row],[Variable]]/Datos_Origen[[#This Row],[CT]],"")</f>
        <v>0.2466572970245029</v>
      </c>
      <c r="BL144" s="159">
        <f>IFERROR(Datos_Origen[[#This Row],[Beneficios]]/Datos_Origen[[#This Row],[CT]],"")</f>
        <v>1.9365231194453329E-2</v>
      </c>
      <c r="BM144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28618241.333699934</v>
      </c>
      <c r="BN144" s="161">
        <f>Datos_Origen[[#This Row],[G]]/Datos_Origen[[#This Row],[Geq]]</f>
        <v>0.72841652835782089</v>
      </c>
      <c r="BO144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31916558.956919879</v>
      </c>
      <c r="BP144" s="161">
        <f>Datos_Origen[[#This Row],[G+V]]/Datos_Origen[[#This Row],[G+Veq]]</f>
        <v>0.87263218770732032</v>
      </c>
      <c r="BQ144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32133436.474666454</v>
      </c>
      <c r="BR144" s="161">
        <f>Datos_Origen[[#This Row],[CT]]/Datos_Origen[[#This Row],[CTeq]]</f>
        <v>0.8838586775198457</v>
      </c>
      <c r="BS144" s="139">
        <f>ROUNDUP(VLOOKUP(Datos_Origen[[#This Row],[Categoria]],Competitividad_1[#All],2,0)*IndiceIncrementoC,-3)</f>
        <v>24974000</v>
      </c>
      <c r="BT144" s="161">
        <f>Datos_Origen[[#This Row],[G]]/Datos_Origen[[#This Row],[GQ1]]</f>
        <v>0.8347080964202771</v>
      </c>
      <c r="BU144" s="155">
        <f>ROUNDUP(VLOOKUP(Datos_Origen[[#This Row],[Categoria]],Competitividad_1[#All],3,0)*IndiceIncrementoC,-3)</f>
        <v>26355000</v>
      </c>
      <c r="BV144" s="161">
        <f>Datos_Origen[[#This Row],[G+V]]/Datos_Origen[[#This Row],[G+VQ1]]</f>
        <v>1.0567792322772402</v>
      </c>
      <c r="BW144" s="155">
        <f>ROUNDUP(VLOOKUP(Datos_Origen[[#This Row],[Categoria]],Competitividad_1[#All],4,0)*IndiceIncrementoC,-3)</f>
        <v>27306000</v>
      </c>
      <c r="BX144" s="161">
        <f>Datos_Origen[[#This Row],[CT]]/Datos_Origen[[#This Row],[CTQ1]]</f>
        <v>1.040116335848043</v>
      </c>
      <c r="BY144" s="155">
        <f>ROUNDUP(VLOOKUP(Datos_Origen[[#This Row],[Categoria]],Competitividad_1[#All],5,0)*IndiceIncrementoC,-3)</f>
        <v>34623000</v>
      </c>
      <c r="BZ144" s="161">
        <f>Datos_Origen[[#This Row],[G]]/Datos_Origen[[#This Row],[GMd]]</f>
        <v>0.6020853190075961</v>
      </c>
      <c r="CA144" s="155">
        <f>ROUNDUP(VLOOKUP(Datos_Origen[[#This Row],[Categoria]],Competitividad_1[#All],6,0)*IndiceIncrementoC,-3)</f>
        <v>36111000</v>
      </c>
      <c r="CB144" s="161">
        <f>Datos_Origen[[#This Row],[G+V]]/Datos_Origen[[#This Row],[G+VMd]]</f>
        <v>0.77127237314576347</v>
      </c>
      <c r="CC144" s="155">
        <f>ROUNDUP(VLOOKUP(Datos_Origen[[#This Row],[Categoria]],Competitividad_1[#All],7,0)*IndiceIncrementoC,-3)</f>
        <v>37144000</v>
      </c>
      <c r="CD144" s="161">
        <f>Datos_Origen[[#This Row],[CT]]/Datos_Origen[[#This Row],[CTMd]]</f>
        <v>0.76462999856414671</v>
      </c>
      <c r="CE144" s="155">
        <f>+Datos_Origen[[#This Row],[GMd]]/1.17666666667</f>
        <v>29424645.892267916</v>
      </c>
      <c r="CF144" s="161">
        <f>+Datos_Origen[[#This Row],[Básico Actual]]/Datos_Origen[[#This Row],[Salario Basico Md]]</f>
        <v>0.70845372536761175</v>
      </c>
      <c r="CG144" s="155">
        <f>ROUNDUP(VLOOKUP(Datos_Origen[[#This Row],[Categoria]],Competitividad_1[#All],8,0)*IndiceIncrementoC,-3)</f>
        <v>42888000</v>
      </c>
      <c r="CH144" s="161">
        <f>Datos_Origen[[#This Row],[G]]/Datos_Origen[[#This Row],[GQ3]]</f>
        <v>0.486056705838463</v>
      </c>
      <c r="CI144" s="155">
        <f>ROUNDUP(VLOOKUP(Datos_Origen[[#This Row],[Categoria]],Competitividad_1[#All],9,0)*IndiceIncrementoC,-3)</f>
        <v>45927000</v>
      </c>
      <c r="CJ144" s="161">
        <f>Datos_Origen[[#This Row],[G+V]]/Datos_Origen[[#This Row],[G+VQ3]]</f>
        <v>0.60642795450751552</v>
      </c>
      <c r="CK144" s="155">
        <f>ROUNDUP(VLOOKUP(Datos_Origen[[#This Row],[Categoria]],Competitividad_1[#All],10,0)*IndiceIncrementoC,-3)</f>
        <v>50906000</v>
      </c>
      <c r="CL144" s="161">
        <f>Datos_Origen[[#This Row],[CT]]/Datos_Origen[[#This Row],[CTQ3]]</f>
        <v>0.55791884388218804</v>
      </c>
      <c r="CM144" s="162">
        <f>IF(ROUND(Datos_Origen[[#This Row],[Salario Ordinario Pol2]],-3)&lt;SMMLV,SMMLV,ROUND(Datos_Origen[[#This Row],[Salario Ordinario Pol2]],-3))</f>
        <v>29837000</v>
      </c>
      <c r="CN144" s="155">
        <f>IF(Datos_Origen[[#This Row],[Gpol]]/(1+FactorPrestacionalOrdinario)&lt;SMMLV,SMMLV,Datos_Origen[[#This Row],[Gpol]]/(1+FactorPrestacionalOrdinario))</f>
        <v>31459702.549575072</v>
      </c>
      <c r="CO144" s="161" t="str">
        <f>IFERROR(IF(Datos_Origen[[#This Row],[Salarios Año]]=14.12,Datos_Origen[[#This Row],[Básico]]/Datos_Origen[[#This Row],[Salario Ordinario Pol]],""),"")</f>
        <v/>
      </c>
      <c r="CP144" s="155">
        <f>IF(ROUND(Datos_Origen[[#This Row],[Salario Ordinario Pol22]],-3)&lt;SMMLV,SMMLV,ROUND(Datos_Origen[[#This Row],[Salario Ordinario Pol22]],-3))</f>
        <v>44989000</v>
      </c>
      <c r="CQ144" s="155">
        <f>IFERROR(ROUND(Datos_Origen[[#This Row],[Salario Integral Pol4]],-3),"")</f>
        <v>35108000</v>
      </c>
      <c r="CR144" s="139">
        <f>IF((Datos_Origen[[#This Row],[Gpol]]/(1+FactorPrestacionalIntegral))&lt;(13*SMMLV),"",(Datos_Origen[[#This Row],[Gpol]]/(1+FactorPrestacionalIntegral)))</f>
        <v>37017583.333333336</v>
      </c>
      <c r="CS144" s="161">
        <f>IFERROR(IF(Datos_Origen[[#This Row],[Salarios Año]]=12,Datos_Origen[[#This Row],[Básico]]/Datos_Origen[[#This Row],[Salario Integral Pol]],""),"")</f>
        <v>0.56313778812321169</v>
      </c>
      <c r="CT144" s="155">
        <f>IFERROR(ROUND(Datos_Origen[[#This Row],[Salario Integral Pol44]],-3),"")</f>
        <v>52938000</v>
      </c>
      <c r="CU144" s="155">
        <f>Datos_Origen[[#This Row],[G+Vpol]]-Datos_Origen[[#This Row],[Variable]]</f>
        <v>37017583.333333336</v>
      </c>
      <c r="CV144" s="161">
        <f>Datos_Origen[[#This Row],[G]]/Datos_Origen[[#This Row],[Gpol]]</f>
        <v>0.56313778812321169</v>
      </c>
      <c r="CW144" s="154">
        <f>Datos_Origen[[#This Row],[Ctpol]]-Datos_Origen[[#This Row],[Beneficios]]</f>
        <v>44023000</v>
      </c>
      <c r="CX144" s="161">
        <f>Datos_Origen[[#This Row],[G+V]]/Datos_Origen[[#This Row],[G+Vpol]]</f>
        <v>0.63265603586004282</v>
      </c>
      <c r="CY144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44573000</v>
      </c>
      <c r="CZ144" s="161">
        <f>Datos_Origen[[#This Row],[CT]]/Datos_Origen[[#This Row],[Ctpol]]</f>
        <v>0.63718880637755282</v>
      </c>
      <c r="DA144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17996300</v>
      </c>
      <c r="DB144" s="158">
        <f>IF(Datos_Origen[[#This Row],[Básico]]&lt;10*SMMLV,0,Datos_Origen[[#This Row],[Base Seguridad Social Actual]]*8.5%)</f>
        <v>1529685.5</v>
      </c>
      <c r="DC144" s="158">
        <f>Datos_Origen[[#This Row],[Base Seguridad Social Actual]]*12%</f>
        <v>2159556</v>
      </c>
      <c r="DD144" s="158">
        <f>Datos_Origen[[#This Row],[Base Seguridad Social Actual]]*Datos_Origen[[#This Row],[%ARL]]</f>
        <v>782839.04999999993</v>
      </c>
      <c r="DE144" s="158">
        <f>IF(Datos_Origen[[#This Row],[Básico]]&lt;10*SMMLV,Datos_Origen[[#This Row],[Base Seguridad Social Actual]]*4%,Datos_Origen[[#This Row],[Base Seguridad Social Actual]]*9%)</f>
        <v>1619667</v>
      </c>
      <c r="DF144" s="158">
        <f>Datos_Origen[[#This Row],[Salud]]+Datos_Origen[[#This Row],[Pensión]]+Datos_Origen[[#This Row],[ARL]]+Datos_Origen[[#This Row],[Parafiscales]]</f>
        <v>6091747.5499999998</v>
      </c>
      <c r="DG144" s="163">
        <f>Datos_Origen[[#This Row],[Costo Laboral Actual]]+Datos_Origen[[#This Row],[CT]]</f>
        <v>34493164.216666661</v>
      </c>
      <c r="DH144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25912308.333333332</v>
      </c>
      <c r="DI144" s="158">
        <f>IF(IF(Datos_Origen[[#This Row],[Salarios Año]]=12,Datos_Origen[[#This Row],[Salario Integral Pol]],Datos_Origen[[#This Row],[Salario Ordinario Pol]])&lt;10*SMMLV,0,Datos_Origen[[#This Row],[Base Seguridad Social Nueva]]*8.5%)</f>
        <v>2202546.2083333335</v>
      </c>
      <c r="DJ144" s="158">
        <f>Datos_Origen[[#This Row],[Base Seguridad Social Nueva]]*12%</f>
        <v>3109476.9999999995</v>
      </c>
      <c r="DK144" s="158">
        <f>Datos_Origen[[#This Row],[Base Seguridad Social Nueva]]*Datos_Origen[[#This Row],[%ARL]]</f>
        <v>1127185.4124999999</v>
      </c>
      <c r="DL144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2332107.75</v>
      </c>
      <c r="DM144" s="158">
        <f>Datos_Origen[[#This Row],[Salud Nueva]]+Datos_Origen[[#This Row],[Pensión Nueva]]+Datos_Origen[[#This Row],[ARL nueva]]+Datos_Origen[[#This Row],[Parafiscales Nuevos]]</f>
        <v>8771316.3708333336</v>
      </c>
      <c r="DN144" s="158">
        <f>Datos_Origen[[#This Row],[Costo Laboral Nuevo]]+Datos_Origen[[#This Row],[Ctpol]]</f>
        <v>53344316.370833337</v>
      </c>
      <c r="DO144" s="158">
        <f>IF(Datos_Origen[[#This Row],[Ctpol]]-Datos_Origen[[#This Row],[CT]]&lt;=0,0,Datos_Origen[[#This Row],[Costo Total Nuevo]]-Datos_Origen[[#This Row],[Costo Total Actual]])</f>
        <v>18851152.154166676</v>
      </c>
      <c r="DP144" s="158">
        <f>IF(Datos_Origen[[#This Row],[Ctpol]]-Datos_Origen[[#This Row],[CT]]&lt;=0,0,Datos_Origen[[#This Row],[Ctpol]]-Datos_Origen[[#This Row],[CT]])</f>
        <v>16171583.333333336</v>
      </c>
      <c r="DQ144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2679568.8208333338</v>
      </c>
      <c r="DR144" s="158">
        <f>ROUNDDOWN(VLOOKUP(Datos_Origen[[#This Row],[Categoria]],Competitividad_1[],7,0)*IndiceIncrementoC,-3)</f>
        <v>37143000</v>
      </c>
      <c r="DS144" s="158">
        <f>Datos_Origen[[#This Row],[CTeq]]*0.8</f>
        <v>25706749.179733165</v>
      </c>
      <c r="DT144" s="158">
        <f>Datos_Origen[[#This Row],[CTeq]]*1.2</f>
        <v>38560123.769599743</v>
      </c>
      <c r="DU144" s="155">
        <f>IF(Datos_Origen[[#This Row],[Gpol6]]/(1+FactorPrestacionalOrdinario)&lt;SMMLV,SMMLV,Datos_Origen[[#This Row],[Gpol6]]/(1+FactorPrestacionalOrdinario))</f>
        <v>29837167.138810195</v>
      </c>
      <c r="DV144" s="139">
        <f>IF((Datos_Origen[[#This Row],[Gpol6]]/(1+FactorPrestacionalIntegral))&lt;(13*SMMLV),"",(Datos_Origen[[#This Row],[Gpol6]]/(1+FactorPrestacionalIntegral)))</f>
        <v>35108400</v>
      </c>
      <c r="DW144" s="154">
        <f>Datos_Origen[[#This Row],[G+Vpol8]]</f>
        <v>35108400</v>
      </c>
      <c r="DX144" s="154">
        <f>Datos_Origen[[#This Row],[Ctpol10]]-Datos_Origen[[#This Row],[Beneficios]]</f>
        <v>35108400</v>
      </c>
      <c r="DY144" s="154">
        <f>Datos_Origen[[#This Row],[Ctpol]]*$CM$6</f>
        <v>35658400</v>
      </c>
      <c r="DZ144" s="155">
        <f>IF(Datos_Origen[[#This Row],[Gpol66]]/(1+FactorPrestacionalOrdinario)&lt;SMMLV,SMMLV,Datos_Origen[[#This Row],[Gpol66]]/(1+FactorPrestacionalOrdinario))</f>
        <v>44989461.756373934</v>
      </c>
      <c r="EA144" s="139">
        <f>IF((Datos_Origen[[#This Row],[Gpol66]]/(1+FactorPrestacionalIntegral))&lt;(13*SMMLV),"",(Datos_Origen[[#This Row],[Gpol66]]/(1+FactorPrestacionalIntegral)))</f>
        <v>52937600</v>
      </c>
      <c r="EB144" s="154">
        <f>Datos_Origen[[#This Row],[G+Vpol88]]</f>
        <v>52937600</v>
      </c>
      <c r="EC144" s="154">
        <f>Datos_Origen[[#This Row],[Ctpol1010]]-Datos_Origen[[#This Row],[Beneficios]]</f>
        <v>52937600</v>
      </c>
      <c r="ED144" s="154">
        <f>Datos_Origen[[#This Row],[Ctpol]]*$CP$6</f>
        <v>53487600</v>
      </c>
      <c r="EE144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45" spans="2:135">
      <c r="B145" s="148"/>
      <c r="C145" s="149"/>
      <c r="D145" s="150"/>
      <c r="E145" s="151"/>
      <c r="F145" s="151"/>
      <c r="G145" s="150" t="s">
        <v>274</v>
      </c>
      <c r="H145" s="153"/>
      <c r="I145" s="152" t="s">
        <v>274</v>
      </c>
      <c r="J145" s="130" t="str">
        <f>IFERROR(VLOOKUP(Datos_Origen[[#This Row],[Cargo Tipo Valorado]],Cargos_Catalogo[[#All],[Cargo]:[Área]],2,0),"")</f>
        <v/>
      </c>
      <c r="K145" s="153"/>
      <c r="L145" s="153"/>
      <c r="M145" s="153"/>
      <c r="N145" s="153"/>
      <c r="O145" s="154">
        <f>Datos_Origen[[#This Row],[Segmentación Individual]]</f>
        <v>0</v>
      </c>
      <c r="P145" s="153"/>
      <c r="Q145" s="154">
        <f>VLOOKUP(Datos_Origen[[#This Row],[Cargo Tipo Valorado]],Cargos_Catalogo[#Data],MATCH(Cargos_Catalogo[[#Headers],[Puntos]],Cargos_Catalogo[#Headers],0),FALSE)</f>
        <v>1048</v>
      </c>
      <c r="R145" s="130">
        <f>VLOOKUP(Datos_Origen[[#This Row],[Puntos valoración]],Categorias_Registro[#Data],MATCH(Categorias_Registro[[#Headers],[Categoria]],Categorias_Registro[#Headers],0),FALSE)</f>
        <v>18</v>
      </c>
      <c r="S145" s="130" t="str">
        <f>VLOOKUP(Datos_Origen[[#This Row],[Cargo Tipo Valorado]],Cargos_Catalogo[#Data],MATCH(Cargos_Catalogo[[#Headers],[Nivel SHR]],Cargos_Catalogo[#Headers],0),FALSE)</f>
        <v>Gerencia Alta</v>
      </c>
      <c r="T145" s="130" t="str">
        <f>VLOOKUP(Datos_Origen[[#This Row],[Cargo Tipo Valorado]],Cargos_Catalogo[#Data],MATCH(Cargos_Catalogo[[#Headers],[Criticidad]],Cargos_Catalogo[#Headers],0),FALSE)</f>
        <v>Crítico</v>
      </c>
      <c r="U145" s="154">
        <f>VLOOKUP(Datos_Origen[[#This Row],[Puntos valoración]],Categorias_Registro[#Data],5,FALSE)</f>
        <v>1007</v>
      </c>
      <c r="V145" s="154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26376000</v>
      </c>
      <c r="W145" s="154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6594000</v>
      </c>
      <c r="X145" s="154">
        <f>SUMIF($BA$5:$BJ$5,"NCS",Datos_Origen[[#This Row],[auxilio Gasolina]:[Otro Beneficio10]])+(SUMIF($BA$5:$BJ$5,"CS",Datos_Origen[[#This Row],[auxilio Gasolina]:[Otro Beneficio10]])*1.17667)</f>
        <v>650000</v>
      </c>
      <c r="Y145" s="155">
        <f>Datos_Origen[[#This Row],[Básico]]+Datos_Origen[[#This Row],[Promedio de Comisiones  ]]</f>
        <v>26376000</v>
      </c>
      <c r="Z145" s="155">
        <f>Datos_Origen[[#This Row],[Básico]]+Datos_Origen[[#This Row],[Promedio de Comisiones  ]]</f>
        <v>26376000</v>
      </c>
      <c r="AA145" s="155">
        <f>Datos_Origen[[#This Row],[Garantizado]]</f>
        <v>26376000</v>
      </c>
      <c r="AB145" s="155">
        <f>Datos_Origen[[#This Row],[Variable]]+Datos_Origen[[#This Row],[Garantizado]]</f>
        <v>32970000</v>
      </c>
      <c r="AC145" s="155">
        <f>Datos_Origen[[#This Row],[Beneficios]]+Datos_Origen[[#This Row],[Variable]]+Datos_Origen[[#This Row],[Garantizado]]</f>
        <v>33620000</v>
      </c>
      <c r="AD145" s="156">
        <v>12</v>
      </c>
      <c r="AE145" s="141">
        <v>230</v>
      </c>
      <c r="AF145" s="345">
        <v>4.3499999999999997E-2</v>
      </c>
      <c r="AG145" s="155">
        <f>Datos_Origen[[#This Row],[Básico Actual]]*230/Datos_Origen[[#This Row],['# horas mes]]</f>
        <v>26376000</v>
      </c>
      <c r="AH145" s="157">
        <v>26376000</v>
      </c>
      <c r="AI145" s="158"/>
      <c r="AJ145" s="158">
        <f>(((Datos_Origen[[#This Row],[Básico]])/30)*$AJ$6)/12</f>
        <v>0</v>
      </c>
      <c r="AK145" s="158"/>
      <c r="AL145" s="143">
        <f>((Datos_Origen[[#This Row],[Básico]])/30)*$AL$6/12</f>
        <v>0</v>
      </c>
      <c r="AM145" s="158"/>
      <c r="AN145" s="158"/>
      <c r="AO145" s="158"/>
      <c r="AP145" s="158"/>
      <c r="AQ145" s="158"/>
      <c r="AR145" s="149">
        <v>0</v>
      </c>
      <c r="AS145" s="149"/>
      <c r="AT145" s="159" t="str">
        <f>IFERROR(Datos_Origen[[#This Row],[Comisiones Target]]/Datos_Origen[[#This Row],[Promedio de Comisiones  ]],"")</f>
        <v/>
      </c>
      <c r="AU145" s="160"/>
      <c r="AV145" s="143">
        <f>+((Datos_Origen[[#This Row],[Básico]]+Datos_Origen[[#This Row],[Promedio de Comisiones  ]])*3)/12</f>
        <v>6594000</v>
      </c>
      <c r="AW145" s="160"/>
      <c r="AX145" s="143">
        <f>Datos_Origen[[#This Row],[N Salarios de la Bonificación2]]*Datos_Origen[[#This Row],[Básico]]/12</f>
        <v>0</v>
      </c>
      <c r="AY145" s="160"/>
      <c r="AZ145" s="158"/>
      <c r="BA145" s="149">
        <v>650000</v>
      </c>
      <c r="BB145" s="149"/>
      <c r="BC145" s="149"/>
      <c r="BD145" s="149"/>
      <c r="BE145" s="149"/>
      <c r="BF145" s="149"/>
      <c r="BG145" s="149"/>
      <c r="BH145" s="149"/>
      <c r="BI145" s="149"/>
      <c r="BJ145" s="149"/>
      <c r="BK145" s="159">
        <f>IFERROR(Datos_Origen[[#This Row],[Variable]]/Datos_Origen[[#This Row],[CT]],"")</f>
        <v>0.196133254015467</v>
      </c>
      <c r="BL145" s="159">
        <f>IFERROR(Datos_Origen[[#This Row],[Beneficios]]/Datos_Origen[[#This Row],[CT]],"")</f>
        <v>1.9333729922665081E-2</v>
      </c>
      <c r="BM145" s="155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28618241.333699934</v>
      </c>
      <c r="BN145" s="161">
        <f>Datos_Origen[[#This Row],[G]]/Datos_Origen[[#This Row],[Geq]]</f>
        <v>0.92164992573951277</v>
      </c>
      <c r="BO145" s="155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31916558.956919879</v>
      </c>
      <c r="BP145" s="161">
        <f>Datos_Origen[[#This Row],[G+V]]/Datos_Origen[[#This Row],[G+Veq]]</f>
        <v>1.0330060970702395</v>
      </c>
      <c r="BQ145" s="155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32133436.474666454</v>
      </c>
      <c r="BR145" s="161">
        <f>Datos_Origen[[#This Row],[CT]]/Datos_Origen[[#This Row],[CTeq]]</f>
        <v>1.0462622018813807</v>
      </c>
      <c r="BS145" s="139">
        <f>ROUNDUP(VLOOKUP(Datos_Origen[[#This Row],[Categoria]],Competitividad_1[#All],2,0)*IndiceIncrementoC,-3)</f>
        <v>24974000</v>
      </c>
      <c r="BT145" s="161">
        <f>Datos_Origen[[#This Row],[G]]/Datos_Origen[[#This Row],[GQ1]]</f>
        <v>1.0561383839192759</v>
      </c>
      <c r="BU145" s="155">
        <f>ROUNDUP(VLOOKUP(Datos_Origen[[#This Row],[Categoria]],Competitividad_1[#All],3,0)*IndiceIncrementoC,-3)</f>
        <v>26355000</v>
      </c>
      <c r="BV145" s="161">
        <f>Datos_Origen[[#This Row],[G+V]]/Datos_Origen[[#This Row],[G+VQ1]]</f>
        <v>1.250996015936255</v>
      </c>
      <c r="BW145" s="155">
        <f>ROUNDUP(VLOOKUP(Datos_Origen[[#This Row],[Categoria]],Competitividad_1[#All],4,0)*IndiceIncrementoC,-3)</f>
        <v>27306000</v>
      </c>
      <c r="BX145" s="161">
        <f>Datos_Origen[[#This Row],[CT]]/Datos_Origen[[#This Row],[CTQ1]]</f>
        <v>1.2312312312312312</v>
      </c>
      <c r="BY145" s="155">
        <f>ROUNDUP(VLOOKUP(Datos_Origen[[#This Row],[Categoria]],Competitividad_1[#All],5,0)*IndiceIncrementoC,-3)</f>
        <v>34623000</v>
      </c>
      <c r="BZ145" s="161">
        <f>Datos_Origen[[#This Row],[G]]/Datos_Origen[[#This Row],[GMd]]</f>
        <v>0.76180573607139768</v>
      </c>
      <c r="CA145" s="155">
        <f>ROUNDUP(VLOOKUP(Datos_Origen[[#This Row],[Categoria]],Competitividad_1[#All],6,0)*IndiceIncrementoC,-3)</f>
        <v>36111000</v>
      </c>
      <c r="CB145" s="161">
        <f>Datos_Origen[[#This Row],[G+V]]/Datos_Origen[[#This Row],[G+VMd]]</f>
        <v>0.91301819390213512</v>
      </c>
      <c r="CC145" s="155">
        <f>ROUNDUP(VLOOKUP(Datos_Origen[[#This Row],[Categoria]],Competitividad_1[#All],7,0)*IndiceIncrementoC,-3)</f>
        <v>37144000</v>
      </c>
      <c r="CD145" s="161">
        <f>Datos_Origen[[#This Row],[CT]]/Datos_Origen[[#This Row],[CTMd]]</f>
        <v>0.90512599612319622</v>
      </c>
      <c r="CE145" s="155">
        <f>+Datos_Origen[[#This Row],[GMd]]/1.17666666667</f>
        <v>29424645.892267916</v>
      </c>
      <c r="CF145" s="161">
        <f>+Datos_Origen[[#This Row],[Básico Actual]]/Datos_Origen[[#This Row],[Salario Basico Md]]</f>
        <v>0.89639141611321727</v>
      </c>
      <c r="CG145" s="155">
        <f>ROUNDUP(VLOOKUP(Datos_Origen[[#This Row],[Categoria]],Competitividad_1[#All],8,0)*IndiceIncrementoC,-3)</f>
        <v>42888000</v>
      </c>
      <c r="CH145" s="161">
        <f>Datos_Origen[[#This Row],[G]]/Datos_Origen[[#This Row],[GQ3]]</f>
        <v>0.61499720201454955</v>
      </c>
      <c r="CI145" s="155">
        <f>ROUNDUP(VLOOKUP(Datos_Origen[[#This Row],[Categoria]],Competitividad_1[#All],9,0)*IndiceIncrementoC,-3)</f>
        <v>45927000</v>
      </c>
      <c r="CJ145" s="161">
        <f>Datos_Origen[[#This Row],[G+V]]/Datos_Origen[[#This Row],[G+VQ3]]</f>
        <v>0.7178783721993599</v>
      </c>
      <c r="CK145" s="155">
        <f>ROUNDUP(VLOOKUP(Datos_Origen[[#This Row],[Categoria]],Competitividad_1[#All],10,0)*IndiceIncrementoC,-3)</f>
        <v>50906000</v>
      </c>
      <c r="CL145" s="161">
        <f>Datos_Origen[[#This Row],[CT]]/Datos_Origen[[#This Row],[CTQ3]]</f>
        <v>0.66043295485797349</v>
      </c>
      <c r="CM145" s="162">
        <f>IF(ROUND(Datos_Origen[[#This Row],[Salario Ordinario Pol2]],-3)&lt;SMMLV,SMMLV,ROUND(Datos_Origen[[#This Row],[Salario Ordinario Pol2]],-3))</f>
        <v>29752000</v>
      </c>
      <c r="CN145" s="155">
        <f>IF(Datos_Origen[[#This Row],[Gpol]]/(1+FactorPrestacionalOrdinario)&lt;SMMLV,SMMLV,Datos_Origen[[#This Row],[Gpol]]/(1+FactorPrestacionalOrdinario))</f>
        <v>31724362.606232293</v>
      </c>
      <c r="CO145" s="161" t="str">
        <f>IFERROR(IF(Datos_Origen[[#This Row],[Salarios Año]]=14.12,Datos_Origen[[#This Row],[Básico]]/Datos_Origen[[#This Row],[Salario Ordinario Pol]],""),"")</f>
        <v/>
      </c>
      <c r="CP145" s="155">
        <f>IF(ROUND(Datos_Origen[[#This Row],[Salario Ordinario Pol22]],-3)&lt;SMMLV,SMMLV,ROUND(Datos_Origen[[#This Row],[Salario Ordinario Pol22]],-3))</f>
        <v>44904000</v>
      </c>
      <c r="CQ145" s="155">
        <f>IFERROR(ROUND(Datos_Origen[[#This Row],[Salario Integral Pol4]],-3),"")</f>
        <v>35008000</v>
      </c>
      <c r="CR145" s="139">
        <f>IF((Datos_Origen[[#This Row],[Gpol]]/(1+FactorPrestacionalIntegral))&lt;(13*SMMLV),"",(Datos_Origen[[#This Row],[Gpol]]/(1+FactorPrestacionalIntegral)))</f>
        <v>37329000</v>
      </c>
      <c r="CS145" s="161">
        <f>IFERROR(IF(Datos_Origen[[#This Row],[Salarios Año]]=12,Datos_Origen[[#This Row],[Básico]]/Datos_Origen[[#This Row],[Salario Integral Pol]],""),"")</f>
        <v>0.70658201398376597</v>
      </c>
      <c r="CT145" s="155">
        <f>IFERROR(ROUND(Datos_Origen[[#This Row],[Salario Integral Pol44]],-3),"")</f>
        <v>52838000</v>
      </c>
      <c r="CU145" s="155">
        <f>Datos_Origen[[#This Row],[G+Vpol]]-Datos_Origen[[#This Row],[Variable]]</f>
        <v>37329000</v>
      </c>
      <c r="CV145" s="161">
        <f>Datos_Origen[[#This Row],[G]]/Datos_Origen[[#This Row],[Gpol]]</f>
        <v>0.70658201398376597</v>
      </c>
      <c r="CW145" s="154">
        <f>Datos_Origen[[#This Row],[Ctpol]]-Datos_Origen[[#This Row],[Beneficios]]</f>
        <v>43923000</v>
      </c>
      <c r="CX145" s="161">
        <f>Datos_Origen[[#This Row],[G+V]]/Datos_Origen[[#This Row],[G+Vpol]]</f>
        <v>0.75063178744621273</v>
      </c>
      <c r="CY145" s="154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44573000</v>
      </c>
      <c r="CZ145" s="161">
        <f>Datos_Origen[[#This Row],[CT]]/Datos_Origen[[#This Row],[Ctpol]]</f>
        <v>0.75426827900298388</v>
      </c>
      <c r="DA145" s="15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18463200</v>
      </c>
      <c r="DB145" s="158">
        <f>IF(Datos_Origen[[#This Row],[Básico]]&lt;10*SMMLV,0,Datos_Origen[[#This Row],[Base Seguridad Social Actual]]*8.5%)</f>
        <v>1569372</v>
      </c>
      <c r="DC145" s="158">
        <f>Datos_Origen[[#This Row],[Base Seguridad Social Actual]]*12%</f>
        <v>2215584</v>
      </c>
      <c r="DD145" s="158">
        <f>Datos_Origen[[#This Row],[Base Seguridad Social Actual]]*Datos_Origen[[#This Row],[%ARL]]</f>
        <v>803149.2</v>
      </c>
      <c r="DE145" s="158">
        <f>IF(Datos_Origen[[#This Row],[Básico]]&lt;10*SMMLV,Datos_Origen[[#This Row],[Base Seguridad Social Actual]]*4%,Datos_Origen[[#This Row],[Base Seguridad Social Actual]]*9%)</f>
        <v>1661688</v>
      </c>
      <c r="DF145" s="158">
        <f>Datos_Origen[[#This Row],[Salud]]+Datos_Origen[[#This Row],[Pensión]]+Datos_Origen[[#This Row],[ARL]]+Datos_Origen[[#This Row],[Parafiscales]]</f>
        <v>6249793.2000000002</v>
      </c>
      <c r="DG145" s="163">
        <f>Datos_Origen[[#This Row],[Costo Laboral Actual]]+Datos_Origen[[#This Row],[CT]]</f>
        <v>39869793.200000003</v>
      </c>
      <c r="DH145" s="15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26130300</v>
      </c>
      <c r="DI145" s="158">
        <f>IF(IF(Datos_Origen[[#This Row],[Salarios Año]]=12,Datos_Origen[[#This Row],[Salario Integral Pol]],Datos_Origen[[#This Row],[Salario Ordinario Pol]])&lt;10*SMMLV,0,Datos_Origen[[#This Row],[Base Seguridad Social Nueva]]*8.5%)</f>
        <v>2221075.5</v>
      </c>
      <c r="DJ145" s="158">
        <f>Datos_Origen[[#This Row],[Base Seguridad Social Nueva]]*12%</f>
        <v>3135636</v>
      </c>
      <c r="DK145" s="158">
        <f>Datos_Origen[[#This Row],[Base Seguridad Social Nueva]]*Datos_Origen[[#This Row],[%ARL]]</f>
        <v>1136668.0499999998</v>
      </c>
      <c r="DL145" s="15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2351727</v>
      </c>
      <c r="DM145" s="158">
        <f>Datos_Origen[[#This Row],[Salud Nueva]]+Datos_Origen[[#This Row],[Pensión Nueva]]+Datos_Origen[[#This Row],[ARL nueva]]+Datos_Origen[[#This Row],[Parafiscales Nuevos]]</f>
        <v>8845106.5500000007</v>
      </c>
      <c r="DN145" s="158">
        <f>Datos_Origen[[#This Row],[Costo Laboral Nuevo]]+Datos_Origen[[#This Row],[Ctpol]]</f>
        <v>53418106.549999997</v>
      </c>
      <c r="DO145" s="158">
        <f>IF(Datos_Origen[[#This Row],[Ctpol]]-Datos_Origen[[#This Row],[CT]]&lt;=0,0,Datos_Origen[[#This Row],[Costo Total Nuevo]]-Datos_Origen[[#This Row],[Costo Total Actual]])</f>
        <v>13548313.349999994</v>
      </c>
      <c r="DP145" s="158">
        <f>IF(Datos_Origen[[#This Row],[Ctpol]]-Datos_Origen[[#This Row],[CT]]&lt;=0,0,Datos_Origen[[#This Row],[Ctpol]]-Datos_Origen[[#This Row],[CT]])</f>
        <v>10953000</v>
      </c>
      <c r="DQ145" s="15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2595313.3500000006</v>
      </c>
      <c r="DR145" s="158">
        <f>ROUNDDOWN(VLOOKUP(Datos_Origen[[#This Row],[Categoria]],Competitividad_1[],7,0)*IndiceIncrementoC,-3)</f>
        <v>37143000</v>
      </c>
      <c r="DS145" s="158">
        <f>Datos_Origen[[#This Row],[CTeq]]*0.8</f>
        <v>25706749.179733165</v>
      </c>
      <c r="DT145" s="158">
        <f>Datos_Origen[[#This Row],[CTeq]]*1.2</f>
        <v>38560123.769599743</v>
      </c>
      <c r="DU145" s="155">
        <f>IF(Datos_Origen[[#This Row],[Gpol6]]/(1+FactorPrestacionalOrdinario)&lt;SMMLV,SMMLV,Datos_Origen[[#This Row],[Gpol6]]/(1+FactorPrestacionalOrdinario))</f>
        <v>29752181.303116146</v>
      </c>
      <c r="DV145" s="139">
        <f>IF((Datos_Origen[[#This Row],[Gpol6]]/(1+FactorPrestacionalIntegral))&lt;(13*SMMLV),"",(Datos_Origen[[#This Row],[Gpol6]]/(1+FactorPrestacionalIntegral)))</f>
        <v>35008400</v>
      </c>
      <c r="DW145" s="154">
        <f>Datos_Origen[[#This Row],[G+Vpol8]]</f>
        <v>35008400</v>
      </c>
      <c r="DX145" s="154">
        <f>Datos_Origen[[#This Row],[Ctpol10]]-Datos_Origen[[#This Row],[Beneficios]]</f>
        <v>35008400</v>
      </c>
      <c r="DY145" s="154">
        <f>Datos_Origen[[#This Row],[Ctpol]]*$CM$6</f>
        <v>35658400</v>
      </c>
      <c r="DZ145" s="155">
        <f>IF(Datos_Origen[[#This Row],[Gpol66]]/(1+FactorPrestacionalOrdinario)&lt;SMMLV,SMMLV,Datos_Origen[[#This Row],[Gpol66]]/(1+FactorPrestacionalOrdinario))</f>
        <v>44904475.920679882</v>
      </c>
      <c r="EA145" s="139">
        <f>IF((Datos_Origen[[#This Row],[Gpol66]]/(1+FactorPrestacionalIntegral))&lt;(13*SMMLV),"",(Datos_Origen[[#This Row],[Gpol66]]/(1+FactorPrestacionalIntegral)))</f>
        <v>52837600</v>
      </c>
      <c r="EB145" s="154">
        <f>Datos_Origen[[#This Row],[G+Vpol88]]</f>
        <v>52837600</v>
      </c>
      <c r="EC145" s="154">
        <f>Datos_Origen[[#This Row],[Ctpol1010]]-Datos_Origen[[#This Row],[Beneficios]]</f>
        <v>52837600</v>
      </c>
      <c r="ED145" s="154">
        <f>Datos_Origen[[#This Row],[Ctpol]]*$CP$6</f>
        <v>53487600</v>
      </c>
      <c r="EE145" s="15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46" spans="2:135">
      <c r="B146" s="148"/>
      <c r="C146" s="394"/>
      <c r="D146" s="404"/>
      <c r="E146" s="405"/>
      <c r="F146" s="405"/>
      <c r="G146" s="404" t="s">
        <v>899</v>
      </c>
      <c r="H146" s="395"/>
      <c r="I146" s="152"/>
      <c r="J146" s="406" t="str">
        <f>IFERROR(VLOOKUP(Datos_Origen[[#This Row],[Cargo Tipo Valorado]],Cargos_Catalogo[[#All],[Cargo]:[Área]],2,0),"")</f>
        <v/>
      </c>
      <c r="K146" s="395"/>
      <c r="L146" s="395"/>
      <c r="M146" s="395"/>
      <c r="N146" s="395"/>
      <c r="O146" s="396">
        <f>Datos_Origen[[#This Row],[Segmentación Individual]]</f>
        <v>0</v>
      </c>
      <c r="P146" s="395"/>
      <c r="Q146" s="396" t="e">
        <f>VLOOKUP(Datos_Origen[[#This Row],[Cargo Tipo Valorado]],Cargos_Catalogo[#Data],MATCH(Cargos_Catalogo[[#Headers],[Puntos]],Cargos_Catalogo[#Headers],0),FALSE)</f>
        <v>#N/A</v>
      </c>
      <c r="R146" s="406">
        <v>3</v>
      </c>
      <c r="S146" s="406" t="e">
        <f>VLOOKUP(Datos_Origen[[#This Row],[Cargo Tipo Valorado]],Cargos_Catalogo[#Data],MATCH(Cargos_Catalogo[[#Headers],[Nivel SHR]],Cargos_Catalogo[#Headers],0),FALSE)</f>
        <v>#N/A</v>
      </c>
      <c r="T146" s="406" t="e">
        <f>VLOOKUP(Datos_Origen[[#This Row],[Cargo Tipo Valorado]],Cargos_Catalogo[#Data],MATCH(Cargos_Catalogo[[#Headers],[Criticidad]],Cargos_Catalogo[#Headers],0),FALSE)</f>
        <v>#N/A</v>
      </c>
      <c r="U146" s="396" t="e">
        <f>VLOOKUP(Datos_Origen[[#This Row],[Puntos valoración]],Categorias_Registro[#Data],5,FALSE)</f>
        <v>#N/A</v>
      </c>
      <c r="V146" s="396" t="e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#DIV/0!</v>
      </c>
      <c r="W146" s="396" t="e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#DIV/0!</v>
      </c>
      <c r="X146" s="396">
        <f>SUMIF($BA$5:$BJ$5,"NCS",Datos_Origen[[#This Row],[auxilio Gasolina]:[Otro Beneficio10]])+(SUMIF($BA$5:$BJ$5,"CS",Datos_Origen[[#This Row],[auxilio Gasolina]:[Otro Beneficio10]])*1.17667)</f>
        <v>0</v>
      </c>
      <c r="Y146" s="397" t="e">
        <f>Datos_Origen[[#This Row],[Básico]]+Datos_Origen[[#This Row],[Promedio de Comisiones  ]]</f>
        <v>#DIV/0!</v>
      </c>
      <c r="Z146" s="397" t="e">
        <f>Datos_Origen[[#This Row],[Básico]]+Datos_Origen[[#This Row],[Promedio de Comisiones  ]]</f>
        <v>#DIV/0!</v>
      </c>
      <c r="AA146" s="397" t="e">
        <f>Datos_Origen[[#This Row],[Garantizado]]</f>
        <v>#DIV/0!</v>
      </c>
      <c r="AB146" s="397" t="e">
        <f>Datos_Origen[[#This Row],[Variable]]+Datos_Origen[[#This Row],[Garantizado]]</f>
        <v>#DIV/0!</v>
      </c>
      <c r="AC146" s="397" t="e">
        <f>Datos_Origen[[#This Row],[Beneficios]]+Datos_Origen[[#This Row],[Variable]]+Datos_Origen[[#This Row],[Garantizado]]</f>
        <v>#DIV/0!</v>
      </c>
      <c r="AD146" s="156"/>
      <c r="AE146" s="141"/>
      <c r="AF146" s="345"/>
      <c r="AG146" s="397" t="e">
        <f>Datos_Origen[[#This Row],[Básico Actual]]*230/Datos_Origen[[#This Row],['# horas mes]]</f>
        <v>#DIV/0!</v>
      </c>
      <c r="AH146" s="407"/>
      <c r="AI146" s="398"/>
      <c r="AJ146" s="398" t="e">
        <f>(((Datos_Origen[[#This Row],[Básico]])/30)*$AJ$6)/12</f>
        <v>#DIV/0!</v>
      </c>
      <c r="AK146" s="398"/>
      <c r="AL146" s="399" t="e">
        <f>((Datos_Origen[[#This Row],[Básico]])/30)*$AL$6/12</f>
        <v>#DIV/0!</v>
      </c>
      <c r="AM146" s="398"/>
      <c r="AN146" s="398"/>
      <c r="AO146" s="398"/>
      <c r="AP146" s="398"/>
      <c r="AQ146" s="398"/>
      <c r="AR146" s="394"/>
      <c r="AS146" s="394"/>
      <c r="AT146" s="400" t="str">
        <f>IFERROR(Datos_Origen[[#This Row],[Comisiones Target]]/Datos_Origen[[#This Row],[Promedio de Comisiones  ]],"")</f>
        <v/>
      </c>
      <c r="AU146" s="401"/>
      <c r="AV146" s="143" t="e">
        <f>Datos_Origen[[#This Row],[N Salarios de la Bonificación]]*Datos_Origen[[#This Row],[Básico]]/12</f>
        <v>#DIV/0!</v>
      </c>
      <c r="AW146" s="401"/>
      <c r="AX146" s="399" t="e">
        <f>Datos_Origen[[#This Row],[N Salarios de la Bonificación2]]*Datos_Origen[[#This Row],[Básico]]/12</f>
        <v>#DIV/0!</v>
      </c>
      <c r="AY146" s="401"/>
      <c r="AZ146" s="398"/>
      <c r="BA146" s="149"/>
      <c r="BB146" s="394"/>
      <c r="BC146" s="394"/>
      <c r="BD146" s="394"/>
      <c r="BE146" s="394"/>
      <c r="BF146" s="394"/>
      <c r="BG146" s="394"/>
      <c r="BH146" s="394"/>
      <c r="BI146" s="394"/>
      <c r="BJ146" s="394"/>
      <c r="BK146" s="400" t="str">
        <f>IFERROR(Datos_Origen[[#This Row],[Variable]]/Datos_Origen[[#This Row],[CT]],"")</f>
        <v/>
      </c>
      <c r="BL146" s="400" t="str">
        <f>IFERROR(Datos_Origen[[#This Row],[Beneficios]]/Datos_Origen[[#This Row],[CT]],"")</f>
        <v/>
      </c>
      <c r="BM146" s="397" t="e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#N/A</v>
      </c>
      <c r="BN146" s="402" t="e">
        <f>Datos_Origen[[#This Row],[G]]/Datos_Origen[[#This Row],[Geq]]</f>
        <v>#DIV/0!</v>
      </c>
      <c r="BO146" s="397" t="e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#N/A</v>
      </c>
      <c r="BP146" s="402" t="e">
        <f>Datos_Origen[[#This Row],[G+V]]/Datos_Origen[[#This Row],[G+Veq]]</f>
        <v>#DIV/0!</v>
      </c>
      <c r="BQ146" s="397" t="e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#N/A</v>
      </c>
      <c r="BR146" s="402" t="e">
        <f>Datos_Origen[[#This Row],[CT]]/Datos_Origen[[#This Row],[CTeq]]</f>
        <v>#DIV/0!</v>
      </c>
      <c r="BS146" s="510">
        <f>ROUNDUP(VLOOKUP(Datos_Origen[[#This Row],[Categoria]],Competitividad_1[#All],2,0)*IndiceIncrementoC,-3)</f>
        <v>1927000</v>
      </c>
      <c r="BT146" s="402" t="e">
        <f>Datos_Origen[[#This Row],[G]]/Datos_Origen[[#This Row],[GQ1]]</f>
        <v>#DIV/0!</v>
      </c>
      <c r="BU146" s="397">
        <f>ROUNDUP(VLOOKUP(Datos_Origen[[#This Row],[Categoria]],Competitividad_1[#All],3,0)*IndiceIncrementoC,-3)</f>
        <v>2020000</v>
      </c>
      <c r="BV146" s="402" t="e">
        <f>Datos_Origen[[#This Row],[G+V]]/Datos_Origen[[#This Row],[G+VQ1]]</f>
        <v>#DIV/0!</v>
      </c>
      <c r="BW146" s="397">
        <f>ROUNDUP(VLOOKUP(Datos_Origen[[#This Row],[Categoria]],Competitividad_1[#All],4,0)*IndiceIncrementoC,-3)</f>
        <v>2095000</v>
      </c>
      <c r="BX146" s="402" t="e">
        <f>Datos_Origen[[#This Row],[CT]]/Datos_Origen[[#This Row],[CTQ1]]</f>
        <v>#DIV/0!</v>
      </c>
      <c r="BY146" s="397">
        <f>ROUNDUP(VLOOKUP(Datos_Origen[[#This Row],[Categoria]],Competitividad_1[#All],5,0)*IndiceIncrementoC,-3)</f>
        <v>2371000</v>
      </c>
      <c r="BZ146" s="402" t="e">
        <f>Datos_Origen[[#This Row],[G]]/Datos_Origen[[#This Row],[GMd]]</f>
        <v>#DIV/0!</v>
      </c>
      <c r="CA146" s="397">
        <f>ROUNDUP(VLOOKUP(Datos_Origen[[#This Row],[Categoria]],Competitividad_1[#All],6,0)*IndiceIncrementoC,-3)</f>
        <v>2444000</v>
      </c>
      <c r="CB146" s="402" t="e">
        <f>Datos_Origen[[#This Row],[G+V]]/Datos_Origen[[#This Row],[G+VMd]]</f>
        <v>#DIV/0!</v>
      </c>
      <c r="CC146" s="397">
        <f>ROUNDUP(VLOOKUP(Datos_Origen[[#This Row],[Categoria]],Competitividad_1[#All],7,0)*IndiceIncrementoC,-3)</f>
        <v>2528000</v>
      </c>
      <c r="CD146" s="402" t="e">
        <f>Datos_Origen[[#This Row],[CT]]/Datos_Origen[[#This Row],[CTMd]]</f>
        <v>#DIV/0!</v>
      </c>
      <c r="CE146" s="397">
        <f>+Datos_Origen[[#This Row],[GMd]]/1.17666666667</f>
        <v>2015014.1643002406</v>
      </c>
      <c r="CF146" s="402">
        <f>+Datos_Origen[[#This Row],[Básico Actual]]/Datos_Origen[[#This Row],[Salario Basico Md]]</f>
        <v>0</v>
      </c>
      <c r="CG146" s="397">
        <f>ROUNDUP(VLOOKUP(Datos_Origen[[#This Row],[Categoria]],Competitividad_1[#All],8,0)*IndiceIncrementoC,-3)</f>
        <v>2906000</v>
      </c>
      <c r="CH146" s="402" t="e">
        <f>Datos_Origen[[#This Row],[G]]/Datos_Origen[[#This Row],[GQ3]]</f>
        <v>#DIV/0!</v>
      </c>
      <c r="CI146" s="397">
        <f>ROUNDUP(VLOOKUP(Datos_Origen[[#This Row],[Categoria]],Competitividad_1[#All],9,0)*IndiceIncrementoC,-3)</f>
        <v>2998000</v>
      </c>
      <c r="CJ146" s="402" t="e">
        <f>Datos_Origen[[#This Row],[G+V]]/Datos_Origen[[#This Row],[G+VQ3]]</f>
        <v>#DIV/0!</v>
      </c>
      <c r="CK146" s="397">
        <f>ROUNDUP(VLOOKUP(Datos_Origen[[#This Row],[Categoria]],Competitividad_1[#All],10,0)*IndiceIncrementoC,-3)</f>
        <v>3094000</v>
      </c>
      <c r="CL146" s="402" t="e">
        <f>Datos_Origen[[#This Row],[CT]]/Datos_Origen[[#This Row],[CTQ3]]</f>
        <v>#DIV/0!</v>
      </c>
      <c r="CM146" s="403" t="e">
        <f>IF(ROUND(Datos_Origen[[#This Row],[Salario Ordinario Pol2]],-3)&lt;SMMLV,SMMLV,ROUND(Datos_Origen[[#This Row],[Salario Ordinario Pol2]],-3))</f>
        <v>#N/A</v>
      </c>
      <c r="CN146" s="397" t="e">
        <f>IF(Datos_Origen[[#This Row],[Gpol]]/(1+FactorPrestacionalOrdinario)&lt;SMMLV,SMMLV,Datos_Origen[[#This Row],[Gpol]]/(1+FactorPrestacionalOrdinario))</f>
        <v>#N/A</v>
      </c>
      <c r="CO146" s="402" t="str">
        <f>IFERROR(IF(Datos_Origen[[#This Row],[Salarios Año]]=14.12,Datos_Origen[[#This Row],[Básico]]/Datos_Origen[[#This Row],[Salario Ordinario Pol]],""),"")</f>
        <v/>
      </c>
      <c r="CP146" s="397" t="e">
        <f>IF(ROUND(Datos_Origen[[#This Row],[Salario Ordinario Pol22]],-3)&lt;SMMLV,SMMLV,ROUND(Datos_Origen[[#This Row],[Salario Ordinario Pol22]],-3))</f>
        <v>#N/A</v>
      </c>
      <c r="CQ146" s="397" t="str">
        <f>IFERROR(ROUND(Datos_Origen[[#This Row],[Salario Integral Pol4]],-3),"")</f>
        <v/>
      </c>
      <c r="CR146" s="510" t="e">
        <f>IF((Datos_Origen[[#This Row],[Gpol]]/(1+FactorPrestacionalIntegral))&lt;(13*SMMLV),"",(Datos_Origen[[#This Row],[Gpol]]/(1+FactorPrestacionalIntegral)))</f>
        <v>#N/A</v>
      </c>
      <c r="CS146" s="402" t="str">
        <f>IFERROR(IF(Datos_Origen[[#This Row],[Salarios Año]]=12,Datos_Origen[[#This Row],[Básico]]/Datos_Origen[[#This Row],[Salario Integral Pol]],""),"")</f>
        <v/>
      </c>
      <c r="CT146" s="397" t="str">
        <f>IFERROR(ROUND(Datos_Origen[[#This Row],[Salario Integral Pol44]],-3),"")</f>
        <v/>
      </c>
      <c r="CU146" s="397" t="e">
        <f>Datos_Origen[[#This Row],[G+Vpol]]-Datos_Origen[[#This Row],[Variable]]</f>
        <v>#N/A</v>
      </c>
      <c r="CV146" s="402" t="e">
        <f>Datos_Origen[[#This Row],[G]]/Datos_Origen[[#This Row],[Gpol]]</f>
        <v>#DIV/0!</v>
      </c>
      <c r="CW146" s="396" t="e">
        <f>Datos_Origen[[#This Row],[Ctpol]]-Datos_Origen[[#This Row],[Beneficios]]</f>
        <v>#N/A</v>
      </c>
      <c r="CX146" s="402" t="e">
        <f>Datos_Origen[[#This Row],[G+V]]/Datos_Origen[[#This Row],[G+Vpol]]</f>
        <v>#DIV/0!</v>
      </c>
      <c r="CY146" s="396" t="e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#N/A</v>
      </c>
      <c r="CZ146" s="402" t="e">
        <f>Datos_Origen[[#This Row],[CT]]/Datos_Origen[[#This Row],[Ctpol]]</f>
        <v>#DIV/0!</v>
      </c>
      <c r="DA146" s="398" t="e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#DIV/0!</v>
      </c>
      <c r="DB146" s="398" t="e">
        <f>IF(Datos_Origen[[#This Row],[Básico]]&lt;10*SMMLV,0,Datos_Origen[[#This Row],[Base Seguridad Social Actual]]*8.5%)</f>
        <v>#DIV/0!</v>
      </c>
      <c r="DC146" s="398" t="e">
        <f>Datos_Origen[[#This Row],[Base Seguridad Social Actual]]*12%</f>
        <v>#DIV/0!</v>
      </c>
      <c r="DD146" s="398" t="e">
        <f>Datos_Origen[[#This Row],[Base Seguridad Social Actual]]*Datos_Origen[[#This Row],[%ARL]]</f>
        <v>#DIV/0!</v>
      </c>
      <c r="DE146" s="398" t="e">
        <f>IF(Datos_Origen[[#This Row],[Básico]]&lt;10*SMMLV,Datos_Origen[[#This Row],[Base Seguridad Social Actual]]*4%,Datos_Origen[[#This Row],[Base Seguridad Social Actual]]*9%)</f>
        <v>#DIV/0!</v>
      </c>
      <c r="DF146" s="398" t="e">
        <f>Datos_Origen[[#This Row],[Salud]]+Datos_Origen[[#This Row],[Pensión]]+Datos_Origen[[#This Row],[ARL]]+Datos_Origen[[#This Row],[Parafiscales]]</f>
        <v>#DIV/0!</v>
      </c>
      <c r="DG146" s="408" t="e">
        <f>Datos_Origen[[#This Row],[Costo Laboral Actual]]+Datos_Origen[[#This Row],[CT]]</f>
        <v>#DIV/0!</v>
      </c>
      <c r="DH146" s="398" t="e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#DIV/0!</v>
      </c>
      <c r="DI146" s="398" t="e">
        <f>IF(IF(Datos_Origen[[#This Row],[Salarios Año]]=12,Datos_Origen[[#This Row],[Salario Integral Pol]],Datos_Origen[[#This Row],[Salario Ordinario Pol]])&lt;10*SMMLV,0,Datos_Origen[[#This Row],[Base Seguridad Social Nueva]]*8.5%)</f>
        <v>#N/A</v>
      </c>
      <c r="DJ146" s="398" t="e">
        <f>Datos_Origen[[#This Row],[Base Seguridad Social Nueva]]*12%</f>
        <v>#DIV/0!</v>
      </c>
      <c r="DK146" s="398" t="e">
        <f>Datos_Origen[[#This Row],[Base Seguridad Social Nueva]]*Datos_Origen[[#This Row],[%ARL]]</f>
        <v>#DIV/0!</v>
      </c>
      <c r="DL146" s="398" t="e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#N/A</v>
      </c>
      <c r="DM146" s="398" t="e">
        <f>Datos_Origen[[#This Row],[Salud Nueva]]+Datos_Origen[[#This Row],[Pensión Nueva]]+Datos_Origen[[#This Row],[ARL nueva]]+Datos_Origen[[#This Row],[Parafiscales Nuevos]]</f>
        <v>#N/A</v>
      </c>
      <c r="DN146" s="398" t="e">
        <f>Datos_Origen[[#This Row],[Costo Laboral Nuevo]]+Datos_Origen[[#This Row],[Ctpol]]</f>
        <v>#N/A</v>
      </c>
      <c r="DO146" s="398" t="e">
        <f>IF(Datos_Origen[[#This Row],[Ctpol]]-Datos_Origen[[#This Row],[CT]]&lt;=0,0,Datos_Origen[[#This Row],[Costo Total Nuevo]]-Datos_Origen[[#This Row],[Costo Total Actual]])</f>
        <v>#N/A</v>
      </c>
      <c r="DP146" s="398" t="e">
        <f>IF(Datos_Origen[[#This Row],[Ctpol]]-Datos_Origen[[#This Row],[CT]]&lt;=0,0,Datos_Origen[[#This Row],[Ctpol]]-Datos_Origen[[#This Row],[CT]])</f>
        <v>#N/A</v>
      </c>
      <c r="DQ146" s="398" t="e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#N/A</v>
      </c>
      <c r="DR146" s="398">
        <f>ROUNDDOWN(VLOOKUP(Datos_Origen[[#This Row],[Categoria]],Competitividad_1[],7,0)*IndiceIncrementoC,-3)</f>
        <v>2527000</v>
      </c>
      <c r="DS146" s="398" t="e">
        <f>Datos_Origen[[#This Row],[CTeq]]*0.8</f>
        <v>#N/A</v>
      </c>
      <c r="DT146" s="398" t="e">
        <f>Datos_Origen[[#This Row],[CTeq]]*1.2</f>
        <v>#N/A</v>
      </c>
      <c r="DU146" s="397" t="e">
        <f>IF(Datos_Origen[[#This Row],[Gpol6]]/(1+FactorPrestacionalOrdinario)&lt;SMMLV,SMMLV,Datos_Origen[[#This Row],[Gpol6]]/(1+FactorPrestacionalOrdinario))</f>
        <v>#N/A</v>
      </c>
      <c r="DV146" s="510" t="e">
        <f>IF((Datos_Origen[[#This Row],[Gpol6]]/(1+FactorPrestacionalIntegral))&lt;(13*SMMLV),"",(Datos_Origen[[#This Row],[Gpol6]]/(1+FactorPrestacionalIntegral)))</f>
        <v>#N/A</v>
      </c>
      <c r="DW146" s="396" t="e">
        <f>Datos_Origen[[#This Row],[G+Vpol8]]</f>
        <v>#N/A</v>
      </c>
      <c r="DX146" s="396" t="e">
        <f>Datos_Origen[[#This Row],[Ctpol10]]-Datos_Origen[[#This Row],[Beneficios]]</f>
        <v>#N/A</v>
      </c>
      <c r="DY146" s="396" t="e">
        <f>Datos_Origen[[#This Row],[Ctpol]]*$CM$6</f>
        <v>#N/A</v>
      </c>
      <c r="DZ146" s="397" t="e">
        <f>IF(Datos_Origen[[#This Row],[Gpol66]]/(1+FactorPrestacionalOrdinario)&lt;SMMLV,SMMLV,Datos_Origen[[#This Row],[Gpol66]]/(1+FactorPrestacionalOrdinario))</f>
        <v>#N/A</v>
      </c>
      <c r="EA146" s="510" t="e">
        <f>IF((Datos_Origen[[#This Row],[Gpol66]]/(1+FactorPrestacionalIntegral))&lt;(13*SMMLV),"",(Datos_Origen[[#This Row],[Gpol66]]/(1+FactorPrestacionalIntegral)))</f>
        <v>#N/A</v>
      </c>
      <c r="EB146" s="396" t="e">
        <f>Datos_Origen[[#This Row],[G+Vpol88]]</f>
        <v>#N/A</v>
      </c>
      <c r="EC146" s="396" t="e">
        <f>Datos_Origen[[#This Row],[Ctpol1010]]-Datos_Origen[[#This Row],[Beneficios]]</f>
        <v>#N/A</v>
      </c>
      <c r="ED146" s="396" t="e">
        <f>Datos_Origen[[#This Row],[Ctpol]]*$CP$6</f>
        <v>#N/A</v>
      </c>
      <c r="EE146" s="398" t="e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#DIV/0!</v>
      </c>
    </row>
    <row r="147" spans="2:135">
      <c r="B147" s="148"/>
      <c r="C147" s="394"/>
      <c r="D147" s="404"/>
      <c r="E147" s="405"/>
      <c r="F147" s="405"/>
      <c r="G147" s="404" t="s">
        <v>900</v>
      </c>
      <c r="H147" s="395"/>
      <c r="I147" s="152"/>
      <c r="J147" s="406" t="str">
        <f>IFERROR(VLOOKUP(Datos_Origen[[#This Row],[Cargo Tipo Valorado]],Cargos_Catalogo[[#All],[Cargo]:[Área]],2,0),"")</f>
        <v/>
      </c>
      <c r="K147" s="395"/>
      <c r="L147" s="395"/>
      <c r="M147" s="395"/>
      <c r="N147" s="395"/>
      <c r="O147" s="396">
        <f>Datos_Origen[[#This Row],[Segmentación Individual]]</f>
        <v>0</v>
      </c>
      <c r="P147" s="395"/>
      <c r="Q147" s="396" t="e">
        <f>VLOOKUP(Datos_Origen[[#This Row],[Cargo Tipo Valorado]],Cargos_Catalogo[#Data],MATCH(Cargos_Catalogo[[#Headers],[Puntos]],Cargos_Catalogo[#Headers],0),FALSE)</f>
        <v>#N/A</v>
      </c>
      <c r="R147" s="406">
        <v>2</v>
      </c>
      <c r="S147" s="406" t="e">
        <f>VLOOKUP(Datos_Origen[[#This Row],[Cargo Tipo Valorado]],Cargos_Catalogo[#Data],MATCH(Cargos_Catalogo[[#Headers],[Nivel SHR]],Cargos_Catalogo[#Headers],0),FALSE)</f>
        <v>#N/A</v>
      </c>
      <c r="T147" s="406" t="e">
        <f>VLOOKUP(Datos_Origen[[#This Row],[Cargo Tipo Valorado]],Cargos_Catalogo[#Data],MATCH(Cargos_Catalogo[[#Headers],[Criticidad]],Cargos_Catalogo[#Headers],0),FALSE)</f>
        <v>#N/A</v>
      </c>
      <c r="U147" s="396" t="e">
        <f>VLOOKUP(Datos_Origen[[#This Row],[Puntos valoración]],Categorias_Registro[#Data],5,FALSE)</f>
        <v>#N/A</v>
      </c>
      <c r="V147" s="396" t="e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#DIV/0!</v>
      </c>
      <c r="W147" s="396" t="e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#DIV/0!</v>
      </c>
      <c r="X147" s="396">
        <f>SUMIF($BA$5:$BJ$5,"NCS",Datos_Origen[[#This Row],[auxilio Gasolina]:[Otro Beneficio10]])+(SUMIF($BA$5:$BJ$5,"CS",Datos_Origen[[#This Row],[auxilio Gasolina]:[Otro Beneficio10]])*1.17667)</f>
        <v>0</v>
      </c>
      <c r="Y147" s="397" t="e">
        <f>Datos_Origen[[#This Row],[Básico]]+Datos_Origen[[#This Row],[Promedio de Comisiones  ]]</f>
        <v>#DIV/0!</v>
      </c>
      <c r="Z147" s="397" t="e">
        <f>Datos_Origen[[#This Row],[Básico]]+Datos_Origen[[#This Row],[Promedio de Comisiones  ]]</f>
        <v>#DIV/0!</v>
      </c>
      <c r="AA147" s="397" t="e">
        <f>Datos_Origen[[#This Row],[Garantizado]]</f>
        <v>#DIV/0!</v>
      </c>
      <c r="AB147" s="397" t="e">
        <f>Datos_Origen[[#This Row],[Variable]]+Datos_Origen[[#This Row],[Garantizado]]</f>
        <v>#DIV/0!</v>
      </c>
      <c r="AC147" s="397" t="e">
        <f>Datos_Origen[[#This Row],[Beneficios]]+Datos_Origen[[#This Row],[Variable]]+Datos_Origen[[#This Row],[Garantizado]]</f>
        <v>#DIV/0!</v>
      </c>
      <c r="AD147" s="156"/>
      <c r="AE147" s="141"/>
      <c r="AF147" s="345"/>
      <c r="AG147" s="397" t="e">
        <f>Datos_Origen[[#This Row],[Básico Actual]]*230/Datos_Origen[[#This Row],['# horas mes]]</f>
        <v>#DIV/0!</v>
      </c>
      <c r="AH147" s="407"/>
      <c r="AI147" s="398"/>
      <c r="AJ147" s="398" t="e">
        <f>(((Datos_Origen[[#This Row],[Básico]])/30)*$AJ$6)/12</f>
        <v>#DIV/0!</v>
      </c>
      <c r="AK147" s="398"/>
      <c r="AL147" s="399" t="e">
        <f>((Datos_Origen[[#This Row],[Básico]])/30)*$AL$6/12</f>
        <v>#DIV/0!</v>
      </c>
      <c r="AM147" s="398"/>
      <c r="AN147" s="398"/>
      <c r="AO147" s="398"/>
      <c r="AP147" s="398"/>
      <c r="AQ147" s="398"/>
      <c r="AR147" s="394"/>
      <c r="AS147" s="394"/>
      <c r="AT147" s="400" t="str">
        <f>IFERROR(Datos_Origen[[#This Row],[Comisiones Target]]/Datos_Origen[[#This Row],[Promedio de Comisiones  ]],"")</f>
        <v/>
      </c>
      <c r="AU147" s="401"/>
      <c r="AV147" s="143" t="e">
        <f>Datos_Origen[[#This Row],[N Salarios de la Bonificación]]*Datos_Origen[[#This Row],[Básico]]/12</f>
        <v>#DIV/0!</v>
      </c>
      <c r="AW147" s="401"/>
      <c r="AX147" s="399" t="e">
        <f>Datos_Origen[[#This Row],[N Salarios de la Bonificación2]]*Datos_Origen[[#This Row],[Básico]]/12</f>
        <v>#DIV/0!</v>
      </c>
      <c r="AY147" s="401"/>
      <c r="AZ147" s="398"/>
      <c r="BA147" s="149"/>
      <c r="BB147" s="394"/>
      <c r="BC147" s="394"/>
      <c r="BD147" s="394"/>
      <c r="BE147" s="394"/>
      <c r="BF147" s="394"/>
      <c r="BG147" s="394"/>
      <c r="BH147" s="394"/>
      <c r="BI147" s="394"/>
      <c r="BJ147" s="394"/>
      <c r="BK147" s="400" t="str">
        <f>IFERROR(Datos_Origen[[#This Row],[Variable]]/Datos_Origen[[#This Row],[CT]],"")</f>
        <v/>
      </c>
      <c r="BL147" s="400" t="str">
        <f>IFERROR(Datos_Origen[[#This Row],[Beneficios]]/Datos_Origen[[#This Row],[CT]],"")</f>
        <v/>
      </c>
      <c r="BM147" s="397" t="e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#N/A</v>
      </c>
      <c r="BN147" s="402" t="e">
        <f>Datos_Origen[[#This Row],[G]]/Datos_Origen[[#This Row],[Geq]]</f>
        <v>#DIV/0!</v>
      </c>
      <c r="BO147" s="397" t="e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#N/A</v>
      </c>
      <c r="BP147" s="402" t="e">
        <f>Datos_Origen[[#This Row],[G+V]]/Datos_Origen[[#This Row],[G+Veq]]</f>
        <v>#DIV/0!</v>
      </c>
      <c r="BQ147" s="397" t="e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#N/A</v>
      </c>
      <c r="BR147" s="402" t="e">
        <f>Datos_Origen[[#This Row],[CT]]/Datos_Origen[[#This Row],[CTeq]]</f>
        <v>#DIV/0!</v>
      </c>
      <c r="BS147" s="510">
        <f>ROUNDUP(VLOOKUP(Datos_Origen[[#This Row],[Categoria]],Competitividad_1[#All],2,0)*IndiceIncrementoC,-3)</f>
        <v>1759000</v>
      </c>
      <c r="BT147" s="402" t="e">
        <f>Datos_Origen[[#This Row],[G]]/Datos_Origen[[#This Row],[GQ1]]</f>
        <v>#DIV/0!</v>
      </c>
      <c r="BU147" s="397">
        <f>ROUNDUP(VLOOKUP(Datos_Origen[[#This Row],[Categoria]],Competitividad_1[#All],3,0)*IndiceIncrementoC,-3)</f>
        <v>1850000</v>
      </c>
      <c r="BV147" s="402" t="e">
        <f>Datos_Origen[[#This Row],[G+V]]/Datos_Origen[[#This Row],[G+VQ1]]</f>
        <v>#DIV/0!</v>
      </c>
      <c r="BW147" s="397">
        <f>ROUNDUP(VLOOKUP(Datos_Origen[[#This Row],[Categoria]],Competitividad_1[#All],4,0)*IndiceIncrementoC,-3)</f>
        <v>1918000</v>
      </c>
      <c r="BX147" s="402" t="e">
        <f>Datos_Origen[[#This Row],[CT]]/Datos_Origen[[#This Row],[CTQ1]]</f>
        <v>#DIV/0!</v>
      </c>
      <c r="BY147" s="397">
        <f>ROUNDUP(VLOOKUP(Datos_Origen[[#This Row],[Categoria]],Competitividad_1[#All],5,0)*IndiceIncrementoC,-3)</f>
        <v>2184000</v>
      </c>
      <c r="BZ147" s="402" t="e">
        <f>Datos_Origen[[#This Row],[G]]/Datos_Origen[[#This Row],[GMd]]</f>
        <v>#DIV/0!</v>
      </c>
      <c r="CA147" s="397">
        <f>ROUNDUP(VLOOKUP(Datos_Origen[[#This Row],[Categoria]],Competitividad_1[#All],6,0)*IndiceIncrementoC,-3)</f>
        <v>2265000</v>
      </c>
      <c r="CB147" s="402" t="e">
        <f>Datos_Origen[[#This Row],[G+V]]/Datos_Origen[[#This Row],[G+VMd]]</f>
        <v>#DIV/0!</v>
      </c>
      <c r="CC147" s="397">
        <f>ROUNDUP(VLOOKUP(Datos_Origen[[#This Row],[Categoria]],Competitividad_1[#All],7,0)*IndiceIncrementoC,-3)</f>
        <v>2336000</v>
      </c>
      <c r="CD147" s="402" t="e">
        <f>Datos_Origen[[#This Row],[CT]]/Datos_Origen[[#This Row],[CTMd]]</f>
        <v>#DIV/0!</v>
      </c>
      <c r="CE147" s="397">
        <f>+Datos_Origen[[#This Row],[GMd]]/1.17666666667</f>
        <v>1856090.6515528155</v>
      </c>
      <c r="CF147" s="402">
        <f>+Datos_Origen[[#This Row],[Básico Actual]]/Datos_Origen[[#This Row],[Salario Basico Md]]</f>
        <v>0</v>
      </c>
      <c r="CG147" s="397">
        <f>ROUNDUP(VLOOKUP(Datos_Origen[[#This Row],[Categoria]],Competitividad_1[#All],8,0)*IndiceIncrementoC,-3)</f>
        <v>2596000</v>
      </c>
      <c r="CH147" s="402" t="e">
        <f>Datos_Origen[[#This Row],[G]]/Datos_Origen[[#This Row],[GQ3]]</f>
        <v>#DIV/0!</v>
      </c>
      <c r="CI147" s="397">
        <f>ROUNDUP(VLOOKUP(Datos_Origen[[#This Row],[Categoria]],Competitividad_1[#All],9,0)*IndiceIncrementoC,-3)</f>
        <v>2680000</v>
      </c>
      <c r="CJ147" s="402" t="e">
        <f>Datos_Origen[[#This Row],[G+V]]/Datos_Origen[[#This Row],[G+VQ3]]</f>
        <v>#DIV/0!</v>
      </c>
      <c r="CK147" s="397">
        <f>ROUNDUP(VLOOKUP(Datos_Origen[[#This Row],[Categoria]],Competitividad_1[#All],10,0)*IndiceIncrementoC,-3)</f>
        <v>2770000</v>
      </c>
      <c r="CL147" s="402" t="e">
        <f>Datos_Origen[[#This Row],[CT]]/Datos_Origen[[#This Row],[CTQ3]]</f>
        <v>#DIV/0!</v>
      </c>
      <c r="CM147" s="403" t="e">
        <f>IF(ROUND(Datos_Origen[[#This Row],[Salario Ordinario Pol2]],-3)&lt;SMMLV,SMMLV,ROUND(Datos_Origen[[#This Row],[Salario Ordinario Pol2]],-3))</f>
        <v>#N/A</v>
      </c>
      <c r="CN147" s="397" t="e">
        <f>IF(Datos_Origen[[#This Row],[Gpol]]/(1+FactorPrestacionalOrdinario)&lt;SMMLV,SMMLV,Datos_Origen[[#This Row],[Gpol]]/(1+FactorPrestacionalOrdinario))</f>
        <v>#N/A</v>
      </c>
      <c r="CO147" s="402" t="str">
        <f>IFERROR(IF(Datos_Origen[[#This Row],[Salarios Año]]=14.12,Datos_Origen[[#This Row],[Básico]]/Datos_Origen[[#This Row],[Salario Ordinario Pol]],""),"")</f>
        <v/>
      </c>
      <c r="CP147" s="397" t="e">
        <f>IF(ROUND(Datos_Origen[[#This Row],[Salario Ordinario Pol22]],-3)&lt;SMMLV,SMMLV,ROUND(Datos_Origen[[#This Row],[Salario Ordinario Pol22]],-3))</f>
        <v>#N/A</v>
      </c>
      <c r="CQ147" s="397" t="str">
        <f>IFERROR(ROUND(Datos_Origen[[#This Row],[Salario Integral Pol4]],-3),"")</f>
        <v/>
      </c>
      <c r="CR147" s="510" t="e">
        <f>IF((Datos_Origen[[#This Row],[Gpol]]/(1+FactorPrestacionalIntegral))&lt;(13*SMMLV),"",(Datos_Origen[[#This Row],[Gpol]]/(1+FactorPrestacionalIntegral)))</f>
        <v>#N/A</v>
      </c>
      <c r="CS147" s="402" t="str">
        <f>IFERROR(IF(Datos_Origen[[#This Row],[Salarios Año]]=12,Datos_Origen[[#This Row],[Básico]]/Datos_Origen[[#This Row],[Salario Integral Pol]],""),"")</f>
        <v/>
      </c>
      <c r="CT147" s="397" t="str">
        <f>IFERROR(ROUND(Datos_Origen[[#This Row],[Salario Integral Pol44]],-3),"")</f>
        <v/>
      </c>
      <c r="CU147" s="397" t="e">
        <f>Datos_Origen[[#This Row],[G+Vpol]]-Datos_Origen[[#This Row],[Variable]]</f>
        <v>#N/A</v>
      </c>
      <c r="CV147" s="402" t="e">
        <f>Datos_Origen[[#This Row],[G]]/Datos_Origen[[#This Row],[Gpol]]</f>
        <v>#DIV/0!</v>
      </c>
      <c r="CW147" s="396" t="e">
        <f>Datos_Origen[[#This Row],[Ctpol]]-Datos_Origen[[#This Row],[Beneficios]]</f>
        <v>#N/A</v>
      </c>
      <c r="CX147" s="402" t="e">
        <f>Datos_Origen[[#This Row],[G+V]]/Datos_Origen[[#This Row],[G+Vpol]]</f>
        <v>#DIV/0!</v>
      </c>
      <c r="CY147" s="396" t="e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#N/A</v>
      </c>
      <c r="CZ147" s="402" t="e">
        <f>Datos_Origen[[#This Row],[CT]]/Datos_Origen[[#This Row],[Ctpol]]</f>
        <v>#DIV/0!</v>
      </c>
      <c r="DA147" s="398" t="e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#DIV/0!</v>
      </c>
      <c r="DB147" s="398" t="e">
        <f>IF(Datos_Origen[[#This Row],[Básico]]&lt;10*SMMLV,0,Datos_Origen[[#This Row],[Base Seguridad Social Actual]]*8.5%)</f>
        <v>#DIV/0!</v>
      </c>
      <c r="DC147" s="398" t="e">
        <f>Datos_Origen[[#This Row],[Base Seguridad Social Actual]]*12%</f>
        <v>#DIV/0!</v>
      </c>
      <c r="DD147" s="398" t="e">
        <f>Datos_Origen[[#This Row],[Base Seguridad Social Actual]]*Datos_Origen[[#This Row],[%ARL]]</f>
        <v>#DIV/0!</v>
      </c>
      <c r="DE147" s="398" t="e">
        <f>IF(Datos_Origen[[#This Row],[Básico]]&lt;10*SMMLV,Datos_Origen[[#This Row],[Base Seguridad Social Actual]]*4%,Datos_Origen[[#This Row],[Base Seguridad Social Actual]]*9%)</f>
        <v>#DIV/0!</v>
      </c>
      <c r="DF147" s="398" t="e">
        <f>Datos_Origen[[#This Row],[Salud]]+Datos_Origen[[#This Row],[Pensión]]+Datos_Origen[[#This Row],[ARL]]+Datos_Origen[[#This Row],[Parafiscales]]</f>
        <v>#DIV/0!</v>
      </c>
      <c r="DG147" s="408" t="e">
        <f>Datos_Origen[[#This Row],[Costo Laboral Actual]]+Datos_Origen[[#This Row],[CT]]</f>
        <v>#DIV/0!</v>
      </c>
      <c r="DH147" s="398" t="e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#DIV/0!</v>
      </c>
      <c r="DI147" s="398" t="e">
        <f>IF(IF(Datos_Origen[[#This Row],[Salarios Año]]=12,Datos_Origen[[#This Row],[Salario Integral Pol]],Datos_Origen[[#This Row],[Salario Ordinario Pol]])&lt;10*SMMLV,0,Datos_Origen[[#This Row],[Base Seguridad Social Nueva]]*8.5%)</f>
        <v>#N/A</v>
      </c>
      <c r="DJ147" s="398" t="e">
        <f>Datos_Origen[[#This Row],[Base Seguridad Social Nueva]]*12%</f>
        <v>#DIV/0!</v>
      </c>
      <c r="DK147" s="398" t="e">
        <f>Datos_Origen[[#This Row],[Base Seguridad Social Nueva]]*Datos_Origen[[#This Row],[%ARL]]</f>
        <v>#DIV/0!</v>
      </c>
      <c r="DL147" s="398" t="e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#N/A</v>
      </c>
      <c r="DM147" s="398" t="e">
        <f>Datos_Origen[[#This Row],[Salud Nueva]]+Datos_Origen[[#This Row],[Pensión Nueva]]+Datos_Origen[[#This Row],[ARL nueva]]+Datos_Origen[[#This Row],[Parafiscales Nuevos]]</f>
        <v>#N/A</v>
      </c>
      <c r="DN147" s="398" t="e">
        <f>Datos_Origen[[#This Row],[Costo Laboral Nuevo]]+Datos_Origen[[#This Row],[Ctpol]]</f>
        <v>#N/A</v>
      </c>
      <c r="DO147" s="398" t="e">
        <f>IF(Datos_Origen[[#This Row],[Ctpol]]-Datos_Origen[[#This Row],[CT]]&lt;=0,0,Datos_Origen[[#This Row],[Costo Total Nuevo]]-Datos_Origen[[#This Row],[Costo Total Actual]])</f>
        <v>#N/A</v>
      </c>
      <c r="DP147" s="398" t="e">
        <f>IF(Datos_Origen[[#This Row],[Ctpol]]-Datos_Origen[[#This Row],[CT]]&lt;=0,0,Datos_Origen[[#This Row],[Ctpol]]-Datos_Origen[[#This Row],[CT]])</f>
        <v>#N/A</v>
      </c>
      <c r="DQ147" s="398" t="e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#N/A</v>
      </c>
      <c r="DR147" s="398">
        <f>ROUNDDOWN(VLOOKUP(Datos_Origen[[#This Row],[Categoria]],Competitividad_1[],7,0)*IndiceIncrementoC,-3)</f>
        <v>2335000</v>
      </c>
      <c r="DS147" s="398" t="e">
        <f>Datos_Origen[[#This Row],[CTeq]]*0.8</f>
        <v>#N/A</v>
      </c>
      <c r="DT147" s="398" t="e">
        <f>Datos_Origen[[#This Row],[CTeq]]*1.2</f>
        <v>#N/A</v>
      </c>
      <c r="DU147" s="397" t="e">
        <f>IF(Datos_Origen[[#This Row],[Gpol6]]/(1+FactorPrestacionalOrdinario)&lt;SMMLV,SMMLV,Datos_Origen[[#This Row],[Gpol6]]/(1+FactorPrestacionalOrdinario))</f>
        <v>#N/A</v>
      </c>
      <c r="DV147" s="510" t="e">
        <f>IF((Datos_Origen[[#This Row],[Gpol6]]/(1+FactorPrestacionalIntegral))&lt;(13*SMMLV),"",(Datos_Origen[[#This Row],[Gpol6]]/(1+FactorPrestacionalIntegral)))</f>
        <v>#N/A</v>
      </c>
      <c r="DW147" s="396" t="e">
        <f>Datos_Origen[[#This Row],[G+Vpol8]]</f>
        <v>#N/A</v>
      </c>
      <c r="DX147" s="396" t="e">
        <f>Datos_Origen[[#This Row],[Ctpol10]]-Datos_Origen[[#This Row],[Beneficios]]</f>
        <v>#N/A</v>
      </c>
      <c r="DY147" s="396" t="e">
        <f>Datos_Origen[[#This Row],[Ctpol]]*$CM$6</f>
        <v>#N/A</v>
      </c>
      <c r="DZ147" s="397" t="e">
        <f>IF(Datos_Origen[[#This Row],[Gpol66]]/(1+FactorPrestacionalOrdinario)&lt;SMMLV,SMMLV,Datos_Origen[[#This Row],[Gpol66]]/(1+FactorPrestacionalOrdinario))</f>
        <v>#N/A</v>
      </c>
      <c r="EA147" s="510" t="e">
        <f>IF((Datos_Origen[[#This Row],[Gpol66]]/(1+FactorPrestacionalIntegral))&lt;(13*SMMLV),"",(Datos_Origen[[#This Row],[Gpol66]]/(1+FactorPrestacionalIntegral)))</f>
        <v>#N/A</v>
      </c>
      <c r="EB147" s="396" t="e">
        <f>Datos_Origen[[#This Row],[G+Vpol88]]</f>
        <v>#N/A</v>
      </c>
      <c r="EC147" s="396" t="e">
        <f>Datos_Origen[[#This Row],[Ctpol1010]]-Datos_Origen[[#This Row],[Beneficios]]</f>
        <v>#N/A</v>
      </c>
      <c r="ED147" s="396" t="e">
        <f>Datos_Origen[[#This Row],[Ctpol]]*$CP$6</f>
        <v>#N/A</v>
      </c>
      <c r="EE147" s="398" t="e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#DIV/0!</v>
      </c>
    </row>
    <row r="148" spans="2:135">
      <c r="B148" s="148"/>
      <c r="C148" s="394"/>
      <c r="D148" s="404"/>
      <c r="E148" s="405"/>
      <c r="F148" s="405"/>
      <c r="G148" s="404" t="s">
        <v>901</v>
      </c>
      <c r="H148" s="395"/>
      <c r="I148" s="152"/>
      <c r="J148" s="406" t="str">
        <f>IFERROR(VLOOKUP(Datos_Origen[[#This Row],[Cargo Tipo Valorado]],Cargos_Catalogo[[#All],[Cargo]:[Área]],2,0),"")</f>
        <v/>
      </c>
      <c r="K148" s="395"/>
      <c r="L148" s="395"/>
      <c r="M148" s="395"/>
      <c r="N148" s="395"/>
      <c r="O148" s="396">
        <f>Datos_Origen[[#This Row],[Segmentación Individual]]</f>
        <v>0</v>
      </c>
      <c r="P148" s="395"/>
      <c r="Q148" s="396" t="e">
        <f>VLOOKUP(Datos_Origen[[#This Row],[Cargo Tipo Valorado]],Cargos_Catalogo[#Data],MATCH(Cargos_Catalogo[[#Headers],[Puntos]],Cargos_Catalogo[#Headers],0),FALSE)</f>
        <v>#N/A</v>
      </c>
      <c r="R148" s="406">
        <v>1</v>
      </c>
      <c r="S148" s="406" t="e">
        <f>VLOOKUP(Datos_Origen[[#This Row],[Cargo Tipo Valorado]],Cargos_Catalogo[#Data],MATCH(Cargos_Catalogo[[#Headers],[Nivel SHR]],Cargos_Catalogo[#Headers],0),FALSE)</f>
        <v>#N/A</v>
      </c>
      <c r="T148" s="406" t="e">
        <f>VLOOKUP(Datos_Origen[[#This Row],[Cargo Tipo Valorado]],Cargos_Catalogo[#Data],MATCH(Cargos_Catalogo[[#Headers],[Criticidad]],Cargos_Catalogo[#Headers],0),FALSE)</f>
        <v>#N/A</v>
      </c>
      <c r="U148" s="396" t="e">
        <f>VLOOKUP(Datos_Origen[[#This Row],[Puntos valoración]],Categorias_Registro[#Data],5,FALSE)</f>
        <v>#N/A</v>
      </c>
      <c r="V148" s="396" t="e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#DIV/0!</v>
      </c>
      <c r="W148" s="396" t="e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#DIV/0!</v>
      </c>
      <c r="X148" s="396">
        <f>SUMIF($BA$5:$BJ$5,"NCS",Datos_Origen[[#This Row],[auxilio Gasolina]:[Otro Beneficio10]])+(SUMIF($BA$5:$BJ$5,"CS",Datos_Origen[[#This Row],[auxilio Gasolina]:[Otro Beneficio10]])*1.17667)</f>
        <v>0</v>
      </c>
      <c r="Y148" s="397" t="e">
        <f>Datos_Origen[[#This Row],[Básico]]+Datos_Origen[[#This Row],[Promedio de Comisiones  ]]</f>
        <v>#DIV/0!</v>
      </c>
      <c r="Z148" s="397" t="e">
        <f>Datos_Origen[[#This Row],[Básico]]+Datos_Origen[[#This Row],[Promedio de Comisiones  ]]</f>
        <v>#DIV/0!</v>
      </c>
      <c r="AA148" s="397" t="e">
        <f>Datos_Origen[[#This Row],[Garantizado]]</f>
        <v>#DIV/0!</v>
      </c>
      <c r="AB148" s="397" t="e">
        <f>Datos_Origen[[#This Row],[Variable]]+Datos_Origen[[#This Row],[Garantizado]]</f>
        <v>#DIV/0!</v>
      </c>
      <c r="AC148" s="397" t="e">
        <f>Datos_Origen[[#This Row],[Beneficios]]+Datos_Origen[[#This Row],[Variable]]+Datos_Origen[[#This Row],[Garantizado]]</f>
        <v>#DIV/0!</v>
      </c>
      <c r="AD148" s="156"/>
      <c r="AE148" s="141"/>
      <c r="AF148" s="345"/>
      <c r="AG148" s="397" t="e">
        <f>Datos_Origen[[#This Row],[Básico Actual]]*230/Datos_Origen[[#This Row],['# horas mes]]</f>
        <v>#DIV/0!</v>
      </c>
      <c r="AH148" s="407"/>
      <c r="AI148" s="398"/>
      <c r="AJ148" s="398" t="e">
        <f>(((Datos_Origen[[#This Row],[Básico]])/30)*$AJ$6)/12</f>
        <v>#DIV/0!</v>
      </c>
      <c r="AK148" s="398"/>
      <c r="AL148" s="399" t="e">
        <f>((Datos_Origen[[#This Row],[Básico]])/30)*$AL$6/12</f>
        <v>#DIV/0!</v>
      </c>
      <c r="AM148" s="398"/>
      <c r="AN148" s="398"/>
      <c r="AO148" s="398"/>
      <c r="AP148" s="398"/>
      <c r="AQ148" s="398"/>
      <c r="AR148" s="394"/>
      <c r="AS148" s="394"/>
      <c r="AT148" s="400" t="str">
        <f>IFERROR(Datos_Origen[[#This Row],[Comisiones Target]]/Datos_Origen[[#This Row],[Promedio de Comisiones  ]],"")</f>
        <v/>
      </c>
      <c r="AU148" s="401"/>
      <c r="AV148" s="143" t="e">
        <f>Datos_Origen[[#This Row],[N Salarios de la Bonificación]]*Datos_Origen[[#This Row],[Básico]]/12</f>
        <v>#DIV/0!</v>
      </c>
      <c r="AW148" s="401"/>
      <c r="AX148" s="399" t="e">
        <f>Datos_Origen[[#This Row],[N Salarios de la Bonificación2]]*Datos_Origen[[#This Row],[Básico]]/12</f>
        <v>#DIV/0!</v>
      </c>
      <c r="AY148" s="401"/>
      <c r="AZ148" s="398"/>
      <c r="BA148" s="149"/>
      <c r="BB148" s="394"/>
      <c r="BC148" s="394"/>
      <c r="BD148" s="394"/>
      <c r="BE148" s="394"/>
      <c r="BF148" s="394"/>
      <c r="BG148" s="394"/>
      <c r="BH148" s="394"/>
      <c r="BI148" s="394"/>
      <c r="BJ148" s="394"/>
      <c r="BK148" s="400" t="str">
        <f>IFERROR(Datos_Origen[[#This Row],[Variable]]/Datos_Origen[[#This Row],[CT]],"")</f>
        <v/>
      </c>
      <c r="BL148" s="400" t="str">
        <f>IFERROR(Datos_Origen[[#This Row],[Beneficios]]/Datos_Origen[[#This Row],[CT]],"")</f>
        <v/>
      </c>
      <c r="BM148" s="397" t="e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#N/A</v>
      </c>
      <c r="BN148" s="402" t="e">
        <f>Datos_Origen[[#This Row],[G]]/Datos_Origen[[#This Row],[Geq]]</f>
        <v>#DIV/0!</v>
      </c>
      <c r="BO148" s="397" t="e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#N/A</v>
      </c>
      <c r="BP148" s="402" t="e">
        <f>Datos_Origen[[#This Row],[G+V]]/Datos_Origen[[#This Row],[G+Veq]]</f>
        <v>#DIV/0!</v>
      </c>
      <c r="BQ148" s="397" t="e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#N/A</v>
      </c>
      <c r="BR148" s="402" t="e">
        <f>Datos_Origen[[#This Row],[CT]]/Datos_Origen[[#This Row],[CTeq]]</f>
        <v>#DIV/0!</v>
      </c>
      <c r="BS148" s="510">
        <f>ROUNDUP(VLOOKUP(Datos_Origen[[#This Row],[Categoria]],Competitividad_1[#All],2,0)*IndiceIncrementoC,-3)</f>
        <v>1611000</v>
      </c>
      <c r="BT148" s="402" t="e">
        <f>Datos_Origen[[#This Row],[G]]/Datos_Origen[[#This Row],[GQ1]]</f>
        <v>#DIV/0!</v>
      </c>
      <c r="BU148" s="397">
        <f>ROUNDUP(VLOOKUP(Datos_Origen[[#This Row],[Categoria]],Competitividad_1[#All],3,0)*IndiceIncrementoC,-3)</f>
        <v>1701000</v>
      </c>
      <c r="BV148" s="402" t="e">
        <f>Datos_Origen[[#This Row],[G+V]]/Datos_Origen[[#This Row],[G+VQ1]]</f>
        <v>#DIV/0!</v>
      </c>
      <c r="BW148" s="397">
        <f>ROUNDUP(VLOOKUP(Datos_Origen[[#This Row],[Categoria]],Competitividad_1[#All],4,0)*IndiceIncrementoC,-3)</f>
        <v>1762000</v>
      </c>
      <c r="BX148" s="402" t="e">
        <f>Datos_Origen[[#This Row],[CT]]/Datos_Origen[[#This Row],[CTQ1]]</f>
        <v>#DIV/0!</v>
      </c>
      <c r="BY148" s="397">
        <f>ROUNDUP(VLOOKUP(Datos_Origen[[#This Row],[Categoria]],Competitividad_1[#All],5,0)*IndiceIncrementoC,-3)</f>
        <v>2021000</v>
      </c>
      <c r="BZ148" s="402" t="e">
        <f>Datos_Origen[[#This Row],[G]]/Datos_Origen[[#This Row],[GMd]]</f>
        <v>#DIV/0!</v>
      </c>
      <c r="CA148" s="397">
        <f>ROUNDUP(VLOOKUP(Datos_Origen[[#This Row],[Categoria]],Competitividad_1[#All],6,0)*IndiceIncrementoC,-3)</f>
        <v>2108000</v>
      </c>
      <c r="CB148" s="402" t="e">
        <f>Datos_Origen[[#This Row],[G+V]]/Datos_Origen[[#This Row],[G+VMd]]</f>
        <v>#DIV/0!</v>
      </c>
      <c r="CC148" s="397">
        <f>ROUNDUP(VLOOKUP(Datos_Origen[[#This Row],[Categoria]],Competitividad_1[#All],7,0)*IndiceIncrementoC,-3)</f>
        <v>2168000</v>
      </c>
      <c r="CD148" s="402" t="e">
        <f>Datos_Origen[[#This Row],[CT]]/Datos_Origen[[#This Row],[CTMd]]</f>
        <v>#DIV/0!</v>
      </c>
      <c r="CE148" s="397">
        <f>+Datos_Origen[[#This Row],[GMd]]/1.17666666667</f>
        <v>1717563.7393719049</v>
      </c>
      <c r="CF148" s="402">
        <f>+Datos_Origen[[#This Row],[Básico Actual]]/Datos_Origen[[#This Row],[Salario Basico Md]]</f>
        <v>0</v>
      </c>
      <c r="CG148" s="397">
        <f>ROUNDUP(VLOOKUP(Datos_Origen[[#This Row],[Categoria]],Competitividad_1[#All],8,0)*IndiceIncrementoC,-3)</f>
        <v>2324000</v>
      </c>
      <c r="CH148" s="402" t="e">
        <f>Datos_Origen[[#This Row],[G]]/Datos_Origen[[#This Row],[GQ3]]</f>
        <v>#DIV/0!</v>
      </c>
      <c r="CI148" s="397">
        <f>ROUNDUP(VLOOKUP(Datos_Origen[[#This Row],[Categoria]],Competitividad_1[#All],9,0)*IndiceIncrementoC,-3)</f>
        <v>2402000</v>
      </c>
      <c r="CJ148" s="402" t="e">
        <f>Datos_Origen[[#This Row],[G+V]]/Datos_Origen[[#This Row],[G+VQ3]]</f>
        <v>#DIV/0!</v>
      </c>
      <c r="CK148" s="397">
        <f>ROUNDUP(VLOOKUP(Datos_Origen[[#This Row],[Categoria]],Competitividad_1[#All],10,0)*IndiceIncrementoC,-3)</f>
        <v>2486000</v>
      </c>
      <c r="CL148" s="402" t="e">
        <f>Datos_Origen[[#This Row],[CT]]/Datos_Origen[[#This Row],[CTQ3]]</f>
        <v>#DIV/0!</v>
      </c>
      <c r="CM148" s="403" t="e">
        <f>IF(ROUND(Datos_Origen[[#This Row],[Salario Ordinario Pol2]],-3)&lt;SMMLV,SMMLV,ROUND(Datos_Origen[[#This Row],[Salario Ordinario Pol2]],-3))</f>
        <v>#N/A</v>
      </c>
      <c r="CN148" s="397" t="e">
        <f>IF(Datos_Origen[[#This Row],[Gpol]]/(1+FactorPrestacionalOrdinario)&lt;SMMLV,SMMLV,Datos_Origen[[#This Row],[Gpol]]/(1+FactorPrestacionalOrdinario))</f>
        <v>#N/A</v>
      </c>
      <c r="CO148" s="402" t="str">
        <f>IFERROR(IF(Datos_Origen[[#This Row],[Salarios Año]]=14.12,Datos_Origen[[#This Row],[Básico]]/Datos_Origen[[#This Row],[Salario Ordinario Pol]],""),"")</f>
        <v/>
      </c>
      <c r="CP148" s="397" t="e">
        <f>IF(ROUND(Datos_Origen[[#This Row],[Salario Ordinario Pol22]],-3)&lt;SMMLV,SMMLV,ROUND(Datos_Origen[[#This Row],[Salario Ordinario Pol22]],-3))</f>
        <v>#N/A</v>
      </c>
      <c r="CQ148" s="397" t="str">
        <f>IFERROR(ROUND(Datos_Origen[[#This Row],[Salario Integral Pol4]],-3),"")</f>
        <v/>
      </c>
      <c r="CR148" s="510" t="e">
        <f>IF((Datos_Origen[[#This Row],[Gpol]]/(1+FactorPrestacionalIntegral))&lt;(13*SMMLV),"",(Datos_Origen[[#This Row],[Gpol]]/(1+FactorPrestacionalIntegral)))</f>
        <v>#N/A</v>
      </c>
      <c r="CS148" s="402" t="str">
        <f>IFERROR(IF(Datos_Origen[[#This Row],[Salarios Año]]=12,Datos_Origen[[#This Row],[Básico]]/Datos_Origen[[#This Row],[Salario Integral Pol]],""),"")</f>
        <v/>
      </c>
      <c r="CT148" s="397" t="str">
        <f>IFERROR(ROUND(Datos_Origen[[#This Row],[Salario Integral Pol44]],-3),"")</f>
        <v/>
      </c>
      <c r="CU148" s="397" t="e">
        <f>Datos_Origen[[#This Row],[G+Vpol]]-Datos_Origen[[#This Row],[Variable]]</f>
        <v>#N/A</v>
      </c>
      <c r="CV148" s="402" t="e">
        <f>Datos_Origen[[#This Row],[G]]/Datos_Origen[[#This Row],[Gpol]]</f>
        <v>#DIV/0!</v>
      </c>
      <c r="CW148" s="396" t="e">
        <f>Datos_Origen[[#This Row],[Ctpol]]-Datos_Origen[[#This Row],[Beneficios]]</f>
        <v>#N/A</v>
      </c>
      <c r="CX148" s="402" t="e">
        <f>Datos_Origen[[#This Row],[G+V]]/Datos_Origen[[#This Row],[G+Vpol]]</f>
        <v>#DIV/0!</v>
      </c>
      <c r="CY148" s="396" t="e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#N/A</v>
      </c>
      <c r="CZ148" s="402" t="e">
        <f>Datos_Origen[[#This Row],[CT]]/Datos_Origen[[#This Row],[Ctpol]]</f>
        <v>#DIV/0!</v>
      </c>
      <c r="DA148" s="398" t="e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#DIV/0!</v>
      </c>
      <c r="DB148" s="398" t="e">
        <f>IF(Datos_Origen[[#This Row],[Básico]]&lt;10*SMMLV,0,Datos_Origen[[#This Row],[Base Seguridad Social Actual]]*8.5%)</f>
        <v>#DIV/0!</v>
      </c>
      <c r="DC148" s="398" t="e">
        <f>Datos_Origen[[#This Row],[Base Seguridad Social Actual]]*12%</f>
        <v>#DIV/0!</v>
      </c>
      <c r="DD148" s="398" t="e">
        <f>Datos_Origen[[#This Row],[Base Seguridad Social Actual]]*Datos_Origen[[#This Row],[%ARL]]</f>
        <v>#DIV/0!</v>
      </c>
      <c r="DE148" s="398" t="e">
        <f>IF(Datos_Origen[[#This Row],[Básico]]&lt;10*SMMLV,Datos_Origen[[#This Row],[Base Seguridad Social Actual]]*4%,Datos_Origen[[#This Row],[Base Seguridad Social Actual]]*9%)</f>
        <v>#DIV/0!</v>
      </c>
      <c r="DF148" s="398" t="e">
        <f>Datos_Origen[[#This Row],[Salud]]+Datos_Origen[[#This Row],[Pensión]]+Datos_Origen[[#This Row],[ARL]]+Datos_Origen[[#This Row],[Parafiscales]]</f>
        <v>#DIV/0!</v>
      </c>
      <c r="DG148" s="408" t="e">
        <f>Datos_Origen[[#This Row],[Costo Laboral Actual]]+Datos_Origen[[#This Row],[CT]]</f>
        <v>#DIV/0!</v>
      </c>
      <c r="DH148" s="398" t="e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#DIV/0!</v>
      </c>
      <c r="DI148" s="398" t="e">
        <f>IF(IF(Datos_Origen[[#This Row],[Salarios Año]]=12,Datos_Origen[[#This Row],[Salario Integral Pol]],Datos_Origen[[#This Row],[Salario Ordinario Pol]])&lt;10*SMMLV,0,Datos_Origen[[#This Row],[Base Seguridad Social Nueva]]*8.5%)</f>
        <v>#N/A</v>
      </c>
      <c r="DJ148" s="398" t="e">
        <f>Datos_Origen[[#This Row],[Base Seguridad Social Nueva]]*12%</f>
        <v>#DIV/0!</v>
      </c>
      <c r="DK148" s="398" t="e">
        <f>Datos_Origen[[#This Row],[Base Seguridad Social Nueva]]*Datos_Origen[[#This Row],[%ARL]]</f>
        <v>#DIV/0!</v>
      </c>
      <c r="DL148" s="398" t="e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#N/A</v>
      </c>
      <c r="DM148" s="398" t="e">
        <f>Datos_Origen[[#This Row],[Salud Nueva]]+Datos_Origen[[#This Row],[Pensión Nueva]]+Datos_Origen[[#This Row],[ARL nueva]]+Datos_Origen[[#This Row],[Parafiscales Nuevos]]</f>
        <v>#N/A</v>
      </c>
      <c r="DN148" s="398" t="e">
        <f>Datos_Origen[[#This Row],[Costo Laboral Nuevo]]+Datos_Origen[[#This Row],[Ctpol]]</f>
        <v>#N/A</v>
      </c>
      <c r="DO148" s="398" t="e">
        <f>IF(Datos_Origen[[#This Row],[Ctpol]]-Datos_Origen[[#This Row],[CT]]&lt;=0,0,Datos_Origen[[#This Row],[Costo Total Nuevo]]-Datos_Origen[[#This Row],[Costo Total Actual]])</f>
        <v>#N/A</v>
      </c>
      <c r="DP148" s="398" t="e">
        <f>IF(Datos_Origen[[#This Row],[Ctpol]]-Datos_Origen[[#This Row],[CT]]&lt;=0,0,Datos_Origen[[#This Row],[Ctpol]]-Datos_Origen[[#This Row],[CT]])</f>
        <v>#N/A</v>
      </c>
      <c r="DQ148" s="398" t="e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#N/A</v>
      </c>
      <c r="DR148" s="398">
        <f>ROUNDDOWN(VLOOKUP(Datos_Origen[[#This Row],[Categoria]],Competitividad_1[],7,0)*IndiceIncrementoC,-3)</f>
        <v>2167000</v>
      </c>
      <c r="DS148" s="398" t="e">
        <f>Datos_Origen[[#This Row],[CTeq]]*0.8</f>
        <v>#N/A</v>
      </c>
      <c r="DT148" s="398" t="e">
        <f>Datos_Origen[[#This Row],[CTeq]]*1.2</f>
        <v>#N/A</v>
      </c>
      <c r="DU148" s="397" t="e">
        <f>IF(Datos_Origen[[#This Row],[Gpol6]]/(1+FactorPrestacionalOrdinario)&lt;SMMLV,SMMLV,Datos_Origen[[#This Row],[Gpol6]]/(1+FactorPrestacionalOrdinario))</f>
        <v>#N/A</v>
      </c>
      <c r="DV148" s="510" t="e">
        <f>IF((Datos_Origen[[#This Row],[Gpol6]]/(1+FactorPrestacionalIntegral))&lt;(13*SMMLV),"",(Datos_Origen[[#This Row],[Gpol6]]/(1+FactorPrestacionalIntegral)))</f>
        <v>#N/A</v>
      </c>
      <c r="DW148" s="396" t="e">
        <f>Datos_Origen[[#This Row],[G+Vpol8]]</f>
        <v>#N/A</v>
      </c>
      <c r="DX148" s="396" t="e">
        <f>Datos_Origen[[#This Row],[Ctpol10]]-Datos_Origen[[#This Row],[Beneficios]]</f>
        <v>#N/A</v>
      </c>
      <c r="DY148" s="396" t="e">
        <f>Datos_Origen[[#This Row],[Ctpol]]*$CM$6</f>
        <v>#N/A</v>
      </c>
      <c r="DZ148" s="397" t="e">
        <f>IF(Datos_Origen[[#This Row],[Gpol66]]/(1+FactorPrestacionalOrdinario)&lt;SMMLV,SMMLV,Datos_Origen[[#This Row],[Gpol66]]/(1+FactorPrestacionalOrdinario))</f>
        <v>#N/A</v>
      </c>
      <c r="EA148" s="510" t="e">
        <f>IF((Datos_Origen[[#This Row],[Gpol66]]/(1+FactorPrestacionalIntegral))&lt;(13*SMMLV),"",(Datos_Origen[[#This Row],[Gpol66]]/(1+FactorPrestacionalIntegral)))</f>
        <v>#N/A</v>
      </c>
      <c r="EB148" s="396" t="e">
        <f>Datos_Origen[[#This Row],[G+Vpol88]]</f>
        <v>#N/A</v>
      </c>
      <c r="EC148" s="396" t="e">
        <f>Datos_Origen[[#This Row],[Ctpol1010]]-Datos_Origen[[#This Row],[Beneficios]]</f>
        <v>#N/A</v>
      </c>
      <c r="ED148" s="396" t="e">
        <f>Datos_Origen[[#This Row],[Ctpol]]*$CP$6</f>
        <v>#N/A</v>
      </c>
      <c r="EE148" s="398" t="e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#DIV/0!</v>
      </c>
    </row>
    <row r="149" spans="2:135">
      <c r="B149" s="148"/>
      <c r="C149" s="394"/>
      <c r="D149" s="404"/>
      <c r="E149" s="405"/>
      <c r="F149" s="405"/>
      <c r="G149" s="404" t="s">
        <v>902</v>
      </c>
      <c r="H149" s="395"/>
      <c r="I149" s="152"/>
      <c r="J149" s="406" t="str">
        <f>IFERROR(VLOOKUP(Datos_Origen[[#This Row],[Cargo Tipo Valorado]],Cargos_Catalogo[[#All],[Cargo]:[Área]],2,0),"")</f>
        <v/>
      </c>
      <c r="K149" s="395"/>
      <c r="L149" s="395"/>
      <c r="M149" s="395"/>
      <c r="N149" s="395"/>
      <c r="O149" s="396">
        <f>Datos_Origen[[#This Row],[Segmentación Individual]]</f>
        <v>0</v>
      </c>
      <c r="P149" s="395"/>
      <c r="Q149" s="396" t="e">
        <f>VLOOKUP(Datos_Origen[[#This Row],[Cargo Tipo Valorado]],Cargos_Catalogo[#Data],MATCH(Cargos_Catalogo[[#Headers],[Puntos]],Cargos_Catalogo[#Headers],0),FALSE)</f>
        <v>#N/A</v>
      </c>
      <c r="R149" s="406">
        <v>17</v>
      </c>
      <c r="S149" s="406" t="e">
        <f>VLOOKUP(Datos_Origen[[#This Row],[Cargo Tipo Valorado]],Cargos_Catalogo[#Data],MATCH(Cargos_Catalogo[[#Headers],[Nivel SHR]],Cargos_Catalogo[#Headers],0),FALSE)</f>
        <v>#N/A</v>
      </c>
      <c r="T149" s="406" t="e">
        <f>VLOOKUP(Datos_Origen[[#This Row],[Cargo Tipo Valorado]],Cargos_Catalogo[#Data],MATCH(Cargos_Catalogo[[#Headers],[Criticidad]],Cargos_Catalogo[#Headers],0),FALSE)</f>
        <v>#N/A</v>
      </c>
      <c r="U149" s="396" t="e">
        <f>VLOOKUP(Datos_Origen[[#This Row],[Puntos valoración]],Categorias_Registro[#Data],5,FALSE)</f>
        <v>#N/A</v>
      </c>
      <c r="V149" s="396" t="e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#DIV/0!</v>
      </c>
      <c r="W149" s="396" t="e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#DIV/0!</v>
      </c>
      <c r="X149" s="396">
        <f>SUMIF($BA$5:$BJ$5,"NCS",Datos_Origen[[#This Row],[auxilio Gasolina]:[Otro Beneficio10]])+(SUMIF($BA$5:$BJ$5,"CS",Datos_Origen[[#This Row],[auxilio Gasolina]:[Otro Beneficio10]])*1.17667)</f>
        <v>0</v>
      </c>
      <c r="Y149" s="397" t="e">
        <f>Datos_Origen[[#This Row],[Básico]]+Datos_Origen[[#This Row],[Promedio de Comisiones  ]]</f>
        <v>#DIV/0!</v>
      </c>
      <c r="Z149" s="397" t="e">
        <f>Datos_Origen[[#This Row],[Básico]]+Datos_Origen[[#This Row],[Promedio de Comisiones  ]]</f>
        <v>#DIV/0!</v>
      </c>
      <c r="AA149" s="397" t="e">
        <f>Datos_Origen[[#This Row],[Garantizado]]</f>
        <v>#DIV/0!</v>
      </c>
      <c r="AB149" s="397" t="e">
        <f>Datos_Origen[[#This Row],[Variable]]+Datos_Origen[[#This Row],[Garantizado]]</f>
        <v>#DIV/0!</v>
      </c>
      <c r="AC149" s="397" t="e">
        <f>Datos_Origen[[#This Row],[Beneficios]]+Datos_Origen[[#This Row],[Variable]]+Datos_Origen[[#This Row],[Garantizado]]</f>
        <v>#DIV/0!</v>
      </c>
      <c r="AD149" s="156"/>
      <c r="AE149" s="141"/>
      <c r="AF149" s="345"/>
      <c r="AG149" s="397" t="e">
        <f>Datos_Origen[[#This Row],[Básico Actual]]*230/Datos_Origen[[#This Row],['# horas mes]]</f>
        <v>#DIV/0!</v>
      </c>
      <c r="AH149" s="407"/>
      <c r="AI149" s="398"/>
      <c r="AJ149" s="398" t="e">
        <f>(((Datos_Origen[[#This Row],[Básico]])/30)*$AJ$6)/12</f>
        <v>#DIV/0!</v>
      </c>
      <c r="AK149" s="398"/>
      <c r="AL149" s="399" t="e">
        <f>((Datos_Origen[[#This Row],[Básico]])/30)*$AL$6/12</f>
        <v>#DIV/0!</v>
      </c>
      <c r="AM149" s="398"/>
      <c r="AN149" s="398"/>
      <c r="AO149" s="398"/>
      <c r="AP149" s="398"/>
      <c r="AQ149" s="398"/>
      <c r="AR149" s="394"/>
      <c r="AS149" s="394"/>
      <c r="AT149" s="400" t="str">
        <f>IFERROR(Datos_Origen[[#This Row],[Comisiones Target]]/Datos_Origen[[#This Row],[Promedio de Comisiones  ]],"")</f>
        <v/>
      </c>
      <c r="AU149" s="401"/>
      <c r="AV149" s="143" t="e">
        <f>Datos_Origen[[#This Row],[N Salarios de la Bonificación]]*Datos_Origen[[#This Row],[Básico]]/12</f>
        <v>#DIV/0!</v>
      </c>
      <c r="AW149" s="401"/>
      <c r="AX149" s="399" t="e">
        <f>Datos_Origen[[#This Row],[N Salarios de la Bonificación2]]*Datos_Origen[[#This Row],[Básico]]/12</f>
        <v>#DIV/0!</v>
      </c>
      <c r="AY149" s="401"/>
      <c r="AZ149" s="398"/>
      <c r="BA149" s="149"/>
      <c r="BB149" s="394"/>
      <c r="BC149" s="394"/>
      <c r="BD149" s="394"/>
      <c r="BE149" s="394"/>
      <c r="BF149" s="394"/>
      <c r="BG149" s="394"/>
      <c r="BH149" s="394"/>
      <c r="BI149" s="394"/>
      <c r="BJ149" s="394"/>
      <c r="BK149" s="400" t="str">
        <f>IFERROR(Datos_Origen[[#This Row],[Variable]]/Datos_Origen[[#This Row],[CT]],"")</f>
        <v/>
      </c>
      <c r="BL149" s="400" t="str">
        <f>IFERROR(Datos_Origen[[#This Row],[Beneficios]]/Datos_Origen[[#This Row],[CT]],"")</f>
        <v/>
      </c>
      <c r="BM149" s="397" t="e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#N/A</v>
      </c>
      <c r="BN149" s="402" t="e">
        <f>Datos_Origen[[#This Row],[G]]/Datos_Origen[[#This Row],[Geq]]</f>
        <v>#DIV/0!</v>
      </c>
      <c r="BO149" s="397" t="e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#N/A</v>
      </c>
      <c r="BP149" s="402" t="e">
        <f>Datos_Origen[[#This Row],[G+V]]/Datos_Origen[[#This Row],[G+Veq]]</f>
        <v>#DIV/0!</v>
      </c>
      <c r="BQ149" s="397" t="e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#N/A</v>
      </c>
      <c r="BR149" s="402" t="e">
        <f>Datos_Origen[[#This Row],[CT]]/Datos_Origen[[#This Row],[CTeq]]</f>
        <v>#DIV/0!</v>
      </c>
      <c r="BS149" s="510">
        <f>ROUNDUP(VLOOKUP(Datos_Origen[[#This Row],[Categoria]],Competitividad_1[#All],2,0)*IndiceIncrementoC,-3)</f>
        <v>20732000</v>
      </c>
      <c r="BT149" s="402" t="e">
        <f>Datos_Origen[[#This Row],[G]]/Datos_Origen[[#This Row],[GQ1]]</f>
        <v>#DIV/0!</v>
      </c>
      <c r="BU149" s="397">
        <f>ROUNDUP(VLOOKUP(Datos_Origen[[#This Row],[Categoria]],Competitividad_1[#All],3,0)*IndiceIncrementoC,-3)</f>
        <v>21854000</v>
      </c>
      <c r="BV149" s="402" t="e">
        <f>Datos_Origen[[#This Row],[G+V]]/Datos_Origen[[#This Row],[G+VQ1]]</f>
        <v>#DIV/0!</v>
      </c>
      <c r="BW149" s="397">
        <f>ROUNDUP(VLOOKUP(Datos_Origen[[#This Row],[Categoria]],Competitividad_1[#All],4,0)*IndiceIncrementoC,-3)</f>
        <v>22660000</v>
      </c>
      <c r="BX149" s="402" t="e">
        <f>Datos_Origen[[#This Row],[CT]]/Datos_Origen[[#This Row],[CTQ1]]</f>
        <v>#DIV/0!</v>
      </c>
      <c r="BY149" s="397">
        <f>ROUNDUP(VLOOKUP(Datos_Origen[[#This Row],[Categoria]],Competitividad_1[#All],5,0)*IndiceIncrementoC,-3)</f>
        <v>27821000</v>
      </c>
      <c r="BZ149" s="402" t="e">
        <f>Datos_Origen[[#This Row],[G]]/Datos_Origen[[#This Row],[GMd]]</f>
        <v>#DIV/0!</v>
      </c>
      <c r="CA149" s="397">
        <f>ROUNDUP(VLOOKUP(Datos_Origen[[#This Row],[Categoria]],Competitividad_1[#All],6,0)*IndiceIncrementoC,-3)</f>
        <v>28999000</v>
      </c>
      <c r="CB149" s="402" t="e">
        <f>Datos_Origen[[#This Row],[G+V]]/Datos_Origen[[#This Row],[G+VMd]]</f>
        <v>#DIV/0!</v>
      </c>
      <c r="CC149" s="397">
        <f>ROUNDUP(VLOOKUP(Datos_Origen[[#This Row],[Categoria]],Competitividad_1[#All],7,0)*IndiceIncrementoC,-3)</f>
        <v>29870000</v>
      </c>
      <c r="CD149" s="402" t="e">
        <f>Datos_Origen[[#This Row],[CT]]/Datos_Origen[[#This Row],[CTMd]]</f>
        <v>#DIV/0!</v>
      </c>
      <c r="CE149" s="397">
        <f>+Datos_Origen[[#This Row],[GMd]]/1.17666666667</f>
        <v>23643909.348374944</v>
      </c>
      <c r="CF149" s="402">
        <f>+Datos_Origen[[#This Row],[Básico Actual]]/Datos_Origen[[#This Row],[Salario Basico Md]]</f>
        <v>0</v>
      </c>
      <c r="CG149" s="397">
        <f>ROUNDUP(VLOOKUP(Datos_Origen[[#This Row],[Categoria]],Competitividad_1[#All],8,0)*IndiceIncrementoC,-3)</f>
        <v>32984000</v>
      </c>
      <c r="CH149" s="402" t="e">
        <f>Datos_Origen[[#This Row],[G]]/Datos_Origen[[#This Row],[GQ3]]</f>
        <v>#DIV/0!</v>
      </c>
      <c r="CI149" s="397">
        <f>ROUNDUP(VLOOKUP(Datos_Origen[[#This Row],[Categoria]],Competitividad_1[#All],9,0)*IndiceIncrementoC,-3)</f>
        <v>35078000</v>
      </c>
      <c r="CJ149" s="402" t="e">
        <f>Datos_Origen[[#This Row],[G+V]]/Datos_Origen[[#This Row],[G+VQ3]]</f>
        <v>#DIV/0!</v>
      </c>
      <c r="CK149" s="397">
        <f>ROUNDUP(VLOOKUP(Datos_Origen[[#This Row],[Categoria]],Competitividad_1[#All],10,0)*IndiceIncrementoC,-3)</f>
        <v>38304000</v>
      </c>
      <c r="CL149" s="402" t="e">
        <f>Datos_Origen[[#This Row],[CT]]/Datos_Origen[[#This Row],[CTQ3]]</f>
        <v>#DIV/0!</v>
      </c>
      <c r="CM149" s="403" t="e">
        <f>IF(ROUND(Datos_Origen[[#This Row],[Salario Ordinario Pol2]],-3)&lt;SMMLV,SMMLV,ROUND(Datos_Origen[[#This Row],[Salario Ordinario Pol2]],-3))</f>
        <v>#N/A</v>
      </c>
      <c r="CN149" s="397" t="e">
        <f>IF(Datos_Origen[[#This Row],[Gpol]]/(1+FactorPrestacionalOrdinario)&lt;SMMLV,SMMLV,Datos_Origen[[#This Row],[Gpol]]/(1+FactorPrestacionalOrdinario))</f>
        <v>#N/A</v>
      </c>
      <c r="CO149" s="402" t="str">
        <f>IFERROR(IF(Datos_Origen[[#This Row],[Salarios Año]]=14.12,Datos_Origen[[#This Row],[Básico]]/Datos_Origen[[#This Row],[Salario Ordinario Pol]],""),"")</f>
        <v/>
      </c>
      <c r="CP149" s="397" t="e">
        <f>IF(ROUND(Datos_Origen[[#This Row],[Salario Ordinario Pol22]],-3)&lt;SMMLV,SMMLV,ROUND(Datos_Origen[[#This Row],[Salario Ordinario Pol22]],-3))</f>
        <v>#N/A</v>
      </c>
      <c r="CQ149" s="397" t="str">
        <f>IFERROR(ROUND(Datos_Origen[[#This Row],[Salario Integral Pol4]],-3),"")</f>
        <v/>
      </c>
      <c r="CR149" s="510" t="e">
        <f>IF((Datos_Origen[[#This Row],[Gpol]]/(1+FactorPrestacionalIntegral))&lt;(13*SMMLV),"",(Datos_Origen[[#This Row],[Gpol]]/(1+FactorPrestacionalIntegral)))</f>
        <v>#N/A</v>
      </c>
      <c r="CS149" s="402" t="str">
        <f>IFERROR(IF(Datos_Origen[[#This Row],[Salarios Año]]=12,Datos_Origen[[#This Row],[Básico]]/Datos_Origen[[#This Row],[Salario Integral Pol]],""),"")</f>
        <v/>
      </c>
      <c r="CT149" s="397" t="str">
        <f>IFERROR(ROUND(Datos_Origen[[#This Row],[Salario Integral Pol44]],-3),"")</f>
        <v/>
      </c>
      <c r="CU149" s="397" t="e">
        <f>Datos_Origen[[#This Row],[G+Vpol]]-Datos_Origen[[#This Row],[Variable]]</f>
        <v>#N/A</v>
      </c>
      <c r="CV149" s="402" t="e">
        <f>Datos_Origen[[#This Row],[G]]/Datos_Origen[[#This Row],[Gpol]]</f>
        <v>#DIV/0!</v>
      </c>
      <c r="CW149" s="396" t="e">
        <f>Datos_Origen[[#This Row],[Ctpol]]-Datos_Origen[[#This Row],[Beneficios]]</f>
        <v>#N/A</v>
      </c>
      <c r="CX149" s="402" t="e">
        <f>Datos_Origen[[#This Row],[G+V]]/Datos_Origen[[#This Row],[G+Vpol]]</f>
        <v>#DIV/0!</v>
      </c>
      <c r="CY149" s="396" t="e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#N/A</v>
      </c>
      <c r="CZ149" s="402" t="e">
        <f>Datos_Origen[[#This Row],[CT]]/Datos_Origen[[#This Row],[Ctpol]]</f>
        <v>#DIV/0!</v>
      </c>
      <c r="DA149" s="398" t="e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#DIV/0!</v>
      </c>
      <c r="DB149" s="398" t="e">
        <f>IF(Datos_Origen[[#This Row],[Básico]]&lt;10*SMMLV,0,Datos_Origen[[#This Row],[Base Seguridad Social Actual]]*8.5%)</f>
        <v>#DIV/0!</v>
      </c>
      <c r="DC149" s="398" t="e">
        <f>Datos_Origen[[#This Row],[Base Seguridad Social Actual]]*12%</f>
        <v>#DIV/0!</v>
      </c>
      <c r="DD149" s="398" t="e">
        <f>Datos_Origen[[#This Row],[Base Seguridad Social Actual]]*Datos_Origen[[#This Row],[%ARL]]</f>
        <v>#DIV/0!</v>
      </c>
      <c r="DE149" s="398" t="e">
        <f>IF(Datos_Origen[[#This Row],[Básico]]&lt;10*SMMLV,Datos_Origen[[#This Row],[Base Seguridad Social Actual]]*4%,Datos_Origen[[#This Row],[Base Seguridad Social Actual]]*9%)</f>
        <v>#DIV/0!</v>
      </c>
      <c r="DF149" s="398" t="e">
        <f>Datos_Origen[[#This Row],[Salud]]+Datos_Origen[[#This Row],[Pensión]]+Datos_Origen[[#This Row],[ARL]]+Datos_Origen[[#This Row],[Parafiscales]]</f>
        <v>#DIV/0!</v>
      </c>
      <c r="DG149" s="408" t="e">
        <f>Datos_Origen[[#This Row],[Costo Laboral Actual]]+Datos_Origen[[#This Row],[CT]]</f>
        <v>#DIV/0!</v>
      </c>
      <c r="DH149" s="398" t="e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#DIV/0!</v>
      </c>
      <c r="DI149" s="398" t="e">
        <f>IF(IF(Datos_Origen[[#This Row],[Salarios Año]]=12,Datos_Origen[[#This Row],[Salario Integral Pol]],Datos_Origen[[#This Row],[Salario Ordinario Pol]])&lt;10*SMMLV,0,Datos_Origen[[#This Row],[Base Seguridad Social Nueva]]*8.5%)</f>
        <v>#N/A</v>
      </c>
      <c r="DJ149" s="398" t="e">
        <f>Datos_Origen[[#This Row],[Base Seguridad Social Nueva]]*12%</f>
        <v>#DIV/0!</v>
      </c>
      <c r="DK149" s="398" t="e">
        <f>Datos_Origen[[#This Row],[Base Seguridad Social Nueva]]*Datos_Origen[[#This Row],[%ARL]]</f>
        <v>#DIV/0!</v>
      </c>
      <c r="DL149" s="398" t="e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#N/A</v>
      </c>
      <c r="DM149" s="398" t="e">
        <f>Datos_Origen[[#This Row],[Salud Nueva]]+Datos_Origen[[#This Row],[Pensión Nueva]]+Datos_Origen[[#This Row],[ARL nueva]]+Datos_Origen[[#This Row],[Parafiscales Nuevos]]</f>
        <v>#N/A</v>
      </c>
      <c r="DN149" s="398" t="e">
        <f>Datos_Origen[[#This Row],[Costo Laboral Nuevo]]+Datos_Origen[[#This Row],[Ctpol]]</f>
        <v>#N/A</v>
      </c>
      <c r="DO149" s="398" t="e">
        <f>IF(Datos_Origen[[#This Row],[Ctpol]]-Datos_Origen[[#This Row],[CT]]&lt;=0,0,Datos_Origen[[#This Row],[Costo Total Nuevo]]-Datos_Origen[[#This Row],[Costo Total Actual]])</f>
        <v>#N/A</v>
      </c>
      <c r="DP149" s="398" t="e">
        <f>IF(Datos_Origen[[#This Row],[Ctpol]]-Datos_Origen[[#This Row],[CT]]&lt;=0,0,Datos_Origen[[#This Row],[Ctpol]]-Datos_Origen[[#This Row],[CT]])</f>
        <v>#N/A</v>
      </c>
      <c r="DQ149" s="398" t="e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#N/A</v>
      </c>
      <c r="DR149" s="398">
        <f>ROUNDDOWN(VLOOKUP(Datos_Origen[[#This Row],[Categoria]],Competitividad_1[],7,0)*IndiceIncrementoC,-3)</f>
        <v>29869000</v>
      </c>
      <c r="DS149" s="398" t="e">
        <f>Datos_Origen[[#This Row],[CTeq]]*0.8</f>
        <v>#N/A</v>
      </c>
      <c r="DT149" s="398" t="e">
        <f>Datos_Origen[[#This Row],[CTeq]]*1.2</f>
        <v>#N/A</v>
      </c>
      <c r="DU149" s="397" t="e">
        <f>IF(Datos_Origen[[#This Row],[Gpol6]]/(1+FactorPrestacionalOrdinario)&lt;SMMLV,SMMLV,Datos_Origen[[#This Row],[Gpol6]]/(1+FactorPrestacionalOrdinario))</f>
        <v>#N/A</v>
      </c>
      <c r="DV149" s="510" t="e">
        <f>IF((Datos_Origen[[#This Row],[Gpol6]]/(1+FactorPrestacionalIntegral))&lt;(13*SMMLV),"",(Datos_Origen[[#This Row],[Gpol6]]/(1+FactorPrestacionalIntegral)))</f>
        <v>#N/A</v>
      </c>
      <c r="DW149" s="396" t="e">
        <f>Datos_Origen[[#This Row],[G+Vpol8]]</f>
        <v>#N/A</v>
      </c>
      <c r="DX149" s="396" t="e">
        <f>Datos_Origen[[#This Row],[Ctpol10]]-Datos_Origen[[#This Row],[Beneficios]]</f>
        <v>#N/A</v>
      </c>
      <c r="DY149" s="396" t="e">
        <f>Datos_Origen[[#This Row],[Ctpol]]*$CM$6</f>
        <v>#N/A</v>
      </c>
      <c r="DZ149" s="397" t="e">
        <f>IF(Datos_Origen[[#This Row],[Gpol66]]/(1+FactorPrestacionalOrdinario)&lt;SMMLV,SMMLV,Datos_Origen[[#This Row],[Gpol66]]/(1+FactorPrestacionalOrdinario))</f>
        <v>#N/A</v>
      </c>
      <c r="EA149" s="510" t="e">
        <f>IF((Datos_Origen[[#This Row],[Gpol66]]/(1+FactorPrestacionalIntegral))&lt;(13*SMMLV),"",(Datos_Origen[[#This Row],[Gpol66]]/(1+FactorPrestacionalIntegral)))</f>
        <v>#N/A</v>
      </c>
      <c r="EB149" s="396" t="e">
        <f>Datos_Origen[[#This Row],[G+Vpol88]]</f>
        <v>#N/A</v>
      </c>
      <c r="EC149" s="396" t="e">
        <f>Datos_Origen[[#This Row],[Ctpol1010]]-Datos_Origen[[#This Row],[Beneficios]]</f>
        <v>#N/A</v>
      </c>
      <c r="ED149" s="396" t="e">
        <f>Datos_Origen[[#This Row],[Ctpol]]*$CP$6</f>
        <v>#N/A</v>
      </c>
      <c r="EE149" s="398" t="e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#DIV/0!</v>
      </c>
    </row>
    <row r="150" spans="2:135">
      <c r="B150" s="148"/>
      <c r="C150" s="394"/>
      <c r="D150" s="404"/>
      <c r="E150" s="405"/>
      <c r="F150" s="405"/>
      <c r="G150" s="404" t="s">
        <v>903</v>
      </c>
      <c r="H150" s="395"/>
      <c r="I150" s="152"/>
      <c r="J150" s="406" t="str">
        <f>IFERROR(VLOOKUP(Datos_Origen[[#This Row],[Cargo Tipo Valorado]],Cargos_Catalogo[[#All],[Cargo]:[Área]],2,0),"")</f>
        <v/>
      </c>
      <c r="K150" s="395"/>
      <c r="L150" s="395"/>
      <c r="M150" s="395"/>
      <c r="N150" s="395"/>
      <c r="O150" s="396">
        <f>Datos_Origen[[#This Row],[Segmentación Individual]]</f>
        <v>0</v>
      </c>
      <c r="P150" s="395"/>
      <c r="Q150" s="396" t="e">
        <f>VLOOKUP(Datos_Origen[[#This Row],[Cargo Tipo Valorado]],Cargos_Catalogo[#Data],MATCH(Cargos_Catalogo[[#Headers],[Puntos]],Cargos_Catalogo[#Headers],0),FALSE)</f>
        <v>#N/A</v>
      </c>
      <c r="R150" s="406">
        <v>19</v>
      </c>
      <c r="S150" s="406" t="e">
        <f>VLOOKUP(Datos_Origen[[#This Row],[Cargo Tipo Valorado]],Cargos_Catalogo[#Data],MATCH(Cargos_Catalogo[[#Headers],[Nivel SHR]],Cargos_Catalogo[#Headers],0),FALSE)</f>
        <v>#N/A</v>
      </c>
      <c r="T150" s="406" t="e">
        <f>VLOOKUP(Datos_Origen[[#This Row],[Cargo Tipo Valorado]],Cargos_Catalogo[#Data],MATCH(Cargos_Catalogo[[#Headers],[Criticidad]],Cargos_Catalogo[#Headers],0),FALSE)</f>
        <v>#N/A</v>
      </c>
      <c r="U150" s="396" t="e">
        <f>VLOOKUP(Datos_Origen[[#This Row],[Puntos valoración]],Categorias_Registro[#Data],5,FALSE)</f>
        <v>#N/A</v>
      </c>
      <c r="V150" s="396" t="e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#DIV/0!</v>
      </c>
      <c r="W150" s="396" t="e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#DIV/0!</v>
      </c>
      <c r="X150" s="396">
        <f>SUMIF($BA$5:$BJ$5,"NCS",Datos_Origen[[#This Row],[auxilio Gasolina]:[Otro Beneficio10]])+(SUMIF($BA$5:$BJ$5,"CS",Datos_Origen[[#This Row],[auxilio Gasolina]:[Otro Beneficio10]])*1.17667)</f>
        <v>0</v>
      </c>
      <c r="Y150" s="397" t="e">
        <f>Datos_Origen[[#This Row],[Básico]]+Datos_Origen[[#This Row],[Promedio de Comisiones  ]]</f>
        <v>#DIV/0!</v>
      </c>
      <c r="Z150" s="397" t="e">
        <f>Datos_Origen[[#This Row],[Básico]]+Datos_Origen[[#This Row],[Promedio de Comisiones  ]]</f>
        <v>#DIV/0!</v>
      </c>
      <c r="AA150" s="397" t="e">
        <f>Datos_Origen[[#This Row],[Garantizado]]</f>
        <v>#DIV/0!</v>
      </c>
      <c r="AB150" s="397" t="e">
        <f>Datos_Origen[[#This Row],[Variable]]+Datos_Origen[[#This Row],[Garantizado]]</f>
        <v>#DIV/0!</v>
      </c>
      <c r="AC150" s="397" t="e">
        <f>Datos_Origen[[#This Row],[Beneficios]]+Datos_Origen[[#This Row],[Variable]]+Datos_Origen[[#This Row],[Garantizado]]</f>
        <v>#DIV/0!</v>
      </c>
      <c r="AD150" s="156"/>
      <c r="AE150" s="141"/>
      <c r="AF150" s="345"/>
      <c r="AG150" s="397" t="e">
        <f>Datos_Origen[[#This Row],[Básico Actual]]*230/Datos_Origen[[#This Row],['# horas mes]]</f>
        <v>#DIV/0!</v>
      </c>
      <c r="AH150" s="407"/>
      <c r="AI150" s="398"/>
      <c r="AJ150" s="398" t="e">
        <f>(((Datos_Origen[[#This Row],[Básico]])/30)*$AJ$6)/12</f>
        <v>#DIV/0!</v>
      </c>
      <c r="AK150" s="398"/>
      <c r="AL150" s="399" t="e">
        <f>((Datos_Origen[[#This Row],[Básico]])/30)*$AL$6/12</f>
        <v>#DIV/0!</v>
      </c>
      <c r="AM150" s="398"/>
      <c r="AN150" s="398"/>
      <c r="AO150" s="398"/>
      <c r="AP150" s="398"/>
      <c r="AQ150" s="398"/>
      <c r="AR150" s="394"/>
      <c r="AS150" s="394"/>
      <c r="AT150" s="400" t="str">
        <f>IFERROR(Datos_Origen[[#This Row],[Comisiones Target]]/Datos_Origen[[#This Row],[Promedio de Comisiones  ]],"")</f>
        <v/>
      </c>
      <c r="AU150" s="401"/>
      <c r="AV150" s="143" t="e">
        <f>Datos_Origen[[#This Row],[N Salarios de la Bonificación]]*Datos_Origen[[#This Row],[Básico]]/12</f>
        <v>#DIV/0!</v>
      </c>
      <c r="AW150" s="401"/>
      <c r="AX150" s="399" t="e">
        <f>Datos_Origen[[#This Row],[N Salarios de la Bonificación2]]*Datos_Origen[[#This Row],[Básico]]/12</f>
        <v>#DIV/0!</v>
      </c>
      <c r="AY150" s="401"/>
      <c r="AZ150" s="398"/>
      <c r="BA150" s="149"/>
      <c r="BB150" s="394"/>
      <c r="BC150" s="394"/>
      <c r="BD150" s="394"/>
      <c r="BE150" s="394"/>
      <c r="BF150" s="394"/>
      <c r="BG150" s="394"/>
      <c r="BH150" s="394"/>
      <c r="BI150" s="394"/>
      <c r="BJ150" s="394"/>
      <c r="BK150" s="400" t="str">
        <f>IFERROR(Datos_Origen[[#This Row],[Variable]]/Datos_Origen[[#This Row],[CT]],"")</f>
        <v/>
      </c>
      <c r="BL150" s="400" t="str">
        <f>IFERROR(Datos_Origen[[#This Row],[Beneficios]]/Datos_Origen[[#This Row],[CT]],"")</f>
        <v/>
      </c>
      <c r="BM150" s="397" t="e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#N/A</v>
      </c>
      <c r="BN150" s="402" t="e">
        <f>Datos_Origen[[#This Row],[G]]/Datos_Origen[[#This Row],[Geq]]</f>
        <v>#DIV/0!</v>
      </c>
      <c r="BO150" s="397" t="e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#N/A</v>
      </c>
      <c r="BP150" s="402" t="e">
        <f>Datos_Origen[[#This Row],[G+V]]/Datos_Origen[[#This Row],[G+Veq]]</f>
        <v>#DIV/0!</v>
      </c>
      <c r="BQ150" s="397" t="e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#N/A</v>
      </c>
      <c r="BR150" s="402" t="e">
        <f>Datos_Origen[[#This Row],[CT]]/Datos_Origen[[#This Row],[CTeq]]</f>
        <v>#DIV/0!</v>
      </c>
      <c r="BS150" s="510">
        <f>ROUNDUP(VLOOKUP(Datos_Origen[[#This Row],[Categoria]],Competitividad_1[#All],2,0)*IndiceIncrementoC,-3)</f>
        <v>29830000</v>
      </c>
      <c r="BT150" s="402" t="e">
        <f>Datos_Origen[[#This Row],[G]]/Datos_Origen[[#This Row],[GQ1]]</f>
        <v>#DIV/0!</v>
      </c>
      <c r="BU150" s="397">
        <f>ROUNDUP(VLOOKUP(Datos_Origen[[#This Row],[Categoria]],Competitividad_1[#All],3,0)*IndiceIncrementoC,-3)</f>
        <v>31509000</v>
      </c>
      <c r="BV150" s="402" t="e">
        <f>Datos_Origen[[#This Row],[G+V]]/Datos_Origen[[#This Row],[G+VQ1]]</f>
        <v>#DIV/0!</v>
      </c>
      <c r="BW150" s="397">
        <f>ROUNDUP(VLOOKUP(Datos_Origen[[#This Row],[Categoria]],Competitividad_1[#All],4,0)*IndiceIncrementoC,-3)</f>
        <v>32625000</v>
      </c>
      <c r="BX150" s="402" t="e">
        <f>Datos_Origen[[#This Row],[CT]]/Datos_Origen[[#This Row],[CTQ1]]</f>
        <v>#DIV/0!</v>
      </c>
      <c r="BY150" s="397">
        <f>ROUNDUP(VLOOKUP(Datos_Origen[[#This Row],[Categoria]],Competitividad_1[#All],5,0)*IndiceIncrementoC,-3)</f>
        <v>42412000</v>
      </c>
      <c r="BZ150" s="402" t="e">
        <f>Datos_Origen[[#This Row],[G]]/Datos_Origen[[#This Row],[GMd]]</f>
        <v>#DIV/0!</v>
      </c>
      <c r="CA150" s="397">
        <f>ROUNDUP(VLOOKUP(Datos_Origen[[#This Row],[Categoria]],Competitividad_1[#All],6,0)*IndiceIncrementoC,-3)</f>
        <v>44253000</v>
      </c>
      <c r="CB150" s="402" t="e">
        <f>Datos_Origen[[#This Row],[G+V]]/Datos_Origen[[#This Row],[G+VMd]]</f>
        <v>#DIV/0!</v>
      </c>
      <c r="CC150" s="397">
        <f>ROUNDUP(VLOOKUP(Datos_Origen[[#This Row],[Categoria]],Competitividad_1[#All],7,0)*IndiceIncrementoC,-3)</f>
        <v>45474000</v>
      </c>
      <c r="CD150" s="402" t="e">
        <f>Datos_Origen[[#This Row],[CT]]/Datos_Origen[[#This Row],[CTMd]]</f>
        <v>#DIV/0!</v>
      </c>
      <c r="CE150" s="397">
        <f>+Datos_Origen[[#This Row],[GMd]]/1.17666666667</f>
        <v>36044192.634458795</v>
      </c>
      <c r="CF150" s="402">
        <f>+Datos_Origen[[#This Row],[Básico Actual]]/Datos_Origen[[#This Row],[Salario Basico Md]]</f>
        <v>0</v>
      </c>
      <c r="CG150" s="397">
        <f>ROUNDUP(VLOOKUP(Datos_Origen[[#This Row],[Categoria]],Competitividad_1[#All],8,0)*IndiceIncrementoC,-3)</f>
        <v>54229000</v>
      </c>
      <c r="CH150" s="402" t="e">
        <f>Datos_Origen[[#This Row],[G]]/Datos_Origen[[#This Row],[GQ3]]</f>
        <v>#DIV/0!</v>
      </c>
      <c r="CI150" s="397">
        <f>ROUNDUP(VLOOKUP(Datos_Origen[[#This Row],[Categoria]],Competitividad_1[#All],9,0)*IndiceIncrementoC,-3)</f>
        <v>58349000</v>
      </c>
      <c r="CJ150" s="402" t="e">
        <f>Datos_Origen[[#This Row],[G+V]]/Datos_Origen[[#This Row],[G+VQ3]]</f>
        <v>#DIV/0!</v>
      </c>
      <c r="CK150" s="397">
        <f>ROUNDUP(VLOOKUP(Datos_Origen[[#This Row],[Categoria]],Competitividad_1[#All],10,0)*IndiceIncrementoC,-3)</f>
        <v>65336000</v>
      </c>
      <c r="CL150" s="402" t="e">
        <f>Datos_Origen[[#This Row],[CT]]/Datos_Origen[[#This Row],[CTQ3]]</f>
        <v>#DIV/0!</v>
      </c>
      <c r="CM150" s="403" t="e">
        <f>IF(ROUND(Datos_Origen[[#This Row],[Salario Ordinario Pol2]],-3)&lt;SMMLV,SMMLV,ROUND(Datos_Origen[[#This Row],[Salario Ordinario Pol2]],-3))</f>
        <v>#N/A</v>
      </c>
      <c r="CN150" s="397" t="e">
        <f>IF(Datos_Origen[[#This Row],[Gpol]]/(1+FactorPrestacionalOrdinario)&lt;SMMLV,SMMLV,Datos_Origen[[#This Row],[Gpol]]/(1+FactorPrestacionalOrdinario))</f>
        <v>#N/A</v>
      </c>
      <c r="CO150" s="402" t="str">
        <f>IFERROR(IF(Datos_Origen[[#This Row],[Salarios Año]]=14.12,Datos_Origen[[#This Row],[Básico]]/Datos_Origen[[#This Row],[Salario Ordinario Pol]],""),"")</f>
        <v/>
      </c>
      <c r="CP150" s="397" t="e">
        <f>IF(ROUND(Datos_Origen[[#This Row],[Salario Ordinario Pol22]],-3)&lt;SMMLV,SMMLV,ROUND(Datos_Origen[[#This Row],[Salario Ordinario Pol22]],-3))</f>
        <v>#N/A</v>
      </c>
      <c r="CQ150" s="397" t="str">
        <f>IFERROR(ROUND(Datos_Origen[[#This Row],[Salario Integral Pol4]],-3),"")</f>
        <v/>
      </c>
      <c r="CR150" s="510" t="e">
        <f>IF((Datos_Origen[[#This Row],[Gpol]]/(1+FactorPrestacionalIntegral))&lt;(13*SMMLV),"",(Datos_Origen[[#This Row],[Gpol]]/(1+FactorPrestacionalIntegral)))</f>
        <v>#N/A</v>
      </c>
      <c r="CS150" s="402" t="str">
        <f>IFERROR(IF(Datos_Origen[[#This Row],[Salarios Año]]=12,Datos_Origen[[#This Row],[Básico]]/Datos_Origen[[#This Row],[Salario Integral Pol]],""),"")</f>
        <v/>
      </c>
      <c r="CT150" s="397" t="str">
        <f>IFERROR(ROUND(Datos_Origen[[#This Row],[Salario Integral Pol44]],-3),"")</f>
        <v/>
      </c>
      <c r="CU150" s="397" t="e">
        <f>Datos_Origen[[#This Row],[G+Vpol]]-Datos_Origen[[#This Row],[Variable]]</f>
        <v>#N/A</v>
      </c>
      <c r="CV150" s="402" t="e">
        <f>Datos_Origen[[#This Row],[G]]/Datos_Origen[[#This Row],[Gpol]]</f>
        <v>#DIV/0!</v>
      </c>
      <c r="CW150" s="396" t="e">
        <f>Datos_Origen[[#This Row],[Ctpol]]-Datos_Origen[[#This Row],[Beneficios]]</f>
        <v>#N/A</v>
      </c>
      <c r="CX150" s="402" t="e">
        <f>Datos_Origen[[#This Row],[G+V]]/Datos_Origen[[#This Row],[G+Vpol]]</f>
        <v>#DIV/0!</v>
      </c>
      <c r="CY150" s="396" t="e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#N/A</v>
      </c>
      <c r="CZ150" s="402" t="e">
        <f>Datos_Origen[[#This Row],[CT]]/Datos_Origen[[#This Row],[Ctpol]]</f>
        <v>#DIV/0!</v>
      </c>
      <c r="DA150" s="398" t="e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#DIV/0!</v>
      </c>
      <c r="DB150" s="398" t="e">
        <f>IF(Datos_Origen[[#This Row],[Básico]]&lt;10*SMMLV,0,Datos_Origen[[#This Row],[Base Seguridad Social Actual]]*8.5%)</f>
        <v>#DIV/0!</v>
      </c>
      <c r="DC150" s="398" t="e">
        <f>Datos_Origen[[#This Row],[Base Seguridad Social Actual]]*12%</f>
        <v>#DIV/0!</v>
      </c>
      <c r="DD150" s="398" t="e">
        <f>Datos_Origen[[#This Row],[Base Seguridad Social Actual]]*Datos_Origen[[#This Row],[%ARL]]</f>
        <v>#DIV/0!</v>
      </c>
      <c r="DE150" s="398" t="e">
        <f>IF(Datos_Origen[[#This Row],[Básico]]&lt;10*SMMLV,Datos_Origen[[#This Row],[Base Seguridad Social Actual]]*4%,Datos_Origen[[#This Row],[Base Seguridad Social Actual]]*9%)</f>
        <v>#DIV/0!</v>
      </c>
      <c r="DF150" s="398" t="e">
        <f>Datos_Origen[[#This Row],[Salud]]+Datos_Origen[[#This Row],[Pensión]]+Datos_Origen[[#This Row],[ARL]]+Datos_Origen[[#This Row],[Parafiscales]]</f>
        <v>#DIV/0!</v>
      </c>
      <c r="DG150" s="408" t="e">
        <f>Datos_Origen[[#This Row],[Costo Laboral Actual]]+Datos_Origen[[#This Row],[CT]]</f>
        <v>#DIV/0!</v>
      </c>
      <c r="DH150" s="398" t="e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#DIV/0!</v>
      </c>
      <c r="DI150" s="398" t="e">
        <f>IF(IF(Datos_Origen[[#This Row],[Salarios Año]]=12,Datos_Origen[[#This Row],[Salario Integral Pol]],Datos_Origen[[#This Row],[Salario Ordinario Pol]])&lt;10*SMMLV,0,Datos_Origen[[#This Row],[Base Seguridad Social Nueva]]*8.5%)</f>
        <v>#N/A</v>
      </c>
      <c r="DJ150" s="398" t="e">
        <f>Datos_Origen[[#This Row],[Base Seguridad Social Nueva]]*12%</f>
        <v>#DIV/0!</v>
      </c>
      <c r="DK150" s="398" t="e">
        <f>Datos_Origen[[#This Row],[Base Seguridad Social Nueva]]*Datos_Origen[[#This Row],[%ARL]]</f>
        <v>#DIV/0!</v>
      </c>
      <c r="DL150" s="398" t="e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#N/A</v>
      </c>
      <c r="DM150" s="398" t="e">
        <f>Datos_Origen[[#This Row],[Salud Nueva]]+Datos_Origen[[#This Row],[Pensión Nueva]]+Datos_Origen[[#This Row],[ARL nueva]]+Datos_Origen[[#This Row],[Parafiscales Nuevos]]</f>
        <v>#N/A</v>
      </c>
      <c r="DN150" s="398" t="e">
        <f>Datos_Origen[[#This Row],[Costo Laboral Nuevo]]+Datos_Origen[[#This Row],[Ctpol]]</f>
        <v>#N/A</v>
      </c>
      <c r="DO150" s="398" t="e">
        <f>IF(Datos_Origen[[#This Row],[Ctpol]]-Datos_Origen[[#This Row],[CT]]&lt;=0,0,Datos_Origen[[#This Row],[Costo Total Nuevo]]-Datos_Origen[[#This Row],[Costo Total Actual]])</f>
        <v>#N/A</v>
      </c>
      <c r="DP150" s="398" t="e">
        <f>IF(Datos_Origen[[#This Row],[Ctpol]]-Datos_Origen[[#This Row],[CT]]&lt;=0,0,Datos_Origen[[#This Row],[Ctpol]]-Datos_Origen[[#This Row],[CT]])</f>
        <v>#N/A</v>
      </c>
      <c r="DQ150" s="398" t="e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#N/A</v>
      </c>
      <c r="DR150" s="398">
        <f>ROUNDDOWN(VLOOKUP(Datos_Origen[[#This Row],[Categoria]],Competitividad_1[],7,0)*IndiceIncrementoC,-3)</f>
        <v>45473000</v>
      </c>
      <c r="DS150" s="398" t="e">
        <f>Datos_Origen[[#This Row],[CTeq]]*0.8</f>
        <v>#N/A</v>
      </c>
      <c r="DT150" s="398" t="e">
        <f>Datos_Origen[[#This Row],[CTeq]]*1.2</f>
        <v>#N/A</v>
      </c>
      <c r="DU150" s="397" t="e">
        <f>IF(Datos_Origen[[#This Row],[Gpol6]]/(1+FactorPrestacionalOrdinario)&lt;SMMLV,SMMLV,Datos_Origen[[#This Row],[Gpol6]]/(1+FactorPrestacionalOrdinario))</f>
        <v>#N/A</v>
      </c>
      <c r="DV150" s="510" t="e">
        <f>IF((Datos_Origen[[#This Row],[Gpol6]]/(1+FactorPrestacionalIntegral))&lt;(13*SMMLV),"",(Datos_Origen[[#This Row],[Gpol6]]/(1+FactorPrestacionalIntegral)))</f>
        <v>#N/A</v>
      </c>
      <c r="DW150" s="396" t="e">
        <f>Datos_Origen[[#This Row],[G+Vpol8]]</f>
        <v>#N/A</v>
      </c>
      <c r="DX150" s="396" t="e">
        <f>Datos_Origen[[#This Row],[Ctpol10]]-Datos_Origen[[#This Row],[Beneficios]]</f>
        <v>#N/A</v>
      </c>
      <c r="DY150" s="396" t="e">
        <f>Datos_Origen[[#This Row],[Ctpol]]*$CM$6</f>
        <v>#N/A</v>
      </c>
      <c r="DZ150" s="397" t="e">
        <f>IF(Datos_Origen[[#This Row],[Gpol66]]/(1+FactorPrestacionalOrdinario)&lt;SMMLV,SMMLV,Datos_Origen[[#This Row],[Gpol66]]/(1+FactorPrestacionalOrdinario))</f>
        <v>#N/A</v>
      </c>
      <c r="EA150" s="510" t="e">
        <f>IF((Datos_Origen[[#This Row],[Gpol66]]/(1+FactorPrestacionalIntegral))&lt;(13*SMMLV),"",(Datos_Origen[[#This Row],[Gpol66]]/(1+FactorPrestacionalIntegral)))</f>
        <v>#N/A</v>
      </c>
      <c r="EB150" s="396" t="e">
        <f>Datos_Origen[[#This Row],[G+Vpol88]]</f>
        <v>#N/A</v>
      </c>
      <c r="EC150" s="396" t="e">
        <f>Datos_Origen[[#This Row],[Ctpol1010]]-Datos_Origen[[#This Row],[Beneficios]]</f>
        <v>#N/A</v>
      </c>
      <c r="ED150" s="396" t="e">
        <f>Datos_Origen[[#This Row],[Ctpol]]*$CP$6</f>
        <v>#N/A</v>
      </c>
      <c r="EE150" s="398" t="e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#DIV/0!</v>
      </c>
    </row>
    <row r="151" spans="2:135">
      <c r="B151" s="148"/>
      <c r="C151" s="394"/>
      <c r="D151" s="404"/>
      <c r="E151" s="405"/>
      <c r="F151" s="405"/>
      <c r="G151" s="404" t="s">
        <v>904</v>
      </c>
      <c r="H151" s="395"/>
      <c r="I151" s="152"/>
      <c r="J151" s="406" t="str">
        <f>IFERROR(VLOOKUP(Datos_Origen[[#This Row],[Cargo Tipo Valorado]],Cargos_Catalogo[[#All],[Cargo]:[Área]],2,0),"")</f>
        <v/>
      </c>
      <c r="K151" s="395"/>
      <c r="L151" s="395"/>
      <c r="M151" s="395"/>
      <c r="N151" s="395"/>
      <c r="O151" s="396">
        <f>Datos_Origen[[#This Row],[Segmentación Individual]]</f>
        <v>0</v>
      </c>
      <c r="P151" s="395"/>
      <c r="Q151" s="396" t="e">
        <f>VLOOKUP(Datos_Origen[[#This Row],[Cargo Tipo Valorado]],Cargos_Catalogo[#Data],MATCH(Cargos_Catalogo[[#Headers],[Puntos]],Cargos_Catalogo[#Headers],0),FALSE)</f>
        <v>#N/A</v>
      </c>
      <c r="R151" s="406">
        <v>21</v>
      </c>
      <c r="S151" s="406" t="e">
        <f>VLOOKUP(Datos_Origen[[#This Row],[Cargo Tipo Valorado]],Cargos_Catalogo[#Data],MATCH(Cargos_Catalogo[[#Headers],[Nivel SHR]],Cargos_Catalogo[#Headers],0),FALSE)</f>
        <v>#N/A</v>
      </c>
      <c r="T151" s="406" t="e">
        <f>VLOOKUP(Datos_Origen[[#This Row],[Cargo Tipo Valorado]],Cargos_Catalogo[#Data],MATCH(Cargos_Catalogo[[#Headers],[Criticidad]],Cargos_Catalogo[#Headers],0),FALSE)</f>
        <v>#N/A</v>
      </c>
      <c r="U151" s="396" t="e">
        <f>VLOOKUP(Datos_Origen[[#This Row],[Puntos valoración]],Categorias_Registro[#Data],5,FALSE)</f>
        <v>#N/A</v>
      </c>
      <c r="V151" s="396" t="e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#DIV/0!</v>
      </c>
      <c r="W151" s="396" t="e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#DIV/0!</v>
      </c>
      <c r="X151" s="396">
        <f>SUMIF($BA$5:$BJ$5,"NCS",Datos_Origen[[#This Row],[auxilio Gasolina]:[Otro Beneficio10]])+(SUMIF($BA$5:$BJ$5,"CS",Datos_Origen[[#This Row],[auxilio Gasolina]:[Otro Beneficio10]])*1.17667)</f>
        <v>0</v>
      </c>
      <c r="Y151" s="397" t="e">
        <f>Datos_Origen[[#This Row],[Básico]]+Datos_Origen[[#This Row],[Promedio de Comisiones  ]]</f>
        <v>#DIV/0!</v>
      </c>
      <c r="Z151" s="397" t="e">
        <f>Datos_Origen[[#This Row],[Básico]]+Datos_Origen[[#This Row],[Promedio de Comisiones  ]]</f>
        <v>#DIV/0!</v>
      </c>
      <c r="AA151" s="397" t="e">
        <f>Datos_Origen[[#This Row],[Garantizado]]</f>
        <v>#DIV/0!</v>
      </c>
      <c r="AB151" s="397" t="e">
        <f>Datos_Origen[[#This Row],[Variable]]+Datos_Origen[[#This Row],[Garantizado]]</f>
        <v>#DIV/0!</v>
      </c>
      <c r="AC151" s="397" t="e">
        <f>Datos_Origen[[#This Row],[Beneficios]]+Datos_Origen[[#This Row],[Variable]]+Datos_Origen[[#This Row],[Garantizado]]</f>
        <v>#DIV/0!</v>
      </c>
      <c r="AD151" s="156"/>
      <c r="AE151" s="141"/>
      <c r="AF151" s="345"/>
      <c r="AG151" s="397" t="e">
        <f>Datos_Origen[[#This Row],[Básico Actual]]*230/Datos_Origen[[#This Row],['# horas mes]]</f>
        <v>#DIV/0!</v>
      </c>
      <c r="AH151" s="407"/>
      <c r="AI151" s="398"/>
      <c r="AJ151" s="398" t="e">
        <f>(((Datos_Origen[[#This Row],[Básico]])/30)*$AJ$6)/12</f>
        <v>#DIV/0!</v>
      </c>
      <c r="AK151" s="398"/>
      <c r="AL151" s="399" t="e">
        <f>((Datos_Origen[[#This Row],[Básico]])/30)*$AL$6/12</f>
        <v>#DIV/0!</v>
      </c>
      <c r="AM151" s="398"/>
      <c r="AN151" s="398"/>
      <c r="AO151" s="398"/>
      <c r="AP151" s="398"/>
      <c r="AQ151" s="398"/>
      <c r="AR151" s="394"/>
      <c r="AS151" s="394"/>
      <c r="AT151" s="400" t="str">
        <f>IFERROR(Datos_Origen[[#This Row],[Comisiones Target]]/Datos_Origen[[#This Row],[Promedio de Comisiones  ]],"")</f>
        <v/>
      </c>
      <c r="AU151" s="401"/>
      <c r="AV151" s="143" t="e">
        <f>Datos_Origen[[#This Row],[N Salarios de la Bonificación]]*Datos_Origen[[#This Row],[Básico]]/12</f>
        <v>#DIV/0!</v>
      </c>
      <c r="AW151" s="401"/>
      <c r="AX151" s="399" t="e">
        <f>Datos_Origen[[#This Row],[N Salarios de la Bonificación2]]*Datos_Origen[[#This Row],[Básico]]/12</f>
        <v>#DIV/0!</v>
      </c>
      <c r="AY151" s="401"/>
      <c r="AZ151" s="398"/>
      <c r="BA151" s="149"/>
      <c r="BB151" s="394"/>
      <c r="BC151" s="394"/>
      <c r="BD151" s="394"/>
      <c r="BE151" s="394"/>
      <c r="BF151" s="394"/>
      <c r="BG151" s="394"/>
      <c r="BH151" s="394"/>
      <c r="BI151" s="394"/>
      <c r="BJ151" s="394"/>
      <c r="BK151" s="400" t="str">
        <f>IFERROR(Datos_Origen[[#This Row],[Variable]]/Datos_Origen[[#This Row],[CT]],"")</f>
        <v/>
      </c>
      <c r="BL151" s="400" t="str">
        <f>IFERROR(Datos_Origen[[#This Row],[Beneficios]]/Datos_Origen[[#This Row],[CT]],"")</f>
        <v/>
      </c>
      <c r="BM151" s="397" t="e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#N/A</v>
      </c>
      <c r="BN151" s="402" t="e">
        <f>Datos_Origen[[#This Row],[G]]/Datos_Origen[[#This Row],[Geq]]</f>
        <v>#DIV/0!</v>
      </c>
      <c r="BO151" s="397" t="e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#N/A</v>
      </c>
      <c r="BP151" s="402" t="e">
        <f>Datos_Origen[[#This Row],[G+V]]/Datos_Origen[[#This Row],[G+Veq]]</f>
        <v>#DIV/0!</v>
      </c>
      <c r="BQ151" s="397" t="e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#N/A</v>
      </c>
      <c r="BR151" s="402" t="e">
        <f>Datos_Origen[[#This Row],[CT]]/Datos_Origen[[#This Row],[CTeq]]</f>
        <v>#DIV/0!</v>
      </c>
      <c r="BS151" s="510">
        <f>ROUNDUP(VLOOKUP(Datos_Origen[[#This Row],[Categoria]],Competitividad_1[#All],2,0)*IndiceIncrementoC,-3)</f>
        <v>41906000</v>
      </c>
      <c r="BT151" s="402" t="e">
        <f>Datos_Origen[[#This Row],[G]]/Datos_Origen[[#This Row],[GQ1]]</f>
        <v>#DIV/0!</v>
      </c>
      <c r="BU151" s="397">
        <f>ROUNDUP(VLOOKUP(Datos_Origen[[#This Row],[Categoria]],Competitividad_1[#All],3,0)*IndiceIncrementoC,-3)</f>
        <v>44325000</v>
      </c>
      <c r="BV151" s="402" t="e">
        <f>Datos_Origen[[#This Row],[G+V]]/Datos_Origen[[#This Row],[G+VQ1]]</f>
        <v>#DIV/0!</v>
      </c>
      <c r="BW151" s="397">
        <f>ROUNDUP(VLOOKUP(Datos_Origen[[#This Row],[Categoria]],Competitividad_1[#All],4,0)*IndiceIncrementoC,-3)</f>
        <v>45853000</v>
      </c>
      <c r="BX151" s="402" t="e">
        <f>Datos_Origen[[#This Row],[CT]]/Datos_Origen[[#This Row],[CTQ1]]</f>
        <v>#DIV/0!</v>
      </c>
      <c r="BY151" s="397">
        <f>ROUNDUP(VLOOKUP(Datos_Origen[[#This Row],[Categoria]],Competitividad_1[#All],5,0)*IndiceIncrementoC,-3)</f>
        <v>61779000</v>
      </c>
      <c r="BZ151" s="402" t="e">
        <f>Datos_Origen[[#This Row],[G]]/Datos_Origen[[#This Row],[GMd]]</f>
        <v>#DIV/0!</v>
      </c>
      <c r="CA151" s="397">
        <f>ROUNDUP(VLOOKUP(Datos_Origen[[#This Row],[Categoria]],Competitividad_1[#All],6,0)*IndiceIncrementoC,-3)</f>
        <v>64500000</v>
      </c>
      <c r="CB151" s="402" t="e">
        <f>Datos_Origen[[#This Row],[G+V]]/Datos_Origen[[#This Row],[G+VMd]]</f>
        <v>#DIV/0!</v>
      </c>
      <c r="CC151" s="397">
        <f>ROUNDUP(VLOOKUP(Datos_Origen[[#This Row],[Categoria]],Competitividad_1[#All],7,0)*IndiceIncrementoC,-3)</f>
        <v>66187000</v>
      </c>
      <c r="CD151" s="402" t="e">
        <f>Datos_Origen[[#This Row],[CT]]/Datos_Origen[[#This Row],[CTMd]]</f>
        <v>#DIV/0!</v>
      </c>
      <c r="CE151" s="397">
        <f>+Datos_Origen[[#This Row],[GMd]]/1.17666666667</f>
        <v>52503399.433279023</v>
      </c>
      <c r="CF151" s="402">
        <f>+Datos_Origen[[#This Row],[Básico Actual]]/Datos_Origen[[#This Row],[Salario Basico Md]]</f>
        <v>0</v>
      </c>
      <c r="CG151" s="397">
        <f>ROUNDUP(VLOOKUP(Datos_Origen[[#This Row],[Categoria]],Competitividad_1[#All],8,0)*IndiceIncrementoC,-3)</f>
        <v>82430000</v>
      </c>
      <c r="CH151" s="402" t="e">
        <f>Datos_Origen[[#This Row],[G]]/Datos_Origen[[#This Row],[GQ3]]</f>
        <v>#DIV/0!</v>
      </c>
      <c r="CI151" s="397">
        <f>ROUNDUP(VLOOKUP(Datos_Origen[[#This Row],[Categoria]],Competitividad_1[#All],9,0)*IndiceIncrementoC,-3)</f>
        <v>89237000</v>
      </c>
      <c r="CJ151" s="402" t="e">
        <f>Datos_Origen[[#This Row],[G+V]]/Datos_Origen[[#This Row],[G+VQ3]]</f>
        <v>#DIV/0!</v>
      </c>
      <c r="CK151" s="397">
        <f>ROUNDUP(VLOOKUP(Datos_Origen[[#This Row],[Categoria]],Competitividad_1[#All],10,0)*IndiceIncrementoC,-3)</f>
        <v>101219000</v>
      </c>
      <c r="CL151" s="402" t="e">
        <f>Datos_Origen[[#This Row],[CT]]/Datos_Origen[[#This Row],[CTQ3]]</f>
        <v>#DIV/0!</v>
      </c>
      <c r="CM151" s="403" t="e">
        <f>IF(ROUND(Datos_Origen[[#This Row],[Salario Ordinario Pol2]],-3)&lt;SMMLV,SMMLV,ROUND(Datos_Origen[[#This Row],[Salario Ordinario Pol2]],-3))</f>
        <v>#N/A</v>
      </c>
      <c r="CN151" s="397" t="e">
        <f>IF(Datos_Origen[[#This Row],[Gpol]]/(1+FactorPrestacionalOrdinario)&lt;SMMLV,SMMLV,Datos_Origen[[#This Row],[Gpol]]/(1+FactorPrestacionalOrdinario))</f>
        <v>#N/A</v>
      </c>
      <c r="CO151" s="402" t="str">
        <f>IFERROR(IF(Datos_Origen[[#This Row],[Salarios Año]]=14.12,Datos_Origen[[#This Row],[Básico]]/Datos_Origen[[#This Row],[Salario Ordinario Pol]],""),"")</f>
        <v/>
      </c>
      <c r="CP151" s="397" t="e">
        <f>IF(ROUND(Datos_Origen[[#This Row],[Salario Ordinario Pol22]],-3)&lt;SMMLV,SMMLV,ROUND(Datos_Origen[[#This Row],[Salario Ordinario Pol22]],-3))</f>
        <v>#N/A</v>
      </c>
      <c r="CQ151" s="397" t="str">
        <f>IFERROR(ROUND(Datos_Origen[[#This Row],[Salario Integral Pol4]],-3),"")</f>
        <v/>
      </c>
      <c r="CR151" s="510" t="e">
        <f>IF((Datos_Origen[[#This Row],[Gpol]]/(1+FactorPrestacionalIntegral))&lt;(13*SMMLV),"",(Datos_Origen[[#This Row],[Gpol]]/(1+FactorPrestacionalIntegral)))</f>
        <v>#N/A</v>
      </c>
      <c r="CS151" s="402" t="str">
        <f>IFERROR(IF(Datos_Origen[[#This Row],[Salarios Año]]=12,Datos_Origen[[#This Row],[Básico]]/Datos_Origen[[#This Row],[Salario Integral Pol]],""),"")</f>
        <v/>
      </c>
      <c r="CT151" s="397" t="str">
        <f>IFERROR(ROUND(Datos_Origen[[#This Row],[Salario Integral Pol44]],-3),"")</f>
        <v/>
      </c>
      <c r="CU151" s="397" t="e">
        <f>Datos_Origen[[#This Row],[G+Vpol]]-Datos_Origen[[#This Row],[Variable]]</f>
        <v>#N/A</v>
      </c>
      <c r="CV151" s="402" t="e">
        <f>Datos_Origen[[#This Row],[G]]/Datos_Origen[[#This Row],[Gpol]]</f>
        <v>#DIV/0!</v>
      </c>
      <c r="CW151" s="396" t="e">
        <f>Datos_Origen[[#This Row],[Ctpol]]-Datos_Origen[[#This Row],[Beneficios]]</f>
        <v>#N/A</v>
      </c>
      <c r="CX151" s="402" t="e">
        <f>Datos_Origen[[#This Row],[G+V]]/Datos_Origen[[#This Row],[G+Vpol]]</f>
        <v>#DIV/0!</v>
      </c>
      <c r="CY151" s="396" t="e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#N/A</v>
      </c>
      <c r="CZ151" s="402" t="e">
        <f>Datos_Origen[[#This Row],[CT]]/Datos_Origen[[#This Row],[Ctpol]]</f>
        <v>#DIV/0!</v>
      </c>
      <c r="DA151" s="398" t="e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#DIV/0!</v>
      </c>
      <c r="DB151" s="398" t="e">
        <f>IF(Datos_Origen[[#This Row],[Básico]]&lt;10*SMMLV,0,Datos_Origen[[#This Row],[Base Seguridad Social Actual]]*8.5%)</f>
        <v>#DIV/0!</v>
      </c>
      <c r="DC151" s="398" t="e">
        <f>Datos_Origen[[#This Row],[Base Seguridad Social Actual]]*12%</f>
        <v>#DIV/0!</v>
      </c>
      <c r="DD151" s="398" t="e">
        <f>Datos_Origen[[#This Row],[Base Seguridad Social Actual]]*Datos_Origen[[#This Row],[%ARL]]</f>
        <v>#DIV/0!</v>
      </c>
      <c r="DE151" s="398" t="e">
        <f>IF(Datos_Origen[[#This Row],[Básico]]&lt;10*SMMLV,Datos_Origen[[#This Row],[Base Seguridad Social Actual]]*4%,Datos_Origen[[#This Row],[Base Seguridad Social Actual]]*9%)</f>
        <v>#DIV/0!</v>
      </c>
      <c r="DF151" s="398" t="e">
        <f>Datos_Origen[[#This Row],[Salud]]+Datos_Origen[[#This Row],[Pensión]]+Datos_Origen[[#This Row],[ARL]]+Datos_Origen[[#This Row],[Parafiscales]]</f>
        <v>#DIV/0!</v>
      </c>
      <c r="DG151" s="408" t="e">
        <f>Datos_Origen[[#This Row],[Costo Laboral Actual]]+Datos_Origen[[#This Row],[CT]]</f>
        <v>#DIV/0!</v>
      </c>
      <c r="DH151" s="398" t="e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#DIV/0!</v>
      </c>
      <c r="DI151" s="398" t="e">
        <f>IF(IF(Datos_Origen[[#This Row],[Salarios Año]]=12,Datos_Origen[[#This Row],[Salario Integral Pol]],Datos_Origen[[#This Row],[Salario Ordinario Pol]])&lt;10*SMMLV,0,Datos_Origen[[#This Row],[Base Seguridad Social Nueva]]*8.5%)</f>
        <v>#N/A</v>
      </c>
      <c r="DJ151" s="398" t="e">
        <f>Datos_Origen[[#This Row],[Base Seguridad Social Nueva]]*12%</f>
        <v>#DIV/0!</v>
      </c>
      <c r="DK151" s="398" t="e">
        <f>Datos_Origen[[#This Row],[Base Seguridad Social Nueva]]*Datos_Origen[[#This Row],[%ARL]]</f>
        <v>#DIV/0!</v>
      </c>
      <c r="DL151" s="398" t="e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#N/A</v>
      </c>
      <c r="DM151" s="398" t="e">
        <f>Datos_Origen[[#This Row],[Salud Nueva]]+Datos_Origen[[#This Row],[Pensión Nueva]]+Datos_Origen[[#This Row],[ARL nueva]]+Datos_Origen[[#This Row],[Parafiscales Nuevos]]</f>
        <v>#N/A</v>
      </c>
      <c r="DN151" s="398" t="e">
        <f>Datos_Origen[[#This Row],[Costo Laboral Nuevo]]+Datos_Origen[[#This Row],[Ctpol]]</f>
        <v>#N/A</v>
      </c>
      <c r="DO151" s="398" t="e">
        <f>IF(Datos_Origen[[#This Row],[Ctpol]]-Datos_Origen[[#This Row],[CT]]&lt;=0,0,Datos_Origen[[#This Row],[Costo Total Nuevo]]-Datos_Origen[[#This Row],[Costo Total Actual]])</f>
        <v>#N/A</v>
      </c>
      <c r="DP151" s="398" t="e">
        <f>IF(Datos_Origen[[#This Row],[Ctpol]]-Datos_Origen[[#This Row],[CT]]&lt;=0,0,Datos_Origen[[#This Row],[Ctpol]]-Datos_Origen[[#This Row],[CT]])</f>
        <v>#N/A</v>
      </c>
      <c r="DQ151" s="398" t="e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#N/A</v>
      </c>
      <c r="DR151" s="398">
        <f>ROUNDDOWN(VLOOKUP(Datos_Origen[[#This Row],[Categoria]],Competitividad_1[],7,0)*IndiceIncrementoC,-3)</f>
        <v>66186000</v>
      </c>
      <c r="DS151" s="398" t="e">
        <f>Datos_Origen[[#This Row],[CTeq]]*0.8</f>
        <v>#N/A</v>
      </c>
      <c r="DT151" s="398" t="e">
        <f>Datos_Origen[[#This Row],[CTeq]]*1.2</f>
        <v>#N/A</v>
      </c>
      <c r="DU151" s="397" t="e">
        <f>IF(Datos_Origen[[#This Row],[Gpol6]]/(1+FactorPrestacionalOrdinario)&lt;SMMLV,SMMLV,Datos_Origen[[#This Row],[Gpol6]]/(1+FactorPrestacionalOrdinario))</f>
        <v>#N/A</v>
      </c>
      <c r="DV151" s="510" t="e">
        <f>IF((Datos_Origen[[#This Row],[Gpol6]]/(1+FactorPrestacionalIntegral))&lt;(13*SMMLV),"",(Datos_Origen[[#This Row],[Gpol6]]/(1+FactorPrestacionalIntegral)))</f>
        <v>#N/A</v>
      </c>
      <c r="DW151" s="396" t="e">
        <f>Datos_Origen[[#This Row],[G+Vpol8]]</f>
        <v>#N/A</v>
      </c>
      <c r="DX151" s="396" t="e">
        <f>Datos_Origen[[#This Row],[Ctpol10]]-Datos_Origen[[#This Row],[Beneficios]]</f>
        <v>#N/A</v>
      </c>
      <c r="DY151" s="396" t="e">
        <f>Datos_Origen[[#This Row],[Ctpol]]*$CM$6</f>
        <v>#N/A</v>
      </c>
      <c r="DZ151" s="397" t="e">
        <f>IF(Datos_Origen[[#This Row],[Gpol66]]/(1+FactorPrestacionalOrdinario)&lt;SMMLV,SMMLV,Datos_Origen[[#This Row],[Gpol66]]/(1+FactorPrestacionalOrdinario))</f>
        <v>#N/A</v>
      </c>
      <c r="EA151" s="510" t="e">
        <f>IF((Datos_Origen[[#This Row],[Gpol66]]/(1+FactorPrestacionalIntegral))&lt;(13*SMMLV),"",(Datos_Origen[[#This Row],[Gpol66]]/(1+FactorPrestacionalIntegral)))</f>
        <v>#N/A</v>
      </c>
      <c r="EB151" s="396" t="e">
        <f>Datos_Origen[[#This Row],[G+Vpol88]]</f>
        <v>#N/A</v>
      </c>
      <c r="EC151" s="396" t="e">
        <f>Datos_Origen[[#This Row],[Ctpol1010]]-Datos_Origen[[#This Row],[Beneficios]]</f>
        <v>#N/A</v>
      </c>
      <c r="ED151" s="396" t="e">
        <f>Datos_Origen[[#This Row],[Ctpol]]*$CP$6</f>
        <v>#N/A</v>
      </c>
      <c r="EE151" s="398" t="e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#DIV/0!</v>
      </c>
    </row>
    <row r="152" spans="2:135">
      <c r="B152" s="148"/>
      <c r="C152" s="394"/>
      <c r="D152" s="404"/>
      <c r="E152" s="405"/>
      <c r="F152" s="405"/>
      <c r="G152" s="404" t="s">
        <v>905</v>
      </c>
      <c r="H152" s="395"/>
      <c r="I152" s="152"/>
      <c r="J152" s="406" t="str">
        <f>IFERROR(VLOOKUP(Datos_Origen[[#This Row],[Cargo Tipo Valorado]],Cargos_Catalogo[[#All],[Cargo]:[Área]],2,0),"")</f>
        <v/>
      </c>
      <c r="K152" s="395"/>
      <c r="L152" s="395"/>
      <c r="M152" s="395"/>
      <c r="N152" s="395"/>
      <c r="O152" s="396">
        <f>Datos_Origen[[#This Row],[Segmentación Individual]]</f>
        <v>0</v>
      </c>
      <c r="P152" s="395"/>
      <c r="Q152" s="396" t="e">
        <f>VLOOKUP(Datos_Origen[[#This Row],[Cargo Tipo Valorado]],Cargos_Catalogo[#Data],MATCH(Cargos_Catalogo[[#Headers],[Puntos]],Cargos_Catalogo[#Headers],0),FALSE)</f>
        <v>#N/A</v>
      </c>
      <c r="R152" s="406">
        <v>22</v>
      </c>
      <c r="S152" s="406" t="e">
        <f>VLOOKUP(Datos_Origen[[#This Row],[Cargo Tipo Valorado]],Cargos_Catalogo[#Data],MATCH(Cargos_Catalogo[[#Headers],[Nivel SHR]],Cargos_Catalogo[#Headers],0),FALSE)</f>
        <v>#N/A</v>
      </c>
      <c r="T152" s="406" t="e">
        <f>VLOOKUP(Datos_Origen[[#This Row],[Cargo Tipo Valorado]],Cargos_Catalogo[#Data],MATCH(Cargos_Catalogo[[#Headers],[Criticidad]],Cargos_Catalogo[#Headers],0),FALSE)</f>
        <v>#N/A</v>
      </c>
      <c r="U152" s="396" t="e">
        <f>VLOOKUP(Datos_Origen[[#This Row],[Puntos valoración]],Categorias_Registro[#Data],5,FALSE)</f>
        <v>#N/A</v>
      </c>
      <c r="V152" s="396" t="e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#DIV/0!</v>
      </c>
      <c r="W152" s="396" t="e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#DIV/0!</v>
      </c>
      <c r="X152" s="396">
        <f>SUMIF($BA$5:$BJ$5,"NCS",Datos_Origen[[#This Row],[auxilio Gasolina]:[Otro Beneficio10]])+(SUMIF($BA$5:$BJ$5,"CS",Datos_Origen[[#This Row],[auxilio Gasolina]:[Otro Beneficio10]])*1.17667)</f>
        <v>0</v>
      </c>
      <c r="Y152" s="397" t="e">
        <f>Datos_Origen[[#This Row],[Básico]]+Datos_Origen[[#This Row],[Promedio de Comisiones  ]]</f>
        <v>#DIV/0!</v>
      </c>
      <c r="Z152" s="397" t="e">
        <f>Datos_Origen[[#This Row],[Básico]]+Datos_Origen[[#This Row],[Promedio de Comisiones  ]]</f>
        <v>#DIV/0!</v>
      </c>
      <c r="AA152" s="397" t="e">
        <f>Datos_Origen[[#This Row],[Garantizado]]</f>
        <v>#DIV/0!</v>
      </c>
      <c r="AB152" s="397" t="e">
        <f>Datos_Origen[[#This Row],[Variable]]+Datos_Origen[[#This Row],[Garantizado]]</f>
        <v>#DIV/0!</v>
      </c>
      <c r="AC152" s="397" t="e">
        <f>Datos_Origen[[#This Row],[Beneficios]]+Datos_Origen[[#This Row],[Variable]]+Datos_Origen[[#This Row],[Garantizado]]</f>
        <v>#DIV/0!</v>
      </c>
      <c r="AD152" s="156"/>
      <c r="AE152" s="141"/>
      <c r="AF152" s="345"/>
      <c r="AG152" s="397" t="e">
        <f>Datos_Origen[[#This Row],[Básico Actual]]*230/Datos_Origen[[#This Row],['# horas mes]]</f>
        <v>#DIV/0!</v>
      </c>
      <c r="AH152" s="407"/>
      <c r="AI152" s="398"/>
      <c r="AJ152" s="398" t="e">
        <f>(((Datos_Origen[[#This Row],[Básico]])/30)*$AJ$6)/12</f>
        <v>#DIV/0!</v>
      </c>
      <c r="AK152" s="398"/>
      <c r="AL152" s="399" t="e">
        <f>((Datos_Origen[[#This Row],[Básico]])/30)*$AL$6/12</f>
        <v>#DIV/0!</v>
      </c>
      <c r="AM152" s="398"/>
      <c r="AN152" s="398"/>
      <c r="AO152" s="398"/>
      <c r="AP152" s="398"/>
      <c r="AQ152" s="398"/>
      <c r="AR152" s="394"/>
      <c r="AS152" s="394"/>
      <c r="AT152" s="400" t="str">
        <f>IFERROR(Datos_Origen[[#This Row],[Comisiones Target]]/Datos_Origen[[#This Row],[Promedio de Comisiones  ]],"")</f>
        <v/>
      </c>
      <c r="AU152" s="401"/>
      <c r="AV152" s="143" t="e">
        <f>Datos_Origen[[#This Row],[N Salarios de la Bonificación]]*Datos_Origen[[#This Row],[Básico]]/12</f>
        <v>#DIV/0!</v>
      </c>
      <c r="AW152" s="401"/>
      <c r="AX152" s="399" t="e">
        <f>Datos_Origen[[#This Row],[N Salarios de la Bonificación2]]*Datos_Origen[[#This Row],[Básico]]/12</f>
        <v>#DIV/0!</v>
      </c>
      <c r="AY152" s="401"/>
      <c r="AZ152" s="398"/>
      <c r="BA152" s="149"/>
      <c r="BB152" s="394"/>
      <c r="BC152" s="394"/>
      <c r="BD152" s="394"/>
      <c r="BE152" s="394"/>
      <c r="BF152" s="394"/>
      <c r="BG152" s="394"/>
      <c r="BH152" s="394"/>
      <c r="BI152" s="394"/>
      <c r="BJ152" s="394"/>
      <c r="BK152" s="400" t="str">
        <f>IFERROR(Datos_Origen[[#This Row],[Variable]]/Datos_Origen[[#This Row],[CT]],"")</f>
        <v/>
      </c>
      <c r="BL152" s="400" t="str">
        <f>IFERROR(Datos_Origen[[#This Row],[Beneficios]]/Datos_Origen[[#This Row],[CT]],"")</f>
        <v/>
      </c>
      <c r="BM152" s="397" t="e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#N/A</v>
      </c>
      <c r="BN152" s="402" t="e">
        <f>Datos_Origen[[#This Row],[G]]/Datos_Origen[[#This Row],[Geq]]</f>
        <v>#DIV/0!</v>
      </c>
      <c r="BO152" s="397" t="e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#N/A</v>
      </c>
      <c r="BP152" s="402" t="e">
        <f>Datos_Origen[[#This Row],[G+V]]/Datos_Origen[[#This Row],[G+Veq]]</f>
        <v>#DIV/0!</v>
      </c>
      <c r="BQ152" s="397" t="e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#N/A</v>
      </c>
      <c r="BR152" s="402" t="e">
        <f>Datos_Origen[[#This Row],[CT]]/Datos_Origen[[#This Row],[CTeq]]</f>
        <v>#DIV/0!</v>
      </c>
      <c r="BS152" s="510">
        <f>ROUNDUP(VLOOKUP(Datos_Origen[[#This Row],[Categoria]],Competitividad_1[#All],2,0)*IndiceIncrementoC,-3)</f>
        <v>49321000</v>
      </c>
      <c r="BT152" s="402" t="e">
        <f>Datos_Origen[[#This Row],[G]]/Datos_Origen[[#This Row],[GQ1]]</f>
        <v>#DIV/0!</v>
      </c>
      <c r="BU152" s="397">
        <f>ROUNDUP(VLOOKUP(Datos_Origen[[#This Row],[Categoria]],Competitividad_1[#All],3,0)*IndiceIncrementoC,-3)</f>
        <v>52193000</v>
      </c>
      <c r="BV152" s="402" t="e">
        <f>Datos_Origen[[#This Row],[G+V]]/Datos_Origen[[#This Row],[G+VQ1]]</f>
        <v>#DIV/0!</v>
      </c>
      <c r="BW152" s="397">
        <f>ROUNDUP(VLOOKUP(Datos_Origen[[#This Row],[Categoria]],Competitividad_1[#All],4,0)*IndiceIncrementoC,-3)</f>
        <v>53974000</v>
      </c>
      <c r="BX152" s="402" t="e">
        <f>Datos_Origen[[#This Row],[CT]]/Datos_Origen[[#This Row],[CTQ1]]</f>
        <v>#DIV/0!</v>
      </c>
      <c r="BY152" s="397">
        <f>ROUNDUP(VLOOKUP(Datos_Origen[[#This Row],[Categoria]],Competitividad_1[#All],5,0)*IndiceIncrementoC,-3)</f>
        <v>73670000</v>
      </c>
      <c r="BZ152" s="402" t="e">
        <f>Datos_Origen[[#This Row],[G]]/Datos_Origen[[#This Row],[GMd]]</f>
        <v>#DIV/0!</v>
      </c>
      <c r="CA152" s="397">
        <f>ROUNDUP(VLOOKUP(Datos_Origen[[#This Row],[Categoria]],Competitividad_1[#All],6,0)*IndiceIncrementoC,-3)</f>
        <v>76931000</v>
      </c>
      <c r="CB152" s="402" t="e">
        <f>Datos_Origen[[#This Row],[G+V]]/Datos_Origen[[#This Row],[G+VMd]]</f>
        <v>#DIV/0!</v>
      </c>
      <c r="CC152" s="397">
        <f>ROUNDUP(VLOOKUP(Datos_Origen[[#This Row],[Categoria]],Competitividad_1[#All],7,0)*IndiceIncrementoC,-3)</f>
        <v>78904000</v>
      </c>
      <c r="CD152" s="402" t="e">
        <f>Datos_Origen[[#This Row],[CT]]/Datos_Origen[[#This Row],[CTMd]]</f>
        <v>#DIV/0!</v>
      </c>
      <c r="CE152" s="397">
        <f>+Datos_Origen[[#This Row],[GMd]]/1.17666666667</f>
        <v>62609065.15563</v>
      </c>
      <c r="CF152" s="402">
        <f>+Datos_Origen[[#This Row],[Básico Actual]]/Datos_Origen[[#This Row],[Salario Basico Md]]</f>
        <v>0</v>
      </c>
      <c r="CG152" s="397">
        <f>ROUNDUP(VLOOKUP(Datos_Origen[[#This Row],[Categoria]],Competitividad_1[#All],8,0)*IndiceIncrementoC,-3)</f>
        <v>99744000</v>
      </c>
      <c r="CH152" s="402" t="e">
        <f>Datos_Origen[[#This Row],[G]]/Datos_Origen[[#This Row],[GQ3]]</f>
        <v>#DIV/0!</v>
      </c>
      <c r="CI152" s="397">
        <f>ROUNDUP(VLOOKUP(Datos_Origen[[#This Row],[Categoria]],Competitividad_1[#All],9,0)*IndiceIncrementoC,-3)</f>
        <v>108201000</v>
      </c>
      <c r="CJ152" s="402" t="e">
        <f>Datos_Origen[[#This Row],[G+V]]/Datos_Origen[[#This Row],[G+VQ3]]</f>
        <v>#DIV/0!</v>
      </c>
      <c r="CK152" s="397">
        <f>ROUNDUP(VLOOKUP(Datos_Origen[[#This Row],[Categoria]],Competitividad_1[#All],10,0)*IndiceIncrementoC,-3)</f>
        <v>123248000</v>
      </c>
      <c r="CL152" s="402" t="e">
        <f>Datos_Origen[[#This Row],[CT]]/Datos_Origen[[#This Row],[CTQ3]]</f>
        <v>#DIV/0!</v>
      </c>
      <c r="CM152" s="403" t="e">
        <f>IF(ROUND(Datos_Origen[[#This Row],[Salario Ordinario Pol2]],-3)&lt;SMMLV,SMMLV,ROUND(Datos_Origen[[#This Row],[Salario Ordinario Pol2]],-3))</f>
        <v>#N/A</v>
      </c>
      <c r="CN152" s="397" t="e">
        <f>IF(Datos_Origen[[#This Row],[Gpol]]/(1+FactorPrestacionalOrdinario)&lt;SMMLV,SMMLV,Datos_Origen[[#This Row],[Gpol]]/(1+FactorPrestacionalOrdinario))</f>
        <v>#N/A</v>
      </c>
      <c r="CO152" s="402" t="str">
        <f>IFERROR(IF(Datos_Origen[[#This Row],[Salarios Año]]=14.12,Datos_Origen[[#This Row],[Básico]]/Datos_Origen[[#This Row],[Salario Ordinario Pol]],""),"")</f>
        <v/>
      </c>
      <c r="CP152" s="397" t="e">
        <f>IF(ROUND(Datos_Origen[[#This Row],[Salario Ordinario Pol22]],-3)&lt;SMMLV,SMMLV,ROUND(Datos_Origen[[#This Row],[Salario Ordinario Pol22]],-3))</f>
        <v>#N/A</v>
      </c>
      <c r="CQ152" s="397" t="str">
        <f>IFERROR(ROUND(Datos_Origen[[#This Row],[Salario Integral Pol4]],-3),"")</f>
        <v/>
      </c>
      <c r="CR152" s="510" t="e">
        <f>IF((Datos_Origen[[#This Row],[Gpol]]/(1+FactorPrestacionalIntegral))&lt;(13*SMMLV),"",(Datos_Origen[[#This Row],[Gpol]]/(1+FactorPrestacionalIntegral)))</f>
        <v>#N/A</v>
      </c>
      <c r="CS152" s="402" t="str">
        <f>IFERROR(IF(Datos_Origen[[#This Row],[Salarios Año]]=12,Datos_Origen[[#This Row],[Básico]]/Datos_Origen[[#This Row],[Salario Integral Pol]],""),"")</f>
        <v/>
      </c>
      <c r="CT152" s="397" t="str">
        <f>IFERROR(ROUND(Datos_Origen[[#This Row],[Salario Integral Pol44]],-3),"")</f>
        <v/>
      </c>
      <c r="CU152" s="397" t="e">
        <f>Datos_Origen[[#This Row],[G+Vpol]]-Datos_Origen[[#This Row],[Variable]]</f>
        <v>#N/A</v>
      </c>
      <c r="CV152" s="402" t="e">
        <f>Datos_Origen[[#This Row],[G]]/Datos_Origen[[#This Row],[Gpol]]</f>
        <v>#DIV/0!</v>
      </c>
      <c r="CW152" s="396" t="e">
        <f>Datos_Origen[[#This Row],[Ctpol]]-Datos_Origen[[#This Row],[Beneficios]]</f>
        <v>#N/A</v>
      </c>
      <c r="CX152" s="402" t="e">
        <f>Datos_Origen[[#This Row],[G+V]]/Datos_Origen[[#This Row],[G+Vpol]]</f>
        <v>#DIV/0!</v>
      </c>
      <c r="CY152" s="396" t="e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#N/A</v>
      </c>
      <c r="CZ152" s="402" t="e">
        <f>Datos_Origen[[#This Row],[CT]]/Datos_Origen[[#This Row],[Ctpol]]</f>
        <v>#DIV/0!</v>
      </c>
      <c r="DA152" s="398" t="e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#DIV/0!</v>
      </c>
      <c r="DB152" s="398" t="e">
        <f>IF(Datos_Origen[[#This Row],[Básico]]&lt;10*SMMLV,0,Datos_Origen[[#This Row],[Base Seguridad Social Actual]]*8.5%)</f>
        <v>#DIV/0!</v>
      </c>
      <c r="DC152" s="398" t="e">
        <f>Datos_Origen[[#This Row],[Base Seguridad Social Actual]]*12%</f>
        <v>#DIV/0!</v>
      </c>
      <c r="DD152" s="398" t="e">
        <f>Datos_Origen[[#This Row],[Base Seguridad Social Actual]]*Datos_Origen[[#This Row],[%ARL]]</f>
        <v>#DIV/0!</v>
      </c>
      <c r="DE152" s="398" t="e">
        <f>IF(Datos_Origen[[#This Row],[Básico]]&lt;10*SMMLV,Datos_Origen[[#This Row],[Base Seguridad Social Actual]]*4%,Datos_Origen[[#This Row],[Base Seguridad Social Actual]]*9%)</f>
        <v>#DIV/0!</v>
      </c>
      <c r="DF152" s="398" t="e">
        <f>Datos_Origen[[#This Row],[Salud]]+Datos_Origen[[#This Row],[Pensión]]+Datos_Origen[[#This Row],[ARL]]+Datos_Origen[[#This Row],[Parafiscales]]</f>
        <v>#DIV/0!</v>
      </c>
      <c r="DG152" s="408" t="e">
        <f>Datos_Origen[[#This Row],[Costo Laboral Actual]]+Datos_Origen[[#This Row],[CT]]</f>
        <v>#DIV/0!</v>
      </c>
      <c r="DH152" s="398" t="e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#DIV/0!</v>
      </c>
      <c r="DI152" s="398" t="e">
        <f>IF(IF(Datos_Origen[[#This Row],[Salarios Año]]=12,Datos_Origen[[#This Row],[Salario Integral Pol]],Datos_Origen[[#This Row],[Salario Ordinario Pol]])&lt;10*SMMLV,0,Datos_Origen[[#This Row],[Base Seguridad Social Nueva]]*8.5%)</f>
        <v>#N/A</v>
      </c>
      <c r="DJ152" s="398" t="e">
        <f>Datos_Origen[[#This Row],[Base Seguridad Social Nueva]]*12%</f>
        <v>#DIV/0!</v>
      </c>
      <c r="DK152" s="398" t="e">
        <f>Datos_Origen[[#This Row],[Base Seguridad Social Nueva]]*Datos_Origen[[#This Row],[%ARL]]</f>
        <v>#DIV/0!</v>
      </c>
      <c r="DL152" s="398" t="e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#N/A</v>
      </c>
      <c r="DM152" s="398" t="e">
        <f>Datos_Origen[[#This Row],[Salud Nueva]]+Datos_Origen[[#This Row],[Pensión Nueva]]+Datos_Origen[[#This Row],[ARL nueva]]+Datos_Origen[[#This Row],[Parafiscales Nuevos]]</f>
        <v>#N/A</v>
      </c>
      <c r="DN152" s="398" t="e">
        <f>Datos_Origen[[#This Row],[Costo Laboral Nuevo]]+Datos_Origen[[#This Row],[Ctpol]]</f>
        <v>#N/A</v>
      </c>
      <c r="DO152" s="398" t="e">
        <f>IF(Datos_Origen[[#This Row],[Ctpol]]-Datos_Origen[[#This Row],[CT]]&lt;=0,0,Datos_Origen[[#This Row],[Costo Total Nuevo]]-Datos_Origen[[#This Row],[Costo Total Actual]])</f>
        <v>#N/A</v>
      </c>
      <c r="DP152" s="398" t="e">
        <f>IF(Datos_Origen[[#This Row],[Ctpol]]-Datos_Origen[[#This Row],[CT]]&lt;=0,0,Datos_Origen[[#This Row],[Ctpol]]-Datos_Origen[[#This Row],[CT]])</f>
        <v>#N/A</v>
      </c>
      <c r="DQ152" s="398" t="e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#N/A</v>
      </c>
      <c r="DR152" s="398">
        <f>ROUNDDOWN(VLOOKUP(Datos_Origen[[#This Row],[Categoria]],Competitividad_1[],7,0)*IndiceIncrementoC,-3)</f>
        <v>78903000</v>
      </c>
      <c r="DS152" s="398" t="e">
        <f>Datos_Origen[[#This Row],[CTeq]]*0.8</f>
        <v>#N/A</v>
      </c>
      <c r="DT152" s="398" t="e">
        <f>Datos_Origen[[#This Row],[CTeq]]*1.2</f>
        <v>#N/A</v>
      </c>
      <c r="DU152" s="397" t="e">
        <f>IF(Datos_Origen[[#This Row],[Gpol6]]/(1+FactorPrestacionalOrdinario)&lt;SMMLV,SMMLV,Datos_Origen[[#This Row],[Gpol6]]/(1+FactorPrestacionalOrdinario))</f>
        <v>#N/A</v>
      </c>
      <c r="DV152" s="510" t="e">
        <f>IF((Datos_Origen[[#This Row],[Gpol6]]/(1+FactorPrestacionalIntegral))&lt;(13*SMMLV),"",(Datos_Origen[[#This Row],[Gpol6]]/(1+FactorPrestacionalIntegral)))</f>
        <v>#N/A</v>
      </c>
      <c r="DW152" s="396" t="e">
        <f>Datos_Origen[[#This Row],[G+Vpol8]]</f>
        <v>#N/A</v>
      </c>
      <c r="DX152" s="396" t="e">
        <f>Datos_Origen[[#This Row],[Ctpol10]]-Datos_Origen[[#This Row],[Beneficios]]</f>
        <v>#N/A</v>
      </c>
      <c r="DY152" s="396" t="e">
        <f>Datos_Origen[[#This Row],[Ctpol]]*$CM$6</f>
        <v>#N/A</v>
      </c>
      <c r="DZ152" s="397" t="e">
        <f>IF(Datos_Origen[[#This Row],[Gpol66]]/(1+FactorPrestacionalOrdinario)&lt;SMMLV,SMMLV,Datos_Origen[[#This Row],[Gpol66]]/(1+FactorPrestacionalOrdinario))</f>
        <v>#N/A</v>
      </c>
      <c r="EA152" s="510" t="e">
        <f>IF((Datos_Origen[[#This Row],[Gpol66]]/(1+FactorPrestacionalIntegral))&lt;(13*SMMLV),"",(Datos_Origen[[#This Row],[Gpol66]]/(1+FactorPrestacionalIntegral)))</f>
        <v>#N/A</v>
      </c>
      <c r="EB152" s="396" t="e">
        <f>Datos_Origen[[#This Row],[G+Vpol88]]</f>
        <v>#N/A</v>
      </c>
      <c r="EC152" s="396" t="e">
        <f>Datos_Origen[[#This Row],[Ctpol1010]]-Datos_Origen[[#This Row],[Beneficios]]</f>
        <v>#N/A</v>
      </c>
      <c r="ED152" s="396" t="e">
        <f>Datos_Origen[[#This Row],[Ctpol]]*$CP$6</f>
        <v>#N/A</v>
      </c>
      <c r="EE152" s="398" t="e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#DIV/0!</v>
      </c>
    </row>
    <row r="153" spans="2:135">
      <c r="B153" s="148"/>
      <c r="C153" s="394"/>
      <c r="D153" s="404"/>
      <c r="E153" s="405"/>
      <c r="F153" s="405"/>
      <c r="G153" s="404" t="s">
        <v>906</v>
      </c>
      <c r="H153" s="395"/>
      <c r="I153" s="152"/>
      <c r="J153" s="406" t="str">
        <f>IFERROR(VLOOKUP(Datos_Origen[[#This Row],[Cargo Tipo Valorado]],Cargos_Catalogo[[#All],[Cargo]:[Área]],2,0),"")</f>
        <v/>
      </c>
      <c r="K153" s="395"/>
      <c r="L153" s="395"/>
      <c r="M153" s="395"/>
      <c r="N153" s="395"/>
      <c r="O153" s="396">
        <f>Datos_Origen[[#This Row],[Segmentación Individual]]</f>
        <v>0</v>
      </c>
      <c r="P153" s="395"/>
      <c r="Q153" s="396" t="e">
        <f>VLOOKUP(Datos_Origen[[#This Row],[Cargo Tipo Valorado]],Cargos_Catalogo[#Data],MATCH(Cargos_Catalogo[[#Headers],[Puntos]],Cargos_Catalogo[#Headers],0),FALSE)</f>
        <v>#N/A</v>
      </c>
      <c r="R153" s="406">
        <v>23</v>
      </c>
      <c r="S153" s="406" t="e">
        <f>VLOOKUP(Datos_Origen[[#This Row],[Cargo Tipo Valorado]],Cargos_Catalogo[#Data],MATCH(Cargos_Catalogo[[#Headers],[Nivel SHR]],Cargos_Catalogo[#Headers],0),FALSE)</f>
        <v>#N/A</v>
      </c>
      <c r="T153" s="406" t="e">
        <f>VLOOKUP(Datos_Origen[[#This Row],[Cargo Tipo Valorado]],Cargos_Catalogo[#Data],MATCH(Cargos_Catalogo[[#Headers],[Criticidad]],Cargos_Catalogo[#Headers],0),FALSE)</f>
        <v>#N/A</v>
      </c>
      <c r="U153" s="396" t="e">
        <f>VLOOKUP(Datos_Origen[[#This Row],[Puntos valoración]],Categorias_Registro[#Data],5,FALSE)</f>
        <v>#N/A</v>
      </c>
      <c r="V153" s="396" t="e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#DIV/0!</v>
      </c>
      <c r="W153" s="396" t="e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#DIV/0!</v>
      </c>
      <c r="X153" s="396">
        <f>SUMIF($BA$5:$BJ$5,"NCS",Datos_Origen[[#This Row],[auxilio Gasolina]:[Otro Beneficio10]])+(SUMIF($BA$5:$BJ$5,"CS",Datos_Origen[[#This Row],[auxilio Gasolina]:[Otro Beneficio10]])*1.17667)</f>
        <v>0</v>
      </c>
      <c r="Y153" s="397" t="e">
        <f>Datos_Origen[[#This Row],[Básico]]+Datos_Origen[[#This Row],[Promedio de Comisiones  ]]</f>
        <v>#DIV/0!</v>
      </c>
      <c r="Z153" s="397" t="e">
        <f>Datos_Origen[[#This Row],[Básico]]+Datos_Origen[[#This Row],[Promedio de Comisiones  ]]</f>
        <v>#DIV/0!</v>
      </c>
      <c r="AA153" s="397" t="e">
        <f>Datos_Origen[[#This Row],[Garantizado]]</f>
        <v>#DIV/0!</v>
      </c>
      <c r="AB153" s="397" t="e">
        <f>Datos_Origen[[#This Row],[Variable]]+Datos_Origen[[#This Row],[Garantizado]]</f>
        <v>#DIV/0!</v>
      </c>
      <c r="AC153" s="397" t="e">
        <f>Datos_Origen[[#This Row],[Beneficios]]+Datos_Origen[[#This Row],[Variable]]+Datos_Origen[[#This Row],[Garantizado]]</f>
        <v>#DIV/0!</v>
      </c>
      <c r="AD153" s="156"/>
      <c r="AE153" s="141"/>
      <c r="AF153" s="345"/>
      <c r="AG153" s="397" t="e">
        <f>Datos_Origen[[#This Row],[Básico Actual]]*230/Datos_Origen[[#This Row],['# horas mes]]</f>
        <v>#DIV/0!</v>
      </c>
      <c r="AH153" s="407"/>
      <c r="AI153" s="398"/>
      <c r="AJ153" s="398" t="e">
        <f>(((Datos_Origen[[#This Row],[Básico]])/30)*$AJ$6)/12</f>
        <v>#DIV/0!</v>
      </c>
      <c r="AK153" s="398"/>
      <c r="AL153" s="399" t="e">
        <f>((Datos_Origen[[#This Row],[Básico]])/30)*$AL$6/12</f>
        <v>#DIV/0!</v>
      </c>
      <c r="AM153" s="398"/>
      <c r="AN153" s="398"/>
      <c r="AO153" s="398"/>
      <c r="AP153" s="398"/>
      <c r="AQ153" s="398"/>
      <c r="AR153" s="394"/>
      <c r="AS153" s="394"/>
      <c r="AT153" s="400" t="str">
        <f>IFERROR(Datos_Origen[[#This Row],[Comisiones Target]]/Datos_Origen[[#This Row],[Promedio de Comisiones  ]],"")</f>
        <v/>
      </c>
      <c r="AU153" s="401"/>
      <c r="AV153" s="143" t="e">
        <f>Datos_Origen[[#This Row],[N Salarios de la Bonificación]]*Datos_Origen[[#This Row],[Básico]]/12</f>
        <v>#DIV/0!</v>
      </c>
      <c r="AW153" s="401"/>
      <c r="AX153" s="399" t="e">
        <f>Datos_Origen[[#This Row],[N Salarios de la Bonificación2]]*Datos_Origen[[#This Row],[Básico]]/12</f>
        <v>#DIV/0!</v>
      </c>
      <c r="AY153" s="401"/>
      <c r="AZ153" s="398"/>
      <c r="BA153" s="149"/>
      <c r="BB153" s="394"/>
      <c r="BC153" s="394"/>
      <c r="BD153" s="394"/>
      <c r="BE153" s="394"/>
      <c r="BF153" s="394"/>
      <c r="BG153" s="394"/>
      <c r="BH153" s="394"/>
      <c r="BI153" s="394"/>
      <c r="BJ153" s="394"/>
      <c r="BK153" s="400" t="str">
        <f>IFERROR(Datos_Origen[[#This Row],[Variable]]/Datos_Origen[[#This Row],[CT]],"")</f>
        <v/>
      </c>
      <c r="BL153" s="400" t="str">
        <f>IFERROR(Datos_Origen[[#This Row],[Beneficios]]/Datos_Origen[[#This Row],[CT]],"")</f>
        <v/>
      </c>
      <c r="BM153" s="397" t="e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#N/A</v>
      </c>
      <c r="BN153" s="402" t="e">
        <f>Datos_Origen[[#This Row],[G]]/Datos_Origen[[#This Row],[Geq]]</f>
        <v>#DIV/0!</v>
      </c>
      <c r="BO153" s="397" t="e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#N/A</v>
      </c>
      <c r="BP153" s="402" t="e">
        <f>Datos_Origen[[#This Row],[G+V]]/Datos_Origen[[#This Row],[G+Veq]]</f>
        <v>#DIV/0!</v>
      </c>
      <c r="BQ153" s="397" t="e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#N/A</v>
      </c>
      <c r="BR153" s="402" t="e">
        <f>Datos_Origen[[#This Row],[CT]]/Datos_Origen[[#This Row],[CTeq]]</f>
        <v>#DIV/0!</v>
      </c>
      <c r="BS153" s="510">
        <f>ROUNDUP(VLOOKUP(Datos_Origen[[#This Row],[Categoria]],Competitividad_1[#All],2,0)*IndiceIncrementoC,-3)</f>
        <v>57868000</v>
      </c>
      <c r="BT153" s="402" t="e">
        <f>Datos_Origen[[#This Row],[G]]/Datos_Origen[[#This Row],[GQ1]]</f>
        <v>#DIV/0!</v>
      </c>
      <c r="BU153" s="397">
        <f>ROUNDUP(VLOOKUP(Datos_Origen[[#This Row],[Categoria]],Competitividad_1[#All],3,0)*IndiceIncrementoC,-3)</f>
        <v>61264000</v>
      </c>
      <c r="BV153" s="402" t="e">
        <f>Datos_Origen[[#This Row],[G+V]]/Datos_Origen[[#This Row],[G+VQ1]]</f>
        <v>#DIV/0!</v>
      </c>
      <c r="BW153" s="397">
        <f>ROUNDUP(VLOOKUP(Datos_Origen[[#This Row],[Categoria]],Competitividad_1[#All],4,0)*IndiceIncrementoC,-3)</f>
        <v>63336000</v>
      </c>
      <c r="BX153" s="402" t="e">
        <f>Datos_Origen[[#This Row],[CT]]/Datos_Origen[[#This Row],[CTQ1]]</f>
        <v>#DIV/0!</v>
      </c>
      <c r="BY153" s="397">
        <f>ROUNDUP(VLOOKUP(Datos_Origen[[#This Row],[Categoria]],Competitividad_1[#All],5,0)*IndiceIncrementoC,-3)</f>
        <v>87377000</v>
      </c>
      <c r="BZ153" s="402" t="e">
        <f>Datos_Origen[[#This Row],[G]]/Datos_Origen[[#This Row],[GMd]]</f>
        <v>#DIV/0!</v>
      </c>
      <c r="CA153" s="397">
        <f>ROUNDUP(VLOOKUP(Datos_Origen[[#This Row],[Categoria]],Competitividad_1[#All],6,0)*IndiceIncrementoC,-3)</f>
        <v>91262000</v>
      </c>
      <c r="CB153" s="402" t="e">
        <f>Datos_Origen[[#This Row],[G+V]]/Datos_Origen[[#This Row],[G+VMd]]</f>
        <v>#DIV/0!</v>
      </c>
      <c r="CC153" s="397">
        <f>ROUNDUP(VLOOKUP(Datos_Origen[[#This Row],[Categoria]],Competitividad_1[#All],7,0)*IndiceIncrementoC,-3)</f>
        <v>93565000</v>
      </c>
      <c r="CD153" s="402" t="e">
        <f>Datos_Origen[[#This Row],[CT]]/Datos_Origen[[#This Row],[CTMd]]</f>
        <v>#DIV/0!</v>
      </c>
      <c r="CE153" s="397">
        <f>+Datos_Origen[[#This Row],[GMd]]/1.17666666667</f>
        <v>74258073.654180571</v>
      </c>
      <c r="CF153" s="402">
        <f>+Datos_Origen[[#This Row],[Básico Actual]]/Datos_Origen[[#This Row],[Salario Basico Md]]</f>
        <v>0</v>
      </c>
      <c r="CG153" s="397">
        <f>ROUNDUP(VLOOKUP(Datos_Origen[[#This Row],[Categoria]],Competitividad_1[#All],8,0)*IndiceIncrementoC,-3)</f>
        <v>119704000</v>
      </c>
      <c r="CH153" s="402" t="e">
        <f>Datos_Origen[[#This Row],[G]]/Datos_Origen[[#This Row],[GQ3]]</f>
        <v>#DIV/0!</v>
      </c>
      <c r="CI153" s="397">
        <f>ROUNDUP(VLOOKUP(Datos_Origen[[#This Row],[Categoria]],Competitividad_1[#All],9,0)*IndiceIncrementoC,-3)</f>
        <v>130064000</v>
      </c>
      <c r="CJ153" s="402" t="e">
        <f>Datos_Origen[[#This Row],[G+V]]/Datos_Origen[[#This Row],[G+VQ3]]</f>
        <v>#DIV/0!</v>
      </c>
      <c r="CK153" s="397">
        <f>ROUNDUP(VLOOKUP(Datos_Origen[[#This Row],[Categoria]],Competitividad_1[#All],10,0)*IndiceIncrementoC,-3)</f>
        <v>148645000</v>
      </c>
      <c r="CL153" s="402" t="e">
        <f>Datos_Origen[[#This Row],[CT]]/Datos_Origen[[#This Row],[CTQ3]]</f>
        <v>#DIV/0!</v>
      </c>
      <c r="CM153" s="403" t="e">
        <f>IF(ROUND(Datos_Origen[[#This Row],[Salario Ordinario Pol2]],-3)&lt;SMMLV,SMMLV,ROUND(Datos_Origen[[#This Row],[Salario Ordinario Pol2]],-3))</f>
        <v>#N/A</v>
      </c>
      <c r="CN153" s="397" t="e">
        <f>IF(Datos_Origen[[#This Row],[Gpol]]/(1+FactorPrestacionalOrdinario)&lt;SMMLV,SMMLV,Datos_Origen[[#This Row],[Gpol]]/(1+FactorPrestacionalOrdinario))</f>
        <v>#N/A</v>
      </c>
      <c r="CO153" s="402" t="str">
        <f>IFERROR(IF(Datos_Origen[[#This Row],[Salarios Año]]=14.12,Datos_Origen[[#This Row],[Básico]]/Datos_Origen[[#This Row],[Salario Ordinario Pol]],""),"")</f>
        <v/>
      </c>
      <c r="CP153" s="397" t="e">
        <f>IF(ROUND(Datos_Origen[[#This Row],[Salario Ordinario Pol22]],-3)&lt;SMMLV,SMMLV,ROUND(Datos_Origen[[#This Row],[Salario Ordinario Pol22]],-3))</f>
        <v>#N/A</v>
      </c>
      <c r="CQ153" s="397" t="str">
        <f>IFERROR(ROUND(Datos_Origen[[#This Row],[Salario Integral Pol4]],-3),"")</f>
        <v/>
      </c>
      <c r="CR153" s="510" t="e">
        <f>IF((Datos_Origen[[#This Row],[Gpol]]/(1+FactorPrestacionalIntegral))&lt;(13*SMMLV),"",(Datos_Origen[[#This Row],[Gpol]]/(1+FactorPrestacionalIntegral)))</f>
        <v>#N/A</v>
      </c>
      <c r="CS153" s="402" t="str">
        <f>IFERROR(IF(Datos_Origen[[#This Row],[Salarios Año]]=12,Datos_Origen[[#This Row],[Básico]]/Datos_Origen[[#This Row],[Salario Integral Pol]],""),"")</f>
        <v/>
      </c>
      <c r="CT153" s="397" t="str">
        <f>IFERROR(ROUND(Datos_Origen[[#This Row],[Salario Integral Pol44]],-3),"")</f>
        <v/>
      </c>
      <c r="CU153" s="397" t="e">
        <f>Datos_Origen[[#This Row],[G+Vpol]]-Datos_Origen[[#This Row],[Variable]]</f>
        <v>#N/A</v>
      </c>
      <c r="CV153" s="402" t="e">
        <f>Datos_Origen[[#This Row],[G]]/Datos_Origen[[#This Row],[Gpol]]</f>
        <v>#DIV/0!</v>
      </c>
      <c r="CW153" s="396" t="e">
        <f>Datos_Origen[[#This Row],[Ctpol]]-Datos_Origen[[#This Row],[Beneficios]]</f>
        <v>#N/A</v>
      </c>
      <c r="CX153" s="402" t="e">
        <f>Datos_Origen[[#This Row],[G+V]]/Datos_Origen[[#This Row],[G+Vpol]]</f>
        <v>#DIV/0!</v>
      </c>
      <c r="CY153" s="396" t="e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#N/A</v>
      </c>
      <c r="CZ153" s="402" t="e">
        <f>Datos_Origen[[#This Row],[CT]]/Datos_Origen[[#This Row],[Ctpol]]</f>
        <v>#DIV/0!</v>
      </c>
      <c r="DA153" s="398" t="e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#DIV/0!</v>
      </c>
      <c r="DB153" s="398" t="e">
        <f>IF(Datos_Origen[[#This Row],[Básico]]&lt;10*SMMLV,0,Datos_Origen[[#This Row],[Base Seguridad Social Actual]]*8.5%)</f>
        <v>#DIV/0!</v>
      </c>
      <c r="DC153" s="398" t="e">
        <f>Datos_Origen[[#This Row],[Base Seguridad Social Actual]]*12%</f>
        <v>#DIV/0!</v>
      </c>
      <c r="DD153" s="398" t="e">
        <f>Datos_Origen[[#This Row],[Base Seguridad Social Actual]]*Datos_Origen[[#This Row],[%ARL]]</f>
        <v>#DIV/0!</v>
      </c>
      <c r="DE153" s="398" t="e">
        <f>IF(Datos_Origen[[#This Row],[Básico]]&lt;10*SMMLV,Datos_Origen[[#This Row],[Base Seguridad Social Actual]]*4%,Datos_Origen[[#This Row],[Base Seguridad Social Actual]]*9%)</f>
        <v>#DIV/0!</v>
      </c>
      <c r="DF153" s="398" t="e">
        <f>Datos_Origen[[#This Row],[Salud]]+Datos_Origen[[#This Row],[Pensión]]+Datos_Origen[[#This Row],[ARL]]+Datos_Origen[[#This Row],[Parafiscales]]</f>
        <v>#DIV/0!</v>
      </c>
      <c r="DG153" s="408" t="e">
        <f>Datos_Origen[[#This Row],[Costo Laboral Actual]]+Datos_Origen[[#This Row],[CT]]</f>
        <v>#DIV/0!</v>
      </c>
      <c r="DH153" s="398" t="e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#DIV/0!</v>
      </c>
      <c r="DI153" s="398" t="e">
        <f>IF(IF(Datos_Origen[[#This Row],[Salarios Año]]=12,Datos_Origen[[#This Row],[Salario Integral Pol]],Datos_Origen[[#This Row],[Salario Ordinario Pol]])&lt;10*SMMLV,0,Datos_Origen[[#This Row],[Base Seguridad Social Nueva]]*8.5%)</f>
        <v>#N/A</v>
      </c>
      <c r="DJ153" s="398" t="e">
        <f>Datos_Origen[[#This Row],[Base Seguridad Social Nueva]]*12%</f>
        <v>#DIV/0!</v>
      </c>
      <c r="DK153" s="398" t="e">
        <f>Datos_Origen[[#This Row],[Base Seguridad Social Nueva]]*Datos_Origen[[#This Row],[%ARL]]</f>
        <v>#DIV/0!</v>
      </c>
      <c r="DL153" s="398" t="e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#N/A</v>
      </c>
      <c r="DM153" s="398" t="e">
        <f>Datos_Origen[[#This Row],[Salud Nueva]]+Datos_Origen[[#This Row],[Pensión Nueva]]+Datos_Origen[[#This Row],[ARL nueva]]+Datos_Origen[[#This Row],[Parafiscales Nuevos]]</f>
        <v>#N/A</v>
      </c>
      <c r="DN153" s="398" t="e">
        <f>Datos_Origen[[#This Row],[Costo Laboral Nuevo]]+Datos_Origen[[#This Row],[Ctpol]]</f>
        <v>#N/A</v>
      </c>
      <c r="DO153" s="398" t="e">
        <f>IF(Datos_Origen[[#This Row],[Ctpol]]-Datos_Origen[[#This Row],[CT]]&lt;=0,0,Datos_Origen[[#This Row],[Costo Total Nuevo]]-Datos_Origen[[#This Row],[Costo Total Actual]])</f>
        <v>#N/A</v>
      </c>
      <c r="DP153" s="398" t="e">
        <f>IF(Datos_Origen[[#This Row],[Ctpol]]-Datos_Origen[[#This Row],[CT]]&lt;=0,0,Datos_Origen[[#This Row],[Ctpol]]-Datos_Origen[[#This Row],[CT]])</f>
        <v>#N/A</v>
      </c>
      <c r="DQ153" s="398" t="e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#N/A</v>
      </c>
      <c r="DR153" s="398">
        <f>ROUNDDOWN(VLOOKUP(Datos_Origen[[#This Row],[Categoria]],Competitividad_1[],7,0)*IndiceIncrementoC,-3)</f>
        <v>93564000</v>
      </c>
      <c r="DS153" s="398" t="e">
        <f>Datos_Origen[[#This Row],[CTeq]]*0.8</f>
        <v>#N/A</v>
      </c>
      <c r="DT153" s="398" t="e">
        <f>Datos_Origen[[#This Row],[CTeq]]*1.2</f>
        <v>#N/A</v>
      </c>
      <c r="DU153" s="397" t="e">
        <f>IF(Datos_Origen[[#This Row],[Gpol6]]/(1+FactorPrestacionalOrdinario)&lt;SMMLV,SMMLV,Datos_Origen[[#This Row],[Gpol6]]/(1+FactorPrestacionalOrdinario))</f>
        <v>#N/A</v>
      </c>
      <c r="DV153" s="510" t="e">
        <f>IF((Datos_Origen[[#This Row],[Gpol6]]/(1+FactorPrestacionalIntegral))&lt;(13*SMMLV),"",(Datos_Origen[[#This Row],[Gpol6]]/(1+FactorPrestacionalIntegral)))</f>
        <v>#N/A</v>
      </c>
      <c r="DW153" s="396" t="e">
        <f>Datos_Origen[[#This Row],[G+Vpol8]]</f>
        <v>#N/A</v>
      </c>
      <c r="DX153" s="396" t="e">
        <f>Datos_Origen[[#This Row],[Ctpol10]]-Datos_Origen[[#This Row],[Beneficios]]</f>
        <v>#N/A</v>
      </c>
      <c r="DY153" s="396" t="e">
        <f>Datos_Origen[[#This Row],[Ctpol]]*$CM$6</f>
        <v>#N/A</v>
      </c>
      <c r="DZ153" s="397" t="e">
        <f>IF(Datos_Origen[[#This Row],[Gpol66]]/(1+FactorPrestacionalOrdinario)&lt;SMMLV,SMMLV,Datos_Origen[[#This Row],[Gpol66]]/(1+FactorPrestacionalOrdinario))</f>
        <v>#N/A</v>
      </c>
      <c r="EA153" s="510" t="e">
        <f>IF((Datos_Origen[[#This Row],[Gpol66]]/(1+FactorPrestacionalIntegral))&lt;(13*SMMLV),"",(Datos_Origen[[#This Row],[Gpol66]]/(1+FactorPrestacionalIntegral)))</f>
        <v>#N/A</v>
      </c>
      <c r="EB153" s="396" t="e">
        <f>Datos_Origen[[#This Row],[G+Vpol88]]</f>
        <v>#N/A</v>
      </c>
      <c r="EC153" s="396" t="e">
        <f>Datos_Origen[[#This Row],[Ctpol1010]]-Datos_Origen[[#This Row],[Beneficios]]</f>
        <v>#N/A</v>
      </c>
      <c r="ED153" s="396" t="e">
        <f>Datos_Origen[[#This Row],[Ctpol]]*$CP$6</f>
        <v>#N/A</v>
      </c>
      <c r="EE153" s="398" t="e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#DIV/0!</v>
      </c>
    </row>
    <row r="154" spans="2:135">
      <c r="B154" s="148"/>
      <c r="C154" s="394"/>
      <c r="D154" s="404"/>
      <c r="E154" s="405"/>
      <c r="F154" s="405"/>
      <c r="G154" s="404" t="s">
        <v>907</v>
      </c>
      <c r="H154" s="395"/>
      <c r="I154" s="152"/>
      <c r="J154" s="406" t="str">
        <f>IFERROR(VLOOKUP(Datos_Origen[[#This Row],[Cargo Tipo Valorado]],Cargos_Catalogo[[#All],[Cargo]:[Área]],2,0),"")</f>
        <v/>
      </c>
      <c r="K154" s="395"/>
      <c r="L154" s="395"/>
      <c r="M154" s="395"/>
      <c r="N154" s="395"/>
      <c r="O154" s="396">
        <f>Datos_Origen[[#This Row],[Segmentación Individual]]</f>
        <v>0</v>
      </c>
      <c r="P154" s="395"/>
      <c r="Q154" s="396" t="e">
        <f>VLOOKUP(Datos_Origen[[#This Row],[Cargo Tipo Valorado]],Cargos_Catalogo[#Data],MATCH(Cargos_Catalogo[[#Headers],[Puntos]],Cargos_Catalogo[#Headers],0),FALSE)</f>
        <v>#N/A</v>
      </c>
      <c r="R154" s="406">
        <v>24</v>
      </c>
      <c r="S154" s="406" t="e">
        <f>VLOOKUP(Datos_Origen[[#This Row],[Cargo Tipo Valorado]],Cargos_Catalogo[#Data],MATCH(Cargos_Catalogo[[#Headers],[Nivel SHR]],Cargos_Catalogo[#Headers],0),FALSE)</f>
        <v>#N/A</v>
      </c>
      <c r="T154" s="406" t="e">
        <f>VLOOKUP(Datos_Origen[[#This Row],[Cargo Tipo Valorado]],Cargos_Catalogo[#Data],MATCH(Cargos_Catalogo[[#Headers],[Criticidad]],Cargos_Catalogo[#Headers],0),FALSE)</f>
        <v>#N/A</v>
      </c>
      <c r="U154" s="396" t="e">
        <f>VLOOKUP(Datos_Origen[[#This Row],[Puntos valoración]],Categorias_Registro[#Data],5,FALSE)</f>
        <v>#N/A</v>
      </c>
      <c r="V154" s="396" t="e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#DIV/0!</v>
      </c>
      <c r="W154" s="396" t="e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#DIV/0!</v>
      </c>
      <c r="X154" s="396">
        <f>SUMIF($BA$5:$BJ$5,"NCS",Datos_Origen[[#This Row],[auxilio Gasolina]:[Otro Beneficio10]])+(SUMIF($BA$5:$BJ$5,"CS",Datos_Origen[[#This Row],[auxilio Gasolina]:[Otro Beneficio10]])*1.17667)</f>
        <v>0</v>
      </c>
      <c r="Y154" s="397" t="e">
        <f>Datos_Origen[[#This Row],[Básico]]+Datos_Origen[[#This Row],[Promedio de Comisiones  ]]</f>
        <v>#DIV/0!</v>
      </c>
      <c r="Z154" s="397" t="e">
        <f>Datos_Origen[[#This Row],[Básico]]+Datos_Origen[[#This Row],[Promedio de Comisiones  ]]</f>
        <v>#DIV/0!</v>
      </c>
      <c r="AA154" s="397" t="e">
        <f>Datos_Origen[[#This Row],[Garantizado]]</f>
        <v>#DIV/0!</v>
      </c>
      <c r="AB154" s="397" t="e">
        <f>Datos_Origen[[#This Row],[Variable]]+Datos_Origen[[#This Row],[Garantizado]]</f>
        <v>#DIV/0!</v>
      </c>
      <c r="AC154" s="397" t="e">
        <f>Datos_Origen[[#This Row],[Beneficios]]+Datos_Origen[[#This Row],[Variable]]+Datos_Origen[[#This Row],[Garantizado]]</f>
        <v>#DIV/0!</v>
      </c>
      <c r="AD154" s="156"/>
      <c r="AE154" s="141"/>
      <c r="AF154" s="345"/>
      <c r="AG154" s="397" t="e">
        <f>Datos_Origen[[#This Row],[Básico Actual]]*230/Datos_Origen[[#This Row],['# horas mes]]</f>
        <v>#DIV/0!</v>
      </c>
      <c r="AH154" s="407"/>
      <c r="AI154" s="398"/>
      <c r="AJ154" s="398" t="e">
        <f>(((Datos_Origen[[#This Row],[Básico]])/30)*$AJ$6)/12</f>
        <v>#DIV/0!</v>
      </c>
      <c r="AK154" s="398"/>
      <c r="AL154" s="399" t="e">
        <f>((Datos_Origen[[#This Row],[Básico]])/30)*$AL$6/12</f>
        <v>#DIV/0!</v>
      </c>
      <c r="AM154" s="398"/>
      <c r="AN154" s="398"/>
      <c r="AO154" s="398"/>
      <c r="AP154" s="398"/>
      <c r="AQ154" s="398"/>
      <c r="AR154" s="394"/>
      <c r="AS154" s="394"/>
      <c r="AT154" s="400" t="str">
        <f>IFERROR(Datos_Origen[[#This Row],[Comisiones Target]]/Datos_Origen[[#This Row],[Promedio de Comisiones  ]],"")</f>
        <v/>
      </c>
      <c r="AU154" s="401"/>
      <c r="AV154" s="143" t="e">
        <f>Datos_Origen[[#This Row],[N Salarios de la Bonificación]]*Datos_Origen[[#This Row],[Básico]]/12</f>
        <v>#DIV/0!</v>
      </c>
      <c r="AW154" s="401"/>
      <c r="AX154" s="399" t="e">
        <f>Datos_Origen[[#This Row],[N Salarios de la Bonificación2]]*Datos_Origen[[#This Row],[Básico]]/12</f>
        <v>#DIV/0!</v>
      </c>
      <c r="AY154" s="401"/>
      <c r="AZ154" s="398"/>
      <c r="BA154" s="149"/>
      <c r="BB154" s="394"/>
      <c r="BC154" s="394"/>
      <c r="BD154" s="394"/>
      <c r="BE154" s="394"/>
      <c r="BF154" s="394"/>
      <c r="BG154" s="394"/>
      <c r="BH154" s="394"/>
      <c r="BI154" s="394"/>
      <c r="BJ154" s="394"/>
      <c r="BK154" s="400" t="str">
        <f>IFERROR(Datos_Origen[[#This Row],[Variable]]/Datos_Origen[[#This Row],[CT]],"")</f>
        <v/>
      </c>
      <c r="BL154" s="400" t="str">
        <f>IFERROR(Datos_Origen[[#This Row],[Beneficios]]/Datos_Origen[[#This Row],[CT]],"")</f>
        <v/>
      </c>
      <c r="BM154" s="397" t="e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#N/A</v>
      </c>
      <c r="BN154" s="402" t="e">
        <f>Datos_Origen[[#This Row],[G]]/Datos_Origen[[#This Row],[Geq]]</f>
        <v>#DIV/0!</v>
      </c>
      <c r="BO154" s="397" t="e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#N/A</v>
      </c>
      <c r="BP154" s="402" t="e">
        <f>Datos_Origen[[#This Row],[G+V]]/Datos_Origen[[#This Row],[G+Veq]]</f>
        <v>#DIV/0!</v>
      </c>
      <c r="BQ154" s="397" t="e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#N/A</v>
      </c>
      <c r="BR154" s="402" t="e">
        <f>Datos_Origen[[#This Row],[CT]]/Datos_Origen[[#This Row],[CTeq]]</f>
        <v>#DIV/0!</v>
      </c>
      <c r="BS154" s="510">
        <f>ROUNDUP(VLOOKUP(Datos_Origen[[#This Row],[Categoria]],Competitividad_1[#All],2,0)*IndiceIncrementoC,-3)</f>
        <v>67678000</v>
      </c>
      <c r="BT154" s="402" t="e">
        <f>Datos_Origen[[#This Row],[G]]/Datos_Origen[[#This Row],[GQ1]]</f>
        <v>#DIV/0!</v>
      </c>
      <c r="BU154" s="397">
        <f>ROUNDUP(VLOOKUP(Datos_Origen[[#This Row],[Categoria]],Competitividad_1[#All],3,0)*IndiceIncrementoC,-3)</f>
        <v>71674000</v>
      </c>
      <c r="BV154" s="402" t="e">
        <f>Datos_Origen[[#This Row],[G+V]]/Datos_Origen[[#This Row],[G+VQ1]]</f>
        <v>#DIV/0!</v>
      </c>
      <c r="BW154" s="397">
        <f>ROUNDUP(VLOOKUP(Datos_Origen[[#This Row],[Categoria]],Competitividad_1[#All],4,0)*IndiceIncrementoC,-3)</f>
        <v>74082000</v>
      </c>
      <c r="BX154" s="402" t="e">
        <f>Datos_Origen[[#This Row],[CT]]/Datos_Origen[[#This Row],[CTQ1]]</f>
        <v>#DIV/0!</v>
      </c>
      <c r="BY154" s="397">
        <f>ROUNDUP(VLOOKUP(Datos_Origen[[#This Row],[Categoria]],Competitividad_1[#All],5,0)*IndiceIncrementoC,-3)</f>
        <v>103110000</v>
      </c>
      <c r="BZ154" s="402" t="e">
        <f>Datos_Origen[[#This Row],[G]]/Datos_Origen[[#This Row],[GMd]]</f>
        <v>#DIV/0!</v>
      </c>
      <c r="CA154" s="397">
        <f>ROUNDUP(VLOOKUP(Datos_Origen[[#This Row],[Categoria]],Competitividad_1[#All],6,0)*IndiceIncrementoC,-3)</f>
        <v>107709000</v>
      </c>
      <c r="CB154" s="402" t="e">
        <f>Datos_Origen[[#This Row],[G+V]]/Datos_Origen[[#This Row],[G+VMd]]</f>
        <v>#DIV/0!</v>
      </c>
      <c r="CC154" s="397">
        <f>ROUNDUP(VLOOKUP(Datos_Origen[[#This Row],[Categoria]],Competitividad_1[#All],7,0)*IndiceIncrementoC,-3)</f>
        <v>110391000</v>
      </c>
      <c r="CD154" s="402" t="e">
        <f>Datos_Origen[[#This Row],[CT]]/Datos_Origen[[#This Row],[CTMd]]</f>
        <v>#DIV/0!</v>
      </c>
      <c r="CE154" s="397">
        <f>+Datos_Origen[[#This Row],[GMd]]/1.17666666667</f>
        <v>87628895.183887735</v>
      </c>
      <c r="CF154" s="402">
        <f>+Datos_Origen[[#This Row],[Básico Actual]]/Datos_Origen[[#This Row],[Salario Basico Md]]</f>
        <v>0</v>
      </c>
      <c r="CG154" s="397">
        <f>ROUNDUP(VLOOKUP(Datos_Origen[[#This Row],[Categoria]],Competitividad_1[#All],8,0)*IndiceIncrementoC,-3)</f>
        <v>142613000</v>
      </c>
      <c r="CH154" s="402" t="e">
        <f>Datos_Origen[[#This Row],[G]]/Datos_Origen[[#This Row],[GQ3]]</f>
        <v>#DIV/0!</v>
      </c>
      <c r="CI154" s="397">
        <f>ROUNDUP(VLOOKUP(Datos_Origen[[#This Row],[Categoria]],Competitividad_1[#All],9,0)*IndiceIncrementoC,-3)</f>
        <v>155156000</v>
      </c>
      <c r="CJ154" s="402" t="e">
        <f>Datos_Origen[[#This Row],[G+V]]/Datos_Origen[[#This Row],[G+VQ3]]</f>
        <v>#DIV/0!</v>
      </c>
      <c r="CK154" s="397">
        <f>ROUNDUP(VLOOKUP(Datos_Origen[[#This Row],[Categoria]],Competitividad_1[#All],10,0)*IndiceIncrementoC,-3)</f>
        <v>177794000</v>
      </c>
      <c r="CL154" s="402" t="e">
        <f>Datos_Origen[[#This Row],[CT]]/Datos_Origen[[#This Row],[CTQ3]]</f>
        <v>#DIV/0!</v>
      </c>
      <c r="CM154" s="403" t="e">
        <f>IF(ROUND(Datos_Origen[[#This Row],[Salario Ordinario Pol2]],-3)&lt;SMMLV,SMMLV,ROUND(Datos_Origen[[#This Row],[Salario Ordinario Pol2]],-3))</f>
        <v>#N/A</v>
      </c>
      <c r="CN154" s="397" t="e">
        <f>IF(Datos_Origen[[#This Row],[Gpol]]/(1+FactorPrestacionalOrdinario)&lt;SMMLV,SMMLV,Datos_Origen[[#This Row],[Gpol]]/(1+FactorPrestacionalOrdinario))</f>
        <v>#N/A</v>
      </c>
      <c r="CO154" s="402" t="str">
        <f>IFERROR(IF(Datos_Origen[[#This Row],[Salarios Año]]=14.12,Datos_Origen[[#This Row],[Básico]]/Datos_Origen[[#This Row],[Salario Ordinario Pol]],""),"")</f>
        <v/>
      </c>
      <c r="CP154" s="397" t="e">
        <f>IF(ROUND(Datos_Origen[[#This Row],[Salario Ordinario Pol22]],-3)&lt;SMMLV,SMMLV,ROUND(Datos_Origen[[#This Row],[Salario Ordinario Pol22]],-3))</f>
        <v>#N/A</v>
      </c>
      <c r="CQ154" s="397" t="str">
        <f>IFERROR(ROUND(Datos_Origen[[#This Row],[Salario Integral Pol4]],-3),"")</f>
        <v/>
      </c>
      <c r="CR154" s="510" t="e">
        <f>IF((Datos_Origen[[#This Row],[Gpol]]/(1+FactorPrestacionalIntegral))&lt;(13*SMMLV),"",(Datos_Origen[[#This Row],[Gpol]]/(1+FactorPrestacionalIntegral)))</f>
        <v>#N/A</v>
      </c>
      <c r="CS154" s="402" t="str">
        <f>IFERROR(IF(Datos_Origen[[#This Row],[Salarios Año]]=12,Datos_Origen[[#This Row],[Básico]]/Datos_Origen[[#This Row],[Salario Integral Pol]],""),"")</f>
        <v/>
      </c>
      <c r="CT154" s="397" t="str">
        <f>IFERROR(ROUND(Datos_Origen[[#This Row],[Salario Integral Pol44]],-3),"")</f>
        <v/>
      </c>
      <c r="CU154" s="397" t="e">
        <f>Datos_Origen[[#This Row],[G+Vpol]]-Datos_Origen[[#This Row],[Variable]]</f>
        <v>#N/A</v>
      </c>
      <c r="CV154" s="402" t="e">
        <f>Datos_Origen[[#This Row],[G]]/Datos_Origen[[#This Row],[Gpol]]</f>
        <v>#DIV/0!</v>
      </c>
      <c r="CW154" s="396" t="e">
        <f>Datos_Origen[[#This Row],[Ctpol]]-Datos_Origen[[#This Row],[Beneficios]]</f>
        <v>#N/A</v>
      </c>
      <c r="CX154" s="402" t="e">
        <f>Datos_Origen[[#This Row],[G+V]]/Datos_Origen[[#This Row],[G+Vpol]]</f>
        <v>#DIV/0!</v>
      </c>
      <c r="CY154" s="396" t="e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#N/A</v>
      </c>
      <c r="CZ154" s="402" t="e">
        <f>Datos_Origen[[#This Row],[CT]]/Datos_Origen[[#This Row],[Ctpol]]</f>
        <v>#DIV/0!</v>
      </c>
      <c r="DA154" s="398" t="e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#DIV/0!</v>
      </c>
      <c r="DB154" s="398" t="e">
        <f>IF(Datos_Origen[[#This Row],[Básico]]&lt;10*SMMLV,0,Datos_Origen[[#This Row],[Base Seguridad Social Actual]]*8.5%)</f>
        <v>#DIV/0!</v>
      </c>
      <c r="DC154" s="398" t="e">
        <f>Datos_Origen[[#This Row],[Base Seguridad Social Actual]]*12%</f>
        <v>#DIV/0!</v>
      </c>
      <c r="DD154" s="398" t="e">
        <f>Datos_Origen[[#This Row],[Base Seguridad Social Actual]]*Datos_Origen[[#This Row],[%ARL]]</f>
        <v>#DIV/0!</v>
      </c>
      <c r="DE154" s="398" t="e">
        <f>IF(Datos_Origen[[#This Row],[Básico]]&lt;10*SMMLV,Datos_Origen[[#This Row],[Base Seguridad Social Actual]]*4%,Datos_Origen[[#This Row],[Base Seguridad Social Actual]]*9%)</f>
        <v>#DIV/0!</v>
      </c>
      <c r="DF154" s="398" t="e">
        <f>Datos_Origen[[#This Row],[Salud]]+Datos_Origen[[#This Row],[Pensión]]+Datos_Origen[[#This Row],[ARL]]+Datos_Origen[[#This Row],[Parafiscales]]</f>
        <v>#DIV/0!</v>
      </c>
      <c r="DG154" s="408" t="e">
        <f>Datos_Origen[[#This Row],[Costo Laboral Actual]]+Datos_Origen[[#This Row],[CT]]</f>
        <v>#DIV/0!</v>
      </c>
      <c r="DH154" s="398" t="e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#DIV/0!</v>
      </c>
      <c r="DI154" s="398" t="e">
        <f>IF(IF(Datos_Origen[[#This Row],[Salarios Año]]=12,Datos_Origen[[#This Row],[Salario Integral Pol]],Datos_Origen[[#This Row],[Salario Ordinario Pol]])&lt;10*SMMLV,0,Datos_Origen[[#This Row],[Base Seguridad Social Nueva]]*8.5%)</f>
        <v>#N/A</v>
      </c>
      <c r="DJ154" s="398" t="e">
        <f>Datos_Origen[[#This Row],[Base Seguridad Social Nueva]]*12%</f>
        <v>#DIV/0!</v>
      </c>
      <c r="DK154" s="398" t="e">
        <f>Datos_Origen[[#This Row],[Base Seguridad Social Nueva]]*Datos_Origen[[#This Row],[%ARL]]</f>
        <v>#DIV/0!</v>
      </c>
      <c r="DL154" s="398" t="e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#N/A</v>
      </c>
      <c r="DM154" s="398" t="e">
        <f>Datos_Origen[[#This Row],[Salud Nueva]]+Datos_Origen[[#This Row],[Pensión Nueva]]+Datos_Origen[[#This Row],[ARL nueva]]+Datos_Origen[[#This Row],[Parafiscales Nuevos]]</f>
        <v>#N/A</v>
      </c>
      <c r="DN154" s="398" t="e">
        <f>Datos_Origen[[#This Row],[Costo Laboral Nuevo]]+Datos_Origen[[#This Row],[Ctpol]]</f>
        <v>#N/A</v>
      </c>
      <c r="DO154" s="398" t="e">
        <f>IF(Datos_Origen[[#This Row],[Ctpol]]-Datos_Origen[[#This Row],[CT]]&lt;=0,0,Datos_Origen[[#This Row],[Costo Total Nuevo]]-Datos_Origen[[#This Row],[Costo Total Actual]])</f>
        <v>#N/A</v>
      </c>
      <c r="DP154" s="398" t="e">
        <f>IF(Datos_Origen[[#This Row],[Ctpol]]-Datos_Origen[[#This Row],[CT]]&lt;=0,0,Datos_Origen[[#This Row],[Ctpol]]-Datos_Origen[[#This Row],[CT]])</f>
        <v>#N/A</v>
      </c>
      <c r="DQ154" s="398" t="e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#N/A</v>
      </c>
      <c r="DR154" s="398">
        <f>ROUNDDOWN(VLOOKUP(Datos_Origen[[#This Row],[Categoria]],Competitividad_1[],7,0)*IndiceIncrementoC,-3)</f>
        <v>110390000</v>
      </c>
      <c r="DS154" s="398" t="e">
        <f>Datos_Origen[[#This Row],[CTeq]]*0.8</f>
        <v>#N/A</v>
      </c>
      <c r="DT154" s="398" t="e">
        <f>Datos_Origen[[#This Row],[CTeq]]*1.2</f>
        <v>#N/A</v>
      </c>
      <c r="DU154" s="397" t="e">
        <f>IF(Datos_Origen[[#This Row],[Gpol6]]/(1+FactorPrestacionalOrdinario)&lt;SMMLV,SMMLV,Datos_Origen[[#This Row],[Gpol6]]/(1+FactorPrestacionalOrdinario))</f>
        <v>#N/A</v>
      </c>
      <c r="DV154" s="510" t="e">
        <f>IF((Datos_Origen[[#This Row],[Gpol6]]/(1+FactorPrestacionalIntegral))&lt;(13*SMMLV),"",(Datos_Origen[[#This Row],[Gpol6]]/(1+FactorPrestacionalIntegral)))</f>
        <v>#N/A</v>
      </c>
      <c r="DW154" s="396" t="e">
        <f>Datos_Origen[[#This Row],[G+Vpol8]]</f>
        <v>#N/A</v>
      </c>
      <c r="DX154" s="396" t="e">
        <f>Datos_Origen[[#This Row],[Ctpol10]]-Datos_Origen[[#This Row],[Beneficios]]</f>
        <v>#N/A</v>
      </c>
      <c r="DY154" s="396" t="e">
        <f>Datos_Origen[[#This Row],[Ctpol]]*$CM$6</f>
        <v>#N/A</v>
      </c>
      <c r="DZ154" s="397" t="e">
        <f>IF(Datos_Origen[[#This Row],[Gpol66]]/(1+FactorPrestacionalOrdinario)&lt;SMMLV,SMMLV,Datos_Origen[[#This Row],[Gpol66]]/(1+FactorPrestacionalOrdinario))</f>
        <v>#N/A</v>
      </c>
      <c r="EA154" s="510" t="e">
        <f>IF((Datos_Origen[[#This Row],[Gpol66]]/(1+FactorPrestacionalIntegral))&lt;(13*SMMLV),"",(Datos_Origen[[#This Row],[Gpol66]]/(1+FactorPrestacionalIntegral)))</f>
        <v>#N/A</v>
      </c>
      <c r="EB154" s="396" t="e">
        <f>Datos_Origen[[#This Row],[G+Vpol88]]</f>
        <v>#N/A</v>
      </c>
      <c r="EC154" s="396" t="e">
        <f>Datos_Origen[[#This Row],[Ctpol1010]]-Datos_Origen[[#This Row],[Beneficios]]</f>
        <v>#N/A</v>
      </c>
      <c r="ED154" s="396" t="e">
        <f>Datos_Origen[[#This Row],[Ctpol]]*$CP$6</f>
        <v>#N/A</v>
      </c>
      <c r="EE154" s="398" t="e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#DIV/0!</v>
      </c>
    </row>
    <row r="155" spans="2:135">
      <c r="B155" s="148"/>
      <c r="C155" s="394"/>
      <c r="D155" s="404"/>
      <c r="E155" s="405"/>
      <c r="F155" s="405"/>
      <c r="G155" s="404" t="s">
        <v>908</v>
      </c>
      <c r="H155" s="395"/>
      <c r="I155" s="152"/>
      <c r="J155" s="406" t="str">
        <f>IFERROR(VLOOKUP(Datos_Origen[[#This Row],[Cargo Tipo Valorado]],Cargos_Catalogo[[#All],[Cargo]:[Área]],2,0),"")</f>
        <v/>
      </c>
      <c r="K155" s="395"/>
      <c r="L155" s="395"/>
      <c r="M155" s="395"/>
      <c r="N155" s="395"/>
      <c r="O155" s="396">
        <f>Datos_Origen[[#This Row],[Segmentación Individual]]</f>
        <v>0</v>
      </c>
      <c r="P155" s="395"/>
      <c r="Q155" s="396" t="e">
        <f>VLOOKUP(Datos_Origen[[#This Row],[Cargo Tipo Valorado]],Cargos_Catalogo[#Data],MATCH(Cargos_Catalogo[[#Headers],[Puntos]],Cargos_Catalogo[#Headers],0),FALSE)</f>
        <v>#N/A</v>
      </c>
      <c r="R155" s="406">
        <v>25</v>
      </c>
      <c r="S155" s="406" t="e">
        <f>VLOOKUP(Datos_Origen[[#This Row],[Cargo Tipo Valorado]],Cargos_Catalogo[#Data],MATCH(Cargos_Catalogo[[#Headers],[Nivel SHR]],Cargos_Catalogo[#Headers],0),FALSE)</f>
        <v>#N/A</v>
      </c>
      <c r="T155" s="406" t="e">
        <f>VLOOKUP(Datos_Origen[[#This Row],[Cargo Tipo Valorado]],Cargos_Catalogo[#Data],MATCH(Cargos_Catalogo[[#Headers],[Criticidad]],Cargos_Catalogo[#Headers],0),FALSE)</f>
        <v>#N/A</v>
      </c>
      <c r="U155" s="396" t="e">
        <f>VLOOKUP(Datos_Origen[[#This Row],[Puntos valoración]],Categorias_Registro[#Data],5,FALSE)</f>
        <v>#N/A</v>
      </c>
      <c r="V155" s="396" t="e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#DIV/0!</v>
      </c>
      <c r="W155" s="396" t="e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#DIV/0!</v>
      </c>
      <c r="X155" s="396">
        <f>SUMIF($BA$5:$BJ$5,"NCS",Datos_Origen[[#This Row],[auxilio Gasolina]:[Otro Beneficio10]])+(SUMIF($BA$5:$BJ$5,"CS",Datos_Origen[[#This Row],[auxilio Gasolina]:[Otro Beneficio10]])*1.17667)</f>
        <v>0</v>
      </c>
      <c r="Y155" s="397" t="e">
        <f>Datos_Origen[[#This Row],[Básico]]+Datos_Origen[[#This Row],[Promedio de Comisiones  ]]</f>
        <v>#DIV/0!</v>
      </c>
      <c r="Z155" s="397" t="e">
        <f>Datos_Origen[[#This Row],[Básico]]+Datos_Origen[[#This Row],[Promedio de Comisiones  ]]</f>
        <v>#DIV/0!</v>
      </c>
      <c r="AA155" s="397" t="e">
        <f>Datos_Origen[[#This Row],[Garantizado]]</f>
        <v>#DIV/0!</v>
      </c>
      <c r="AB155" s="397" t="e">
        <f>Datos_Origen[[#This Row],[Variable]]+Datos_Origen[[#This Row],[Garantizado]]</f>
        <v>#DIV/0!</v>
      </c>
      <c r="AC155" s="397" t="e">
        <f>Datos_Origen[[#This Row],[Beneficios]]+Datos_Origen[[#This Row],[Variable]]+Datos_Origen[[#This Row],[Garantizado]]</f>
        <v>#DIV/0!</v>
      </c>
      <c r="AD155" s="156"/>
      <c r="AE155" s="141"/>
      <c r="AF155" s="345"/>
      <c r="AG155" s="397" t="e">
        <f>Datos_Origen[[#This Row],[Básico Actual]]*230/Datos_Origen[[#This Row],['# horas mes]]</f>
        <v>#DIV/0!</v>
      </c>
      <c r="AH155" s="407"/>
      <c r="AI155" s="398"/>
      <c r="AJ155" s="398" t="e">
        <f>(((Datos_Origen[[#This Row],[Básico]])/30)*$AJ$6)/12</f>
        <v>#DIV/0!</v>
      </c>
      <c r="AK155" s="398"/>
      <c r="AL155" s="399" t="e">
        <f>((Datos_Origen[[#This Row],[Básico]])/30)*$AL$6/12</f>
        <v>#DIV/0!</v>
      </c>
      <c r="AM155" s="398"/>
      <c r="AN155" s="398"/>
      <c r="AO155" s="398"/>
      <c r="AP155" s="398"/>
      <c r="AQ155" s="398"/>
      <c r="AR155" s="394"/>
      <c r="AS155" s="394"/>
      <c r="AT155" s="400" t="str">
        <f>IFERROR(Datos_Origen[[#This Row],[Comisiones Target]]/Datos_Origen[[#This Row],[Promedio de Comisiones  ]],"")</f>
        <v/>
      </c>
      <c r="AU155" s="401"/>
      <c r="AV155" s="143" t="e">
        <f>Datos_Origen[[#This Row],[N Salarios de la Bonificación]]*Datos_Origen[[#This Row],[Básico]]/12</f>
        <v>#DIV/0!</v>
      </c>
      <c r="AW155" s="401"/>
      <c r="AX155" s="399" t="e">
        <f>Datos_Origen[[#This Row],[N Salarios de la Bonificación2]]*Datos_Origen[[#This Row],[Básico]]/12</f>
        <v>#DIV/0!</v>
      </c>
      <c r="AY155" s="401"/>
      <c r="AZ155" s="398"/>
      <c r="BA155" s="149"/>
      <c r="BB155" s="394"/>
      <c r="BC155" s="394"/>
      <c r="BD155" s="394"/>
      <c r="BE155" s="394"/>
      <c r="BF155" s="394"/>
      <c r="BG155" s="394"/>
      <c r="BH155" s="394"/>
      <c r="BI155" s="394"/>
      <c r="BJ155" s="394"/>
      <c r="BK155" s="400" t="str">
        <f>IFERROR(Datos_Origen[[#This Row],[Variable]]/Datos_Origen[[#This Row],[CT]],"")</f>
        <v/>
      </c>
      <c r="BL155" s="400" t="str">
        <f>IFERROR(Datos_Origen[[#This Row],[Beneficios]]/Datos_Origen[[#This Row],[CT]],"")</f>
        <v/>
      </c>
      <c r="BM155" s="397" t="e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#N/A</v>
      </c>
      <c r="BN155" s="402" t="e">
        <f>Datos_Origen[[#This Row],[G]]/Datos_Origen[[#This Row],[Geq]]</f>
        <v>#DIV/0!</v>
      </c>
      <c r="BO155" s="397" t="e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#N/A</v>
      </c>
      <c r="BP155" s="402" t="e">
        <f>Datos_Origen[[#This Row],[G+V]]/Datos_Origen[[#This Row],[G+Veq]]</f>
        <v>#DIV/0!</v>
      </c>
      <c r="BQ155" s="397" t="e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#N/A</v>
      </c>
      <c r="BR155" s="402" t="e">
        <f>Datos_Origen[[#This Row],[CT]]/Datos_Origen[[#This Row],[CTeq]]</f>
        <v>#DIV/0!</v>
      </c>
      <c r="BS155" s="510">
        <f>ROUNDUP(VLOOKUP(Datos_Origen[[#This Row],[Categoria]],Competitividad_1[#All],2,0)*IndiceIncrementoC,-3)</f>
        <v>78945000</v>
      </c>
      <c r="BT155" s="402" t="e">
        <f>Datos_Origen[[#This Row],[G]]/Datos_Origen[[#This Row],[GQ1]]</f>
        <v>#DIV/0!</v>
      </c>
      <c r="BU155" s="397">
        <f>ROUNDUP(VLOOKUP(Datos_Origen[[#This Row],[Categoria]],Competitividad_1[#All],3,0)*IndiceIncrementoC,-3)</f>
        <v>83631000</v>
      </c>
      <c r="BV155" s="402" t="e">
        <f>Datos_Origen[[#This Row],[G+V]]/Datos_Origen[[#This Row],[G+VQ1]]</f>
        <v>#DIV/0!</v>
      </c>
      <c r="BW155" s="397">
        <f>ROUNDUP(VLOOKUP(Datos_Origen[[#This Row],[Categoria]],Competitividad_1[#All],4,0)*IndiceIncrementoC,-3)</f>
        <v>86423000</v>
      </c>
      <c r="BX155" s="402" t="e">
        <f>Datos_Origen[[#This Row],[CT]]/Datos_Origen[[#This Row],[CTQ1]]</f>
        <v>#DIV/0!</v>
      </c>
      <c r="BY155" s="397">
        <f>ROUNDUP(VLOOKUP(Datos_Origen[[#This Row],[Categoria]],Competitividad_1[#All],5,0)*IndiceIncrementoC,-3)</f>
        <v>121179000</v>
      </c>
      <c r="BZ155" s="402" t="e">
        <f>Datos_Origen[[#This Row],[G]]/Datos_Origen[[#This Row],[GMd]]</f>
        <v>#DIV/0!</v>
      </c>
      <c r="CA155" s="397">
        <f>ROUNDUP(VLOOKUP(Datos_Origen[[#This Row],[Categoria]],Competitividad_1[#All],6,0)*IndiceIncrementoC,-3)</f>
        <v>126600000</v>
      </c>
      <c r="CB155" s="402" t="e">
        <f>Datos_Origen[[#This Row],[G+V]]/Datos_Origen[[#This Row],[G+VMd]]</f>
        <v>#DIV/0!</v>
      </c>
      <c r="CC155" s="397">
        <f>ROUNDUP(VLOOKUP(Datos_Origen[[#This Row],[Categoria]],Competitividad_1[#All],7,0)*IndiceIncrementoC,-3)</f>
        <v>129716000</v>
      </c>
      <c r="CD155" s="402" t="e">
        <f>Datos_Origen[[#This Row],[CT]]/Datos_Origen[[#This Row],[CTMd]]</f>
        <v>#DIV/0!</v>
      </c>
      <c r="CE155" s="397">
        <f>+Datos_Origen[[#This Row],[GMd]]/1.17666666667</f>
        <v>102984985.83540229</v>
      </c>
      <c r="CF155" s="402">
        <f>+Datos_Origen[[#This Row],[Básico Actual]]/Datos_Origen[[#This Row],[Salario Basico Md]]</f>
        <v>0</v>
      </c>
      <c r="CG155" s="397">
        <f>ROUNDUP(VLOOKUP(Datos_Origen[[#This Row],[Categoria]],Competitividad_1[#All],8,0)*IndiceIncrementoC,-3)</f>
        <v>168924000</v>
      </c>
      <c r="CH155" s="402" t="e">
        <f>Datos_Origen[[#This Row],[G]]/Datos_Origen[[#This Row],[GQ3]]</f>
        <v>#DIV/0!</v>
      </c>
      <c r="CI155" s="397">
        <f>ROUNDUP(VLOOKUP(Datos_Origen[[#This Row],[Categoria]],Competitividad_1[#All],9,0)*IndiceIncrementoC,-3)</f>
        <v>183974000</v>
      </c>
      <c r="CJ155" s="402" t="e">
        <f>Datos_Origen[[#This Row],[G+V]]/Datos_Origen[[#This Row],[G+VQ3]]</f>
        <v>#DIV/0!</v>
      </c>
      <c r="CK155" s="397">
        <f>ROUNDUP(VLOOKUP(Datos_Origen[[#This Row],[Categoria]],Competitividad_1[#All],10,0)*IndiceIncrementoC,-3)</f>
        <v>211271000</v>
      </c>
      <c r="CL155" s="402" t="e">
        <f>Datos_Origen[[#This Row],[CT]]/Datos_Origen[[#This Row],[CTQ3]]</f>
        <v>#DIV/0!</v>
      </c>
      <c r="CM155" s="403" t="e">
        <f>IF(ROUND(Datos_Origen[[#This Row],[Salario Ordinario Pol2]],-3)&lt;SMMLV,SMMLV,ROUND(Datos_Origen[[#This Row],[Salario Ordinario Pol2]],-3))</f>
        <v>#N/A</v>
      </c>
      <c r="CN155" s="397" t="e">
        <f>IF(Datos_Origen[[#This Row],[Gpol]]/(1+FactorPrestacionalOrdinario)&lt;SMMLV,SMMLV,Datos_Origen[[#This Row],[Gpol]]/(1+FactorPrestacionalOrdinario))</f>
        <v>#N/A</v>
      </c>
      <c r="CO155" s="402" t="str">
        <f>IFERROR(IF(Datos_Origen[[#This Row],[Salarios Año]]=14.12,Datos_Origen[[#This Row],[Básico]]/Datos_Origen[[#This Row],[Salario Ordinario Pol]],""),"")</f>
        <v/>
      </c>
      <c r="CP155" s="397" t="e">
        <f>IF(ROUND(Datos_Origen[[#This Row],[Salario Ordinario Pol22]],-3)&lt;SMMLV,SMMLV,ROUND(Datos_Origen[[#This Row],[Salario Ordinario Pol22]],-3))</f>
        <v>#N/A</v>
      </c>
      <c r="CQ155" s="397" t="str">
        <f>IFERROR(ROUND(Datos_Origen[[#This Row],[Salario Integral Pol4]],-3),"")</f>
        <v/>
      </c>
      <c r="CR155" s="510" t="e">
        <f>IF((Datos_Origen[[#This Row],[Gpol]]/(1+FactorPrestacionalIntegral))&lt;(13*SMMLV),"",(Datos_Origen[[#This Row],[Gpol]]/(1+FactorPrestacionalIntegral)))</f>
        <v>#N/A</v>
      </c>
      <c r="CS155" s="402" t="str">
        <f>IFERROR(IF(Datos_Origen[[#This Row],[Salarios Año]]=12,Datos_Origen[[#This Row],[Básico]]/Datos_Origen[[#This Row],[Salario Integral Pol]],""),"")</f>
        <v/>
      </c>
      <c r="CT155" s="397" t="str">
        <f>IFERROR(ROUND(Datos_Origen[[#This Row],[Salario Integral Pol44]],-3),"")</f>
        <v/>
      </c>
      <c r="CU155" s="397" t="e">
        <f>Datos_Origen[[#This Row],[G+Vpol]]-Datos_Origen[[#This Row],[Variable]]</f>
        <v>#N/A</v>
      </c>
      <c r="CV155" s="402" t="e">
        <f>Datos_Origen[[#This Row],[G]]/Datos_Origen[[#This Row],[Gpol]]</f>
        <v>#DIV/0!</v>
      </c>
      <c r="CW155" s="396" t="e">
        <f>Datos_Origen[[#This Row],[Ctpol]]-Datos_Origen[[#This Row],[Beneficios]]</f>
        <v>#N/A</v>
      </c>
      <c r="CX155" s="402" t="e">
        <f>Datos_Origen[[#This Row],[G+V]]/Datos_Origen[[#This Row],[G+Vpol]]</f>
        <v>#DIV/0!</v>
      </c>
      <c r="CY155" s="396" t="e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#N/A</v>
      </c>
      <c r="CZ155" s="402" t="e">
        <f>Datos_Origen[[#This Row],[CT]]/Datos_Origen[[#This Row],[Ctpol]]</f>
        <v>#DIV/0!</v>
      </c>
      <c r="DA155" s="398" t="e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#DIV/0!</v>
      </c>
      <c r="DB155" s="398" t="e">
        <f>IF(Datos_Origen[[#This Row],[Básico]]&lt;10*SMMLV,0,Datos_Origen[[#This Row],[Base Seguridad Social Actual]]*8.5%)</f>
        <v>#DIV/0!</v>
      </c>
      <c r="DC155" s="398" t="e">
        <f>Datos_Origen[[#This Row],[Base Seguridad Social Actual]]*12%</f>
        <v>#DIV/0!</v>
      </c>
      <c r="DD155" s="398" t="e">
        <f>Datos_Origen[[#This Row],[Base Seguridad Social Actual]]*Datos_Origen[[#This Row],[%ARL]]</f>
        <v>#DIV/0!</v>
      </c>
      <c r="DE155" s="398" t="e">
        <f>IF(Datos_Origen[[#This Row],[Básico]]&lt;10*SMMLV,Datos_Origen[[#This Row],[Base Seguridad Social Actual]]*4%,Datos_Origen[[#This Row],[Base Seguridad Social Actual]]*9%)</f>
        <v>#DIV/0!</v>
      </c>
      <c r="DF155" s="398" t="e">
        <f>Datos_Origen[[#This Row],[Salud]]+Datos_Origen[[#This Row],[Pensión]]+Datos_Origen[[#This Row],[ARL]]+Datos_Origen[[#This Row],[Parafiscales]]</f>
        <v>#DIV/0!</v>
      </c>
      <c r="DG155" s="408" t="e">
        <f>Datos_Origen[[#This Row],[Costo Laboral Actual]]+Datos_Origen[[#This Row],[CT]]</f>
        <v>#DIV/0!</v>
      </c>
      <c r="DH155" s="398" t="e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#DIV/0!</v>
      </c>
      <c r="DI155" s="398" t="e">
        <f>IF(IF(Datos_Origen[[#This Row],[Salarios Año]]=12,Datos_Origen[[#This Row],[Salario Integral Pol]],Datos_Origen[[#This Row],[Salario Ordinario Pol]])&lt;10*SMMLV,0,Datos_Origen[[#This Row],[Base Seguridad Social Nueva]]*8.5%)</f>
        <v>#N/A</v>
      </c>
      <c r="DJ155" s="398" t="e">
        <f>Datos_Origen[[#This Row],[Base Seguridad Social Nueva]]*12%</f>
        <v>#DIV/0!</v>
      </c>
      <c r="DK155" s="398" t="e">
        <f>Datos_Origen[[#This Row],[Base Seguridad Social Nueva]]*Datos_Origen[[#This Row],[%ARL]]</f>
        <v>#DIV/0!</v>
      </c>
      <c r="DL155" s="398" t="e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#N/A</v>
      </c>
      <c r="DM155" s="398" t="e">
        <f>Datos_Origen[[#This Row],[Salud Nueva]]+Datos_Origen[[#This Row],[Pensión Nueva]]+Datos_Origen[[#This Row],[ARL nueva]]+Datos_Origen[[#This Row],[Parafiscales Nuevos]]</f>
        <v>#N/A</v>
      </c>
      <c r="DN155" s="398" t="e">
        <f>Datos_Origen[[#This Row],[Costo Laboral Nuevo]]+Datos_Origen[[#This Row],[Ctpol]]</f>
        <v>#N/A</v>
      </c>
      <c r="DO155" s="398" t="e">
        <f>IF(Datos_Origen[[#This Row],[Ctpol]]-Datos_Origen[[#This Row],[CT]]&lt;=0,0,Datos_Origen[[#This Row],[Costo Total Nuevo]]-Datos_Origen[[#This Row],[Costo Total Actual]])</f>
        <v>#N/A</v>
      </c>
      <c r="DP155" s="398" t="e">
        <f>IF(Datos_Origen[[#This Row],[Ctpol]]-Datos_Origen[[#This Row],[CT]]&lt;=0,0,Datos_Origen[[#This Row],[Ctpol]]-Datos_Origen[[#This Row],[CT]])</f>
        <v>#N/A</v>
      </c>
      <c r="DQ155" s="398" t="e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#N/A</v>
      </c>
      <c r="DR155" s="398">
        <f>ROUNDDOWN(VLOOKUP(Datos_Origen[[#This Row],[Categoria]],Competitividad_1[],7,0)*IndiceIncrementoC,-3)</f>
        <v>129715000</v>
      </c>
      <c r="DS155" s="398" t="e">
        <f>Datos_Origen[[#This Row],[CTeq]]*0.8</f>
        <v>#N/A</v>
      </c>
      <c r="DT155" s="398" t="e">
        <f>Datos_Origen[[#This Row],[CTeq]]*1.2</f>
        <v>#N/A</v>
      </c>
      <c r="DU155" s="397" t="e">
        <f>IF(Datos_Origen[[#This Row],[Gpol6]]/(1+FactorPrestacionalOrdinario)&lt;SMMLV,SMMLV,Datos_Origen[[#This Row],[Gpol6]]/(1+FactorPrestacionalOrdinario))</f>
        <v>#N/A</v>
      </c>
      <c r="DV155" s="510" t="e">
        <f>IF((Datos_Origen[[#This Row],[Gpol6]]/(1+FactorPrestacionalIntegral))&lt;(13*SMMLV),"",(Datos_Origen[[#This Row],[Gpol6]]/(1+FactorPrestacionalIntegral)))</f>
        <v>#N/A</v>
      </c>
      <c r="DW155" s="396" t="e">
        <f>Datos_Origen[[#This Row],[G+Vpol8]]</f>
        <v>#N/A</v>
      </c>
      <c r="DX155" s="396" t="e">
        <f>Datos_Origen[[#This Row],[Ctpol10]]-Datos_Origen[[#This Row],[Beneficios]]</f>
        <v>#N/A</v>
      </c>
      <c r="DY155" s="396" t="e">
        <f>Datos_Origen[[#This Row],[Ctpol]]*$CM$6</f>
        <v>#N/A</v>
      </c>
      <c r="DZ155" s="397" t="e">
        <f>IF(Datos_Origen[[#This Row],[Gpol66]]/(1+FactorPrestacionalOrdinario)&lt;SMMLV,SMMLV,Datos_Origen[[#This Row],[Gpol66]]/(1+FactorPrestacionalOrdinario))</f>
        <v>#N/A</v>
      </c>
      <c r="EA155" s="510" t="e">
        <f>IF((Datos_Origen[[#This Row],[Gpol66]]/(1+FactorPrestacionalIntegral))&lt;(13*SMMLV),"",(Datos_Origen[[#This Row],[Gpol66]]/(1+FactorPrestacionalIntegral)))</f>
        <v>#N/A</v>
      </c>
      <c r="EB155" s="396" t="e">
        <f>Datos_Origen[[#This Row],[G+Vpol88]]</f>
        <v>#N/A</v>
      </c>
      <c r="EC155" s="396" t="e">
        <f>Datos_Origen[[#This Row],[Ctpol1010]]-Datos_Origen[[#This Row],[Beneficios]]</f>
        <v>#N/A</v>
      </c>
      <c r="ED155" s="396" t="e">
        <f>Datos_Origen[[#This Row],[Ctpol]]*$CP$6</f>
        <v>#N/A</v>
      </c>
      <c r="EE155" s="398" t="e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#DIV/0!</v>
      </c>
    </row>
    <row r="156" spans="2:135">
      <c r="B156" s="148"/>
      <c r="C156" s="394"/>
      <c r="D156" s="404"/>
      <c r="E156" s="405"/>
      <c r="F156" s="405"/>
      <c r="G156" s="404" t="s">
        <v>361</v>
      </c>
      <c r="H156" s="395"/>
      <c r="I156" s="150" t="s">
        <v>272</v>
      </c>
      <c r="J156" s="406" t="str">
        <f>IFERROR(VLOOKUP(Datos_Origen[[#This Row],[Cargo Tipo Valorado]],Cargos_Catalogo[[#All],[Cargo]:[Área]],2,0),"")</f>
        <v>Gerencia General</v>
      </c>
      <c r="K156" s="395"/>
      <c r="L156" s="395"/>
      <c r="M156" s="395"/>
      <c r="N156" s="395"/>
      <c r="O156" s="396">
        <f>Datos_Origen[[#This Row],[Segmentación Individual]]</f>
        <v>0</v>
      </c>
      <c r="P156" s="395"/>
      <c r="Q156" s="396">
        <f>VLOOKUP(Datos_Origen[[#This Row],[Cargo Tipo Valorado]],Cargos_Catalogo[#Data],MATCH(Cargos_Catalogo[[#Headers],[Puntos]],Cargos_Catalogo[#Headers],0),FALSE)</f>
        <v>1344</v>
      </c>
      <c r="R156" s="406">
        <f>VLOOKUP(Datos_Origen[[#This Row],[Puntos valoración]],Categorias_Registro[#Data],MATCH(Categorias_Registro[[#Headers],[Categoria]],Categorias_Registro[#Headers],0),FALSE)</f>
        <v>20</v>
      </c>
      <c r="S156" s="406" t="str">
        <f>VLOOKUP(Datos_Origen[[#This Row],[Cargo Tipo Valorado]],Cargos_Catalogo[#Data],MATCH(Cargos_Catalogo[[#Headers],[Nivel SHR]],Cargos_Catalogo[#Headers],0),FALSE)</f>
        <v>Ejecutivo</v>
      </c>
      <c r="T156" s="406" t="str">
        <f>VLOOKUP(Datos_Origen[[#This Row],[Cargo Tipo Valorado]],Cargos_Catalogo[#Data],MATCH(Cargos_Catalogo[[#Headers],[Criticidad]],Cargos_Catalogo[#Headers],0),FALSE)</f>
        <v>Crítico</v>
      </c>
      <c r="U156" s="396">
        <f>VLOOKUP(Datos_Origen[[#This Row],[Puntos valoración]],Categorias_Registro[#Data],5,FALSE)</f>
        <v>1331</v>
      </c>
      <c r="V156" s="396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28165949.790000003</v>
      </c>
      <c r="W156" s="396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20944137.665000003</v>
      </c>
      <c r="X156" s="396">
        <f>SUMIF($BA$5:$BJ$5,"NCS",Datos_Origen[[#This Row],[auxilio Gasolina]:[Otro Beneficio10]])+(SUMIF($BA$5:$BJ$5,"CS",Datos_Origen[[#This Row],[auxilio Gasolina]:[Otro Beneficio10]])*1.17667)</f>
        <v>0</v>
      </c>
      <c r="Y156" s="397">
        <f>Datos_Origen[[#This Row],[Básico]]+Datos_Origen[[#This Row],[Promedio de Comisiones  ]]</f>
        <v>38526000</v>
      </c>
      <c r="Z156" s="397">
        <f>Datos_Origen[[#This Row],[Básico]]+Datos_Origen[[#This Row],[Promedio de Comisiones  ]]</f>
        <v>38526000</v>
      </c>
      <c r="AA156" s="397">
        <f>Datos_Origen[[#This Row],[Garantizado]]</f>
        <v>28165949.790000003</v>
      </c>
      <c r="AB156" s="397">
        <f>Datos_Origen[[#This Row],[Variable]]+Datos_Origen[[#This Row],[Garantizado]]</f>
        <v>49110087.455000006</v>
      </c>
      <c r="AC156" s="397">
        <f>Datos_Origen[[#This Row],[Beneficios]]+Datos_Origen[[#This Row],[Variable]]+Datos_Origen[[#This Row],[Garantizado]]</f>
        <v>49110087.455000006</v>
      </c>
      <c r="AD156" s="156">
        <v>14.12</v>
      </c>
      <c r="AE156" s="141">
        <v>230</v>
      </c>
      <c r="AF156" s="345">
        <v>4.3499999999999997E-2</v>
      </c>
      <c r="AG156" s="397">
        <f>Datos_Origen[[#This Row],[Básico Actual]]*230/Datos_Origen[[#This Row],['# horas mes]]</f>
        <v>23937000</v>
      </c>
      <c r="AH156" s="407">
        <v>23937000</v>
      </c>
      <c r="AI156" s="398"/>
      <c r="AJ156" s="398">
        <f>(((Datos_Origen[[#This Row],[Básico]])/30)*$AJ$6)/12</f>
        <v>0</v>
      </c>
      <c r="AK156" s="398"/>
      <c r="AL156" s="399">
        <f>((Datos_Origen[[#This Row],[Básico]])/30)*$AL$6/12</f>
        <v>0</v>
      </c>
      <c r="AM156" s="398"/>
      <c r="AN156" s="398"/>
      <c r="AO156" s="398"/>
      <c r="AP156" s="398"/>
      <c r="AQ156" s="398"/>
      <c r="AR156" s="394">
        <v>14589000</v>
      </c>
      <c r="AS156" s="394"/>
      <c r="AT156" s="400">
        <f>IFERROR(Datos_Origen[[#This Row],[Comisiones Target]]/Datos_Origen[[#This Row],[Promedio de Comisiones  ]],"")</f>
        <v>0</v>
      </c>
      <c r="AU156" s="401"/>
      <c r="AV156" s="143">
        <f>+(Datos_Origen[[#This Row],[Básico]]+Datos_Origen[[#This Row],[Promedio de Comisiones  ]])/12</f>
        <v>3210500</v>
      </c>
      <c r="AW156" s="401"/>
      <c r="AX156" s="399">
        <f>Datos_Origen[[#This Row],[N Salarios de la Bonificación2]]*Datos_Origen[[#This Row],[Básico]]/12</f>
        <v>0</v>
      </c>
      <c r="AY156" s="401"/>
      <c r="AZ156" s="398"/>
      <c r="BA156" s="149">
        <v>0</v>
      </c>
      <c r="BB156" s="394"/>
      <c r="BC156" s="394"/>
      <c r="BD156" s="394"/>
      <c r="BE156" s="394"/>
      <c r="BF156" s="394"/>
      <c r="BG156" s="394"/>
      <c r="BH156" s="394"/>
      <c r="BI156" s="394"/>
      <c r="BJ156" s="394"/>
      <c r="BK156" s="400">
        <f>IFERROR(Datos_Origen[[#This Row],[Variable]]/Datos_Origen[[#This Row],[CT]],"")</f>
        <v>0.42647323086507016</v>
      </c>
      <c r="BL156" s="400">
        <f>IFERROR(Datos_Origen[[#This Row],[Beneficios]]/Datos_Origen[[#This Row],[CT]],"")</f>
        <v>0</v>
      </c>
      <c r="BM156" s="397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45494354.997246265</v>
      </c>
      <c r="BN156" s="402">
        <f>Datos_Origen[[#This Row],[G]]/Datos_Origen[[#This Row],[Geq]]</f>
        <v>0.61910867384986257</v>
      </c>
      <c r="BO156" s="397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51691425.311316341</v>
      </c>
      <c r="BP156" s="402">
        <f>Datos_Origen[[#This Row],[G+V]]/Datos_Origen[[#This Row],[G+Veq]]</f>
        <v>0.95006255213954749</v>
      </c>
      <c r="BQ156" s="397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52069765.358640566</v>
      </c>
      <c r="BR156" s="402">
        <f>Datos_Origen[[#This Row],[CT]]/Datos_Origen[[#This Row],[CTeq]]</f>
        <v>0.94315937697711505</v>
      </c>
      <c r="BS156" s="397">
        <f>ROUNDUP(VLOOKUP(Datos_Origen[[#This Row],[Categoria]],Competitividad_1[#All],2,0)*IndiceIncrementoC,-3)</f>
        <v>35463000</v>
      </c>
      <c r="BT156" s="402">
        <f>Datos_Origen[[#This Row],[G]]/Datos_Origen[[#This Row],[GQ1]]</f>
        <v>0.79423483038660014</v>
      </c>
      <c r="BU156" s="397">
        <f>ROUNDUP(VLOOKUP(Datos_Origen[[#This Row],[Categoria]],Competitividad_1[#All],3,0)*IndiceIncrementoC,-3)</f>
        <v>37487000</v>
      </c>
      <c r="BV156" s="402">
        <f>Datos_Origen[[#This Row],[G+V]]/Datos_Origen[[#This Row],[G+VQ1]]</f>
        <v>1.3100564850481502</v>
      </c>
      <c r="BW156" s="397">
        <f>ROUNDUP(VLOOKUP(Datos_Origen[[#This Row],[Categoria]],Competitividad_1[#All],4,0)*IndiceIncrementoC,-3)</f>
        <v>38796000</v>
      </c>
      <c r="BX156" s="402">
        <f>Datos_Origen[[#This Row],[CT]]/Datos_Origen[[#This Row],[CTQ1]]</f>
        <v>1.2658544039333954</v>
      </c>
      <c r="BY156" s="397">
        <f>ROUNDUP(VLOOKUP(Datos_Origen[[#This Row],[Categoria]],Competitividad_1[#All],5,0)*IndiceIncrementoC,-3)</f>
        <v>51447000</v>
      </c>
      <c r="BZ156" s="402">
        <f>Datos_Origen[[#This Row],[G]]/Datos_Origen[[#This Row],[GMd]]</f>
        <v>0.54747506735086604</v>
      </c>
      <c r="CA156" s="397">
        <f>ROUNDUP(VLOOKUP(Datos_Origen[[#This Row],[Categoria]],Competitividad_1[#All],6,0)*IndiceIncrementoC,-3)</f>
        <v>53698000</v>
      </c>
      <c r="CB156" s="402">
        <f>Datos_Origen[[#This Row],[G+V]]/Datos_Origen[[#This Row],[G+VMd]]</f>
        <v>0.91456083010540445</v>
      </c>
      <c r="CC156" s="397">
        <f>ROUNDUP(VLOOKUP(Datos_Origen[[#This Row],[Categoria]],Competitividad_1[#All],7,0)*IndiceIncrementoC,-3)</f>
        <v>55137000</v>
      </c>
      <c r="CD156" s="402">
        <f>Datos_Origen[[#This Row],[CT]]/Datos_Origen[[#This Row],[CTMd]]</f>
        <v>0.89069204808023661</v>
      </c>
      <c r="CE156" s="397">
        <f>+Datos_Origen[[#This Row],[GMd]]/1.17666666667</f>
        <v>43722662.889394552</v>
      </c>
      <c r="CF156" s="402">
        <f>+Datos_Origen[[#This Row],[Básico Actual]]/Datos_Origen[[#This Row],[Salario Basico Md]]</f>
        <v>0.54747351643593978</v>
      </c>
      <c r="CG156" s="397">
        <f>ROUNDUP(VLOOKUP(Datos_Origen[[#This Row],[Categoria]],Competitividad_1[#All],8,0)*IndiceIncrementoC,-3)</f>
        <v>67385000</v>
      </c>
      <c r="CH156" s="402">
        <f>Datos_Origen[[#This Row],[G]]/Datos_Origen[[#This Row],[GQ3]]</f>
        <v>0.4179854535875937</v>
      </c>
      <c r="CI156" s="397">
        <f>ROUNDUP(VLOOKUP(Datos_Origen[[#This Row],[Categoria]],Competitividad_1[#All],9,0)*IndiceIncrementoC,-3)</f>
        <v>72758000</v>
      </c>
      <c r="CJ156" s="402">
        <f>Datos_Origen[[#This Row],[G+V]]/Datos_Origen[[#This Row],[G+VQ3]]</f>
        <v>0.67497852407982639</v>
      </c>
      <c r="CK156" s="397">
        <f>ROUNDUP(VLOOKUP(Datos_Origen[[#This Row],[Categoria]],Competitividad_1[#All],10,0)*IndiceIncrementoC,-3)</f>
        <v>82075000</v>
      </c>
      <c r="CL156" s="402">
        <f>Datos_Origen[[#This Row],[CT]]/Datos_Origen[[#This Row],[CTQ3]]</f>
        <v>0.59835622851050874</v>
      </c>
      <c r="CM156" s="403">
        <f>IF(ROUND(Datos_Origen[[#This Row],[Salario Ordinario Pol2]],-3)&lt;SMMLV,SMMLV,ROUND(Datos_Origen[[#This Row],[Salario Ordinario Pol2]],-3))</f>
        <v>44984000</v>
      </c>
      <c r="CN156" s="397">
        <f>IF(Datos_Origen[[#This Row],[Gpol]]/(1+FactorPrestacionalOrdinario)&lt;SMMLV,SMMLV,Datos_Origen[[#This Row],[Gpol]]/(1+FactorPrestacionalOrdinario))</f>
        <v>38430477.905099139</v>
      </c>
      <c r="CO156" s="402">
        <f>IFERROR(IF(Datos_Origen[[#This Row],[Salarios Año]]=14.12,Datos_Origen[[#This Row],[Básico]]/Datos_Origen[[#This Row],[Salario Ordinario Pol]],""),"")</f>
        <v>0.62286500987862881</v>
      </c>
      <c r="CP156" s="397">
        <f>IF(ROUND(Datos_Origen[[#This Row],[Salario Ordinario Pol22]],-3)&lt;SMMLV,SMMLV,ROUND(Datos_Origen[[#This Row],[Salario Ordinario Pol22]],-3))</f>
        <v>67476000</v>
      </c>
      <c r="CQ156" s="397">
        <f>IFERROR(ROUND(Datos_Origen[[#This Row],[Salario Integral Pol4]],-3),"")</f>
        <v>52931000</v>
      </c>
      <c r="CR156" s="397">
        <f>IF((Datos_Origen[[#This Row],[Gpol]]/(1+FactorPrestacionalIntegral))&lt;(13*SMMLV),"",(Datos_Origen[[#This Row],[Gpol]]/(1+FactorPrestacionalIntegral)))</f>
        <v>45219862.334999993</v>
      </c>
      <c r="CS156" s="402" t="str">
        <f>IFERROR(IF(Datos_Origen[[#This Row],[Salarios Año]]=12,Datos_Origen[[#This Row],[Básico]]/Datos_Origen[[#This Row],[Salario Integral Pol]],""),"")</f>
        <v/>
      </c>
      <c r="CT156" s="397">
        <f>IFERROR(ROUND(Datos_Origen[[#This Row],[Salario Integral Pol44]],-3),"")</f>
        <v>79397000</v>
      </c>
      <c r="CU156" s="397">
        <f>Datos_Origen[[#This Row],[G+Vpol]]-Datos_Origen[[#This Row],[Variable]]</f>
        <v>45219862.334999993</v>
      </c>
      <c r="CV156" s="402">
        <f>Datos_Origen[[#This Row],[G]]/Datos_Origen[[#This Row],[Gpol]]</f>
        <v>0.62286677436874172</v>
      </c>
      <c r="CW156" s="396">
        <f>Datos_Origen[[#This Row],[Ctpol]]-Datos_Origen[[#This Row],[Beneficios]]</f>
        <v>66164000</v>
      </c>
      <c r="CX156" s="402">
        <f>Datos_Origen[[#This Row],[G+V]]/Datos_Origen[[#This Row],[G+Vpol]]</f>
        <v>0.74224786069463766</v>
      </c>
      <c r="CY156" s="396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66164000</v>
      </c>
      <c r="CZ156" s="402">
        <f>Datos_Origen[[#This Row],[CT]]/Datos_Origen[[#This Row],[Ctpol]]</f>
        <v>0.74224786069463766</v>
      </c>
      <c r="DA156" s="398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35587500</v>
      </c>
      <c r="DB156" s="398">
        <f>IF(Datos_Origen[[#This Row],[Básico]]&lt;10*SMMLV,0,Datos_Origen[[#This Row],[Base Seguridad Social Actual]]*8.5%)</f>
        <v>3024937.5</v>
      </c>
      <c r="DC156" s="398">
        <f>Datos_Origen[[#This Row],[Base Seguridad Social Actual]]*12%</f>
        <v>4270500</v>
      </c>
      <c r="DD156" s="398">
        <f>Datos_Origen[[#This Row],[Base Seguridad Social Actual]]*Datos_Origen[[#This Row],[%ARL]]</f>
        <v>1548056.25</v>
      </c>
      <c r="DE156" s="398">
        <f>IF(Datos_Origen[[#This Row],[Básico]]&lt;10*SMMLV,Datos_Origen[[#This Row],[Base Seguridad Social Actual]]*4%,Datos_Origen[[#This Row],[Base Seguridad Social Actual]]*9%)</f>
        <v>3202875</v>
      </c>
      <c r="DF156" s="398">
        <f>Datos_Origen[[#This Row],[Salud]]+Datos_Origen[[#This Row],[Pensión]]+Datos_Origen[[#This Row],[ARL]]+Datos_Origen[[#This Row],[Parafiscales]]</f>
        <v>12046368.75</v>
      </c>
      <c r="DG156" s="408">
        <f>Datos_Origen[[#This Row],[Costo Laboral Actual]]+Datos_Origen[[#This Row],[CT]]</f>
        <v>61156456.205000006</v>
      </c>
      <c r="DH156" s="398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35587500</v>
      </c>
      <c r="DI156" s="398">
        <f>IF(IF(Datos_Origen[[#This Row],[Salarios Año]]=12,Datos_Origen[[#This Row],[Salario Integral Pol]],Datos_Origen[[#This Row],[Salario Ordinario Pol]])&lt;10*SMMLV,0,Datos_Origen[[#This Row],[Base Seguridad Social Nueva]]*8.5%)</f>
        <v>3024937.5</v>
      </c>
      <c r="DJ156" s="398">
        <f>Datos_Origen[[#This Row],[Base Seguridad Social Nueva]]*12%</f>
        <v>4270500</v>
      </c>
      <c r="DK156" s="398">
        <f>Datos_Origen[[#This Row],[Base Seguridad Social Nueva]]*Datos_Origen[[#This Row],[%ARL]]</f>
        <v>1548056.25</v>
      </c>
      <c r="DL156" s="398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3202875</v>
      </c>
      <c r="DM156" s="398">
        <f>Datos_Origen[[#This Row],[Salud Nueva]]+Datos_Origen[[#This Row],[Pensión Nueva]]+Datos_Origen[[#This Row],[ARL nueva]]+Datos_Origen[[#This Row],[Parafiscales Nuevos]]</f>
        <v>12046368.75</v>
      </c>
      <c r="DN156" s="398">
        <f>Datos_Origen[[#This Row],[Costo Laboral Nuevo]]+Datos_Origen[[#This Row],[Ctpol]]</f>
        <v>78210368.75</v>
      </c>
      <c r="DO156" s="398">
        <f>IF(Datos_Origen[[#This Row],[Ctpol]]-Datos_Origen[[#This Row],[CT]]&lt;=0,0,Datos_Origen[[#This Row],[Costo Total Nuevo]]-Datos_Origen[[#This Row],[Costo Total Actual]])</f>
        <v>17053912.544999994</v>
      </c>
      <c r="DP156" s="398">
        <f>IF(Datos_Origen[[#This Row],[Ctpol]]-Datos_Origen[[#This Row],[CT]]&lt;=0,0,Datos_Origen[[#This Row],[Ctpol]]-Datos_Origen[[#This Row],[CT]])</f>
        <v>17053912.544999994</v>
      </c>
      <c r="DQ156" s="398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0</v>
      </c>
      <c r="DR156" s="398">
        <f>ROUNDDOWN(VLOOKUP(Datos_Origen[[#This Row],[Categoria]],Competitividad_1[],7,0)*IndiceIncrementoC,-3)</f>
        <v>55136000</v>
      </c>
      <c r="DS156" s="398">
        <f>Datos_Origen[[#This Row],[CTeq]]*0.8</f>
        <v>41655812.286912456</v>
      </c>
      <c r="DT156" s="398">
        <f>Datos_Origen[[#This Row],[CTeq]]*1.2</f>
        <v>62483718.430368677</v>
      </c>
      <c r="DU156" s="397">
        <f>IF(Datos_Origen[[#This Row],[Gpol6]]/(1+FactorPrestacionalOrdinario)&lt;SMMLV,SMMLV,Datos_Origen[[#This Row],[Gpol6]]/(1+FactorPrestacionalOrdinario))</f>
        <v>44984022.662889518</v>
      </c>
      <c r="DV156" s="397">
        <f>IF((Datos_Origen[[#This Row],[Gpol6]]/(1+FactorPrestacionalIntegral))&lt;(13*SMMLV),"",(Datos_Origen[[#This Row],[Gpol6]]/(1+FactorPrestacionalIntegral)))</f>
        <v>52931200</v>
      </c>
      <c r="DW156" s="396">
        <f>Datos_Origen[[#This Row],[G+Vpol8]]</f>
        <v>52931200</v>
      </c>
      <c r="DX156" s="396">
        <f>Datos_Origen[[#This Row],[Ctpol10]]-Datos_Origen[[#This Row],[Beneficios]]</f>
        <v>52931200</v>
      </c>
      <c r="DY156" s="396">
        <f>Datos_Origen[[#This Row],[Ctpol]]*$CM$6</f>
        <v>52931200</v>
      </c>
      <c r="DZ156" s="397">
        <f>IF(Datos_Origen[[#This Row],[Gpol66]]/(1+FactorPrestacionalOrdinario)&lt;SMMLV,SMMLV,Datos_Origen[[#This Row],[Gpol66]]/(1+FactorPrestacionalOrdinario))</f>
        <v>67476033.994334266</v>
      </c>
      <c r="EA156" s="397">
        <f>IF((Datos_Origen[[#This Row],[Gpol66]]/(1+FactorPrestacionalIntegral))&lt;(13*SMMLV),"",(Datos_Origen[[#This Row],[Gpol66]]/(1+FactorPrestacionalIntegral)))</f>
        <v>79396800</v>
      </c>
      <c r="EB156" s="396">
        <f>Datos_Origen[[#This Row],[G+Vpol88]]</f>
        <v>79396800</v>
      </c>
      <c r="EC156" s="396">
        <f>Datos_Origen[[#This Row],[Ctpol1010]]-Datos_Origen[[#This Row],[Beneficios]]</f>
        <v>79396800</v>
      </c>
      <c r="ED156" s="396">
        <f>Datos_Origen[[#This Row],[Ctpol]]*$CP$6</f>
        <v>79396800</v>
      </c>
      <c r="EE156" s="398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0</v>
      </c>
    </row>
    <row r="157" spans="2:135">
      <c r="B157" s="503"/>
      <c r="C157" s="394"/>
      <c r="D157" s="404"/>
      <c r="E157" s="504"/>
      <c r="F157" s="504"/>
      <c r="G157" s="505" t="s">
        <v>897</v>
      </c>
      <c r="H157" s="395"/>
      <c r="I157" s="505"/>
      <c r="J157" s="406" t="str">
        <f>IFERROR(VLOOKUP(Datos_Origen[[#This Row],[Cargo Tipo Valorado]],Cargos_Catalogo[[#All],[Cargo]:[Área]],2,0),"")</f>
        <v/>
      </c>
      <c r="K157" s="395"/>
      <c r="L157" s="395"/>
      <c r="M157" s="395"/>
      <c r="N157" s="395"/>
      <c r="O157" s="396">
        <f>Datos_Origen[[#This Row],[Segmentación Individual]]</f>
        <v>0</v>
      </c>
      <c r="P157" s="395"/>
      <c r="Q157" s="396" t="e">
        <f>VLOOKUP(Datos_Origen[[#This Row],[Cargo Tipo Valorado]],Cargos_Catalogo[#Data],MATCH(Cargos_Catalogo[[#Headers],[Puntos]],Cargos_Catalogo[#Headers],0),FALSE)</f>
        <v>#N/A</v>
      </c>
      <c r="R157" s="406" t="e">
        <f>VLOOKUP(Datos_Origen[[#This Row],[Puntos valoración]],Categorias_Registro[#Data],MATCH(Categorias_Registro[[#Headers],[Categoria]],Categorias_Registro[#Headers],0),FALSE)</f>
        <v>#N/A</v>
      </c>
      <c r="S157" s="406" t="e">
        <f>VLOOKUP(Datos_Origen[[#This Row],[Cargo Tipo Valorado]],Cargos_Catalogo[#Data],MATCH(Cargos_Catalogo[[#Headers],[Nivel SHR]],Cargos_Catalogo[#Headers],0),FALSE)</f>
        <v>#N/A</v>
      </c>
      <c r="T157" s="406" t="e">
        <f>VLOOKUP(Datos_Origen[[#This Row],[Cargo Tipo Valorado]],Cargos_Catalogo[#Data],MATCH(Cargos_Catalogo[[#Headers],[Criticidad]],Cargos_Catalogo[#Headers],0),FALSE)</f>
        <v>#N/A</v>
      </c>
      <c r="U157" s="396" t="e">
        <f>VLOOKUP(Datos_Origen[[#This Row],[Puntos valoración]],Categorias_Registro[#Data],5,FALSE)</f>
        <v>#N/A</v>
      </c>
      <c r="V157" s="396" t="e">
        <f>IF(Datos_Origen[[#This Row],[Salarios Año]]=12,Datos_Origen[[#This Row],[Básico]]+Datos_Origen[[#This Row],[Prima Extralegal 1]]+Datos_Origen[[#This Row],[Prima Extralegal 2]]+Datos_Origen[[#This Row],[Prima Extralegal 3]]+Datos_Origen[[#This Row],[Prima Extralegal 4]]+Datos_Origen[[#This Row],[Beneficios Flexibles]],Datos_Origen[[#This Row],[Básico]]*1.17667+IF(Datos_Origen[[#This Row],[Prima 1
NCS / CS]]="CS",Datos_Origen[[#This Row],[Prima Extralegal 1]]*1.17667,Datos_Origen[[#This Row],[Prima Extralegal 1]])+IF(Datos_Origen[[#This Row],[Prima 2
NCS / CS]]="CS",Datos_Origen[[#This Row],[Prima Extralegal 2]]*1.17667,Datos_Origen[[#This Row],[Prima Extralegal 2]])+IF(Datos_Origen[[#This Row],[Prima 3
NCS / CS]]="CS",Datos_Origen[[#This Row],[Prima Extralegal 3]]*1.17667,Datos_Origen[[#This Row],[Prima Extralegal 3]])+IF(Datos_Origen[[#This Row],[Prima 4
NCS / CS]]="CS",Datos_Origen[[#This Row],[Prima Extralegal 4]]*1.17667,Datos_Origen[[#This Row],[Prima Extralegal 4]])+Datos_Origen[[#This Row],[Beneficios Flexibles]]*1.17667)</f>
        <v>#DIV/0!</v>
      </c>
      <c r="W157" s="396" t="e">
        <f>IF(Datos_Origen[[#This Row],[Salarios Año]]=12,Datos_Origen[[#This Row],[Promedio de Comisiones  ]]+Datos_Origen[[#This Row],[Bonificación Anual]]+Datos_Origen[[#This Row],[Bonificación Anual 2]]+Datos_Origen[[#This Row],[Bonificación Anual 3]],IF($AR$5="CS",Datos_Origen[[#This Row],[Promedio de Comisiones  ]]*1.17667,Datos_Origen[[#This Row],[Promedio de Comisiones  ]])+IF($AV$5="CS",Datos_Origen[[#This Row],[Bonificación Anual]]*1.17667,Datos_Origen[[#This Row],[Bonificación Anual]])+IF($AX$5="CS",Datos_Origen[[#This Row],[Bonificación Anual 2]]*1.17667,Datos_Origen[[#This Row],[Bonificación Anual 2]])+IF($AZ$5="CS",Datos_Origen[[#This Row],[Bonificación Anual 3]]*1.17667,Datos_Origen[[#This Row],[Bonificación Anual 3]]))</f>
        <v>#DIV/0!</v>
      </c>
      <c r="X157" s="396">
        <f>SUMIF($BA$5:$BJ$5,"NCS",Datos_Origen[[#This Row],[auxilio Gasolina]:[Otro Beneficio10]])+(SUMIF($BA$5:$BJ$5,"CS",Datos_Origen[[#This Row],[auxilio Gasolina]:[Otro Beneficio10]])*1.17667)</f>
        <v>0</v>
      </c>
      <c r="Y157" s="397" t="e">
        <f>Datos_Origen[[#This Row],[Básico]]+Datos_Origen[[#This Row],[Promedio de Comisiones  ]]</f>
        <v>#DIV/0!</v>
      </c>
      <c r="Z157" s="397" t="e">
        <f>Datos_Origen[[#This Row],[Básico]]+Datos_Origen[[#This Row],[Promedio de Comisiones  ]]</f>
        <v>#DIV/0!</v>
      </c>
      <c r="AA157" s="397" t="e">
        <f>Datos_Origen[[#This Row],[Garantizado]]</f>
        <v>#DIV/0!</v>
      </c>
      <c r="AB157" s="397" t="e">
        <f>Datos_Origen[[#This Row],[Variable]]+Datos_Origen[[#This Row],[Garantizado]]</f>
        <v>#DIV/0!</v>
      </c>
      <c r="AC157" s="397" t="e">
        <f>Datos_Origen[[#This Row],[Beneficios]]+Datos_Origen[[#This Row],[Variable]]+Datos_Origen[[#This Row],[Garantizado]]</f>
        <v>#DIV/0!</v>
      </c>
      <c r="AD157" s="506"/>
      <c r="AE157" s="507"/>
      <c r="AF157" s="508"/>
      <c r="AG157" s="397" t="e">
        <f>Datos_Origen[[#This Row],[Básico Actual]]*230/Datos_Origen[[#This Row],['# horas mes]]</f>
        <v>#DIV/0!</v>
      </c>
      <c r="AH157" s="407"/>
      <c r="AI157" s="398"/>
      <c r="AJ157" s="398" t="e">
        <f>(((Datos_Origen[[#This Row],[Básico]])/30)*$AJ$6)/12</f>
        <v>#DIV/0!</v>
      </c>
      <c r="AK157" s="398"/>
      <c r="AL157" s="399" t="e">
        <f>((Datos_Origen[[#This Row],[Básico]])/30)*$AL$6/12</f>
        <v>#DIV/0!</v>
      </c>
      <c r="AM157" s="398"/>
      <c r="AN157" s="398"/>
      <c r="AO157" s="398"/>
      <c r="AP157" s="398"/>
      <c r="AQ157" s="398"/>
      <c r="AR157" s="394"/>
      <c r="AS157" s="394"/>
      <c r="AT157" s="400" t="str">
        <f>IFERROR(Datos_Origen[[#This Row],[Comisiones Target]]/Datos_Origen[[#This Row],[Promedio de Comisiones  ]],"")</f>
        <v/>
      </c>
      <c r="AU157" s="401"/>
      <c r="AV157" s="398" t="e">
        <f>Datos_Origen[[#This Row],[N Salarios de la Bonificación]]*Datos_Origen[[#This Row],[Básico]]/12</f>
        <v>#DIV/0!</v>
      </c>
      <c r="AW157" s="401"/>
      <c r="AX157" s="399" t="e">
        <f>Datos_Origen[[#This Row],[N Salarios de la Bonificación2]]*Datos_Origen[[#This Row],[Básico]]/12</f>
        <v>#DIV/0!</v>
      </c>
      <c r="AY157" s="401"/>
      <c r="AZ157" s="398"/>
      <c r="BA157" s="394"/>
      <c r="BB157" s="394"/>
      <c r="BC157" s="394"/>
      <c r="BD157" s="394"/>
      <c r="BE157" s="394"/>
      <c r="BF157" s="394"/>
      <c r="BG157" s="394"/>
      <c r="BH157" s="394"/>
      <c r="BI157" s="394"/>
      <c r="BJ157" s="394"/>
      <c r="BK157" s="400" t="str">
        <f>IFERROR(Datos_Origen[[#This Row],[Variable]]/Datos_Origen[[#This Row],[CT]],"")</f>
        <v/>
      </c>
      <c r="BL157" s="400" t="str">
        <f>IFERROR(Datos_Origen[[#This Row],[Beneficios]]/Datos_Origen[[#This Row],[CT]],"")</f>
        <v/>
      </c>
      <c r="BM157" s="509" t="e">
        <f>((Datos_Origen[[#This Row],[Punto Medio]]*VLOOKUP(Datos_Origen[[#This Row],[Punto Medio]],'Curva Equidad y Competitividad'!$AF$4:$AH$7,2,1)+VLOOKUP(Datos_Origen[[#This Row],[Punto Medio]],'Curva Equidad y Competitividad'!$AF$4:$AH$7,3,1))*VLOOKUP(Datos_Origen[[#This Row],[Criticidad]],Politica[],3,0))*IndiceIncrementoE</f>
        <v>#N/A</v>
      </c>
      <c r="BN157" s="508" t="e">
        <f>Datos_Origen[[#This Row],[G]]/Datos_Origen[[#This Row],[Geq]]</f>
        <v>#DIV/0!</v>
      </c>
      <c r="BO157" s="509" t="e">
        <f>((Datos_Origen[[#This Row],[Punto Medio]]*VLOOKUP(Datos_Origen[[#This Row],[Punto Medio]],'Curva Equidad y Competitividad'!$AI$4:$AK$7,2,1)+VLOOKUP(Datos_Origen[[#This Row],[Punto Medio]],'Curva Equidad y Competitividad'!$AI$4:$AK$7,3,1))*VLOOKUP(Datos_Origen[[#This Row],[Criticidad]],Politica[],3,0))*IndiceIncrementoE</f>
        <v>#N/A</v>
      </c>
      <c r="BP157" s="508" t="e">
        <f>Datos_Origen[[#This Row],[G+V]]/Datos_Origen[[#This Row],[G+Veq]]</f>
        <v>#DIV/0!</v>
      </c>
      <c r="BQ157" s="509" t="e">
        <f>((Datos_Origen[[#This Row],[Punto Medio]]*VLOOKUP(Datos_Origen[[#This Row],[Punto Medio]],'Curva Equidad y Competitividad'!$AL$3:$AN$7,2,1)+VLOOKUP(Datos_Origen[[#This Row],[Punto Medio]],'Curva Equidad y Competitividad'!$AL$3:$AN$7,3,1))*VLOOKUP(Datos_Origen[[#This Row],[Criticidad]],Politica[],3,0))*IndiceIncrementoE</f>
        <v>#N/A</v>
      </c>
      <c r="BR157" s="508" t="e">
        <f>Datos_Origen[[#This Row],[CT]]/Datos_Origen[[#This Row],[CTeq]]</f>
        <v>#DIV/0!</v>
      </c>
      <c r="BS157" s="397" t="e">
        <f>ROUNDUP(VLOOKUP(Datos_Origen[[#This Row],[Categoria]],Competitividad_1[#All],2,0)*IndiceIncrementoC,-3)</f>
        <v>#N/A</v>
      </c>
      <c r="BT157" s="402" t="e">
        <f>Datos_Origen[[#This Row],[G]]/Datos_Origen[[#This Row],[GQ1]]</f>
        <v>#DIV/0!</v>
      </c>
      <c r="BU157" s="397" t="e">
        <f>ROUNDUP(VLOOKUP(Datos_Origen[[#This Row],[Categoria]],Competitividad_1[#All],3,0)*IndiceIncrementoC,-3)</f>
        <v>#N/A</v>
      </c>
      <c r="BV157" s="402" t="e">
        <f>Datos_Origen[[#This Row],[G+V]]/Datos_Origen[[#This Row],[G+VQ1]]</f>
        <v>#DIV/0!</v>
      </c>
      <c r="BW157" s="397" t="e">
        <f>ROUNDUP(VLOOKUP(Datos_Origen[[#This Row],[Categoria]],Competitividad_1[#All],4,0)*IndiceIncrementoC,-3)</f>
        <v>#N/A</v>
      </c>
      <c r="BX157" s="402" t="e">
        <f>Datos_Origen[[#This Row],[CT]]/Datos_Origen[[#This Row],[CTQ1]]</f>
        <v>#DIV/0!</v>
      </c>
      <c r="BY157" s="397" t="e">
        <f>ROUNDUP(VLOOKUP(Datos_Origen[[#This Row],[Categoria]],Competitividad_1[#All],5,0)*IndiceIncrementoC,-3)</f>
        <v>#N/A</v>
      </c>
      <c r="BZ157" s="402" t="e">
        <f>Datos_Origen[[#This Row],[G]]/Datos_Origen[[#This Row],[GMd]]</f>
        <v>#DIV/0!</v>
      </c>
      <c r="CA157" s="397" t="e">
        <f>ROUNDUP(VLOOKUP(Datos_Origen[[#This Row],[Categoria]],Competitividad_1[#All],6,0)*IndiceIncrementoC,-3)</f>
        <v>#N/A</v>
      </c>
      <c r="CB157" s="402" t="e">
        <f>Datos_Origen[[#This Row],[G+V]]/Datos_Origen[[#This Row],[G+VMd]]</f>
        <v>#DIV/0!</v>
      </c>
      <c r="CC157" s="397" t="e">
        <f>ROUNDUP(VLOOKUP(Datos_Origen[[#This Row],[Categoria]],Competitividad_1[#All],7,0)*IndiceIncrementoC,-3)</f>
        <v>#N/A</v>
      </c>
      <c r="CD157" s="402" t="e">
        <f>Datos_Origen[[#This Row],[CT]]/Datos_Origen[[#This Row],[CTMd]]</f>
        <v>#DIV/0!</v>
      </c>
      <c r="CE157" s="397" t="e">
        <f>+Datos_Origen[[#This Row],[GMd]]/1.17666666667</f>
        <v>#N/A</v>
      </c>
      <c r="CF157" s="402" t="e">
        <f>+Datos_Origen[[#This Row],[Básico Actual]]/Datos_Origen[[#This Row],[Salario Basico Md]]</f>
        <v>#N/A</v>
      </c>
      <c r="CG157" s="397" t="e">
        <f>ROUNDUP(VLOOKUP(Datos_Origen[[#This Row],[Categoria]],Competitividad_1[#All],8,0)*IndiceIncrementoC,-3)</f>
        <v>#N/A</v>
      </c>
      <c r="CH157" s="402" t="e">
        <f>Datos_Origen[[#This Row],[G]]/Datos_Origen[[#This Row],[GQ3]]</f>
        <v>#DIV/0!</v>
      </c>
      <c r="CI157" s="397" t="e">
        <f>ROUNDUP(VLOOKUP(Datos_Origen[[#This Row],[Categoria]],Competitividad_1[#All],9,0)*IndiceIncrementoC,-3)</f>
        <v>#N/A</v>
      </c>
      <c r="CJ157" s="402" t="e">
        <f>Datos_Origen[[#This Row],[G+V]]/Datos_Origen[[#This Row],[G+VQ3]]</f>
        <v>#DIV/0!</v>
      </c>
      <c r="CK157" s="397" t="e">
        <f>ROUNDUP(VLOOKUP(Datos_Origen[[#This Row],[Categoria]],Competitividad_1[#All],10,0)*IndiceIncrementoC,-3)</f>
        <v>#N/A</v>
      </c>
      <c r="CL157" s="402" t="e">
        <f>Datos_Origen[[#This Row],[CT]]/Datos_Origen[[#This Row],[CTQ3]]</f>
        <v>#DIV/0!</v>
      </c>
      <c r="CM157" s="403" t="e">
        <f>IF(ROUND(Datos_Origen[[#This Row],[Salario Ordinario Pol2]],-3)&lt;SMMLV,SMMLV,ROUND(Datos_Origen[[#This Row],[Salario Ordinario Pol2]],-3))</f>
        <v>#N/A</v>
      </c>
      <c r="CN157" s="397" t="e">
        <f>IF(Datos_Origen[[#This Row],[Gpol]]/(1+FactorPrestacionalOrdinario)&lt;SMMLV,SMMLV,Datos_Origen[[#This Row],[Gpol]]/(1+FactorPrestacionalOrdinario))</f>
        <v>#N/A</v>
      </c>
      <c r="CO157" s="508" t="str">
        <f>IFERROR(IF(Datos_Origen[[#This Row],[Salarios Año]]=14.12,Datos_Origen[[#This Row],[Básico]]/Datos_Origen[[#This Row],[Salario Ordinario Pol]],""),"")</f>
        <v/>
      </c>
      <c r="CP157" s="397" t="e">
        <f>IF(ROUND(Datos_Origen[[#This Row],[Salario Ordinario Pol22]],-3)&lt;SMMLV,SMMLV,ROUND(Datos_Origen[[#This Row],[Salario Ordinario Pol22]],-3))</f>
        <v>#N/A</v>
      </c>
      <c r="CQ157" s="397" t="str">
        <f>IFERROR(ROUND(Datos_Origen[[#This Row],[Salario Integral Pol4]],-3),"")</f>
        <v/>
      </c>
      <c r="CR157" s="397" t="e">
        <f>IF((Datos_Origen[[#This Row],[Gpol]]/(1+FactorPrestacionalIntegral))&lt;(13*SMMLV),"",(Datos_Origen[[#This Row],[Gpol]]/(1+FactorPrestacionalIntegral)))</f>
        <v>#N/A</v>
      </c>
      <c r="CS157" s="402" t="str">
        <f>IFERROR(IF(Datos_Origen[[#This Row],[Salarios Año]]=12,Datos_Origen[[#This Row],[Básico]]/Datos_Origen[[#This Row],[Salario Integral Pol]],""),"")</f>
        <v/>
      </c>
      <c r="CT157" s="397" t="str">
        <f>IFERROR(ROUND(Datos_Origen[[#This Row],[Salario Integral Pol44]],-3),"")</f>
        <v/>
      </c>
      <c r="CU157" s="397" t="e">
        <f>Datos_Origen[[#This Row],[G+Vpol]]-Datos_Origen[[#This Row],[Variable]]</f>
        <v>#N/A</v>
      </c>
      <c r="CV157" s="402" t="e">
        <f>Datos_Origen[[#This Row],[G]]/Datos_Origen[[#This Row],[Gpol]]</f>
        <v>#DIV/0!</v>
      </c>
      <c r="CW157" s="396" t="e">
        <f>Datos_Origen[[#This Row],[Ctpol]]-Datos_Origen[[#This Row],[Beneficios]]</f>
        <v>#N/A</v>
      </c>
      <c r="CX157" s="402" t="e">
        <f>Datos_Origen[[#This Row],[G+V]]/Datos_Origen[[#This Row],[G+Vpol]]</f>
        <v>#DIV/0!</v>
      </c>
      <c r="CY157" s="396" t="e">
        <f>ROUNDUP(VLOOKUP(Datos_Origen[[#This Row],[Categoria]],Competitividad_1[],VLOOKUP(Datos_Origen[[#This Row],[Criticidad]],PoliticaCompetitivida[],3,0),0)*VLOOKUP(Datos_Origen[[#This Row],[Criticidad]],PoliticaCompetitivida[],4,0)*IndiceIncrementoC,-3)*Ajuste_Curv</f>
        <v>#N/A</v>
      </c>
      <c r="CZ157" s="402" t="e">
        <f>Datos_Origen[[#This Row],[CT]]/Datos_Origen[[#This Row],[Ctpol]]</f>
        <v>#DIV/0!</v>
      </c>
      <c r="DA157" s="398" t="e">
        <f>IF((IF(Datos_Origen[[#This Row],[Salarios Año]]=12,Datos_Origen[[#This Row],[Base Seguridad Social]]*70%,Datos_Origen[[#This Row],[Base Seguridad Social]]))&gt;25*SMMLV,25*SMMLV,(IF(Datos_Origen[[#This Row],[Salarios Año]]=12,Datos_Origen[[#This Row],[Base Seguridad Social]]*70%,Datos_Origen[[#This Row],[Base Seguridad Social]])))</f>
        <v>#DIV/0!</v>
      </c>
      <c r="DB157" s="398" t="e">
        <f>IF(Datos_Origen[[#This Row],[Básico]]&lt;10*SMMLV,0,Datos_Origen[[#This Row],[Base Seguridad Social Actual]]*8.5%)</f>
        <v>#DIV/0!</v>
      </c>
      <c r="DC157" s="398" t="e">
        <f>Datos_Origen[[#This Row],[Base Seguridad Social Actual]]*12%</f>
        <v>#DIV/0!</v>
      </c>
      <c r="DD157" s="398" t="e">
        <f>Datos_Origen[[#This Row],[Base Seguridad Social Actual]]*Datos_Origen[[#This Row],[%ARL]]</f>
        <v>#DIV/0!</v>
      </c>
      <c r="DE157" s="398" t="e">
        <f>IF(Datos_Origen[[#This Row],[Básico]]&lt;10*SMMLV,Datos_Origen[[#This Row],[Base Seguridad Social Actual]]*4%,Datos_Origen[[#This Row],[Base Seguridad Social Actual]]*9%)</f>
        <v>#DIV/0!</v>
      </c>
      <c r="DF157" s="398" t="e">
        <f>Datos_Origen[[#This Row],[Salud]]+Datos_Origen[[#This Row],[Pensión]]+Datos_Origen[[#This Row],[ARL]]+Datos_Origen[[#This Row],[Parafiscales]]</f>
        <v>#DIV/0!</v>
      </c>
      <c r="DG157" s="398" t="e">
        <f>Datos_Origen[[#This Row],[Costo Laboral Actual]]+Datos_Origen[[#This Row],[CT]]</f>
        <v>#DIV/0!</v>
      </c>
      <c r="DH157" s="398" t="e">
        <f>IF(IF(Datos_Origen[[#This Row],[Salarios Año]]=14.12,Datos_Origen[[#This Row],[Salario Ordinario Pol]],IFERROR(70%*Datos_Origen[[#This Row],[Salario Integral Pol]],70%*Datos_Origen[[#This Row],[Básico]]))&gt;(25*SMMLV),(25*SMMLV),IF(Datos_Origen[[#This Row],[Salarios Año]]=14.12,Datos_Origen[[#This Row],[Salario Ordinario Pol]],IFERROR(70%*Datos_Origen[[#This Row],[Salario Integral Pol]],70%*Datos_Origen[[#This Row],[Básico]])))</f>
        <v>#DIV/0!</v>
      </c>
      <c r="DI157" s="398" t="e">
        <f>IF(IF(Datos_Origen[[#This Row],[Salarios Año]]=12,Datos_Origen[[#This Row],[Salario Integral Pol]],Datos_Origen[[#This Row],[Salario Ordinario Pol]])&lt;10*SMMLV,0,Datos_Origen[[#This Row],[Base Seguridad Social Nueva]]*8.5%)</f>
        <v>#N/A</v>
      </c>
      <c r="DJ157" s="398" t="e">
        <f>Datos_Origen[[#This Row],[Base Seguridad Social Nueva]]*12%</f>
        <v>#DIV/0!</v>
      </c>
      <c r="DK157" s="398" t="e">
        <f>Datos_Origen[[#This Row],[Base Seguridad Social Nueva]]*Datos_Origen[[#This Row],[%ARL]]</f>
        <v>#DIV/0!</v>
      </c>
      <c r="DL157" s="398" t="e">
        <f>IF(IF(Datos_Origen[[#This Row],[Salarios Año]]=12,Datos_Origen[[#This Row],[Salario Integral Pol]],Datos_Origen[[#This Row],[Salario Ordinario Pol]])&lt;10*SMMLV,Datos_Origen[[#This Row],[Base Seguridad Social Nueva]]*4%,Datos_Origen[[#This Row],[Base Seguridad Social Nueva]]*9%)</f>
        <v>#N/A</v>
      </c>
      <c r="DM157" s="398" t="e">
        <f>Datos_Origen[[#This Row],[Salud Nueva]]+Datos_Origen[[#This Row],[Pensión Nueva]]+Datos_Origen[[#This Row],[ARL nueva]]+Datos_Origen[[#This Row],[Parafiscales Nuevos]]</f>
        <v>#N/A</v>
      </c>
      <c r="DN157" s="398" t="e">
        <f>Datos_Origen[[#This Row],[Costo Laboral Nuevo]]+Datos_Origen[[#This Row],[Ctpol]]</f>
        <v>#N/A</v>
      </c>
      <c r="DO157" s="398" t="e">
        <f>IF(Datos_Origen[[#This Row],[Ctpol]]-Datos_Origen[[#This Row],[CT]]&lt;=0,0,Datos_Origen[[#This Row],[Costo Total Nuevo]]-Datos_Origen[[#This Row],[Costo Total Actual]])</f>
        <v>#N/A</v>
      </c>
      <c r="DP157" s="398" t="e">
        <f>IF(Datos_Origen[[#This Row],[Ctpol]]-Datos_Origen[[#This Row],[CT]]&lt;=0,0,Datos_Origen[[#This Row],[Ctpol]]-Datos_Origen[[#This Row],[CT]])</f>
        <v>#N/A</v>
      </c>
      <c r="DQ157" s="398" t="e">
        <f>IF((IF(Datos_Origen[[#This Row],[Ctpol]]-Datos_Origen[[#This Row],[CT]]&lt;=0,0,Datos_Origen[[#This Row],[Costo Laboral Nuevo]]-Datos_Origen[[#This Row],[Costo Laboral Actual]]))&lt;0,0,(IF(Datos_Origen[[#This Row],[Ctpol]]-Datos_Origen[[#This Row],[CT]]&lt;=0,0,Datos_Origen[[#This Row],[Costo Laboral Nuevo]]-Datos_Origen[[#This Row],[Costo Laboral Actual]])))</f>
        <v>#N/A</v>
      </c>
      <c r="DR157" s="398" t="e">
        <f>ROUNDDOWN(VLOOKUP(Datos_Origen[[#This Row],[Categoria]],Competitividad_1[],7,0)*IndiceIncrementoC,-3)</f>
        <v>#N/A</v>
      </c>
      <c r="DS157" s="398" t="e">
        <f>Datos_Origen[[#This Row],[CTeq]]*0.8</f>
        <v>#N/A</v>
      </c>
      <c r="DT157" s="398" t="e">
        <f>Datos_Origen[[#This Row],[CTeq]]*1.2</f>
        <v>#N/A</v>
      </c>
      <c r="DU157" s="397" t="e">
        <f>IF(Datos_Origen[[#This Row],[Gpol6]]/(1+FactorPrestacionalOrdinario)&lt;SMMLV,SMMLV,Datos_Origen[[#This Row],[Gpol6]]/(1+FactorPrestacionalOrdinario))</f>
        <v>#N/A</v>
      </c>
      <c r="DV157" s="397" t="e">
        <f>IF((Datos_Origen[[#This Row],[Gpol6]]/(1+FactorPrestacionalIntegral))&lt;(13*SMMLV),"",(Datos_Origen[[#This Row],[Gpol6]]/(1+FactorPrestacionalIntegral)))</f>
        <v>#N/A</v>
      </c>
      <c r="DW157" s="396" t="e">
        <f>Datos_Origen[[#This Row],[G+Vpol8]]</f>
        <v>#N/A</v>
      </c>
      <c r="DX157" s="396" t="e">
        <f>Datos_Origen[[#This Row],[Ctpol10]]-Datos_Origen[[#This Row],[Beneficios]]</f>
        <v>#N/A</v>
      </c>
      <c r="DY157" s="396" t="e">
        <f>Datos_Origen[[#This Row],[Ctpol]]*$CM$6</f>
        <v>#N/A</v>
      </c>
      <c r="DZ157" s="397" t="e">
        <f>IF(Datos_Origen[[#This Row],[Gpol66]]/(1+FactorPrestacionalOrdinario)&lt;SMMLV,SMMLV,Datos_Origen[[#This Row],[Gpol66]]/(1+FactorPrestacionalOrdinario))</f>
        <v>#N/A</v>
      </c>
      <c r="EA157" s="397" t="e">
        <f>IF((Datos_Origen[[#This Row],[Gpol66]]/(1+FactorPrestacionalIntegral))&lt;(13*SMMLV),"",(Datos_Origen[[#This Row],[Gpol66]]/(1+FactorPrestacionalIntegral)))</f>
        <v>#N/A</v>
      </c>
      <c r="EB157" s="396" t="e">
        <f>Datos_Origen[[#This Row],[G+Vpol88]]</f>
        <v>#N/A</v>
      </c>
      <c r="EC157" s="396" t="e">
        <f>Datos_Origen[[#This Row],[Ctpol1010]]-Datos_Origen[[#This Row],[Beneficios]]</f>
        <v>#N/A</v>
      </c>
      <c r="ED157" s="396" t="e">
        <f>Datos_Origen[[#This Row],[Ctpol]]*$CP$6</f>
        <v>#N/A</v>
      </c>
      <c r="EE157" s="398" t="e">
        <f>IFERROR((IF(Datos_Origen[[#This Row],[Ctpolp]]&gt;120%,(Datos_Origen[[#This Row],[CT]]-(Datos_Origen[[#This Row],[Ctpol]]*120%))+IF(((Datos_Origen[[#This Row],[Costo Total Actual]]-Datos_Origen[[#This Row],[Costo Total Nuevo]]*1.2))&lt;0,0,((Datos_Origen[[#This Row],[Costo Total Actual]]-Datos_Origen[[#This Row],[Costo Total Nuevo]]*1.2))),0)),(Datos_Origen[[#This Row],[CT]]-(Datos_Origen[[#This Row],[Ctpol]]*120%)))</f>
        <v>#DIV/0!</v>
      </c>
    </row>
    <row r="158" spans="2:135">
      <c r="G158" s="22" t="s">
        <v>898</v>
      </c>
      <c r="EE158" s="414" t="e">
        <f>SUM(Datos_Origen[Costo Mensual Sobrepago])</f>
        <v>#DIV/0!</v>
      </c>
    </row>
    <row r="159" spans="2:135">
      <c r="EE159" s="415" t="e">
        <f>+EE158*12</f>
        <v>#DIV/0!</v>
      </c>
    </row>
    <row r="160" spans="2:135">
      <c r="AV160" s="471"/>
    </row>
  </sheetData>
  <mergeCells count="15">
    <mergeCell ref="O5:AC5"/>
    <mergeCell ref="DU5:DY5"/>
    <mergeCell ref="DZ5:ED5"/>
    <mergeCell ref="CM5:CZ5"/>
    <mergeCell ref="DA5:DG5"/>
    <mergeCell ref="DH5:DN5"/>
    <mergeCell ref="BM5:BR5"/>
    <mergeCell ref="BS5:BX5"/>
    <mergeCell ref="BY5:CD5"/>
    <mergeCell ref="CG5:CL5"/>
    <mergeCell ref="AD5:AH5"/>
    <mergeCell ref="AI5:AP5"/>
    <mergeCell ref="AS5:AT5"/>
    <mergeCell ref="DP5:DT5"/>
    <mergeCell ref="BK5:BL5"/>
  </mergeCells>
  <phoneticPr fontId="7" type="noConversion"/>
  <conditionalFormatting sqref="BR8:BR157 CS8:CS157 CO8:CO157 BX8:BX157 BV8:BV157 BT8:BT157 CD8:CD157 CB8:CB157 BZ8:BZ157 CL8:CL157 CJ8:CJ157 CH8:CH157 CV8:CV157 CX8:CX157 CZ8:CZ157 BN8:BN157 BP8:BP157 CF8:CF157">
    <cfRule type="cellIs" dxfId="2177" priority="45" operator="greaterThan">
      <formula>1.2</formula>
    </cfRule>
    <cfRule type="cellIs" dxfId="2176" priority="46" operator="lessThan">
      <formula>0.8</formula>
    </cfRule>
  </conditionalFormatting>
  <dataValidations disablePrompts="1" count="2">
    <dataValidation type="list" allowBlank="1" showInputMessage="1" showErrorMessage="1" sqref="I8:I9 I11:I156" xr:uid="{00000000-0002-0000-1500-000000000000}">
      <formula1>Cargos_Valorados</formula1>
    </dataValidation>
    <dataValidation type="list" allowBlank="1" showInputMessage="1" showErrorMessage="1" sqref="AZ5:BJ5 AR5 AX5 AV5 AK8:AK157 AM8:AM157 AO8:AO157 AI8:AI157" xr:uid="{00000000-0002-0000-1500-000001000000}">
      <formula1>"CS,NCS"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5" r:id="rId4" name="Button 31">
              <controlPr defaultSize="0" print="0" autoFill="0" autoPict="0" macro="[0]!BDValoracion">
                <anchor moveWithCells="1" sizeWithCells="1">
                  <from>
                    <xdr:col>3</xdr:col>
                    <xdr:colOff>899160</xdr:colOff>
                    <xdr:row>0</xdr:row>
                    <xdr:rowOff>99060</xdr:rowOff>
                  </from>
                  <to>
                    <xdr:col>3</xdr:col>
                    <xdr:colOff>1973580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5" name="Button 32">
              <controlPr defaultSize="0" print="0" autoFill="0" autoPict="0" macro="[0]!BDMenu">
                <anchor moveWithCells="1" sizeWithCells="1">
                  <from>
                    <xdr:col>3</xdr:col>
                    <xdr:colOff>899160</xdr:colOff>
                    <xdr:row>2</xdr:row>
                    <xdr:rowOff>99060</xdr:rowOff>
                  </from>
                  <to>
                    <xdr:col>3</xdr:col>
                    <xdr:colOff>1973580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6" name="Button 34">
              <controlPr defaultSize="0" print="0" autoFill="0" autoPict="0" macro="[0]!Actualizar_Todo">
                <anchor moveWithCells="1" sizeWithCells="1">
                  <from>
                    <xdr:col>3</xdr:col>
                    <xdr:colOff>899160</xdr:colOff>
                    <xdr:row>4</xdr:row>
                    <xdr:rowOff>114300</xdr:rowOff>
                  </from>
                  <to>
                    <xdr:col>3</xdr:col>
                    <xdr:colOff>1973580</xdr:colOff>
                    <xdr:row>4</xdr:row>
                    <xdr:rowOff>403860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">
    <outlinePr summaryRight="0"/>
  </sheetPr>
  <dimension ref="B1:AT86"/>
  <sheetViews>
    <sheetView showGridLines="0" zoomScale="85" zoomScaleNormal="85" workbookViewId="0"/>
  </sheetViews>
  <sheetFormatPr baseColWidth="10" defaultColWidth="9.44140625" defaultRowHeight="11.4" outlineLevelCol="2"/>
  <cols>
    <col min="1" max="1" width="1.5546875" style="111" customWidth="1"/>
    <col min="2" max="2" width="51.109375" style="292" bestFit="1" customWidth="1"/>
    <col min="3" max="3" width="35.6640625" style="292" hidden="1" customWidth="1"/>
    <col min="4" max="4" width="20.33203125" style="292" hidden="1" customWidth="1"/>
    <col min="5" max="5" width="15.88671875" style="292" hidden="1" customWidth="1"/>
    <col min="6" max="6" width="21.44140625" style="292" customWidth="1" outlineLevel="2"/>
    <col min="7" max="7" width="7.44140625" style="111" customWidth="1" outlineLevel="2"/>
    <col min="8" max="11" width="7.44140625" style="111" customWidth="1" outlineLevel="1"/>
    <col min="12" max="12" width="7.44140625" style="111" customWidth="1" outlineLevel="2"/>
    <col min="13" max="13" width="7.44140625" style="111" customWidth="1" outlineLevel="1"/>
    <col min="14" max="14" width="7.44140625" style="292" customWidth="1" outlineLevel="1"/>
    <col min="15" max="15" width="7.44140625" style="111" customWidth="1" outlineLevel="1"/>
    <col min="16" max="16" width="7.44140625" style="292" customWidth="1" outlineLevel="2"/>
    <col min="17" max="17" width="7.44140625" style="111" customWidth="1" outlineLevel="2"/>
    <col min="18" max="18" width="7.44140625" style="111" customWidth="1" outlineLevel="1"/>
    <col min="19" max="21" width="7.44140625" style="292" customWidth="1" outlineLevel="1"/>
    <col min="22" max="22" width="7.44140625" style="292" customWidth="1" outlineLevel="2"/>
    <col min="23" max="23" width="7.44140625" style="111" customWidth="1" outlineLevel="2"/>
    <col min="24" max="24" width="7.44140625" style="111" customWidth="1" outlineLevel="1"/>
    <col min="25" max="26" width="7.44140625" style="292" customWidth="1" outlineLevel="1"/>
    <col min="27" max="27" width="7.44140625" style="292" customWidth="1" outlineLevel="2"/>
    <col min="28" max="30" width="8.44140625" style="292" customWidth="1" outlineLevel="1"/>
    <col min="31" max="31" width="8" style="292" bestFit="1" customWidth="1"/>
    <col min="32" max="32" width="15.44140625" style="111" bestFit="1" customWidth="1"/>
    <col min="33" max="33" width="36.44140625" style="293" customWidth="1" outlineLevel="1"/>
    <col min="34" max="34" width="5.5546875" style="111" customWidth="1" outlineLevel="1"/>
    <col min="35" max="35" width="12.5546875" style="111" customWidth="1" outlineLevel="1"/>
    <col min="36" max="36" width="14.44140625" style="111" customWidth="1" outlineLevel="1"/>
    <col min="37" max="37" width="13.44140625" style="111" customWidth="1" outlineLevel="1"/>
    <col min="38" max="42" width="9.44140625" style="111" customWidth="1" outlineLevel="1"/>
    <col min="43" max="43" width="15" style="292" customWidth="1" outlineLevel="1"/>
    <col min="44" max="45" width="11.44140625" style="292" customWidth="1" outlineLevel="1"/>
    <col min="46" max="46" width="37.5546875" style="294" customWidth="1" outlineLevel="1"/>
    <col min="47" max="47" width="2.5546875" style="111" customWidth="1"/>
    <col min="48" max="48" width="16.44140625" style="111" customWidth="1"/>
    <col min="49" max="49" width="11.5546875" style="111" customWidth="1"/>
    <col min="50" max="50" width="15.44140625" style="111" customWidth="1"/>
    <col min="51" max="52" width="10.5546875" style="111" customWidth="1"/>
    <col min="53" max="57" width="9.44140625" style="111" customWidth="1"/>
    <col min="58" max="58" width="13.44140625" style="111" customWidth="1"/>
    <col min="59" max="59" width="9.44140625" style="111" customWidth="1"/>
    <col min="60" max="60" width="13.44140625" style="111" customWidth="1"/>
    <col min="61" max="16384" width="9.44140625" style="111"/>
  </cols>
  <sheetData>
    <row r="1" spans="2:46" ht="18.75" customHeight="1">
      <c r="B1" s="288"/>
      <c r="C1" s="288"/>
      <c r="D1" s="288"/>
      <c r="E1" s="288"/>
      <c r="F1" s="288"/>
      <c r="G1" s="289"/>
      <c r="H1" s="289"/>
      <c r="I1" s="289"/>
      <c r="J1" s="289"/>
      <c r="K1" s="289"/>
      <c r="L1" s="289"/>
      <c r="M1" s="288"/>
      <c r="N1" s="289"/>
      <c r="O1" s="288"/>
      <c r="P1" s="289"/>
      <c r="Q1" s="289"/>
      <c r="R1" s="288"/>
      <c r="S1" s="288"/>
      <c r="T1" s="288"/>
      <c r="U1" s="288"/>
      <c r="V1" s="289"/>
      <c r="W1" s="289"/>
      <c r="X1" s="288"/>
      <c r="Y1" s="288"/>
      <c r="Z1" s="288"/>
      <c r="AA1" s="288"/>
      <c r="AB1" s="288"/>
      <c r="AC1" s="288"/>
      <c r="AD1" s="288"/>
      <c r="AE1" s="288"/>
      <c r="AF1" s="288"/>
      <c r="AG1" s="289"/>
      <c r="AH1" s="289"/>
      <c r="AI1" s="289"/>
      <c r="AJ1" s="289"/>
      <c r="AK1" s="289"/>
      <c r="AL1" s="289"/>
      <c r="AM1" s="289"/>
      <c r="AN1" s="289"/>
      <c r="AO1" s="289"/>
      <c r="AP1" s="289"/>
      <c r="AQ1" s="288"/>
      <c r="AR1" s="290"/>
      <c r="AS1" s="290"/>
      <c r="AT1" s="289"/>
    </row>
    <row r="2" spans="2:46" ht="18.75" customHeight="1">
      <c r="B2" s="288"/>
      <c r="C2" s="288"/>
      <c r="D2" s="288"/>
      <c r="E2" s="288"/>
      <c r="F2" s="288"/>
      <c r="G2" s="289"/>
      <c r="H2" s="587" t="s">
        <v>547</v>
      </c>
      <c r="I2" s="587"/>
      <c r="J2" s="587"/>
      <c r="K2" s="587"/>
      <c r="L2" s="587"/>
      <c r="M2" s="589" t="s">
        <v>548</v>
      </c>
      <c r="N2" s="589"/>
      <c r="O2" s="589"/>
      <c r="P2" s="589"/>
      <c r="Q2" s="590"/>
      <c r="R2" s="593" t="s">
        <v>549</v>
      </c>
      <c r="S2" s="593"/>
      <c r="T2" s="593"/>
      <c r="U2" s="593"/>
      <c r="V2" s="593"/>
      <c r="W2" s="593"/>
      <c r="X2" s="594" t="s">
        <v>550</v>
      </c>
      <c r="Y2" s="595"/>
      <c r="Z2" s="595"/>
      <c r="AA2" s="596"/>
      <c r="AB2" s="583" t="s">
        <v>551</v>
      </c>
      <c r="AC2" s="583"/>
      <c r="AD2" s="583"/>
      <c r="AE2" s="288"/>
      <c r="AF2" s="288"/>
      <c r="AG2" s="289"/>
      <c r="AH2" s="289"/>
      <c r="AI2" s="289"/>
      <c r="AJ2" s="289"/>
      <c r="AK2" s="289"/>
      <c r="AL2" s="289"/>
      <c r="AM2" s="289"/>
      <c r="AN2" s="289"/>
      <c r="AO2" s="289"/>
      <c r="AP2" s="289"/>
      <c r="AQ2" s="289"/>
      <c r="AR2" s="289"/>
      <c r="AS2" s="289"/>
      <c r="AT2" s="289"/>
    </row>
    <row r="3" spans="2:46" ht="18.75" customHeight="1">
      <c r="B3" s="288"/>
      <c r="C3" s="288"/>
      <c r="D3" s="288"/>
      <c r="E3" s="288"/>
      <c r="F3" s="288"/>
      <c r="G3" s="289"/>
      <c r="H3" s="588"/>
      <c r="I3" s="588"/>
      <c r="J3" s="588"/>
      <c r="K3" s="588"/>
      <c r="L3" s="588"/>
      <c r="M3" s="591"/>
      <c r="N3" s="591"/>
      <c r="O3" s="591"/>
      <c r="P3" s="591"/>
      <c r="Q3" s="592"/>
      <c r="R3" s="593"/>
      <c r="S3" s="593"/>
      <c r="T3" s="593"/>
      <c r="U3" s="593"/>
      <c r="V3" s="593"/>
      <c r="W3" s="593"/>
      <c r="X3" s="597"/>
      <c r="Y3" s="598"/>
      <c r="Z3" s="598"/>
      <c r="AA3" s="599"/>
      <c r="AB3" s="583"/>
      <c r="AC3" s="583"/>
      <c r="AD3" s="583"/>
      <c r="AE3" s="288"/>
      <c r="AF3" s="288"/>
      <c r="AG3" s="291" t="s">
        <v>552</v>
      </c>
      <c r="AH3" s="289"/>
      <c r="AI3" s="584" t="s">
        <v>553</v>
      </c>
      <c r="AJ3" s="585"/>
      <c r="AK3" s="586"/>
      <c r="AL3" s="289"/>
      <c r="AM3" s="289"/>
      <c r="AN3" s="289"/>
      <c r="AO3" s="289"/>
      <c r="AP3" s="289"/>
      <c r="AQ3" s="288"/>
      <c r="AR3" s="581" t="s">
        <v>554</v>
      </c>
      <c r="AS3" s="582"/>
      <c r="AT3" s="289"/>
    </row>
    <row r="4" spans="2:46" ht="18.75" customHeight="1">
      <c r="B4" s="288"/>
      <c r="C4" s="288"/>
      <c r="D4" s="288"/>
      <c r="E4" s="288"/>
      <c r="F4" s="288"/>
      <c r="G4" s="289"/>
      <c r="H4" s="289"/>
      <c r="I4" s="289"/>
      <c r="J4" s="289"/>
      <c r="K4" s="289"/>
      <c r="L4" s="289"/>
      <c r="M4" s="288"/>
      <c r="N4" s="289"/>
      <c r="O4" s="288"/>
      <c r="P4" s="289"/>
      <c r="Q4" s="289"/>
      <c r="R4" s="288"/>
      <c r="S4" s="288"/>
      <c r="T4" s="288"/>
      <c r="U4" s="288"/>
      <c r="V4" s="289"/>
      <c r="W4" s="289"/>
      <c r="X4" s="288"/>
      <c r="Y4" s="288"/>
      <c r="Z4" s="288"/>
      <c r="AA4" s="288"/>
      <c r="AB4" s="288"/>
      <c r="AC4" s="288"/>
      <c r="AD4" s="288"/>
      <c r="AE4" s="288"/>
      <c r="AF4" s="288"/>
      <c r="AG4" s="289"/>
      <c r="AH4" s="289"/>
      <c r="AI4" s="289"/>
      <c r="AJ4" s="289"/>
      <c r="AK4" s="289"/>
      <c r="AL4" s="289"/>
      <c r="AM4" s="289"/>
      <c r="AN4" s="289"/>
      <c r="AO4" s="289"/>
      <c r="AP4" s="289"/>
      <c r="AQ4" s="288"/>
      <c r="AR4" s="290"/>
      <c r="AS4" s="290"/>
      <c r="AT4" s="289"/>
    </row>
    <row r="5" spans="2:46" s="126" customFormat="1" ht="40.799999999999997">
      <c r="B5" s="112" t="s">
        <v>555</v>
      </c>
      <c r="C5" s="112" t="s">
        <v>556</v>
      </c>
      <c r="D5" s="112" t="s">
        <v>557</v>
      </c>
      <c r="E5" s="112" t="s">
        <v>431</v>
      </c>
      <c r="F5" s="112" t="s">
        <v>558</v>
      </c>
      <c r="G5" s="268" t="s">
        <v>9</v>
      </c>
      <c r="H5" s="282" t="s">
        <v>64</v>
      </c>
      <c r="I5" s="282" t="s">
        <v>559</v>
      </c>
      <c r="J5" s="282" t="s">
        <v>66</v>
      </c>
      <c r="K5" s="282" t="s">
        <v>68</v>
      </c>
      <c r="L5" s="283" t="s">
        <v>560</v>
      </c>
      <c r="M5" s="282" t="s">
        <v>69</v>
      </c>
      <c r="N5" s="282" t="s">
        <v>70</v>
      </c>
      <c r="O5" s="282" t="s">
        <v>71</v>
      </c>
      <c r="P5" s="283" t="s">
        <v>561</v>
      </c>
      <c r="Q5" s="283" t="s">
        <v>562</v>
      </c>
      <c r="R5" s="284" t="s">
        <v>72</v>
      </c>
      <c r="S5" s="284" t="s">
        <v>563</v>
      </c>
      <c r="T5" s="284" t="s">
        <v>73</v>
      </c>
      <c r="U5" s="284" t="s">
        <v>564</v>
      </c>
      <c r="V5" s="285" t="s">
        <v>565</v>
      </c>
      <c r="W5" s="285" t="s">
        <v>566</v>
      </c>
      <c r="X5" s="286" t="s">
        <v>74</v>
      </c>
      <c r="Y5" s="286" t="s">
        <v>75</v>
      </c>
      <c r="Z5" s="286" t="s">
        <v>76</v>
      </c>
      <c r="AA5" s="287" t="s">
        <v>567</v>
      </c>
      <c r="AB5" s="270" t="s">
        <v>568</v>
      </c>
      <c r="AC5" s="270" t="s">
        <v>569</v>
      </c>
      <c r="AD5" s="270" t="s">
        <v>570</v>
      </c>
      <c r="AE5" s="269" t="s">
        <v>12</v>
      </c>
      <c r="AF5" s="191" t="s">
        <v>259</v>
      </c>
      <c r="AG5" s="113" t="s">
        <v>439</v>
      </c>
      <c r="AH5" s="113" t="s">
        <v>571</v>
      </c>
      <c r="AI5" s="113" t="s">
        <v>18</v>
      </c>
      <c r="AJ5" s="113" t="s">
        <v>20</v>
      </c>
      <c r="AK5" s="113" t="s">
        <v>22</v>
      </c>
      <c r="AL5" s="113" t="s">
        <v>572</v>
      </c>
      <c r="AM5" s="113" t="s">
        <v>573</v>
      </c>
      <c r="AN5" s="113" t="s">
        <v>574</v>
      </c>
      <c r="AO5" s="113" t="s">
        <v>575</v>
      </c>
      <c r="AP5" s="113" t="s">
        <v>576</v>
      </c>
      <c r="AQ5" s="113" t="s">
        <v>577</v>
      </c>
      <c r="AR5" s="114" t="s">
        <v>578</v>
      </c>
      <c r="AS5" s="114" t="s">
        <v>579</v>
      </c>
      <c r="AT5" s="113" t="s">
        <v>580</v>
      </c>
    </row>
    <row r="6" spans="2:46" ht="13.8">
      <c r="B6" s="116" t="s">
        <v>272</v>
      </c>
      <c r="C6" s="116" t="s">
        <v>239</v>
      </c>
      <c r="D6" s="116" t="s">
        <v>581</v>
      </c>
      <c r="E6" s="380" t="s">
        <v>252</v>
      </c>
      <c r="F6" s="116"/>
      <c r="G6" s="117">
        <f>IFERROR(IF(Cargos_Catalogo[[#This Row],[PuntosF]]="",ROUND(Cargos_Catalogo[[#This Row],[Total Puntos1]]+Cargos_Catalogo[[#This Row],[Total Puntos2]]+Cargos_Catalogo[[#This Row],[PuntosRR]],0),Cargos_Catalogo[PuntosF]),"")</f>
        <v>1344</v>
      </c>
      <c r="H6" s="118" t="s">
        <v>18</v>
      </c>
      <c r="I6" s="118" t="s">
        <v>117</v>
      </c>
      <c r="J6" s="118" t="s">
        <v>171</v>
      </c>
      <c r="K6" s="118">
        <v>4</v>
      </c>
      <c r="L6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562</v>
      </c>
      <c r="M6" s="118" t="s">
        <v>118</v>
      </c>
      <c r="N6" s="118">
        <v>4</v>
      </c>
      <c r="O6" s="118" t="s">
        <v>157</v>
      </c>
      <c r="P6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176</v>
      </c>
      <c r="Q6" s="117">
        <f>IFERROR(Cargos_Catalogo[[#This Row],[PuntosC&amp;H]]+Cargos_Catalogo[[#This Row],[PuntosHC]],"")</f>
        <v>738</v>
      </c>
      <c r="R6" s="118">
        <v>4</v>
      </c>
      <c r="S6" s="118" t="s">
        <v>78</v>
      </c>
      <c r="T6" s="118" t="s">
        <v>18</v>
      </c>
      <c r="U6" s="118" t="s">
        <v>78</v>
      </c>
      <c r="V6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0.41</v>
      </c>
      <c r="W6" s="120">
        <f>IFERROR(Cargos_Catalogo[[#This Row],[Total Puntos1]]*Cargos_Catalogo[[#This Row],[Porcentaje]],"")</f>
        <v>302.58</v>
      </c>
      <c r="X6" s="118" t="s">
        <v>139</v>
      </c>
      <c r="Y6" s="118" t="s">
        <v>18</v>
      </c>
      <c r="Z6" s="118">
        <v>6</v>
      </c>
      <c r="AA6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303</v>
      </c>
      <c r="AB6" s="125">
        <v>1</v>
      </c>
      <c r="AC6" s="125">
        <v>1</v>
      </c>
      <c r="AD6" s="125">
        <v>1</v>
      </c>
      <c r="AE6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20</v>
      </c>
      <c r="AF6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Crítico</v>
      </c>
      <c r="AG6" s="117" t="str">
        <f>IFERROR(IF(Cargos_Catalogo[[#This Row],[NivelF]]="",VLOOKUP(Cargos_Catalogo[[#This Row],[Categoria]],Niveles_Registro[],MATCH(Niveles_Registro[[#Headers],[Nivel]],Niveles_Registro[#Headers],0),FALSE),Cargos_Catalogo[NivelF]),"")</f>
        <v>Gerente General</v>
      </c>
      <c r="AH6" s="117">
        <f>COUNTIF(Datos_Origen[Cargo Tipo Valorado],Cargos_Catalogo[[#This Row],[Cargo]])</f>
        <v>1</v>
      </c>
      <c r="AI6" s="122">
        <f>IFERROR(SUMIFS(Datos_Origen[G],Datos_Origen[Cargo Tipo Valorado],Cargos_Catalogo[[#This Row],[Cargo]])/Cargos_Catalogo[[#This Row],[Frecuencia]],0)</f>
        <v>28165949.790000003</v>
      </c>
      <c r="AJ6" s="122">
        <f>IFERROR(SUMIFS(Datos_Origen[G+V],Datos_Origen[Cargo Tipo Valorado],Cargos_Catalogo[[#This Row],[Cargo]])/Cargos_Catalogo[[#This Row],[Frecuencia]],0)</f>
        <v>49110087.455000006</v>
      </c>
      <c r="AK6" s="122">
        <f>IFERROR(SUMIFS(Datos_Origen[CT],Datos_Origen[Cargo Tipo Valorado],Cargos_Catalogo[[#This Row],[Cargo]])/Cargos_Catalogo[[#This Row],[Frecuencia]],0)</f>
        <v>49110087.455000006</v>
      </c>
      <c r="AL6" s="117" t="str">
        <f>IF(COUNTA(Cargos_Catalogo[[#This Row],[PuntosF]:[CriticidadF]])=0,"",COUNTA(Cargos_Catalogo[[#This Row],[PuntosF]:[CriticidadF]]))</f>
        <v/>
      </c>
      <c r="AM6" s="118"/>
      <c r="AN6" s="123"/>
      <c r="AO6" s="123"/>
      <c r="AP6" s="123"/>
      <c r="AQ6" s="117" t="str">
        <f>IFERROR(VLOOKUP(Cargos_Catalogo[[#This Row],[Categoria]],NivelSHR[],2,1),"")</f>
        <v>Ejecutivo</v>
      </c>
      <c r="AR6" s="127">
        <f>IFERROR(SUMIFS(Datos_Origen[[Promedio de Comisiones  ]],Datos_Origen[Cargo Tipo Valorado],Cargos_Catalogo[[#This Row],[Cargo]])/Cargos_Catalogo[[#This Row],[Frecuencia]],0)</f>
        <v>14589000</v>
      </c>
      <c r="AS6" s="124"/>
      <c r="AT6" s="123"/>
    </row>
    <row r="7" spans="2:46" ht="13.8">
      <c r="B7" s="116" t="s">
        <v>274</v>
      </c>
      <c r="C7" s="116" t="e">
        <v>#N/A</v>
      </c>
      <c r="D7" s="116" t="s">
        <v>581</v>
      </c>
      <c r="E7" s="380" t="s">
        <v>252</v>
      </c>
      <c r="F7" s="116"/>
      <c r="G7" s="117">
        <f>IFERROR(IF(Cargos_Catalogo[[#This Row],[PuntosF]]="",ROUND(Cargos_Catalogo[[#This Row],[Total Puntos1]]+Cargos_Catalogo[[#This Row],[Total Puntos2]]+Cargos_Catalogo[[#This Row],[PuntosRR]],0),Cargos_Catalogo[PuntosF]),"")</f>
        <v>1048</v>
      </c>
      <c r="H7" s="118" t="s">
        <v>18</v>
      </c>
      <c r="I7" s="118" t="s">
        <v>117</v>
      </c>
      <c r="J7" s="118" t="s">
        <v>157</v>
      </c>
      <c r="K7" s="118">
        <v>4</v>
      </c>
      <c r="L7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480</v>
      </c>
      <c r="M7" s="118" t="s">
        <v>118</v>
      </c>
      <c r="N7" s="118">
        <v>4</v>
      </c>
      <c r="O7" s="118" t="s">
        <v>139</v>
      </c>
      <c r="P7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116</v>
      </c>
      <c r="Q7" s="117">
        <f>IFERROR(Cargos_Catalogo[[#This Row],[PuntosC&amp;H]]+Cargos_Catalogo[[#This Row],[PuntosHC]],"")</f>
        <v>596</v>
      </c>
      <c r="R7" s="118">
        <v>4</v>
      </c>
      <c r="S7" s="118" t="s">
        <v>78</v>
      </c>
      <c r="T7" s="118" t="s">
        <v>169</v>
      </c>
      <c r="U7" s="118" t="s">
        <v>117</v>
      </c>
      <c r="V7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0.41</v>
      </c>
      <c r="W7" s="120">
        <f>IFERROR(Cargos_Catalogo[[#This Row],[Total Puntos1]]*Cargos_Catalogo[[#This Row],[Porcentaje]],"")</f>
        <v>244.35999999999999</v>
      </c>
      <c r="X7" s="118" t="s">
        <v>120</v>
      </c>
      <c r="Y7" s="118" t="s">
        <v>169</v>
      </c>
      <c r="Z7" s="118">
        <v>6</v>
      </c>
      <c r="AA7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208</v>
      </c>
      <c r="AB7" s="125">
        <v>1</v>
      </c>
      <c r="AC7" s="125">
        <v>1</v>
      </c>
      <c r="AD7" s="125">
        <v>1</v>
      </c>
      <c r="AE7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18</v>
      </c>
      <c r="AF7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Crítico</v>
      </c>
      <c r="AG7" s="117" t="str">
        <f>IFERROR(IF(Cargos_Catalogo[[#This Row],[NivelF]]="",VLOOKUP(Cargos_Catalogo[[#This Row],[Categoria]],Niveles_Registro[],MATCH(Niveles_Registro[[#Headers],[Nivel]],Niveles_Registro[#Headers],0),FALSE),Cargos_Catalogo[NivelF]),"")</f>
        <v>Gerente</v>
      </c>
      <c r="AH7" s="117">
        <f>COUNTIF(Datos_Origen[Cargo Tipo Valorado],Cargos_Catalogo[[#This Row],[Cargo]])</f>
        <v>1</v>
      </c>
      <c r="AI7" s="122">
        <f>IFERROR(SUMIFS(Datos_Origen[G],Datos_Origen[Cargo Tipo Valorado],Cargos_Catalogo[[#This Row],[Cargo]])/Cargos_Catalogo[[#This Row],[Frecuencia]],0)</f>
        <v>26376000</v>
      </c>
      <c r="AJ7" s="122">
        <f>IFERROR(SUMIFS(Datos_Origen[G+V],Datos_Origen[Cargo Tipo Valorado],Cargos_Catalogo[[#This Row],[Cargo]])/Cargos_Catalogo[[#This Row],[Frecuencia]],0)</f>
        <v>32970000</v>
      </c>
      <c r="AK7" s="122">
        <f>IFERROR(SUMIFS(Datos_Origen[CT],Datos_Origen[Cargo Tipo Valorado],Cargos_Catalogo[[#This Row],[Cargo]])/Cargos_Catalogo[[#This Row],[Frecuencia]],0)</f>
        <v>33620000</v>
      </c>
      <c r="AL7" s="117" t="str">
        <f>IF(COUNTA(Cargos_Catalogo[[#This Row],[PuntosF]:[CriticidadF]])=0,"",COUNTA(Cargos_Catalogo[[#This Row],[PuntosF]:[CriticidadF]]))</f>
        <v/>
      </c>
      <c r="AM7" s="118"/>
      <c r="AN7" s="123"/>
      <c r="AO7" s="123"/>
      <c r="AP7" s="123"/>
      <c r="AQ7" s="117" t="str">
        <f>IFERROR(VLOOKUP(Cargos_Catalogo[[#This Row],[Categoria]],NivelSHR[],2,1),"")</f>
        <v>Gerencia Alta</v>
      </c>
      <c r="AR7" s="127">
        <f>IFERROR(SUMIFS(Datos_Origen[[Promedio de Comisiones  ]],Datos_Origen[Cargo Tipo Valorado],Cargos_Catalogo[[#This Row],[Cargo]])/Cargos_Catalogo[[#This Row],[Frecuencia]],0)</f>
        <v>0</v>
      </c>
      <c r="AS7" s="124"/>
      <c r="AT7" s="123"/>
    </row>
    <row r="8" spans="2:46" ht="13.8">
      <c r="B8" s="116" t="s">
        <v>275</v>
      </c>
      <c r="C8" s="116">
        <v>0</v>
      </c>
      <c r="D8" s="116" t="s">
        <v>581</v>
      </c>
      <c r="E8" s="380" t="s">
        <v>252</v>
      </c>
      <c r="F8" s="116"/>
      <c r="G8" s="117">
        <f>IFERROR(IF(Cargos_Catalogo[[#This Row],[PuntosF]]="",ROUND(Cargos_Catalogo[[#This Row],[Total Puntos1]]+Cargos_Catalogo[[#This Row],[Total Puntos2]]+Cargos_Catalogo[[#This Row],[PuntosRR]],0),Cargos_Catalogo[PuntosF]),"")</f>
        <v>1025</v>
      </c>
      <c r="H8" s="118" t="s">
        <v>18</v>
      </c>
      <c r="I8" s="118" t="s">
        <v>117</v>
      </c>
      <c r="J8" s="118" t="s">
        <v>157</v>
      </c>
      <c r="K8" s="118">
        <v>4</v>
      </c>
      <c r="L8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480</v>
      </c>
      <c r="M8" s="118" t="s">
        <v>118</v>
      </c>
      <c r="N8" s="118">
        <v>4</v>
      </c>
      <c r="O8" s="118" t="s">
        <v>139</v>
      </c>
      <c r="P8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116</v>
      </c>
      <c r="Q8" s="117">
        <f>IFERROR(Cargos_Catalogo[[#This Row],[PuntosC&amp;H]]+Cargos_Catalogo[[#This Row],[PuntosHC]],"")</f>
        <v>596</v>
      </c>
      <c r="R8" s="118">
        <v>3</v>
      </c>
      <c r="S8" s="118" t="s">
        <v>117</v>
      </c>
      <c r="T8" s="118" t="s">
        <v>169</v>
      </c>
      <c r="U8" s="118" t="s">
        <v>117</v>
      </c>
      <c r="V8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0.41</v>
      </c>
      <c r="W8" s="120">
        <f>IFERROR(Cargos_Catalogo[[#This Row],[Total Puntos1]]*Cargos_Catalogo[[#This Row],[Porcentaje]],"")</f>
        <v>244.35999999999999</v>
      </c>
      <c r="X8" s="118" t="s">
        <v>120</v>
      </c>
      <c r="Y8" s="118" t="s">
        <v>169</v>
      </c>
      <c r="Z8" s="118">
        <v>5</v>
      </c>
      <c r="AA8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185</v>
      </c>
      <c r="AB8" s="125">
        <v>1</v>
      </c>
      <c r="AC8" s="125">
        <v>1</v>
      </c>
      <c r="AD8" s="125">
        <v>1</v>
      </c>
      <c r="AE8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18</v>
      </c>
      <c r="AF8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Crítico</v>
      </c>
      <c r="AG8" s="117" t="str">
        <f>IFERROR(IF(Cargos_Catalogo[[#This Row],[NivelF]]="",VLOOKUP(Cargos_Catalogo[[#This Row],[Categoria]],Niveles_Registro[],MATCH(Niveles_Registro[[#Headers],[Nivel]],Niveles_Registro[#Headers],0),FALSE),Cargos_Catalogo[NivelF]),"")</f>
        <v>Gerente</v>
      </c>
      <c r="AH8" s="117">
        <f>COUNTIF(Datos_Origen[Cargo Tipo Valorado],Cargos_Catalogo[[#This Row],[Cargo]])</f>
        <v>1</v>
      </c>
      <c r="AI8" s="122">
        <f>IFERROR(SUMIFS(Datos_Origen[G],Datos_Origen[Cargo Tipo Valorado],Cargos_Catalogo[[#This Row],[Cargo]])/Cargos_Catalogo[[#This Row],[Frecuencia]],0)</f>
        <v>20846000</v>
      </c>
      <c r="AJ8" s="122">
        <f>IFERROR(SUMIFS(Datos_Origen[G+V],Datos_Origen[Cargo Tipo Valorado],Cargos_Catalogo[[#This Row],[Cargo]])/Cargos_Catalogo[[#This Row],[Frecuencia]],0)</f>
        <v>27851416.666666664</v>
      </c>
      <c r="AK8" s="122">
        <f>IFERROR(SUMIFS(Datos_Origen[CT],Datos_Origen[Cargo Tipo Valorado],Cargos_Catalogo[[#This Row],[Cargo]])/Cargos_Catalogo[[#This Row],[Frecuencia]],0)</f>
        <v>28401416.666666664</v>
      </c>
      <c r="AL8" s="117" t="str">
        <f>IF(COUNTA(Cargos_Catalogo[[#This Row],[PuntosF]:[CriticidadF]])=0,"",COUNTA(Cargos_Catalogo[[#This Row],[PuntosF]:[CriticidadF]]))</f>
        <v/>
      </c>
      <c r="AM8" s="118"/>
      <c r="AN8" s="123"/>
      <c r="AO8" s="123"/>
      <c r="AP8" s="123"/>
      <c r="AQ8" s="117" t="str">
        <f>IFERROR(VLOOKUP(Cargos_Catalogo[[#This Row],[Categoria]],NivelSHR[],2,1),"")</f>
        <v>Gerencia Alta</v>
      </c>
      <c r="AR8" s="127">
        <f>IFERROR(SUMIFS(Datos_Origen[[Promedio de Comisiones  ]],Datos_Origen[Cargo Tipo Valorado],Cargos_Catalogo[[#This Row],[Cargo]])/Cargos_Catalogo[[#This Row],[Frecuencia]],0)</f>
        <v>4863000</v>
      </c>
      <c r="AS8" s="124"/>
      <c r="AT8" s="123"/>
    </row>
    <row r="9" spans="2:46" ht="13.8">
      <c r="B9" s="116" t="s">
        <v>276</v>
      </c>
      <c r="C9" s="116" t="e">
        <v>#N/A</v>
      </c>
      <c r="D9" s="116" t="s">
        <v>581</v>
      </c>
      <c r="E9" s="380" t="s">
        <v>252</v>
      </c>
      <c r="F9" s="116"/>
      <c r="G9" s="117">
        <f>IFERROR(IF(Cargos_Catalogo[[#This Row],[PuntosF]]="",ROUND(Cargos_Catalogo[[#This Row],[Total Puntos1]]+Cargos_Catalogo[[#This Row],[Total Puntos2]]+Cargos_Catalogo[[#This Row],[PuntosRR]],0),Cargos_Catalogo[PuntosF]),"")</f>
        <v>805</v>
      </c>
      <c r="H9" s="118" t="s">
        <v>169</v>
      </c>
      <c r="I9" s="118" t="s">
        <v>117</v>
      </c>
      <c r="J9" s="118" t="s">
        <v>157</v>
      </c>
      <c r="K9" s="118">
        <v>4</v>
      </c>
      <c r="L9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387</v>
      </c>
      <c r="M9" s="118" t="s">
        <v>118</v>
      </c>
      <c r="N9" s="118">
        <v>4</v>
      </c>
      <c r="O9" s="118" t="s">
        <v>139</v>
      </c>
      <c r="P9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116</v>
      </c>
      <c r="Q9" s="117">
        <f>IFERROR(Cargos_Catalogo[[#This Row],[PuntosC&amp;H]]+Cargos_Catalogo[[#This Row],[PuntosHC]],"")</f>
        <v>503</v>
      </c>
      <c r="R9" s="118">
        <v>3</v>
      </c>
      <c r="S9" s="118" t="s">
        <v>117</v>
      </c>
      <c r="T9" s="118" t="s">
        <v>169</v>
      </c>
      <c r="U9" s="118" t="s">
        <v>78</v>
      </c>
      <c r="V9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0.34</v>
      </c>
      <c r="W9" s="120">
        <f>IFERROR(Cargos_Catalogo[[#This Row],[Total Puntos1]]*Cargos_Catalogo[[#This Row],[Porcentaje]],"")</f>
        <v>171.02</v>
      </c>
      <c r="X9" s="118" t="s">
        <v>120</v>
      </c>
      <c r="Y9" s="118" t="s">
        <v>155</v>
      </c>
      <c r="Z9" s="118">
        <v>4</v>
      </c>
      <c r="AA9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131</v>
      </c>
      <c r="AB9" s="125">
        <v>1</v>
      </c>
      <c r="AC9" s="125">
        <v>1</v>
      </c>
      <c r="AD9" s="125">
        <v>0</v>
      </c>
      <c r="AE9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16</v>
      </c>
      <c r="AF9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Muy Importante</v>
      </c>
      <c r="AG9" s="117" t="str">
        <f>IFERROR(IF(Cargos_Catalogo[[#This Row],[NivelF]]="",VLOOKUP(Cargos_Catalogo[[#This Row],[Categoria]],Niveles_Registro[],MATCH(Niveles_Registro[[#Headers],[Nivel]],Niveles_Registro[#Headers],0),FALSE),Cargos_Catalogo[NivelF]),"")</f>
        <v>Director/Jefe/Especialista Sr</v>
      </c>
      <c r="AH9" s="117">
        <f>COUNTIF(Datos_Origen[Cargo Tipo Valorado],Cargos_Catalogo[[#This Row],[Cargo]])</f>
        <v>1</v>
      </c>
      <c r="AI9" s="122">
        <f>IFERROR(SUMIFS(Datos_Origen[G],Datos_Origen[Cargo Tipo Valorado],Cargos_Catalogo[[#This Row],[Cargo]])/Cargos_Catalogo[[#This Row],[Frecuencia]],0)</f>
        <v>16233339.320000002</v>
      </c>
      <c r="AJ9" s="122">
        <f>IFERROR(SUMIFS(Datos_Origen[G+V],Datos_Origen[Cargo Tipo Valorado],Cargos_Catalogo[[#This Row],[Cargo]])/Cargos_Catalogo[[#This Row],[Frecuencia]],0)</f>
        <v>17586117.596666668</v>
      </c>
      <c r="AK9" s="122">
        <f>IFERROR(SUMIFS(Datos_Origen[CT],Datos_Origen[Cargo Tipo Valorado],Cargos_Catalogo[[#This Row],[Cargo]])/Cargos_Catalogo[[#This Row],[Frecuencia]],0)</f>
        <v>17586117.596666668</v>
      </c>
      <c r="AL9" s="117" t="str">
        <f>IF(COUNTA(Cargos_Catalogo[[#This Row],[PuntosF]:[CriticidadF]])=0,"",COUNTA(Cargos_Catalogo[[#This Row],[PuntosF]:[CriticidadF]]))</f>
        <v/>
      </c>
      <c r="AM9" s="118"/>
      <c r="AN9" s="123"/>
      <c r="AO9" s="123"/>
      <c r="AP9" s="123"/>
      <c r="AQ9" s="117" t="str">
        <f>IFERROR(VLOOKUP(Cargos_Catalogo[[#This Row],[Categoria]],NivelSHR[],2,1),"")</f>
        <v>Gerencia Alta</v>
      </c>
      <c r="AR9" s="127">
        <f>IFERROR(SUMIFS(Datos_Origen[[Promedio de Comisiones  ]],Datos_Origen[Cargo Tipo Valorado],Cargos_Catalogo[[#This Row],[Cargo]])/Cargos_Catalogo[[#This Row],[Frecuencia]],0)</f>
        <v>0</v>
      </c>
      <c r="AS9" s="124"/>
      <c r="AT9" s="123"/>
    </row>
    <row r="10" spans="2:46" ht="13.8">
      <c r="B10" s="116" t="s">
        <v>283</v>
      </c>
      <c r="C10" s="116" t="s">
        <v>582</v>
      </c>
      <c r="D10" s="116" t="s">
        <v>583</v>
      </c>
      <c r="E10" s="116" t="s">
        <v>584</v>
      </c>
      <c r="F10" s="116"/>
      <c r="G10" s="117">
        <f>IFERROR(IF(Cargos_Catalogo[[#This Row],[PuntosF]]="",ROUND(Cargos_Catalogo[[#This Row],[Total Puntos1]]+Cargos_Catalogo[[#This Row],[Total Puntos2]]+Cargos_Catalogo[[#This Row],[PuntosRR]],0),Cargos_Catalogo[PuntosF]),"")</f>
        <v>655</v>
      </c>
      <c r="H10" s="118" t="s">
        <v>169</v>
      </c>
      <c r="I10" s="118" t="s">
        <v>117</v>
      </c>
      <c r="J10" s="118" t="s">
        <v>139</v>
      </c>
      <c r="K10" s="118">
        <v>3</v>
      </c>
      <c r="L10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323</v>
      </c>
      <c r="M10" s="118" t="s">
        <v>118</v>
      </c>
      <c r="N10" s="118">
        <v>4</v>
      </c>
      <c r="O10" s="118" t="s">
        <v>139</v>
      </c>
      <c r="P10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116</v>
      </c>
      <c r="Q10" s="117">
        <f>IFERROR(Cargos_Catalogo[[#This Row],[PuntosC&amp;H]]+Cargos_Catalogo[[#This Row],[PuntosHC]],"")</f>
        <v>439</v>
      </c>
      <c r="R10" s="118">
        <v>4</v>
      </c>
      <c r="S10" s="118" t="s">
        <v>78</v>
      </c>
      <c r="T10" s="118" t="s">
        <v>155</v>
      </c>
      <c r="U10" s="118" t="s">
        <v>78</v>
      </c>
      <c r="V10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0.28999999999999998</v>
      </c>
      <c r="W10" s="120">
        <f>IFERROR(Cargos_Catalogo[[#This Row],[Total Puntos1]]*Cargos_Catalogo[[#This Row],[Porcentaje]],"")</f>
        <v>127.30999999999999</v>
      </c>
      <c r="X10" s="118" t="s">
        <v>120</v>
      </c>
      <c r="Y10" s="118" t="s">
        <v>137</v>
      </c>
      <c r="Z10" s="118">
        <v>2</v>
      </c>
      <c r="AA10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89</v>
      </c>
      <c r="AB10" s="125">
        <v>1</v>
      </c>
      <c r="AC10" s="125">
        <v>1</v>
      </c>
      <c r="AD10" s="125">
        <v>1</v>
      </c>
      <c r="AE10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15</v>
      </c>
      <c r="AF10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Crítico</v>
      </c>
      <c r="AG10" s="117" t="str">
        <f>IFERROR(IF(Cargos_Catalogo[[#This Row],[NivelF]]="",VLOOKUP(Cargos_Catalogo[[#This Row],[Categoria]],Niveles_Registro[],MATCH(Niveles_Registro[[#Headers],[Nivel]],Niveles_Registro[#Headers],0),FALSE),Cargos_Catalogo[NivelF]),"")</f>
        <v>Director/Jefe/Especialista Sr</v>
      </c>
      <c r="AH10" s="117">
        <f>COUNTIF(Datos_Origen[Cargo Tipo Valorado],Cargos_Catalogo[[#This Row],[Cargo]])</f>
        <v>1</v>
      </c>
      <c r="AI10" s="122">
        <f>IFERROR(SUMIFS(Datos_Origen[G],Datos_Origen[Cargo Tipo Valorado],Cargos_Catalogo[[#This Row],[Cargo]])/Cargos_Catalogo[[#This Row],[Frecuencia]],0)</f>
        <v>11766700.000000002</v>
      </c>
      <c r="AJ10" s="122">
        <f>IFERROR(SUMIFS(Datos_Origen[G+V],Datos_Origen[Cargo Tipo Valorado],Cargos_Catalogo[[#This Row],[Cargo]])/Cargos_Catalogo[[#This Row],[Frecuencia]],0)</f>
        <v>11766700.000000002</v>
      </c>
      <c r="AK10" s="122">
        <f>IFERROR(SUMIFS(Datos_Origen[CT],Datos_Origen[Cargo Tipo Valorado],Cargos_Catalogo[[#This Row],[Cargo]])/Cargos_Catalogo[[#This Row],[Frecuencia]],0)</f>
        <v>11766700.000000002</v>
      </c>
      <c r="AL10" s="117" t="str">
        <f>IF(COUNTA(Cargos_Catalogo[[#This Row],[PuntosF]:[CriticidadF]])=0,"",COUNTA(Cargos_Catalogo[[#This Row],[PuntosF]:[CriticidadF]]))</f>
        <v/>
      </c>
      <c r="AM10" s="118"/>
      <c r="AN10" s="123"/>
      <c r="AO10" s="123"/>
      <c r="AP10" s="123"/>
      <c r="AQ10" s="117" t="str">
        <f>IFERROR(VLOOKUP(Cargos_Catalogo[[#This Row],[Categoria]],NivelSHR[],2,1),"")</f>
        <v>Gerencia media</v>
      </c>
      <c r="AR10" s="127">
        <f>IFERROR(SUMIFS(Datos_Origen[[Promedio de Comisiones  ]],Datos_Origen[Cargo Tipo Valorado],Cargos_Catalogo[[#This Row],[Cargo]])/Cargos_Catalogo[[#This Row],[Frecuencia]],0)</f>
        <v>0</v>
      </c>
      <c r="AS10" s="124"/>
      <c r="AT10" s="123"/>
    </row>
    <row r="11" spans="2:46" ht="13.8">
      <c r="B11" s="116" t="s">
        <v>284</v>
      </c>
      <c r="C11" s="116" t="e">
        <v>#N/A</v>
      </c>
      <c r="D11" s="116" t="s">
        <v>581</v>
      </c>
      <c r="E11" s="116" t="s">
        <v>584</v>
      </c>
      <c r="F11" s="116"/>
      <c r="G11" s="117">
        <f>IFERROR(IF(Cargos_Catalogo[[#This Row],[PuntosF]]="",ROUND(Cargos_Catalogo[[#This Row],[Total Puntos1]]+Cargos_Catalogo[[#This Row],[Total Puntos2]]+Cargos_Catalogo[[#This Row],[PuntosRR]],0),Cargos_Catalogo[PuntosF]),"")</f>
        <v>666</v>
      </c>
      <c r="H11" s="118" t="s">
        <v>169</v>
      </c>
      <c r="I11" s="118" t="s">
        <v>117</v>
      </c>
      <c r="J11" s="118" t="s">
        <v>139</v>
      </c>
      <c r="K11" s="118">
        <v>3</v>
      </c>
      <c r="L11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323</v>
      </c>
      <c r="M11" s="118" t="s">
        <v>118</v>
      </c>
      <c r="N11" s="118">
        <v>4</v>
      </c>
      <c r="O11" s="118" t="s">
        <v>139</v>
      </c>
      <c r="P11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116</v>
      </c>
      <c r="Q11" s="117">
        <f>IFERROR(Cargos_Catalogo[[#This Row],[PuntosC&amp;H]]+Cargos_Catalogo[[#This Row],[PuntosHC]],"")</f>
        <v>439</v>
      </c>
      <c r="R11" s="118">
        <v>3</v>
      </c>
      <c r="S11" s="118" t="s">
        <v>97</v>
      </c>
      <c r="T11" s="118" t="s">
        <v>155</v>
      </c>
      <c r="U11" s="118" t="s">
        <v>78</v>
      </c>
      <c r="V11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0.27</v>
      </c>
      <c r="W11" s="120">
        <f>IFERROR(Cargos_Catalogo[[#This Row],[Total Puntos1]]*Cargos_Catalogo[[#This Row],[Porcentaje]],"")</f>
        <v>118.53</v>
      </c>
      <c r="X11" s="118" t="s">
        <v>120</v>
      </c>
      <c r="Y11" s="118" t="s">
        <v>137</v>
      </c>
      <c r="Z11" s="118">
        <v>4</v>
      </c>
      <c r="AA11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108</v>
      </c>
      <c r="AB11" s="125">
        <v>1</v>
      </c>
      <c r="AC11" s="125">
        <v>1</v>
      </c>
      <c r="AD11" s="125">
        <v>0</v>
      </c>
      <c r="AE11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15</v>
      </c>
      <c r="AF11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Muy Importante</v>
      </c>
      <c r="AG11" s="117" t="str">
        <f>IFERROR(IF(Cargos_Catalogo[[#This Row],[NivelF]]="",VLOOKUP(Cargos_Catalogo[[#This Row],[Categoria]],Niveles_Registro[],MATCH(Niveles_Registro[[#Headers],[Nivel]],Niveles_Registro[#Headers],0),FALSE),Cargos_Catalogo[NivelF]),"")</f>
        <v>Director/Jefe/Especialista Sr</v>
      </c>
      <c r="AH11" s="117">
        <f>COUNTIF(Datos_Origen[Cargo Tipo Valorado],Cargos_Catalogo[[#This Row],[Cargo]])</f>
        <v>2</v>
      </c>
      <c r="AI11" s="122">
        <f>IFERROR(SUMIFS(Datos_Origen[G],Datos_Origen[Cargo Tipo Valorado],Cargos_Catalogo[[#This Row],[Cargo]])/Cargos_Catalogo[[#This Row],[Frecuencia]],0)</f>
        <v>6315187.8900000006</v>
      </c>
      <c r="AJ11" s="122">
        <f>IFERROR(SUMIFS(Datos_Origen[G+V],Datos_Origen[Cargo Tipo Valorado],Cargos_Catalogo[[#This Row],[Cargo]])/Cargos_Catalogo[[#This Row],[Frecuencia]],0)</f>
        <v>10292332.490000002</v>
      </c>
      <c r="AK11" s="122">
        <f>IFERROR(SUMIFS(Datos_Origen[CT],Datos_Origen[Cargo Tipo Valorado],Cargos_Catalogo[[#This Row],[Cargo]])/Cargos_Catalogo[[#This Row],[Frecuencia]],0)</f>
        <v>10292332.490000002</v>
      </c>
      <c r="AL11" s="117" t="str">
        <f>IF(COUNTA(Cargos_Catalogo[[#This Row],[PuntosF]:[CriticidadF]])=0,"",COUNTA(Cargos_Catalogo[[#This Row],[PuntosF]:[CriticidadF]]))</f>
        <v/>
      </c>
      <c r="AM11" s="118"/>
      <c r="AN11" s="123"/>
      <c r="AO11" s="123"/>
      <c r="AP11" s="123"/>
      <c r="AQ11" s="117" t="str">
        <f>IFERROR(VLOOKUP(Cargos_Catalogo[[#This Row],[Categoria]],NivelSHR[],2,1),"")</f>
        <v>Gerencia media</v>
      </c>
      <c r="AR11" s="127">
        <f>IFERROR(SUMIFS(Datos_Origen[[Promedio de Comisiones  ]],Datos_Origen[Cargo Tipo Valorado],Cargos_Catalogo[[#This Row],[Cargo]])/Cargos_Catalogo[[#This Row],[Frecuencia]],0)</f>
        <v>3380000</v>
      </c>
      <c r="AS11" s="124"/>
      <c r="AT11" s="123"/>
    </row>
    <row r="12" spans="2:46" ht="13.8">
      <c r="B12" s="116" t="s">
        <v>282</v>
      </c>
      <c r="C12" s="116" t="e">
        <v>#N/A</v>
      </c>
      <c r="D12" s="116" t="s">
        <v>583</v>
      </c>
      <c r="E12" s="116" t="s">
        <v>584</v>
      </c>
      <c r="F12" s="116"/>
      <c r="G12" s="117">
        <f>IFERROR(IF(Cargos_Catalogo[[#This Row],[PuntosF]]="",ROUND(Cargos_Catalogo[[#This Row],[Total Puntos1]]+Cargos_Catalogo[[#This Row],[Total Puntos2]]+Cargos_Catalogo[[#This Row],[PuntosRR]],0),Cargos_Catalogo[PuntosF]),"")</f>
        <v>652</v>
      </c>
      <c r="H12" s="118" t="s">
        <v>169</v>
      </c>
      <c r="I12" s="118" t="s">
        <v>117</v>
      </c>
      <c r="J12" s="118" t="s">
        <v>139</v>
      </c>
      <c r="K12" s="118">
        <v>3</v>
      </c>
      <c r="L12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323</v>
      </c>
      <c r="M12" s="118" t="s">
        <v>118</v>
      </c>
      <c r="N12" s="118">
        <v>4</v>
      </c>
      <c r="O12" s="118" t="s">
        <v>139</v>
      </c>
      <c r="P12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116</v>
      </c>
      <c r="Q12" s="117">
        <f>IFERROR(Cargos_Catalogo[[#This Row],[PuntosC&amp;H]]+Cargos_Catalogo[[#This Row],[PuntosHC]],"")</f>
        <v>439</v>
      </c>
      <c r="R12" s="118">
        <v>3</v>
      </c>
      <c r="S12" s="118" t="s">
        <v>78</v>
      </c>
      <c r="T12" s="118" t="s">
        <v>155</v>
      </c>
      <c r="U12" s="118" t="s">
        <v>78</v>
      </c>
      <c r="V12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0.24</v>
      </c>
      <c r="W12" s="120">
        <f>IFERROR(Cargos_Catalogo[[#This Row],[Total Puntos1]]*Cargos_Catalogo[[#This Row],[Porcentaje]],"")</f>
        <v>105.36</v>
      </c>
      <c r="X12" s="118" t="s">
        <v>120</v>
      </c>
      <c r="Y12" s="118" t="s">
        <v>137</v>
      </c>
      <c r="Z12" s="118">
        <v>4</v>
      </c>
      <c r="AA12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108</v>
      </c>
      <c r="AB12" s="125">
        <v>1</v>
      </c>
      <c r="AC12" s="125">
        <v>1</v>
      </c>
      <c r="AD12" s="125">
        <v>0</v>
      </c>
      <c r="AE12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15</v>
      </c>
      <c r="AF12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Muy Importante</v>
      </c>
      <c r="AG12" s="117" t="str">
        <f>IFERROR(IF(Cargos_Catalogo[[#This Row],[NivelF]]="",VLOOKUP(Cargos_Catalogo[[#This Row],[Categoria]],Niveles_Registro[],MATCH(Niveles_Registro[[#Headers],[Nivel]],Niveles_Registro[#Headers],0),FALSE),Cargos_Catalogo[NivelF]),"")</f>
        <v>Director/Jefe/Especialista Sr</v>
      </c>
      <c r="AH12" s="117">
        <f>COUNTIF(Datos_Origen[Cargo Tipo Valorado],Cargos_Catalogo[[#This Row],[Cargo]])</f>
        <v>1</v>
      </c>
      <c r="AI12" s="122">
        <f>IFERROR(SUMIFS(Datos_Origen[G],Datos_Origen[Cargo Tipo Valorado],Cargos_Catalogo[[#This Row],[Cargo]])/Cargos_Catalogo[[#This Row],[Frecuencia]],0)</f>
        <v>6304597.8600000003</v>
      </c>
      <c r="AJ12" s="122">
        <f>IFERROR(SUMIFS(Datos_Origen[G+V],Datos_Origen[Cargo Tipo Valorado],Cargos_Catalogo[[#This Row],[Cargo]])/Cargos_Catalogo[[#This Row],[Frecuencia]],0)</f>
        <v>9363939.8600000013</v>
      </c>
      <c r="AK12" s="122">
        <f>IFERROR(SUMIFS(Datos_Origen[CT],Datos_Origen[Cargo Tipo Valorado],Cargos_Catalogo[[#This Row],[Cargo]])/Cargos_Catalogo[[#This Row],[Frecuencia]],0)</f>
        <v>9363939.8600000013</v>
      </c>
      <c r="AL12" s="117" t="str">
        <f>IF(COUNTA(Cargos_Catalogo[[#This Row],[PuntosF]:[CriticidadF]])=0,"",COUNTA(Cargos_Catalogo[[#This Row],[PuntosF]:[CriticidadF]]))</f>
        <v/>
      </c>
      <c r="AM12" s="118"/>
      <c r="AN12" s="123"/>
      <c r="AO12" s="123"/>
      <c r="AP12" s="123"/>
      <c r="AQ12" s="117" t="str">
        <f>IFERROR(VLOOKUP(Cargos_Catalogo[[#This Row],[Categoria]],NivelSHR[],2,1),"")</f>
        <v>Gerencia media</v>
      </c>
      <c r="AR12" s="127">
        <f>IFERROR(SUMIFS(Datos_Origen[[Promedio de Comisiones  ]],Datos_Origen[Cargo Tipo Valorado],Cargos_Catalogo[[#This Row],[Cargo]])/Cargos_Catalogo[[#This Row],[Frecuencia]],0)</f>
        <v>2600000</v>
      </c>
      <c r="AS12" s="124"/>
      <c r="AT12" s="123"/>
    </row>
    <row r="13" spans="2:46" ht="13.8">
      <c r="B13" s="116" t="s">
        <v>278</v>
      </c>
      <c r="C13" s="116" t="str">
        <f>+VLOOKUP(Cargos_Catalogo[[#This Row],[Cargo]],'[2]Información por cargo'!$D:$K,8,0)</f>
        <v xml:space="preserve">Gerente de operaciones </v>
      </c>
      <c r="D13" s="116" t="s">
        <v>581</v>
      </c>
      <c r="E13" s="116" t="s">
        <v>241</v>
      </c>
      <c r="F13" s="116"/>
      <c r="G13" s="117">
        <f>IFERROR(IF(Cargos_Catalogo[[#This Row],[PuntosF]]="",ROUND(Cargos_Catalogo[[#This Row],[Total Puntos1]]+Cargos_Catalogo[[#This Row],[Total Puntos2]]+Cargos_Catalogo[[#This Row],[PuntosRR]],0),Cargos_Catalogo[PuntosF]),"")</f>
        <v>633</v>
      </c>
      <c r="H13" s="118" t="s">
        <v>169</v>
      </c>
      <c r="I13" s="118" t="s">
        <v>97</v>
      </c>
      <c r="J13" s="118" t="s">
        <v>139</v>
      </c>
      <c r="K13" s="118">
        <v>4</v>
      </c>
      <c r="L13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299</v>
      </c>
      <c r="M13" s="118" t="s">
        <v>118</v>
      </c>
      <c r="N13" s="118">
        <v>4</v>
      </c>
      <c r="O13" s="118" t="s">
        <v>139</v>
      </c>
      <c r="P13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116</v>
      </c>
      <c r="Q13" s="117">
        <f>IFERROR(Cargos_Catalogo[[#This Row],[PuntosC&amp;H]]+Cargos_Catalogo[[#This Row],[PuntosHC]],"")</f>
        <v>415</v>
      </c>
      <c r="R13" s="118">
        <v>3</v>
      </c>
      <c r="S13" s="118" t="s">
        <v>97</v>
      </c>
      <c r="T13" s="118" t="s">
        <v>155</v>
      </c>
      <c r="U13" s="118" t="s">
        <v>97</v>
      </c>
      <c r="V13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0.28999999999999998</v>
      </c>
      <c r="W13" s="120">
        <f>IFERROR(Cargos_Catalogo[[#This Row],[Total Puntos1]]*Cargos_Catalogo[[#This Row],[Porcentaje]],"")</f>
        <v>120.35</v>
      </c>
      <c r="X13" s="118" t="s">
        <v>120</v>
      </c>
      <c r="Y13" s="118" t="s">
        <v>137</v>
      </c>
      <c r="Z13" s="118">
        <v>3</v>
      </c>
      <c r="AA13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98</v>
      </c>
      <c r="AB13" s="125">
        <v>1</v>
      </c>
      <c r="AC13" s="125">
        <v>1</v>
      </c>
      <c r="AD13" s="125">
        <v>0</v>
      </c>
      <c r="AE13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15</v>
      </c>
      <c r="AF13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Muy Importante</v>
      </c>
      <c r="AG13" s="117" t="str">
        <f>IFERROR(IF(Cargos_Catalogo[[#This Row],[NivelF]]="",VLOOKUP(Cargos_Catalogo[[#This Row],[Categoria]],Niveles_Registro[],MATCH(Niveles_Registro[[#Headers],[Nivel]],Niveles_Registro[#Headers],0),FALSE),Cargos_Catalogo[NivelF]),"")</f>
        <v>Director/Jefe/Especialista Sr</v>
      </c>
      <c r="AH13" s="117">
        <f>COUNTIF(Datos_Origen[Cargo Tipo Valorado],Cargos_Catalogo[[#This Row],[Cargo]])</f>
        <v>1</v>
      </c>
      <c r="AI13" s="122">
        <f>IFERROR(SUMIFS(Datos_Origen[G],Datos_Origen[Cargo Tipo Valorado],Cargos_Catalogo[[#This Row],[Cargo]])/Cargos_Catalogo[[#This Row],[Frecuencia]],0)</f>
        <v>13526998.32</v>
      </c>
      <c r="AJ13" s="122">
        <f>IFERROR(SUMIFS(Datos_Origen[G+V],Datos_Origen[Cargo Tipo Valorado],Cargos_Catalogo[[#This Row],[Cargo]])/Cargos_Catalogo[[#This Row],[Frecuencia]],0)</f>
        <v>13526998.32</v>
      </c>
      <c r="AK13" s="122">
        <f>IFERROR(SUMIFS(Datos_Origen[CT],Datos_Origen[Cargo Tipo Valorado],Cargos_Catalogo[[#This Row],[Cargo]])/Cargos_Catalogo[[#This Row],[Frecuencia]],0)</f>
        <v>13526998.32</v>
      </c>
      <c r="AL13" s="117" t="str">
        <f>IF(COUNTA(Cargos_Catalogo[[#This Row],[PuntosF]:[CriticidadF]])=0,"",COUNTA(Cargos_Catalogo[[#This Row],[PuntosF]:[CriticidadF]]))</f>
        <v/>
      </c>
      <c r="AM13" s="118"/>
      <c r="AN13" s="123"/>
      <c r="AO13" s="123"/>
      <c r="AP13" s="123"/>
      <c r="AQ13" s="117" t="str">
        <f>IFERROR(VLOOKUP(Cargos_Catalogo[[#This Row],[Categoria]],NivelSHR[],2,1),"")</f>
        <v>Gerencia media</v>
      </c>
      <c r="AR13" s="127">
        <f>IFERROR(SUMIFS(Datos_Origen[[Promedio de Comisiones  ]],Datos_Origen[Cargo Tipo Valorado],Cargos_Catalogo[[#This Row],[Cargo]])/Cargos_Catalogo[[#This Row],[Frecuencia]],0)</f>
        <v>0</v>
      </c>
      <c r="AS13" s="124"/>
      <c r="AT13" s="123"/>
    </row>
    <row r="14" spans="2:46" ht="13.8">
      <c r="B14" s="116" t="s">
        <v>279</v>
      </c>
      <c r="C14" s="116" t="s">
        <v>585</v>
      </c>
      <c r="D14" s="116" t="s">
        <v>581</v>
      </c>
      <c r="E14" s="380" t="s">
        <v>252</v>
      </c>
      <c r="F14" s="116"/>
      <c r="G14" s="117">
        <f>IFERROR(IF(Cargos_Catalogo[[#This Row],[PuntosF]]="",ROUND(Cargos_Catalogo[[#This Row],[Total Puntos1]]+Cargos_Catalogo[[#This Row],[Total Puntos2]]+Cargos_Catalogo[[#This Row],[PuntosRR]],0),Cargos_Catalogo[PuntosF]),"")</f>
        <v>632</v>
      </c>
      <c r="H14" s="118" t="s">
        <v>169</v>
      </c>
      <c r="I14" s="118" t="s">
        <v>97</v>
      </c>
      <c r="J14" s="118" t="s">
        <v>157</v>
      </c>
      <c r="K14" s="118">
        <v>3</v>
      </c>
      <c r="L14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331</v>
      </c>
      <c r="M14" s="118" t="s">
        <v>118</v>
      </c>
      <c r="N14" s="118">
        <v>4</v>
      </c>
      <c r="O14" s="118" t="s">
        <v>120</v>
      </c>
      <c r="P14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14" s="117">
        <f>IFERROR(Cargos_Catalogo[[#This Row],[PuntosC&amp;H]]+Cargos_Catalogo[[#This Row],[PuntosHC]],"")</f>
        <v>408</v>
      </c>
      <c r="R14" s="118">
        <v>2</v>
      </c>
      <c r="S14" s="118" t="s">
        <v>117</v>
      </c>
      <c r="T14" s="118" t="s">
        <v>169</v>
      </c>
      <c r="U14" s="118" t="s">
        <v>78</v>
      </c>
      <c r="V14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0.28999999999999998</v>
      </c>
      <c r="W14" s="120">
        <f>IFERROR(Cargos_Catalogo[[#This Row],[Total Puntos1]]*Cargos_Catalogo[[#This Row],[Porcentaje]],"")</f>
        <v>118.32</v>
      </c>
      <c r="X14" s="118" t="s">
        <v>120</v>
      </c>
      <c r="Y14" s="118" t="s">
        <v>155</v>
      </c>
      <c r="Z14" s="118">
        <v>2</v>
      </c>
      <c r="AA14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106</v>
      </c>
      <c r="AB14" s="125">
        <v>1</v>
      </c>
      <c r="AC14" s="125">
        <v>1</v>
      </c>
      <c r="AD14" s="125">
        <v>0</v>
      </c>
      <c r="AE14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15</v>
      </c>
      <c r="AF14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Muy Importante</v>
      </c>
      <c r="AG14" s="117" t="str">
        <f>IFERROR(IF(Cargos_Catalogo[[#This Row],[NivelF]]="",VLOOKUP(Cargos_Catalogo[[#This Row],[Categoria]],Niveles_Registro[],MATCH(Niveles_Registro[[#Headers],[Nivel]],Niveles_Registro[#Headers],0),FALSE),Cargos_Catalogo[NivelF]),"")</f>
        <v>Director/Jefe/Especialista Sr</v>
      </c>
      <c r="AH14" s="117">
        <f>COUNTIF(Datos_Origen[Cargo Tipo Valorado],Cargos_Catalogo[[#This Row],[Cargo]])</f>
        <v>1</v>
      </c>
      <c r="AI14" s="122">
        <f>IFERROR(SUMIFS(Datos_Origen[G],Datos_Origen[Cargo Tipo Valorado],Cargos_Catalogo[[#This Row],[Cargo]])/Cargos_Catalogo[[#This Row],[Frecuencia]],0)</f>
        <v>10253502.380000001</v>
      </c>
      <c r="AJ14" s="122">
        <f>IFERROR(SUMIFS(Datos_Origen[G+V],Datos_Origen[Cargo Tipo Valorado],Cargos_Catalogo[[#This Row],[Cargo]])/Cargos_Catalogo[[#This Row],[Frecuencia]],0)</f>
        <v>10253502.380000001</v>
      </c>
      <c r="AK14" s="122">
        <f>IFERROR(SUMIFS(Datos_Origen[CT],Datos_Origen[Cargo Tipo Valorado],Cargos_Catalogo[[#This Row],[Cargo]])/Cargos_Catalogo[[#This Row],[Frecuencia]],0)</f>
        <v>10253502.380000001</v>
      </c>
      <c r="AL14" s="117" t="str">
        <f>IF(COUNTA(Cargos_Catalogo[[#This Row],[PuntosF]:[CriticidadF]])=0,"",COUNTA(Cargos_Catalogo[[#This Row],[PuntosF]:[CriticidadF]]))</f>
        <v/>
      </c>
      <c r="AM14" s="118"/>
      <c r="AN14" s="123"/>
      <c r="AO14" s="123"/>
      <c r="AP14" s="123"/>
      <c r="AQ14" s="117" t="str">
        <f>IFERROR(VLOOKUP(Cargos_Catalogo[[#This Row],[Categoria]],NivelSHR[],2,1),"")</f>
        <v>Gerencia media</v>
      </c>
      <c r="AR14" s="127">
        <f>IFERROR(SUMIFS(Datos_Origen[[Promedio de Comisiones  ]],Datos_Origen[Cargo Tipo Valorado],Cargos_Catalogo[[#This Row],[Cargo]])/Cargos_Catalogo[[#This Row],[Frecuencia]],0)</f>
        <v>0</v>
      </c>
      <c r="AS14" s="124"/>
      <c r="AT14" s="123"/>
    </row>
    <row r="15" spans="2:46" ht="13.8">
      <c r="B15" s="116" t="s">
        <v>281</v>
      </c>
      <c r="C15" s="116" t="s">
        <v>586</v>
      </c>
      <c r="D15" s="116" t="s">
        <v>581</v>
      </c>
      <c r="E15" s="380" t="s">
        <v>252</v>
      </c>
      <c r="F15" s="116"/>
      <c r="G15" s="117">
        <f>IFERROR(IF(Cargos_Catalogo[[#This Row],[PuntosF]]="",ROUND(Cargos_Catalogo[[#This Row],[Total Puntos1]]+Cargos_Catalogo[[#This Row],[Total Puntos2]]+Cargos_Catalogo[[#This Row],[PuntosRR]],0),Cargos_Catalogo[PuntosF]),"")</f>
        <v>625</v>
      </c>
      <c r="H15" s="118" t="s">
        <v>169</v>
      </c>
      <c r="I15" s="118" t="s">
        <v>97</v>
      </c>
      <c r="J15" s="118" t="s">
        <v>157</v>
      </c>
      <c r="K15" s="118">
        <v>1</v>
      </c>
      <c r="L15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299</v>
      </c>
      <c r="M15" s="118" t="s">
        <v>118</v>
      </c>
      <c r="N15" s="118">
        <v>4</v>
      </c>
      <c r="O15" s="118" t="s">
        <v>120</v>
      </c>
      <c r="P15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15" s="117">
        <f>IFERROR(Cargos_Catalogo[[#This Row],[PuntosC&amp;H]]+Cargos_Catalogo[[#This Row],[PuntosHC]],"")</f>
        <v>376</v>
      </c>
      <c r="R15" s="118">
        <v>3</v>
      </c>
      <c r="S15" s="118" t="s">
        <v>117</v>
      </c>
      <c r="T15" s="118" t="s">
        <v>169</v>
      </c>
      <c r="U15" s="118" t="s">
        <v>97</v>
      </c>
      <c r="V15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0.38</v>
      </c>
      <c r="W15" s="120">
        <f>IFERROR(Cargos_Catalogo[[#This Row],[Total Puntos1]]*Cargos_Catalogo[[#This Row],[Porcentaje]],"")</f>
        <v>142.88</v>
      </c>
      <c r="X15" s="118" t="s">
        <v>120</v>
      </c>
      <c r="Y15" s="118" t="s">
        <v>155</v>
      </c>
      <c r="Z15" s="118">
        <v>2</v>
      </c>
      <c r="AA15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106</v>
      </c>
      <c r="AB15" s="125">
        <v>1</v>
      </c>
      <c r="AC15" s="125">
        <v>1</v>
      </c>
      <c r="AD15" s="125">
        <v>1</v>
      </c>
      <c r="AE15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15</v>
      </c>
      <c r="AF15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Crítico</v>
      </c>
      <c r="AG15" s="117" t="str">
        <f>IFERROR(IF(Cargos_Catalogo[[#This Row],[NivelF]]="",VLOOKUP(Cargos_Catalogo[[#This Row],[Categoria]],Niveles_Registro[],MATCH(Niveles_Registro[[#Headers],[Nivel]],Niveles_Registro[#Headers],0),FALSE),Cargos_Catalogo[NivelF]),"")</f>
        <v>Director/Jefe/Especialista Sr</v>
      </c>
      <c r="AH15" s="117">
        <f>COUNTIF(Datos_Origen[Cargo Tipo Valorado],Cargos_Catalogo[[#This Row],[Cargo]])</f>
        <v>1</v>
      </c>
      <c r="AI15" s="122">
        <f>IFERROR(SUMIFS(Datos_Origen[G],Datos_Origen[Cargo Tipo Valorado],Cargos_Catalogo[[#This Row],[Cargo]])/Cargos_Catalogo[[#This Row],[Frecuencia]],0)</f>
        <v>13526998.32</v>
      </c>
      <c r="AJ15" s="122">
        <f>IFERROR(SUMIFS(Datos_Origen[G+V],Datos_Origen[Cargo Tipo Valorado],Cargos_Catalogo[[#This Row],[Cargo]])/Cargos_Catalogo[[#This Row],[Frecuencia]],0)</f>
        <v>13526998.32</v>
      </c>
      <c r="AK15" s="122">
        <f>IFERROR(SUMIFS(Datos_Origen[CT],Datos_Origen[Cargo Tipo Valorado],Cargos_Catalogo[[#This Row],[Cargo]])/Cargos_Catalogo[[#This Row],[Frecuencia]],0)</f>
        <v>13526998.32</v>
      </c>
      <c r="AL15" s="117" t="str">
        <f>IF(COUNTA(Cargos_Catalogo[[#This Row],[PuntosF]:[CriticidadF]])=0,"",COUNTA(Cargos_Catalogo[[#This Row],[PuntosF]:[CriticidadF]]))</f>
        <v/>
      </c>
      <c r="AM15" s="118"/>
      <c r="AN15" s="123"/>
      <c r="AO15" s="123"/>
      <c r="AP15" s="123"/>
      <c r="AQ15" s="117" t="str">
        <f>IFERROR(VLOOKUP(Cargos_Catalogo[[#This Row],[Categoria]],NivelSHR[],2,1),"")</f>
        <v>Gerencia media</v>
      </c>
      <c r="AR15" s="127">
        <f>IFERROR(SUMIFS(Datos_Origen[[Promedio de Comisiones  ]],Datos_Origen[Cargo Tipo Valorado],Cargos_Catalogo[[#This Row],[Cargo]])/Cargos_Catalogo[[#This Row],[Frecuencia]],0)</f>
        <v>0</v>
      </c>
      <c r="AS15" s="124"/>
      <c r="AT15" s="123"/>
    </row>
    <row r="16" spans="2:46" ht="13.8">
      <c r="B16" s="116" t="s">
        <v>280</v>
      </c>
      <c r="C16" s="116" t="e">
        <v>#N/A</v>
      </c>
      <c r="D16" s="116" t="s">
        <v>583</v>
      </c>
      <c r="E16" s="116" t="s">
        <v>584</v>
      </c>
      <c r="F16" s="116"/>
      <c r="G16" s="117">
        <f>IFERROR(IF(Cargos_Catalogo[[#This Row],[PuntosF]]="",ROUND(Cargos_Catalogo[[#This Row],[Total Puntos1]]+Cargos_Catalogo[[#This Row],[Total Puntos2]]+Cargos_Catalogo[[#This Row],[PuntosRR]],0),Cargos_Catalogo[PuntosF]),"")</f>
        <v>619</v>
      </c>
      <c r="H16" s="118" t="s">
        <v>169</v>
      </c>
      <c r="I16" s="118" t="s">
        <v>117</v>
      </c>
      <c r="J16" s="118" t="s">
        <v>139</v>
      </c>
      <c r="K16" s="118">
        <v>4</v>
      </c>
      <c r="L16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336</v>
      </c>
      <c r="M16" s="118" t="s">
        <v>118</v>
      </c>
      <c r="N16" s="118">
        <v>4</v>
      </c>
      <c r="O16" s="118" t="s">
        <v>120</v>
      </c>
      <c r="P16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16" s="117">
        <f>IFERROR(Cargos_Catalogo[[#This Row],[PuntosC&amp;H]]+Cargos_Catalogo[[#This Row],[PuntosHC]],"")</f>
        <v>413</v>
      </c>
      <c r="R16" s="118">
        <v>4</v>
      </c>
      <c r="S16" s="118" t="s">
        <v>78</v>
      </c>
      <c r="T16" s="118" t="s">
        <v>155</v>
      </c>
      <c r="U16" s="118" t="s">
        <v>97</v>
      </c>
      <c r="V16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0.32</v>
      </c>
      <c r="W16" s="120">
        <f>IFERROR(Cargos_Catalogo[[#This Row],[Total Puntos1]]*Cargos_Catalogo[[#This Row],[Porcentaje]],"")</f>
        <v>132.16</v>
      </c>
      <c r="X16" s="118" t="s">
        <v>120</v>
      </c>
      <c r="Y16" s="118" t="s">
        <v>137</v>
      </c>
      <c r="Z16" s="118">
        <v>1</v>
      </c>
      <c r="AA16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74</v>
      </c>
      <c r="AB16" s="125">
        <v>1</v>
      </c>
      <c r="AC16" s="125">
        <v>1</v>
      </c>
      <c r="AD16" s="125">
        <v>1</v>
      </c>
      <c r="AE16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15</v>
      </c>
      <c r="AF16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Crítico</v>
      </c>
      <c r="AG16" s="117" t="str">
        <f>IFERROR(IF(Cargos_Catalogo[[#This Row],[NivelF]]="",VLOOKUP(Cargos_Catalogo[[#This Row],[Categoria]],Niveles_Registro[],MATCH(Niveles_Registro[[#Headers],[Nivel]],Niveles_Registro[#Headers],0),FALSE),Cargos_Catalogo[NivelF]),"")</f>
        <v>Director/Jefe/Especialista Sr</v>
      </c>
      <c r="AH16" s="117">
        <f>COUNTIF(Datos_Origen[Cargo Tipo Valorado],Cargos_Catalogo[[#This Row],[Cargo]])</f>
        <v>1</v>
      </c>
      <c r="AI16" s="122">
        <f>IFERROR(SUMIFS(Datos_Origen[G],Datos_Origen[Cargo Tipo Valorado],Cargos_Catalogo[[#This Row],[Cargo]])/Cargos_Catalogo[[#This Row],[Frecuencia]],0)</f>
        <v>9295693</v>
      </c>
      <c r="AJ16" s="122">
        <f>IFERROR(SUMIFS(Datos_Origen[G+V],Datos_Origen[Cargo Tipo Valorado],Cargos_Catalogo[[#This Row],[Cargo]])/Cargos_Catalogo[[#This Row],[Frecuencia]],0)</f>
        <v>9295693</v>
      </c>
      <c r="AK16" s="122">
        <f>IFERROR(SUMIFS(Datos_Origen[CT],Datos_Origen[Cargo Tipo Valorado],Cargos_Catalogo[[#This Row],[Cargo]])/Cargos_Catalogo[[#This Row],[Frecuencia]],0)</f>
        <v>9295693</v>
      </c>
      <c r="AL16" s="117" t="str">
        <f>IF(COUNTA(Cargos_Catalogo[[#This Row],[PuntosF]:[CriticidadF]])=0,"",COUNTA(Cargos_Catalogo[[#This Row],[PuntosF]:[CriticidadF]]))</f>
        <v/>
      </c>
      <c r="AM16" s="118"/>
      <c r="AN16" s="123"/>
      <c r="AO16" s="123"/>
      <c r="AP16" s="123"/>
      <c r="AQ16" s="117" t="str">
        <f>IFERROR(VLOOKUP(Cargos_Catalogo[[#This Row],[Categoria]],NivelSHR[],2,1),"")</f>
        <v>Gerencia media</v>
      </c>
      <c r="AR16" s="127">
        <f>IFERROR(SUMIFS(Datos_Origen[[Promedio de Comisiones  ]],Datos_Origen[Cargo Tipo Valorado],Cargos_Catalogo[[#This Row],[Cargo]])/Cargos_Catalogo[[#This Row],[Frecuencia]],0)</f>
        <v>0</v>
      </c>
      <c r="AS16" s="124"/>
      <c r="AT16" s="123"/>
    </row>
    <row r="17" spans="2:46" ht="13.8">
      <c r="B17" s="116" t="s">
        <v>293</v>
      </c>
      <c r="C17" s="116" t="e">
        <v>#N/A</v>
      </c>
      <c r="D17" s="116" t="s">
        <v>583</v>
      </c>
      <c r="E17" s="116" t="s">
        <v>241</v>
      </c>
      <c r="F17" s="116"/>
      <c r="G17" s="117">
        <f>IFERROR(IF(Cargos_Catalogo[[#This Row],[PuntosF]]="",ROUND(Cargos_Catalogo[[#This Row],[Total Puntos1]]+Cargos_Catalogo[[#This Row],[Total Puntos2]]+Cargos_Catalogo[[#This Row],[PuntosRR]],0),Cargos_Catalogo[PuntosF]),"")</f>
        <v>610</v>
      </c>
      <c r="H17" s="118" t="s">
        <v>169</v>
      </c>
      <c r="I17" s="118" t="s">
        <v>117</v>
      </c>
      <c r="J17" s="118" t="s">
        <v>139</v>
      </c>
      <c r="K17" s="118">
        <v>3</v>
      </c>
      <c r="L17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323</v>
      </c>
      <c r="M17" s="118" t="s">
        <v>118</v>
      </c>
      <c r="N17" s="118">
        <v>4</v>
      </c>
      <c r="O17" s="118" t="s">
        <v>120</v>
      </c>
      <c r="P17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17" s="117">
        <f>IFERROR(Cargos_Catalogo[[#This Row],[PuntosC&amp;H]]+Cargos_Catalogo[[#This Row],[PuntosHC]],"")</f>
        <v>400</v>
      </c>
      <c r="R17" s="118">
        <v>4</v>
      </c>
      <c r="S17" s="118" t="s">
        <v>97</v>
      </c>
      <c r="T17" s="118" t="s">
        <v>155</v>
      </c>
      <c r="U17" s="118" t="s">
        <v>97</v>
      </c>
      <c r="V17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0.34</v>
      </c>
      <c r="W17" s="120">
        <f>IFERROR(Cargos_Catalogo[[#This Row],[Total Puntos1]]*Cargos_Catalogo[[#This Row],[Porcentaje]],"")</f>
        <v>136</v>
      </c>
      <c r="X17" s="118" t="s">
        <v>120</v>
      </c>
      <c r="Y17" s="118" t="s">
        <v>137</v>
      </c>
      <c r="Z17" s="118">
        <v>1</v>
      </c>
      <c r="AA17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74</v>
      </c>
      <c r="AB17" s="125">
        <v>1</v>
      </c>
      <c r="AC17" s="125">
        <v>1</v>
      </c>
      <c r="AD17" s="125">
        <v>1</v>
      </c>
      <c r="AE17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14</v>
      </c>
      <c r="AF17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Crítico</v>
      </c>
      <c r="AG17" s="117" t="str">
        <f>IFERROR(IF(Cargos_Catalogo[[#This Row],[NivelF]]="",VLOOKUP(Cargos_Catalogo[[#This Row],[Categoria]],Niveles_Registro[],MATCH(Niveles_Registro[[#Headers],[Nivel]],Niveles_Registro[#Headers],0),FALSE),Cargos_Catalogo[NivelF]),"")</f>
        <v>Director/Jefe/Especialista Sr</v>
      </c>
      <c r="AH17" s="117">
        <f>COUNTIF(Datos_Origen[Cargo Tipo Valorado],Cargos_Catalogo[[#This Row],[Cargo]])</f>
        <v>1</v>
      </c>
      <c r="AI17" s="122">
        <f>IFERROR(SUMIFS(Datos_Origen[G],Datos_Origen[Cargo Tipo Valorado],Cargos_Catalogo[[#This Row],[Cargo]])/Cargos_Catalogo[[#This Row],[Frecuencia]],0)</f>
        <v>9295693</v>
      </c>
      <c r="AJ17" s="122">
        <f>IFERROR(SUMIFS(Datos_Origen[G+V],Datos_Origen[Cargo Tipo Valorado],Cargos_Catalogo[[#This Row],[Cargo]])/Cargos_Catalogo[[#This Row],[Frecuencia]],0)</f>
        <v>9295693</v>
      </c>
      <c r="AK17" s="122">
        <f>IFERROR(SUMIFS(Datos_Origen[CT],Datos_Origen[Cargo Tipo Valorado],Cargos_Catalogo[[#This Row],[Cargo]])/Cargos_Catalogo[[#This Row],[Frecuencia]],0)</f>
        <v>9295693</v>
      </c>
      <c r="AL17" s="117" t="str">
        <f>IF(COUNTA(Cargos_Catalogo[[#This Row],[PuntosF]:[CriticidadF]])=0,"",COUNTA(Cargos_Catalogo[[#This Row],[PuntosF]:[CriticidadF]]))</f>
        <v/>
      </c>
      <c r="AM17" s="118"/>
      <c r="AN17" s="123"/>
      <c r="AO17" s="123"/>
      <c r="AP17" s="123"/>
      <c r="AQ17" s="117" t="str">
        <f>IFERROR(VLOOKUP(Cargos_Catalogo[[#This Row],[Categoria]],NivelSHR[],2,1),"")</f>
        <v>Gerencia media</v>
      </c>
      <c r="AR17" s="127">
        <f>IFERROR(SUMIFS(Datos_Origen[[Promedio de Comisiones  ]],Datos_Origen[Cargo Tipo Valorado],Cargos_Catalogo[[#This Row],[Cargo]])/Cargos_Catalogo[[#This Row],[Frecuencia]],0)</f>
        <v>0</v>
      </c>
      <c r="AS17" s="124"/>
      <c r="AT17" s="123"/>
    </row>
    <row r="18" spans="2:46" ht="13.8">
      <c r="B18" s="116" t="s">
        <v>292</v>
      </c>
      <c r="C18" s="116" t="e">
        <v>#N/A</v>
      </c>
      <c r="D18" s="116" t="s">
        <v>583</v>
      </c>
      <c r="E18" s="116" t="s">
        <v>587</v>
      </c>
      <c r="F18" s="116"/>
      <c r="G18" s="117">
        <f>IFERROR(IF(Cargos_Catalogo[[#This Row],[PuntosF]]="",ROUND(Cargos_Catalogo[[#This Row],[Total Puntos1]]+Cargos_Catalogo[[#This Row],[Total Puntos2]]+Cargos_Catalogo[[#This Row],[PuntosRR]],0),Cargos_Catalogo[PuntosF]),"")</f>
        <v>599</v>
      </c>
      <c r="H18" s="118" t="s">
        <v>169</v>
      </c>
      <c r="I18" s="118" t="s">
        <v>117</v>
      </c>
      <c r="J18" s="118" t="s">
        <v>139</v>
      </c>
      <c r="K18" s="118">
        <v>4</v>
      </c>
      <c r="L18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336</v>
      </c>
      <c r="M18" s="118" t="s">
        <v>118</v>
      </c>
      <c r="N18" s="118">
        <v>4</v>
      </c>
      <c r="O18" s="118" t="s">
        <v>120</v>
      </c>
      <c r="P18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18" s="117">
        <f>IFERROR(Cargos_Catalogo[[#This Row],[PuntosC&amp;H]]+Cargos_Catalogo[[#This Row],[PuntosHC]],"")</f>
        <v>413</v>
      </c>
      <c r="R18" s="118">
        <v>2</v>
      </c>
      <c r="S18" s="118" t="s">
        <v>117</v>
      </c>
      <c r="T18" s="118" t="s">
        <v>155</v>
      </c>
      <c r="U18" s="118" t="s">
        <v>97</v>
      </c>
      <c r="V18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0.27</v>
      </c>
      <c r="W18" s="120">
        <f>IFERROR(Cargos_Catalogo[[#This Row],[Total Puntos1]]*Cargos_Catalogo[[#This Row],[Porcentaje]],"")</f>
        <v>111.51</v>
      </c>
      <c r="X18" s="118" t="s">
        <v>120</v>
      </c>
      <c r="Y18" s="118" t="s">
        <v>137</v>
      </c>
      <c r="Z18" s="118">
        <v>1</v>
      </c>
      <c r="AA18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74</v>
      </c>
      <c r="AB18" s="125">
        <v>0</v>
      </c>
      <c r="AC18" s="125">
        <v>0</v>
      </c>
      <c r="AD18" s="125">
        <v>0</v>
      </c>
      <c r="AE18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14</v>
      </c>
      <c r="AF18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18" s="117" t="str">
        <f>IFERROR(IF(Cargos_Catalogo[[#This Row],[NivelF]]="",VLOOKUP(Cargos_Catalogo[[#This Row],[Categoria]],Niveles_Registro[],MATCH(Niveles_Registro[[#Headers],[Nivel]],Niveles_Registro[#Headers],0),FALSE),Cargos_Catalogo[NivelF]),"")</f>
        <v>Director/Jefe/Especialista Sr</v>
      </c>
      <c r="AH18" s="117">
        <f>COUNTIF(Datos_Origen[Cargo Tipo Valorado],Cargos_Catalogo[[#This Row],[Cargo]])</f>
        <v>1</v>
      </c>
      <c r="AI18" s="122">
        <f>IFERROR(SUMIFS(Datos_Origen[G],Datos_Origen[Cargo Tipo Valorado],Cargos_Catalogo[[#This Row],[Cargo]])/Cargos_Catalogo[[#This Row],[Frecuencia]],0)</f>
        <v>11477239.180000002</v>
      </c>
      <c r="AJ18" s="122">
        <f>IFERROR(SUMIFS(Datos_Origen[G+V],Datos_Origen[Cargo Tipo Valorado],Cargos_Catalogo[[#This Row],[Cargo]])/Cargos_Catalogo[[#This Row],[Frecuencia]],0)</f>
        <v>11477239.180000002</v>
      </c>
      <c r="AK18" s="122">
        <f>IFERROR(SUMIFS(Datos_Origen[CT],Datos_Origen[Cargo Tipo Valorado],Cargos_Catalogo[[#This Row],[Cargo]])/Cargos_Catalogo[[#This Row],[Frecuencia]],0)</f>
        <v>11477239.180000002</v>
      </c>
      <c r="AL18" s="117" t="str">
        <f>IF(COUNTA(Cargos_Catalogo[[#This Row],[PuntosF]:[CriticidadF]])=0,"",COUNTA(Cargos_Catalogo[[#This Row],[PuntosF]:[CriticidadF]]))</f>
        <v/>
      </c>
      <c r="AM18" s="118"/>
      <c r="AN18" s="123"/>
      <c r="AO18" s="123"/>
      <c r="AP18" s="123"/>
      <c r="AQ18" s="117" t="str">
        <f>IFERROR(VLOOKUP(Cargos_Catalogo[[#This Row],[Categoria]],NivelSHR[],2,1),"")</f>
        <v>Gerencia media</v>
      </c>
      <c r="AR18" s="127">
        <f>IFERROR(SUMIFS(Datos_Origen[[Promedio de Comisiones  ]],Datos_Origen[Cargo Tipo Valorado],Cargos_Catalogo[[#This Row],[Cargo]])/Cargos_Catalogo[[#This Row],[Frecuencia]],0)</f>
        <v>0</v>
      </c>
      <c r="AS18" s="124"/>
      <c r="AT18" s="123"/>
    </row>
    <row r="19" spans="2:46" ht="13.8">
      <c r="B19" s="116" t="s">
        <v>288</v>
      </c>
      <c r="C19" s="116" t="e">
        <v>#N/A</v>
      </c>
      <c r="D19" s="116" t="s">
        <v>581</v>
      </c>
      <c r="E19" s="116" t="s">
        <v>241</v>
      </c>
      <c r="F19" s="116"/>
      <c r="G19" s="117">
        <f>IFERROR(IF(Cargos_Catalogo[[#This Row],[PuntosF]]="",ROUND(Cargos_Catalogo[[#This Row],[Total Puntos1]]+Cargos_Catalogo[[#This Row],[Total Puntos2]]+Cargos_Catalogo[[#This Row],[PuntosRR]],0),Cargos_Catalogo[PuntosF]),"")</f>
        <v>559</v>
      </c>
      <c r="H19" s="118" t="s">
        <v>169</v>
      </c>
      <c r="I19" s="118" t="s">
        <v>97</v>
      </c>
      <c r="J19" s="118" t="s">
        <v>139</v>
      </c>
      <c r="K19" s="118">
        <v>4</v>
      </c>
      <c r="L19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299</v>
      </c>
      <c r="M19" s="118" t="s">
        <v>118</v>
      </c>
      <c r="N19" s="118">
        <v>4</v>
      </c>
      <c r="O19" s="118" t="s">
        <v>120</v>
      </c>
      <c r="P19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19" s="117">
        <f>IFERROR(Cargos_Catalogo[[#This Row],[PuntosC&amp;H]]+Cargos_Catalogo[[#This Row],[PuntosHC]],"")</f>
        <v>376</v>
      </c>
      <c r="R19" s="118">
        <v>4</v>
      </c>
      <c r="S19" s="118" t="s">
        <v>78</v>
      </c>
      <c r="T19" s="118" t="s">
        <v>137</v>
      </c>
      <c r="U19" s="118" t="s">
        <v>117</v>
      </c>
      <c r="V19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0.28999999999999998</v>
      </c>
      <c r="W19" s="120">
        <f>IFERROR(Cargos_Catalogo[[#This Row],[Total Puntos1]]*Cargos_Catalogo[[#This Row],[Porcentaje]],"")</f>
        <v>109.03999999999999</v>
      </c>
      <c r="X19" s="118" t="s">
        <v>120</v>
      </c>
      <c r="Y19" s="118" t="s">
        <v>137</v>
      </c>
      <c r="Z19" s="118">
        <v>1</v>
      </c>
      <c r="AA19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74</v>
      </c>
      <c r="AB19" s="125">
        <v>1</v>
      </c>
      <c r="AC19" s="125">
        <v>1</v>
      </c>
      <c r="AD19" s="125">
        <v>0</v>
      </c>
      <c r="AE19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14</v>
      </c>
      <c r="AF19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Muy Importante</v>
      </c>
      <c r="AG19" s="117" t="str">
        <f>IFERROR(IF(Cargos_Catalogo[[#This Row],[NivelF]]="",VLOOKUP(Cargos_Catalogo[[#This Row],[Categoria]],Niveles_Registro[],MATCH(Niveles_Registro[[#Headers],[Nivel]],Niveles_Registro[#Headers],0),FALSE),Cargos_Catalogo[NivelF]),"")</f>
        <v>Director/Jefe/Especialista Sr</v>
      </c>
      <c r="AH19" s="117">
        <f>COUNTIF(Datos_Origen[Cargo Tipo Valorado],Cargos_Catalogo[[#This Row],[Cargo]])</f>
        <v>1</v>
      </c>
      <c r="AI19" s="122">
        <f>IFERROR(SUMIFS(Datos_Origen[G],Datos_Origen[Cargo Tipo Valorado],Cargos_Catalogo[[#This Row],[Cargo]])/Cargos_Catalogo[[#This Row],[Frecuencia]],0)</f>
        <v>9295693</v>
      </c>
      <c r="AJ19" s="122">
        <f>IFERROR(SUMIFS(Datos_Origen[G+V],Datos_Origen[Cargo Tipo Valorado],Cargos_Catalogo[[#This Row],[Cargo]])/Cargos_Catalogo[[#This Row],[Frecuencia]],0)</f>
        <v>9295693</v>
      </c>
      <c r="AK19" s="122">
        <f>IFERROR(SUMIFS(Datos_Origen[CT],Datos_Origen[Cargo Tipo Valorado],Cargos_Catalogo[[#This Row],[Cargo]])/Cargos_Catalogo[[#This Row],[Frecuencia]],0)</f>
        <v>9295693</v>
      </c>
      <c r="AL19" s="117" t="str">
        <f>IF(COUNTA(Cargos_Catalogo[[#This Row],[PuntosF]:[CriticidadF]])=0,"",COUNTA(Cargos_Catalogo[[#This Row],[PuntosF]:[CriticidadF]]))</f>
        <v/>
      </c>
      <c r="AM19" s="118"/>
      <c r="AN19" s="123"/>
      <c r="AO19" s="123"/>
      <c r="AP19" s="123"/>
      <c r="AQ19" s="117" t="str">
        <f>IFERROR(VLOOKUP(Cargos_Catalogo[[#This Row],[Categoria]],NivelSHR[],2,1),"")</f>
        <v>Gerencia media</v>
      </c>
      <c r="AR19" s="127">
        <f>IFERROR(SUMIFS(Datos_Origen[[Promedio de Comisiones  ]],Datos_Origen[Cargo Tipo Valorado],Cargos_Catalogo[[#This Row],[Cargo]])/Cargos_Catalogo[[#This Row],[Frecuencia]],0)</f>
        <v>0</v>
      </c>
      <c r="AS19" s="124"/>
      <c r="AT19" s="123"/>
    </row>
    <row r="20" spans="2:46" ht="13.8">
      <c r="B20" s="116" t="s">
        <v>291</v>
      </c>
      <c r="C20" s="116" t="e">
        <v>#N/A</v>
      </c>
      <c r="D20" s="116" t="s">
        <v>588</v>
      </c>
      <c r="E20" s="116" t="s">
        <v>584</v>
      </c>
      <c r="F20" s="116"/>
      <c r="G20" s="117">
        <f>IFERROR(IF(Cargos_Catalogo[[#This Row],[PuntosF]]="",ROUND(Cargos_Catalogo[[#This Row],[Total Puntos1]]+Cargos_Catalogo[[#This Row],[Total Puntos2]]+Cargos_Catalogo[[#This Row],[PuntosRR]],0),Cargos_Catalogo[PuntosF]),"")</f>
        <v>559</v>
      </c>
      <c r="H20" s="118" t="s">
        <v>169</v>
      </c>
      <c r="I20" s="118" t="s">
        <v>97</v>
      </c>
      <c r="J20" s="118" t="s">
        <v>139</v>
      </c>
      <c r="K20" s="118">
        <v>4</v>
      </c>
      <c r="L20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299</v>
      </c>
      <c r="M20" s="118" t="s">
        <v>118</v>
      </c>
      <c r="N20" s="118">
        <v>4</v>
      </c>
      <c r="O20" s="118" t="s">
        <v>120</v>
      </c>
      <c r="P20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20" s="117">
        <f>IFERROR(Cargos_Catalogo[[#This Row],[PuntosC&amp;H]]+Cargos_Catalogo[[#This Row],[PuntosHC]],"")</f>
        <v>376</v>
      </c>
      <c r="R20" s="118">
        <v>3</v>
      </c>
      <c r="S20" s="118" t="s">
        <v>117</v>
      </c>
      <c r="T20" s="118" t="s">
        <v>155</v>
      </c>
      <c r="U20" s="118" t="s">
        <v>78</v>
      </c>
      <c r="V20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0.28999999999999998</v>
      </c>
      <c r="W20" s="120">
        <f>IFERROR(Cargos_Catalogo[[#This Row],[Total Puntos1]]*Cargos_Catalogo[[#This Row],[Porcentaje]],"")</f>
        <v>109.03999999999999</v>
      </c>
      <c r="X20" s="118" t="s">
        <v>120</v>
      </c>
      <c r="Y20" s="118" t="s">
        <v>137</v>
      </c>
      <c r="Z20" s="118">
        <v>1</v>
      </c>
      <c r="AA20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74</v>
      </c>
      <c r="AB20" s="125">
        <v>1</v>
      </c>
      <c r="AC20" s="125">
        <v>1</v>
      </c>
      <c r="AD20" s="125">
        <v>0</v>
      </c>
      <c r="AE20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14</v>
      </c>
      <c r="AF20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Muy Importante</v>
      </c>
      <c r="AG20" s="117" t="str">
        <f>IFERROR(IF(Cargos_Catalogo[[#This Row],[NivelF]]="",VLOOKUP(Cargos_Catalogo[[#This Row],[Categoria]],Niveles_Registro[],MATCH(Niveles_Registro[[#Headers],[Nivel]],Niveles_Registro[#Headers],0),FALSE),Cargos_Catalogo[NivelF]),"")</f>
        <v>Director/Jefe/Especialista Sr</v>
      </c>
      <c r="AH20" s="117">
        <f>COUNTIF(Datos_Origen[Cargo Tipo Valorado],Cargos_Catalogo[[#This Row],[Cargo]])</f>
        <v>1</v>
      </c>
      <c r="AI20" s="122">
        <f>IFERROR(SUMIFS(Datos_Origen[G],Datos_Origen[Cargo Tipo Valorado],Cargos_Catalogo[[#This Row],[Cargo]])/Cargos_Catalogo[[#This Row],[Frecuencia]],0)</f>
        <v>6023373.7300000004</v>
      </c>
      <c r="AJ20" s="122">
        <f>IFERROR(SUMIFS(Datos_Origen[G+V],Datos_Origen[Cargo Tipo Valorado],Cargos_Catalogo[[#This Row],[Cargo]])/Cargos_Catalogo[[#This Row],[Frecuencia]],0)</f>
        <v>6023373.7300000004</v>
      </c>
      <c r="AK20" s="122">
        <f>IFERROR(SUMIFS(Datos_Origen[CT],Datos_Origen[Cargo Tipo Valorado],Cargos_Catalogo[[#This Row],[Cargo]])/Cargos_Catalogo[[#This Row],[Frecuencia]],0)</f>
        <v>6023373.7300000004</v>
      </c>
      <c r="AL20" s="117" t="str">
        <f>IF(COUNTA(Cargos_Catalogo[[#This Row],[PuntosF]:[CriticidadF]])=0,"",COUNTA(Cargos_Catalogo[[#This Row],[PuntosF]:[CriticidadF]]))</f>
        <v/>
      </c>
      <c r="AM20" s="118"/>
      <c r="AN20" s="123"/>
      <c r="AO20" s="123"/>
      <c r="AP20" s="123"/>
      <c r="AQ20" s="117" t="str">
        <f>IFERROR(VLOOKUP(Cargos_Catalogo[[#This Row],[Categoria]],NivelSHR[],2,1),"")</f>
        <v>Gerencia media</v>
      </c>
      <c r="AR20" s="127">
        <f>IFERROR(SUMIFS(Datos_Origen[[Promedio de Comisiones  ]],Datos_Origen[Cargo Tipo Valorado],Cargos_Catalogo[[#This Row],[Cargo]])/Cargos_Catalogo[[#This Row],[Frecuencia]],0)</f>
        <v>0</v>
      </c>
      <c r="AS20" s="124"/>
      <c r="AT20" s="123"/>
    </row>
    <row r="21" spans="2:46" ht="13.8">
      <c r="B21" s="116" t="s">
        <v>289</v>
      </c>
      <c r="C21" s="116" t="e">
        <v>#N/A</v>
      </c>
      <c r="D21" s="116" t="s">
        <v>583</v>
      </c>
      <c r="E21" s="116" t="s">
        <v>587</v>
      </c>
      <c r="F21" s="116"/>
      <c r="G21" s="117">
        <f>IFERROR(IF(Cargos_Catalogo[[#This Row],[PuntosF]]="",ROUND(Cargos_Catalogo[[#This Row],[Total Puntos1]]+Cargos_Catalogo[[#This Row],[Total Puntos2]]+Cargos_Catalogo[[#This Row],[PuntosRR]],0),Cargos_Catalogo[PuntosF]),"")</f>
        <v>559</v>
      </c>
      <c r="H21" s="118" t="s">
        <v>169</v>
      </c>
      <c r="I21" s="118" t="s">
        <v>97</v>
      </c>
      <c r="J21" s="118" t="s">
        <v>139</v>
      </c>
      <c r="K21" s="118">
        <v>4</v>
      </c>
      <c r="L21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299</v>
      </c>
      <c r="M21" s="118" t="s">
        <v>118</v>
      </c>
      <c r="N21" s="118">
        <v>4</v>
      </c>
      <c r="O21" s="118" t="s">
        <v>120</v>
      </c>
      <c r="P21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21" s="117">
        <f>IFERROR(Cargos_Catalogo[[#This Row],[PuntosC&amp;H]]+Cargos_Catalogo[[#This Row],[PuntosHC]],"")</f>
        <v>376</v>
      </c>
      <c r="R21" s="118">
        <v>3</v>
      </c>
      <c r="S21" s="118" t="s">
        <v>97</v>
      </c>
      <c r="T21" s="118" t="s">
        <v>155</v>
      </c>
      <c r="U21" s="118" t="s">
        <v>97</v>
      </c>
      <c r="V21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0.28999999999999998</v>
      </c>
      <c r="W21" s="120">
        <f>IFERROR(Cargos_Catalogo[[#This Row],[Total Puntos1]]*Cargos_Catalogo[[#This Row],[Porcentaje]],"")</f>
        <v>109.03999999999999</v>
      </c>
      <c r="X21" s="118" t="s">
        <v>120</v>
      </c>
      <c r="Y21" s="118" t="s">
        <v>137</v>
      </c>
      <c r="Z21" s="118">
        <v>1</v>
      </c>
      <c r="AA21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74</v>
      </c>
      <c r="AB21" s="125">
        <v>0</v>
      </c>
      <c r="AC21" s="125">
        <v>0</v>
      </c>
      <c r="AD21" s="125">
        <v>0</v>
      </c>
      <c r="AE21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14</v>
      </c>
      <c r="AF21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21" s="117" t="str">
        <f>IFERROR(IF(Cargos_Catalogo[[#This Row],[NivelF]]="",VLOOKUP(Cargos_Catalogo[[#This Row],[Categoria]],Niveles_Registro[],MATCH(Niveles_Registro[[#Headers],[Nivel]],Niveles_Registro[#Headers],0),FALSE),Cargos_Catalogo[NivelF]),"")</f>
        <v>Director/Jefe/Especialista Sr</v>
      </c>
      <c r="AH21" s="117">
        <f>COUNTIF(Datos_Origen[Cargo Tipo Valorado],Cargos_Catalogo[[#This Row],[Cargo]])</f>
        <v>1</v>
      </c>
      <c r="AI21" s="122">
        <f>IFERROR(SUMIFS(Datos_Origen[G],Datos_Origen[Cargo Tipo Valorado],Cargos_Catalogo[[#This Row],[Cargo]])/Cargos_Catalogo[[#This Row],[Frecuencia]],0)</f>
        <v>12175004.49</v>
      </c>
      <c r="AJ21" s="122">
        <f>IFERROR(SUMIFS(Datos_Origen[G+V],Datos_Origen[Cargo Tipo Valorado],Cargos_Catalogo[[#This Row],[Cargo]])/Cargos_Catalogo[[#This Row],[Frecuencia]],0)</f>
        <v>12175004.49</v>
      </c>
      <c r="AK21" s="122">
        <f>IFERROR(SUMIFS(Datos_Origen[CT],Datos_Origen[Cargo Tipo Valorado],Cargos_Catalogo[[#This Row],[Cargo]])/Cargos_Catalogo[[#This Row],[Frecuencia]],0)</f>
        <v>12175004.49</v>
      </c>
      <c r="AL21" s="117" t="str">
        <f>IF(COUNTA(Cargos_Catalogo[[#This Row],[PuntosF]:[CriticidadF]])=0,"",COUNTA(Cargos_Catalogo[[#This Row],[PuntosF]:[CriticidadF]]))</f>
        <v/>
      </c>
      <c r="AM21" s="118"/>
      <c r="AN21" s="123"/>
      <c r="AO21" s="123"/>
      <c r="AP21" s="123"/>
      <c r="AQ21" s="117" t="str">
        <f>IFERROR(VLOOKUP(Cargos_Catalogo[[#This Row],[Categoria]],NivelSHR[],2,1),"")</f>
        <v>Gerencia media</v>
      </c>
      <c r="AR21" s="127">
        <f>IFERROR(SUMIFS(Datos_Origen[[Promedio de Comisiones  ]],Datos_Origen[Cargo Tipo Valorado],Cargos_Catalogo[[#This Row],[Cargo]])/Cargos_Catalogo[[#This Row],[Frecuencia]],0)</f>
        <v>0</v>
      </c>
      <c r="AS21" s="124"/>
      <c r="AT21" s="123"/>
    </row>
    <row r="22" spans="2:46" ht="13.8">
      <c r="B22" s="116" t="s">
        <v>287</v>
      </c>
      <c r="C22" s="116" t="s">
        <v>589</v>
      </c>
      <c r="D22" s="116" t="s">
        <v>581</v>
      </c>
      <c r="E22" s="116" t="s">
        <v>241</v>
      </c>
      <c r="F22" s="116"/>
      <c r="G22" s="117">
        <f>IFERROR(IF(Cargos_Catalogo[[#This Row],[PuntosF]]="",ROUND(Cargos_Catalogo[[#This Row],[Total Puntos1]]+Cargos_Catalogo[[#This Row],[Total Puntos2]]+Cargos_Catalogo[[#This Row],[PuntosRR]],0),Cargos_Catalogo[PuntosF]),"")</f>
        <v>556</v>
      </c>
      <c r="H22" s="118" t="s">
        <v>169</v>
      </c>
      <c r="I22" s="118" t="s">
        <v>117</v>
      </c>
      <c r="J22" s="118" t="s">
        <v>120</v>
      </c>
      <c r="K22" s="118">
        <v>3</v>
      </c>
      <c r="L22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296</v>
      </c>
      <c r="M22" s="118" t="s">
        <v>118</v>
      </c>
      <c r="N22" s="118">
        <v>4</v>
      </c>
      <c r="O22" s="118" t="s">
        <v>120</v>
      </c>
      <c r="P22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22" s="117">
        <f>IFERROR(Cargos_Catalogo[[#This Row],[PuntosC&amp;H]]+Cargos_Catalogo[[#This Row],[PuntosHC]],"")</f>
        <v>373</v>
      </c>
      <c r="R22" s="118">
        <v>4</v>
      </c>
      <c r="S22" s="118" t="s">
        <v>97</v>
      </c>
      <c r="T22" s="118" t="s">
        <v>155</v>
      </c>
      <c r="U22" s="118" t="s">
        <v>78</v>
      </c>
      <c r="V22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0.32</v>
      </c>
      <c r="W22" s="120">
        <f>IFERROR(Cargos_Catalogo[[#This Row],[Total Puntos1]]*Cargos_Catalogo[[#This Row],[Porcentaje]],"")</f>
        <v>119.36</v>
      </c>
      <c r="X22" s="118" t="s">
        <v>120</v>
      </c>
      <c r="Y22" s="118" t="s">
        <v>118</v>
      </c>
      <c r="Z22" s="118">
        <v>1</v>
      </c>
      <c r="AA22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64</v>
      </c>
      <c r="AB22" s="125">
        <v>1</v>
      </c>
      <c r="AC22" s="125">
        <v>1</v>
      </c>
      <c r="AD22" s="125">
        <v>1</v>
      </c>
      <c r="AE22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14</v>
      </c>
      <c r="AF22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Crítico</v>
      </c>
      <c r="AG22" s="117" t="str">
        <f>IFERROR(IF(Cargos_Catalogo[[#This Row],[NivelF]]="",VLOOKUP(Cargos_Catalogo[[#This Row],[Categoria]],Niveles_Registro[],MATCH(Niveles_Registro[[#Headers],[Nivel]],Niveles_Registro[#Headers],0),FALSE),Cargos_Catalogo[NivelF]),"")</f>
        <v>Director/Jefe/Especialista Sr</v>
      </c>
      <c r="AH22" s="117">
        <f>COUNTIF(Datos_Origen[Cargo Tipo Valorado],Cargos_Catalogo[[#This Row],[Cargo]])</f>
        <v>1</v>
      </c>
      <c r="AI22" s="122">
        <f>IFERROR(SUMIFS(Datos_Origen[G],Datos_Origen[Cargo Tipo Valorado],Cargos_Catalogo[[#This Row],[Cargo]])/Cargos_Catalogo[[#This Row],[Frecuencia]],0)</f>
        <v>9295693</v>
      </c>
      <c r="AJ22" s="122">
        <f>IFERROR(SUMIFS(Datos_Origen[G+V],Datos_Origen[Cargo Tipo Valorado],Cargos_Catalogo[[#This Row],[Cargo]])/Cargos_Catalogo[[#This Row],[Frecuencia]],0)</f>
        <v>9295693</v>
      </c>
      <c r="AK22" s="122">
        <f>IFERROR(SUMIFS(Datos_Origen[CT],Datos_Origen[Cargo Tipo Valorado],Cargos_Catalogo[[#This Row],[Cargo]])/Cargos_Catalogo[[#This Row],[Frecuencia]],0)</f>
        <v>9295693</v>
      </c>
      <c r="AL22" s="117" t="str">
        <f>IF(COUNTA(Cargos_Catalogo[[#This Row],[PuntosF]:[CriticidadF]])=0,"",COUNTA(Cargos_Catalogo[[#This Row],[PuntosF]:[CriticidadF]]))</f>
        <v/>
      </c>
      <c r="AM22" s="118"/>
      <c r="AN22" s="123"/>
      <c r="AO22" s="123"/>
      <c r="AP22" s="123"/>
      <c r="AQ22" s="117" t="str">
        <f>IFERROR(VLOOKUP(Cargos_Catalogo[[#This Row],[Categoria]],NivelSHR[],2,1),"")</f>
        <v>Gerencia media</v>
      </c>
      <c r="AR22" s="127">
        <f>IFERROR(SUMIFS(Datos_Origen[[Promedio de Comisiones  ]],Datos_Origen[Cargo Tipo Valorado],Cargos_Catalogo[[#This Row],[Cargo]])/Cargos_Catalogo[[#This Row],[Frecuencia]],0)</f>
        <v>0</v>
      </c>
      <c r="AS22" s="124"/>
      <c r="AT22" s="123"/>
    </row>
    <row r="23" spans="2:46" ht="13.8">
      <c r="B23" s="116" t="s">
        <v>286</v>
      </c>
      <c r="C23" s="116" t="s">
        <v>589</v>
      </c>
      <c r="D23" s="116" t="s">
        <v>581</v>
      </c>
      <c r="E23" s="116" t="s">
        <v>241</v>
      </c>
      <c r="F23" s="116"/>
      <c r="G23" s="117">
        <f>IFERROR(IF(Cargos_Catalogo[[#This Row],[PuntosF]]="",ROUND(Cargos_Catalogo[[#This Row],[Total Puntos1]]+Cargos_Catalogo[[#This Row],[Total Puntos2]]+Cargos_Catalogo[[#This Row],[PuntosRR]],0),Cargos_Catalogo[PuntosF]),"")</f>
        <v>540</v>
      </c>
      <c r="H23" s="118" t="s">
        <v>169</v>
      </c>
      <c r="I23" s="118" t="s">
        <v>97</v>
      </c>
      <c r="J23" s="118" t="s">
        <v>139</v>
      </c>
      <c r="K23" s="118">
        <v>4</v>
      </c>
      <c r="L23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299</v>
      </c>
      <c r="M23" s="118" t="s">
        <v>118</v>
      </c>
      <c r="N23" s="118">
        <v>4</v>
      </c>
      <c r="O23" s="118" t="s">
        <v>120</v>
      </c>
      <c r="P23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23" s="117">
        <f>IFERROR(Cargos_Catalogo[[#This Row],[PuntosC&amp;H]]+Cargos_Catalogo[[#This Row],[PuntosHC]],"")</f>
        <v>376</v>
      </c>
      <c r="R23" s="118">
        <v>2</v>
      </c>
      <c r="S23" s="118" t="s">
        <v>117</v>
      </c>
      <c r="T23" s="118" t="s">
        <v>137</v>
      </c>
      <c r="U23" s="118" t="s">
        <v>117</v>
      </c>
      <c r="V23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0.24</v>
      </c>
      <c r="W23" s="120">
        <f>IFERROR(Cargos_Catalogo[[#This Row],[Total Puntos1]]*Cargos_Catalogo[[#This Row],[Porcentaje]],"")</f>
        <v>90.24</v>
      </c>
      <c r="X23" s="118" t="s">
        <v>120</v>
      </c>
      <c r="Y23" s="118" t="s">
        <v>137</v>
      </c>
      <c r="Z23" s="118">
        <v>1</v>
      </c>
      <c r="AA23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74</v>
      </c>
      <c r="AB23" s="125">
        <v>1</v>
      </c>
      <c r="AC23" s="125">
        <v>1</v>
      </c>
      <c r="AD23" s="125">
        <v>0</v>
      </c>
      <c r="AE23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14</v>
      </c>
      <c r="AF23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Muy Importante</v>
      </c>
      <c r="AG23" s="117" t="str">
        <f>IFERROR(IF(Cargos_Catalogo[[#This Row],[NivelF]]="",VLOOKUP(Cargos_Catalogo[[#This Row],[Categoria]],Niveles_Registro[],MATCH(Niveles_Registro[[#Headers],[Nivel]],Niveles_Registro[#Headers],0),FALSE),Cargos_Catalogo[NivelF]),"")</f>
        <v>Director/Jefe/Especialista Sr</v>
      </c>
      <c r="AH23" s="117">
        <f>COUNTIF(Datos_Origen[Cargo Tipo Valorado],Cargos_Catalogo[[#This Row],[Cargo]])</f>
        <v>1</v>
      </c>
      <c r="AI23" s="122">
        <f>IFERROR(SUMIFS(Datos_Origen[G],Datos_Origen[Cargo Tipo Valorado],Cargos_Catalogo[[#This Row],[Cargo]])/Cargos_Catalogo[[#This Row],[Frecuencia]],0)</f>
        <v>9295693</v>
      </c>
      <c r="AJ23" s="122">
        <f>IFERROR(SUMIFS(Datos_Origen[G+V],Datos_Origen[Cargo Tipo Valorado],Cargos_Catalogo[[#This Row],[Cargo]])/Cargos_Catalogo[[#This Row],[Frecuencia]],0)</f>
        <v>9295693</v>
      </c>
      <c r="AK23" s="122">
        <f>IFERROR(SUMIFS(Datos_Origen[CT],Datos_Origen[Cargo Tipo Valorado],Cargos_Catalogo[[#This Row],[Cargo]])/Cargos_Catalogo[[#This Row],[Frecuencia]],0)</f>
        <v>9295693</v>
      </c>
      <c r="AL23" s="117" t="str">
        <f>IF(COUNTA(Cargos_Catalogo[[#This Row],[PuntosF]:[CriticidadF]])=0,"",COUNTA(Cargos_Catalogo[[#This Row],[PuntosF]:[CriticidadF]]))</f>
        <v/>
      </c>
      <c r="AM23" s="118"/>
      <c r="AN23" s="123"/>
      <c r="AO23" s="123"/>
      <c r="AP23" s="123"/>
      <c r="AQ23" s="117" t="str">
        <f>IFERROR(VLOOKUP(Cargos_Catalogo[[#This Row],[Categoria]],NivelSHR[],2,1),"")</f>
        <v>Gerencia media</v>
      </c>
      <c r="AR23" s="127">
        <f>IFERROR(SUMIFS(Datos_Origen[[Promedio de Comisiones  ]],Datos_Origen[Cargo Tipo Valorado],Cargos_Catalogo[[#This Row],[Cargo]])/Cargos_Catalogo[[#This Row],[Frecuencia]],0)</f>
        <v>0</v>
      </c>
      <c r="AS23" s="124"/>
      <c r="AT23" s="123"/>
    </row>
    <row r="24" spans="2:46" ht="13.8">
      <c r="B24" s="116" t="s">
        <v>285</v>
      </c>
      <c r="C24" s="116" t="e">
        <v>#N/A</v>
      </c>
      <c r="D24" s="116" t="s">
        <v>581</v>
      </c>
      <c r="E24" s="116" t="s">
        <v>241</v>
      </c>
      <c r="F24" s="116"/>
      <c r="G24" s="117">
        <f>IFERROR(IF(Cargos_Catalogo[[#This Row],[PuntosF]]="",ROUND(Cargos_Catalogo[[#This Row],[Total Puntos1]]+Cargos_Catalogo[[#This Row],[Total Puntos2]]+Cargos_Catalogo[[#This Row],[PuntosRR]],0),Cargos_Catalogo[PuntosF]),"")</f>
        <v>536</v>
      </c>
      <c r="H24" s="118" t="s">
        <v>169</v>
      </c>
      <c r="I24" s="118" t="s">
        <v>97</v>
      </c>
      <c r="J24" s="118" t="s">
        <v>139</v>
      </c>
      <c r="K24" s="118">
        <v>3</v>
      </c>
      <c r="L24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287</v>
      </c>
      <c r="M24" s="118" t="s">
        <v>118</v>
      </c>
      <c r="N24" s="118">
        <v>4</v>
      </c>
      <c r="O24" s="118" t="s">
        <v>120</v>
      </c>
      <c r="P24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24" s="117">
        <f>IFERROR(Cargos_Catalogo[[#This Row],[PuntosC&amp;H]]+Cargos_Catalogo[[#This Row],[PuntosHC]],"")</f>
        <v>364</v>
      </c>
      <c r="R24" s="118">
        <v>3</v>
      </c>
      <c r="S24" s="118" t="s">
        <v>97</v>
      </c>
      <c r="T24" s="118" t="s">
        <v>155</v>
      </c>
      <c r="U24" s="118" t="s">
        <v>78</v>
      </c>
      <c r="V24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0.27</v>
      </c>
      <c r="W24" s="120">
        <f>IFERROR(Cargos_Catalogo[[#This Row],[Total Puntos1]]*Cargos_Catalogo[[#This Row],[Porcentaje]],"")</f>
        <v>98.28</v>
      </c>
      <c r="X24" s="118" t="s">
        <v>120</v>
      </c>
      <c r="Y24" s="118" t="s">
        <v>137</v>
      </c>
      <c r="Z24" s="118">
        <v>1</v>
      </c>
      <c r="AA24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74</v>
      </c>
      <c r="AB24" s="125">
        <v>1</v>
      </c>
      <c r="AC24" s="125">
        <v>1</v>
      </c>
      <c r="AD24" s="125">
        <v>0</v>
      </c>
      <c r="AE24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14</v>
      </c>
      <c r="AF24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Muy Importante</v>
      </c>
      <c r="AG24" s="117" t="str">
        <f>IFERROR(IF(Cargos_Catalogo[[#This Row],[NivelF]]="",VLOOKUP(Cargos_Catalogo[[#This Row],[Categoria]],Niveles_Registro[],MATCH(Niveles_Registro[[#Headers],[Nivel]],Niveles_Registro[#Headers],0),FALSE),Cargos_Catalogo[NivelF]),"")</f>
        <v>Director/Jefe/Especialista Sr</v>
      </c>
      <c r="AH24" s="117">
        <f>COUNTIF(Datos_Origen[Cargo Tipo Valorado],Cargos_Catalogo[[#This Row],[Cargo]])</f>
        <v>1</v>
      </c>
      <c r="AI24" s="122">
        <f>IFERROR(SUMIFS(Datos_Origen[G],Datos_Origen[Cargo Tipo Valorado],Cargos_Catalogo[[#This Row],[Cargo]])/Cargos_Catalogo[[#This Row],[Frecuencia]],0)</f>
        <v>9295693</v>
      </c>
      <c r="AJ24" s="122">
        <f>IFERROR(SUMIFS(Datos_Origen[G+V],Datos_Origen[Cargo Tipo Valorado],Cargos_Catalogo[[#This Row],[Cargo]])/Cargos_Catalogo[[#This Row],[Frecuencia]],0)</f>
        <v>9295693</v>
      </c>
      <c r="AK24" s="122">
        <f>IFERROR(SUMIFS(Datos_Origen[CT],Datos_Origen[Cargo Tipo Valorado],Cargos_Catalogo[[#This Row],[Cargo]])/Cargos_Catalogo[[#This Row],[Frecuencia]],0)</f>
        <v>9295693</v>
      </c>
      <c r="AL24" s="117" t="str">
        <f>IF(COUNTA(Cargos_Catalogo[[#This Row],[PuntosF]:[CriticidadF]])=0,"",COUNTA(Cargos_Catalogo[[#This Row],[PuntosF]:[CriticidadF]]))</f>
        <v/>
      </c>
      <c r="AM24" s="118"/>
      <c r="AN24" s="123"/>
      <c r="AO24" s="123"/>
      <c r="AP24" s="123"/>
      <c r="AQ24" s="117" t="str">
        <f>IFERROR(VLOOKUP(Cargos_Catalogo[[#This Row],[Categoria]],NivelSHR[],2,1),"")</f>
        <v>Gerencia media</v>
      </c>
      <c r="AR24" s="127">
        <f>IFERROR(SUMIFS(Datos_Origen[[Promedio de Comisiones  ]],Datos_Origen[Cargo Tipo Valorado],Cargos_Catalogo[[#This Row],[Cargo]])/Cargos_Catalogo[[#This Row],[Frecuencia]],0)</f>
        <v>0</v>
      </c>
      <c r="AS24" s="124"/>
      <c r="AT24" s="123"/>
    </row>
    <row r="25" spans="2:46" ht="13.8">
      <c r="B25" s="116" t="s">
        <v>298</v>
      </c>
      <c r="C25" s="116" t="e">
        <v>#N/A</v>
      </c>
      <c r="D25" s="116" t="s">
        <v>581</v>
      </c>
      <c r="E25" s="116" t="s">
        <v>241</v>
      </c>
      <c r="F25" s="116"/>
      <c r="G25" s="117">
        <f>IFERROR(IF(Cargos_Catalogo[[#This Row],[PuntosF]]="",ROUND(Cargos_Catalogo[[#This Row],[Total Puntos1]]+Cargos_Catalogo[[#This Row],[Total Puntos2]]+Cargos_Catalogo[[#This Row],[PuntosRR]],0),Cargos_Catalogo[PuntosF]),"")</f>
        <v>527</v>
      </c>
      <c r="H25" s="118" t="s">
        <v>169</v>
      </c>
      <c r="I25" s="118" t="s">
        <v>117</v>
      </c>
      <c r="J25" s="118" t="s">
        <v>120</v>
      </c>
      <c r="K25" s="118">
        <v>3</v>
      </c>
      <c r="L25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296</v>
      </c>
      <c r="M25" s="118" t="s">
        <v>118</v>
      </c>
      <c r="N25" s="118">
        <v>4</v>
      </c>
      <c r="O25" s="118" t="s">
        <v>120</v>
      </c>
      <c r="P25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25" s="117">
        <f>IFERROR(Cargos_Catalogo[[#This Row],[PuntosC&amp;H]]+Cargos_Catalogo[[#This Row],[PuntosHC]],"")</f>
        <v>373</v>
      </c>
      <c r="R25" s="118">
        <v>2</v>
      </c>
      <c r="S25" s="118" t="s">
        <v>117</v>
      </c>
      <c r="T25" s="118" t="s">
        <v>137</v>
      </c>
      <c r="U25" s="118" t="s">
        <v>117</v>
      </c>
      <c r="V25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0.24</v>
      </c>
      <c r="W25" s="120">
        <f>IFERROR(Cargos_Catalogo[[#This Row],[Total Puntos1]]*Cargos_Catalogo[[#This Row],[Porcentaje]],"")</f>
        <v>89.52</v>
      </c>
      <c r="X25" s="118" t="s">
        <v>120</v>
      </c>
      <c r="Y25" s="118" t="s">
        <v>118</v>
      </c>
      <c r="Z25" s="118">
        <v>1</v>
      </c>
      <c r="AA25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64</v>
      </c>
      <c r="AB25" s="125">
        <v>1</v>
      </c>
      <c r="AC25" s="125">
        <v>1</v>
      </c>
      <c r="AD25" s="125">
        <v>1</v>
      </c>
      <c r="AE25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13</v>
      </c>
      <c r="AF25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Crítico</v>
      </c>
      <c r="AG25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 Especialista</v>
      </c>
      <c r="AH25" s="117">
        <f>COUNTIF(Datos_Origen[Cargo Tipo Valorado],Cargos_Catalogo[[#This Row],[Cargo]])</f>
        <v>1</v>
      </c>
      <c r="AI25" s="122">
        <f>IFERROR(SUMIFS(Datos_Origen[G],Datos_Origen[Cargo Tipo Valorado],Cargos_Catalogo[[#This Row],[Cargo]])/Cargos_Catalogo[[#This Row],[Frecuencia]],0)</f>
        <v>9295693</v>
      </c>
      <c r="AJ25" s="122">
        <f>IFERROR(SUMIFS(Datos_Origen[G+V],Datos_Origen[Cargo Tipo Valorado],Cargos_Catalogo[[#This Row],[Cargo]])/Cargos_Catalogo[[#This Row],[Frecuencia]],0)</f>
        <v>9295693</v>
      </c>
      <c r="AK25" s="122">
        <f>IFERROR(SUMIFS(Datos_Origen[CT],Datos_Origen[Cargo Tipo Valorado],Cargos_Catalogo[[#This Row],[Cargo]])/Cargos_Catalogo[[#This Row],[Frecuencia]],0)</f>
        <v>9295693</v>
      </c>
      <c r="AL25" s="117" t="str">
        <f>IF(COUNTA(Cargos_Catalogo[[#This Row],[PuntosF]:[CriticidadF]])=0,"",COUNTA(Cargos_Catalogo[[#This Row],[PuntosF]:[CriticidadF]]))</f>
        <v/>
      </c>
      <c r="AM25" s="118"/>
      <c r="AN25" s="123"/>
      <c r="AO25" s="123"/>
      <c r="AP25" s="123"/>
      <c r="AQ25" s="117" t="str">
        <f>IFERROR(VLOOKUP(Cargos_Catalogo[[#This Row],[Categoria]],NivelSHR[],2,1),"")</f>
        <v>Gerencia media</v>
      </c>
      <c r="AR25" s="127">
        <f>IFERROR(SUMIFS(Datos_Origen[[Promedio de Comisiones  ]],Datos_Origen[Cargo Tipo Valorado],Cargos_Catalogo[[#This Row],[Cargo]])/Cargos_Catalogo[[#This Row],[Frecuencia]],0)</f>
        <v>0</v>
      </c>
      <c r="AS25" s="124"/>
      <c r="AT25" s="123"/>
    </row>
    <row r="26" spans="2:46" ht="13.8">
      <c r="B26" s="116" t="s">
        <v>297</v>
      </c>
      <c r="C26" s="116" t="s">
        <v>590</v>
      </c>
      <c r="D26" s="116" t="s">
        <v>581</v>
      </c>
      <c r="E26" s="116" t="s">
        <v>241</v>
      </c>
      <c r="F26" s="116"/>
      <c r="G26" s="117">
        <f>IFERROR(IF(Cargos_Catalogo[[#This Row],[PuntosF]]="",ROUND(Cargos_Catalogo[[#This Row],[Total Puntos1]]+Cargos_Catalogo[[#This Row],[Total Puntos2]]+Cargos_Catalogo[[#This Row],[PuntosRR]],0),Cargos_Catalogo[PuntosF]),"")</f>
        <v>478</v>
      </c>
      <c r="H26" s="118" t="s">
        <v>155</v>
      </c>
      <c r="I26" s="118" t="s">
        <v>97</v>
      </c>
      <c r="J26" s="118" t="s">
        <v>139</v>
      </c>
      <c r="K26" s="118">
        <v>3</v>
      </c>
      <c r="L26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229</v>
      </c>
      <c r="M26" s="118" t="s">
        <v>118</v>
      </c>
      <c r="N26" s="118">
        <v>4</v>
      </c>
      <c r="O26" s="118" t="s">
        <v>120</v>
      </c>
      <c r="P26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26" s="117">
        <f>IFERROR(Cargos_Catalogo[[#This Row],[PuntosC&amp;H]]+Cargos_Catalogo[[#This Row],[PuntosHC]],"")</f>
        <v>306</v>
      </c>
      <c r="R26" s="118">
        <v>4</v>
      </c>
      <c r="S26" s="118" t="s">
        <v>78</v>
      </c>
      <c r="T26" s="118" t="s">
        <v>155</v>
      </c>
      <c r="U26" s="118" t="s">
        <v>97</v>
      </c>
      <c r="V26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0.32</v>
      </c>
      <c r="W26" s="120">
        <f>IFERROR(Cargos_Catalogo[[#This Row],[Total Puntos1]]*Cargos_Catalogo[[#This Row],[Porcentaje]],"")</f>
        <v>97.92</v>
      </c>
      <c r="X26" s="118" t="s">
        <v>120</v>
      </c>
      <c r="Y26" s="118" t="s">
        <v>137</v>
      </c>
      <c r="Z26" s="118">
        <v>1</v>
      </c>
      <c r="AA26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74</v>
      </c>
      <c r="AB26" s="125">
        <v>1</v>
      </c>
      <c r="AC26" s="125">
        <v>1</v>
      </c>
      <c r="AD26" s="125">
        <v>0</v>
      </c>
      <c r="AE26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13</v>
      </c>
      <c r="AF26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Muy Importante</v>
      </c>
      <c r="AG26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 Especialista</v>
      </c>
      <c r="AH26" s="117">
        <f>COUNTIF(Datos_Origen[Cargo Tipo Valorado],Cargos_Catalogo[[#This Row],[Cargo]])</f>
        <v>1</v>
      </c>
      <c r="AI26" s="122">
        <f>IFERROR(SUMIFS(Datos_Origen[G],Datos_Origen[Cargo Tipo Valorado],Cargos_Catalogo[[#This Row],[Cargo]])/Cargos_Catalogo[[#This Row],[Frecuencia]],0)</f>
        <v>7441261.080000001</v>
      </c>
      <c r="AJ26" s="122">
        <f>IFERROR(SUMIFS(Datos_Origen[G+V],Datos_Origen[Cargo Tipo Valorado],Cargos_Catalogo[[#This Row],[Cargo]])/Cargos_Catalogo[[#This Row],[Frecuencia]],0)</f>
        <v>7441261.080000001</v>
      </c>
      <c r="AK26" s="122">
        <f>IFERROR(SUMIFS(Datos_Origen[CT],Datos_Origen[Cargo Tipo Valorado],Cargos_Catalogo[[#This Row],[Cargo]])/Cargos_Catalogo[[#This Row],[Frecuencia]],0)</f>
        <v>7441261.080000001</v>
      </c>
      <c r="AL26" s="117" t="str">
        <f>IF(COUNTA(Cargos_Catalogo[[#This Row],[PuntosF]:[CriticidadF]])=0,"",COUNTA(Cargos_Catalogo[[#This Row],[PuntosF]:[CriticidadF]]))</f>
        <v/>
      </c>
      <c r="AM26" s="118"/>
      <c r="AN26" s="123"/>
      <c r="AO26" s="123"/>
      <c r="AP26" s="123"/>
      <c r="AQ26" s="117" t="str">
        <f>IFERROR(VLOOKUP(Cargos_Catalogo[[#This Row],[Categoria]],NivelSHR[],2,1),"")</f>
        <v>Gerencia media</v>
      </c>
      <c r="AR26" s="127">
        <f>IFERROR(SUMIFS(Datos_Origen[[Promedio de Comisiones  ]],Datos_Origen[Cargo Tipo Valorado],Cargos_Catalogo[[#This Row],[Cargo]])/Cargos_Catalogo[[#This Row],[Frecuencia]],0)</f>
        <v>0</v>
      </c>
      <c r="AS26" s="124"/>
      <c r="AT26" s="123"/>
    </row>
    <row r="27" spans="2:46" ht="13.8">
      <c r="B27" s="116" t="s">
        <v>296</v>
      </c>
      <c r="C27" s="116" t="s">
        <v>589</v>
      </c>
      <c r="D27" s="116" t="s">
        <v>588</v>
      </c>
      <c r="E27" s="116" t="s">
        <v>241</v>
      </c>
      <c r="F27" s="116"/>
      <c r="G27" s="117">
        <f>IFERROR(IF(Cargos_Catalogo[[#This Row],[PuntosF]]="",ROUND(Cargos_Catalogo[[#This Row],[Total Puntos1]]+Cargos_Catalogo[[#This Row],[Total Puntos2]]+Cargos_Catalogo[[#This Row],[PuntosRR]],0),Cargos_Catalogo[PuntosF]),"")</f>
        <v>474</v>
      </c>
      <c r="H27" s="118" t="s">
        <v>155</v>
      </c>
      <c r="I27" s="118" t="s">
        <v>117</v>
      </c>
      <c r="J27" s="118" t="s">
        <v>139</v>
      </c>
      <c r="K27" s="118">
        <v>3</v>
      </c>
      <c r="L27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256</v>
      </c>
      <c r="M27" s="118" t="s">
        <v>118</v>
      </c>
      <c r="N27" s="118">
        <v>4</v>
      </c>
      <c r="O27" s="118" t="s">
        <v>120</v>
      </c>
      <c r="P27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27" s="117">
        <f>IFERROR(Cargos_Catalogo[[#This Row],[PuntosC&amp;H]]+Cargos_Catalogo[[#This Row],[PuntosHC]],"")</f>
        <v>333</v>
      </c>
      <c r="R27" s="118">
        <v>2</v>
      </c>
      <c r="S27" s="118" t="s">
        <v>117</v>
      </c>
      <c r="T27" s="118" t="s">
        <v>137</v>
      </c>
      <c r="U27" s="118" t="s">
        <v>78</v>
      </c>
      <c r="V27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</v>
      </c>
      <c r="W27" s="120">
        <f>IFERROR(Cargos_Catalogo[[#This Row],[Total Puntos1]]*Cargos_Catalogo[[#This Row],[Porcentaje]],"")</f>
        <v>66.600000000000009</v>
      </c>
      <c r="X27" s="118" t="s">
        <v>120</v>
      </c>
      <c r="Y27" s="118" t="s">
        <v>137</v>
      </c>
      <c r="Z27" s="118">
        <v>1</v>
      </c>
      <c r="AA27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74</v>
      </c>
      <c r="AB27" s="125">
        <v>0</v>
      </c>
      <c r="AC27" s="125">
        <v>1</v>
      </c>
      <c r="AD27" s="125">
        <v>0</v>
      </c>
      <c r="AE27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13</v>
      </c>
      <c r="AF27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Importante</v>
      </c>
      <c r="AG27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 Especialista</v>
      </c>
      <c r="AH27" s="117">
        <f>COUNTIF(Datos_Origen[Cargo Tipo Valorado],Cargos_Catalogo[[#This Row],[Cargo]])</f>
        <v>1</v>
      </c>
      <c r="AI27" s="122">
        <f>IFERROR(SUMIFS(Datos_Origen[G],Datos_Origen[Cargo Tipo Valorado],Cargos_Catalogo[[#This Row],[Cargo]])/Cargos_Catalogo[[#This Row],[Frecuencia]],0)</f>
        <v>6023373.7300000004</v>
      </c>
      <c r="AJ27" s="122">
        <f>IFERROR(SUMIFS(Datos_Origen[G+V],Datos_Origen[Cargo Tipo Valorado],Cargos_Catalogo[[#This Row],[Cargo]])/Cargos_Catalogo[[#This Row],[Frecuencia]],0)</f>
        <v>6023373.7300000004</v>
      </c>
      <c r="AK27" s="122">
        <f>IFERROR(SUMIFS(Datos_Origen[CT],Datos_Origen[Cargo Tipo Valorado],Cargos_Catalogo[[#This Row],[Cargo]])/Cargos_Catalogo[[#This Row],[Frecuencia]],0)</f>
        <v>6023373.7300000004</v>
      </c>
      <c r="AL27" s="117" t="str">
        <f>IF(COUNTA(Cargos_Catalogo[[#This Row],[PuntosF]:[CriticidadF]])=0,"",COUNTA(Cargos_Catalogo[[#This Row],[PuntosF]:[CriticidadF]]))</f>
        <v/>
      </c>
      <c r="AM27" s="118"/>
      <c r="AN27" s="123"/>
      <c r="AO27" s="123"/>
      <c r="AP27" s="123"/>
      <c r="AQ27" s="117" t="str">
        <f>IFERROR(VLOOKUP(Cargos_Catalogo[[#This Row],[Categoria]],NivelSHR[],2,1),"")</f>
        <v>Gerencia media</v>
      </c>
      <c r="AR27" s="127">
        <f>IFERROR(SUMIFS(Datos_Origen[[Promedio de Comisiones  ]],Datos_Origen[Cargo Tipo Valorado],Cargos_Catalogo[[#This Row],[Cargo]])/Cargos_Catalogo[[#This Row],[Frecuencia]],0)</f>
        <v>0</v>
      </c>
      <c r="AS27" s="124"/>
      <c r="AT27" s="123"/>
    </row>
    <row r="28" spans="2:46" ht="13.8">
      <c r="B28" s="116" t="s">
        <v>294</v>
      </c>
      <c r="C28" s="116" t="s">
        <v>591</v>
      </c>
      <c r="D28" s="116" t="s">
        <v>581</v>
      </c>
      <c r="E28" s="116" t="s">
        <v>241</v>
      </c>
      <c r="F28" s="116"/>
      <c r="G28" s="117">
        <f>IFERROR(IF(Cargos_Catalogo[[#This Row],[PuntosF]]="",ROUND(Cargos_Catalogo[[#This Row],[Total Puntos1]]+Cargos_Catalogo[[#This Row],[Total Puntos2]]+Cargos_Catalogo[[#This Row],[PuntosRR]],0),Cargos_Catalogo[PuntosF]),"")</f>
        <v>468</v>
      </c>
      <c r="H28" s="118" t="s">
        <v>155</v>
      </c>
      <c r="I28" s="118" t="s">
        <v>97</v>
      </c>
      <c r="J28" s="118" t="s">
        <v>139</v>
      </c>
      <c r="K28" s="118">
        <v>3</v>
      </c>
      <c r="L28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229</v>
      </c>
      <c r="M28" s="118" t="s">
        <v>118</v>
      </c>
      <c r="N28" s="118">
        <v>4</v>
      </c>
      <c r="O28" s="118" t="s">
        <v>120</v>
      </c>
      <c r="P28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28" s="117">
        <f>IFERROR(Cargos_Catalogo[[#This Row],[PuntosC&amp;H]]+Cargos_Catalogo[[#This Row],[PuntosHC]],"")</f>
        <v>306</v>
      </c>
      <c r="R28" s="118">
        <v>2</v>
      </c>
      <c r="S28" s="118" t="s">
        <v>117</v>
      </c>
      <c r="T28" s="118" t="s">
        <v>137</v>
      </c>
      <c r="U28" s="118" t="s">
        <v>117</v>
      </c>
      <c r="V28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0.24</v>
      </c>
      <c r="W28" s="120">
        <f>IFERROR(Cargos_Catalogo[[#This Row],[Total Puntos1]]*Cargos_Catalogo[[#This Row],[Porcentaje]],"")</f>
        <v>73.44</v>
      </c>
      <c r="X28" s="118" t="s">
        <v>120</v>
      </c>
      <c r="Y28" s="118" t="s">
        <v>137</v>
      </c>
      <c r="Z28" s="118">
        <v>2</v>
      </c>
      <c r="AA28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89</v>
      </c>
      <c r="AB28" s="125">
        <v>0</v>
      </c>
      <c r="AC28" s="125">
        <v>1</v>
      </c>
      <c r="AD28" s="125">
        <v>0</v>
      </c>
      <c r="AE28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13</v>
      </c>
      <c r="AF28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Importante</v>
      </c>
      <c r="AG28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 Especialista</v>
      </c>
      <c r="AH28" s="117">
        <f>COUNTIF(Datos_Origen[Cargo Tipo Valorado],Cargos_Catalogo[[#This Row],[Cargo]])</f>
        <v>1</v>
      </c>
      <c r="AI28" s="122">
        <f>IFERROR(SUMIFS(Datos_Origen[G],Datos_Origen[Cargo Tipo Valorado],Cargos_Catalogo[[#This Row],[Cargo]])/Cargos_Catalogo[[#This Row],[Frecuencia]],0)</f>
        <v>6808212.620000001</v>
      </c>
      <c r="AJ28" s="122">
        <f>IFERROR(SUMIFS(Datos_Origen[G+V],Datos_Origen[Cargo Tipo Valorado],Cargos_Catalogo[[#This Row],[Cargo]])/Cargos_Catalogo[[#This Row],[Frecuencia]],0)</f>
        <v>6808212.620000001</v>
      </c>
      <c r="AK28" s="122">
        <f>IFERROR(SUMIFS(Datos_Origen[CT],Datos_Origen[Cargo Tipo Valorado],Cargos_Catalogo[[#This Row],[Cargo]])/Cargos_Catalogo[[#This Row],[Frecuencia]],0)</f>
        <v>6808212.620000001</v>
      </c>
      <c r="AL28" s="117" t="str">
        <f>IF(COUNTA(Cargos_Catalogo[[#This Row],[PuntosF]:[CriticidadF]])=0,"",COUNTA(Cargos_Catalogo[[#This Row],[PuntosF]:[CriticidadF]]))</f>
        <v/>
      </c>
      <c r="AM28" s="118"/>
      <c r="AN28" s="123"/>
      <c r="AO28" s="123"/>
      <c r="AP28" s="123"/>
      <c r="AQ28" s="117" t="str">
        <f>IFERROR(VLOOKUP(Cargos_Catalogo[[#This Row],[Categoria]],NivelSHR[],2,1),"")</f>
        <v>Gerencia media</v>
      </c>
      <c r="AR28" s="127">
        <f>IFERROR(SUMIFS(Datos_Origen[[Promedio de Comisiones  ]],Datos_Origen[Cargo Tipo Valorado],Cargos_Catalogo[[#This Row],[Cargo]])/Cargos_Catalogo[[#This Row],[Frecuencia]],0)</f>
        <v>0</v>
      </c>
      <c r="AS28" s="124"/>
      <c r="AT28" s="123"/>
    </row>
    <row r="29" spans="2:46" ht="13.8">
      <c r="B29" s="116" t="s">
        <v>309</v>
      </c>
      <c r="C29" s="116" t="s">
        <v>592</v>
      </c>
      <c r="D29" s="116" t="s">
        <v>583</v>
      </c>
      <c r="E29" s="116" t="s">
        <v>587</v>
      </c>
      <c r="F29" s="116"/>
      <c r="G29" s="117">
        <f>IFERROR(IF(Cargos_Catalogo[[#This Row],[PuntosF]]="",ROUND(Cargos_Catalogo[[#This Row],[Total Puntos1]]+Cargos_Catalogo[[#This Row],[Total Puntos2]]+Cargos_Catalogo[[#This Row],[PuntosRR]],0),Cargos_Catalogo[PuntosF]),"")</f>
        <v>457</v>
      </c>
      <c r="H29" s="118" t="s">
        <v>169</v>
      </c>
      <c r="I29" s="118" t="s">
        <v>97</v>
      </c>
      <c r="J29" s="118" t="s">
        <v>120</v>
      </c>
      <c r="K29" s="118">
        <v>3</v>
      </c>
      <c r="L29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259</v>
      </c>
      <c r="M29" s="118" t="s">
        <v>79</v>
      </c>
      <c r="N29" s="118">
        <v>4</v>
      </c>
      <c r="O29" s="118" t="s">
        <v>120</v>
      </c>
      <c r="P29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58</v>
      </c>
      <c r="Q29" s="117">
        <f>IFERROR(Cargos_Catalogo[[#This Row],[PuntosC&amp;H]]+Cargos_Catalogo[[#This Row],[PuntosHC]],"")</f>
        <v>317</v>
      </c>
      <c r="R29" s="118">
        <v>2</v>
      </c>
      <c r="S29" s="118" t="s">
        <v>117</v>
      </c>
      <c r="T29" s="118" t="s">
        <v>137</v>
      </c>
      <c r="U29" s="118" t="s">
        <v>117</v>
      </c>
      <c r="V29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0.24</v>
      </c>
      <c r="W29" s="120">
        <f>IFERROR(Cargos_Catalogo[[#This Row],[Total Puntos1]]*Cargos_Catalogo[[#This Row],[Porcentaje]],"")</f>
        <v>76.08</v>
      </c>
      <c r="X29" s="118" t="s">
        <v>120</v>
      </c>
      <c r="Y29" s="118" t="s">
        <v>118</v>
      </c>
      <c r="Z29" s="118">
        <v>1</v>
      </c>
      <c r="AA29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64</v>
      </c>
      <c r="AB29" s="125">
        <v>0</v>
      </c>
      <c r="AC29" s="125">
        <v>0</v>
      </c>
      <c r="AD29" s="125">
        <v>0</v>
      </c>
      <c r="AE29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12</v>
      </c>
      <c r="AF29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29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 Especialista</v>
      </c>
      <c r="AH29" s="117">
        <f>COUNTIF(Datos_Origen[Cargo Tipo Valorado],Cargos_Catalogo[[#This Row],[Cargo]])</f>
        <v>1</v>
      </c>
      <c r="AI29" s="122">
        <f>IFERROR(SUMIFS(Datos_Origen[G],Datos_Origen[Cargo Tipo Valorado],Cargos_Catalogo[[#This Row],[Cargo]])/Cargos_Catalogo[[#This Row],[Frecuencia]],0)</f>
        <v>5656252.6900000004</v>
      </c>
      <c r="AJ29" s="122">
        <f>IFERROR(SUMIFS(Datos_Origen[G+V],Datos_Origen[Cargo Tipo Valorado],Cargos_Catalogo[[#This Row],[Cargo]])/Cargos_Catalogo[[#This Row],[Frecuencia]],0)</f>
        <v>5656252.6900000004</v>
      </c>
      <c r="AK29" s="122">
        <f>IFERROR(SUMIFS(Datos_Origen[CT],Datos_Origen[Cargo Tipo Valorado],Cargos_Catalogo[[#This Row],[Cargo]])/Cargos_Catalogo[[#This Row],[Frecuencia]],0)</f>
        <v>5656252.6900000004</v>
      </c>
      <c r="AL29" s="117" t="str">
        <f>IF(COUNTA(Cargos_Catalogo[[#This Row],[PuntosF]:[CriticidadF]])=0,"",COUNTA(Cargos_Catalogo[[#This Row],[PuntosF]:[CriticidadF]]))</f>
        <v/>
      </c>
      <c r="AM29" s="118"/>
      <c r="AN29" s="123"/>
      <c r="AO29" s="123"/>
      <c r="AP29" s="123"/>
      <c r="AQ29" s="117" t="str">
        <f>IFERROR(VLOOKUP(Cargos_Catalogo[[#This Row],[Categoria]],NivelSHR[],2,1),"")</f>
        <v>Táctico</v>
      </c>
      <c r="AR29" s="127">
        <f>IFERROR(SUMIFS(Datos_Origen[[Promedio de Comisiones  ]],Datos_Origen[Cargo Tipo Valorado],Cargos_Catalogo[[#This Row],[Cargo]])/Cargos_Catalogo[[#This Row],[Frecuencia]],0)</f>
        <v>0</v>
      </c>
      <c r="AS29" s="124"/>
      <c r="AT29" s="123"/>
    </row>
    <row r="30" spans="2:46" ht="13.8">
      <c r="B30" s="116" t="s">
        <v>306</v>
      </c>
      <c r="C30" s="116" t="s">
        <v>593</v>
      </c>
      <c r="D30" s="116" t="s">
        <v>583</v>
      </c>
      <c r="E30" s="116" t="s">
        <v>241</v>
      </c>
      <c r="F30" s="116"/>
      <c r="G30" s="117">
        <f>IFERROR(IF(Cargos_Catalogo[[#This Row],[PuntosF]]="",ROUND(Cargos_Catalogo[[#This Row],[Total Puntos1]]+Cargos_Catalogo[[#This Row],[Total Puntos2]]+Cargos_Catalogo[[#This Row],[PuntosRR]],0),Cargos_Catalogo[PuntosF]),"")</f>
        <v>452</v>
      </c>
      <c r="H30" s="118" t="s">
        <v>155</v>
      </c>
      <c r="I30" s="118" t="s">
        <v>117</v>
      </c>
      <c r="J30" s="118" t="s">
        <v>120</v>
      </c>
      <c r="K30" s="118">
        <v>3</v>
      </c>
      <c r="L30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228</v>
      </c>
      <c r="M30" s="118" t="s">
        <v>118</v>
      </c>
      <c r="N30" s="118">
        <v>4</v>
      </c>
      <c r="O30" s="118" t="s">
        <v>120</v>
      </c>
      <c r="P30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30" s="117">
        <f>IFERROR(Cargos_Catalogo[[#This Row],[PuntosC&amp;H]]+Cargos_Catalogo[[#This Row],[PuntosHC]],"")</f>
        <v>305</v>
      </c>
      <c r="R30" s="118">
        <v>2</v>
      </c>
      <c r="S30" s="118" t="s">
        <v>117</v>
      </c>
      <c r="T30" s="118" t="s">
        <v>137</v>
      </c>
      <c r="U30" s="118" t="s">
        <v>117</v>
      </c>
      <c r="V30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0.24</v>
      </c>
      <c r="W30" s="120">
        <f>IFERROR(Cargos_Catalogo[[#This Row],[Total Puntos1]]*Cargos_Catalogo[[#This Row],[Porcentaje]],"")</f>
        <v>73.2</v>
      </c>
      <c r="X30" s="118" t="s">
        <v>120</v>
      </c>
      <c r="Y30" s="118" t="s">
        <v>137</v>
      </c>
      <c r="Z30" s="118">
        <v>1</v>
      </c>
      <c r="AA30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74</v>
      </c>
      <c r="AB30" s="125">
        <v>0</v>
      </c>
      <c r="AC30" s="125">
        <v>1</v>
      </c>
      <c r="AD30" s="125">
        <v>0</v>
      </c>
      <c r="AE30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12</v>
      </c>
      <c r="AF30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Importante</v>
      </c>
      <c r="AG30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 Especialista</v>
      </c>
      <c r="AH30" s="117">
        <f>COUNTIF(Datos_Origen[Cargo Tipo Valorado],Cargos_Catalogo[[#This Row],[Cargo]])</f>
        <v>1</v>
      </c>
      <c r="AI30" s="122">
        <f>IFERROR(SUMIFS(Datos_Origen[G],Datos_Origen[Cargo Tipo Valorado],Cargos_Catalogo[[#This Row],[Cargo]])/Cargos_Catalogo[[#This Row],[Frecuencia]],0)</f>
        <v>6023373.7300000004</v>
      </c>
      <c r="AJ30" s="122">
        <f>IFERROR(SUMIFS(Datos_Origen[G+V],Datos_Origen[Cargo Tipo Valorado],Cargos_Catalogo[[#This Row],[Cargo]])/Cargos_Catalogo[[#This Row],[Frecuencia]],0)</f>
        <v>6023373.7300000004</v>
      </c>
      <c r="AK30" s="122">
        <f>IFERROR(SUMIFS(Datos_Origen[CT],Datos_Origen[Cargo Tipo Valorado],Cargos_Catalogo[[#This Row],[Cargo]])/Cargos_Catalogo[[#This Row],[Frecuencia]],0)</f>
        <v>6023373.7300000004</v>
      </c>
      <c r="AL30" s="117" t="str">
        <f>IF(COUNTA(Cargos_Catalogo[[#This Row],[PuntosF]:[CriticidadF]])=0,"",COUNTA(Cargos_Catalogo[[#This Row],[PuntosF]:[CriticidadF]]))</f>
        <v/>
      </c>
      <c r="AM30" s="118"/>
      <c r="AN30" s="123"/>
      <c r="AO30" s="123"/>
      <c r="AP30" s="123"/>
      <c r="AQ30" s="117" t="str">
        <f>IFERROR(VLOOKUP(Cargos_Catalogo[[#This Row],[Categoria]],NivelSHR[],2,1),"")</f>
        <v>Táctico</v>
      </c>
      <c r="AR30" s="127">
        <f>IFERROR(SUMIFS(Datos_Origen[[Promedio de Comisiones  ]],Datos_Origen[Cargo Tipo Valorado],Cargos_Catalogo[[#This Row],[Cargo]])/Cargos_Catalogo[[#This Row],[Frecuencia]],0)</f>
        <v>0</v>
      </c>
      <c r="AS30" s="124"/>
      <c r="AT30" s="123"/>
    </row>
    <row r="31" spans="2:46" ht="13.8">
      <c r="B31" s="116" t="s">
        <v>308</v>
      </c>
      <c r="C31" s="116">
        <v>0</v>
      </c>
      <c r="D31" s="116">
        <v>0</v>
      </c>
      <c r="E31" s="116" t="s">
        <v>584</v>
      </c>
      <c r="F31" s="116"/>
      <c r="G31" s="117">
        <f>IFERROR(IF(Cargos_Catalogo[[#This Row],[PuntosF]]="",ROUND(Cargos_Catalogo[[#This Row],[Total Puntos1]]+Cargos_Catalogo[[#This Row],[Total Puntos2]]+Cargos_Catalogo[[#This Row],[PuntosRR]],0),Cargos_Catalogo[PuntosF]),"")</f>
        <v>452</v>
      </c>
      <c r="H31" s="118" t="s">
        <v>169</v>
      </c>
      <c r="I31" s="118" t="s">
        <v>78</v>
      </c>
      <c r="J31" s="118" t="s">
        <v>120</v>
      </c>
      <c r="K31" s="118">
        <v>3</v>
      </c>
      <c r="L31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228</v>
      </c>
      <c r="M31" s="118" t="s">
        <v>118</v>
      </c>
      <c r="N31" s="118">
        <v>4</v>
      </c>
      <c r="O31" s="118" t="s">
        <v>120</v>
      </c>
      <c r="P31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31" s="117">
        <f>IFERROR(Cargos_Catalogo[[#This Row],[PuntosC&amp;H]]+Cargos_Catalogo[[#This Row],[PuntosHC]],"")</f>
        <v>305</v>
      </c>
      <c r="R31" s="118">
        <v>2</v>
      </c>
      <c r="S31" s="118" t="s">
        <v>117</v>
      </c>
      <c r="T31" s="118" t="s">
        <v>137</v>
      </c>
      <c r="U31" s="118" t="s">
        <v>117</v>
      </c>
      <c r="V31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0.24</v>
      </c>
      <c r="W31" s="120">
        <f>IFERROR(Cargos_Catalogo[[#This Row],[Total Puntos1]]*Cargos_Catalogo[[#This Row],[Porcentaje]],"")</f>
        <v>73.2</v>
      </c>
      <c r="X31" s="118" t="s">
        <v>120</v>
      </c>
      <c r="Y31" s="118" t="s">
        <v>137</v>
      </c>
      <c r="Z31" s="118">
        <v>1</v>
      </c>
      <c r="AA31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74</v>
      </c>
      <c r="AB31" s="125">
        <v>1</v>
      </c>
      <c r="AC31" s="125">
        <v>1</v>
      </c>
      <c r="AD31" s="125">
        <v>1</v>
      </c>
      <c r="AE31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12</v>
      </c>
      <c r="AF31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Crítico</v>
      </c>
      <c r="AG31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 Especialista</v>
      </c>
      <c r="AH31" s="117">
        <f>COUNTIF(Datos_Origen[Cargo Tipo Valorado],Cargos_Catalogo[[#This Row],[Cargo]])</f>
        <v>1</v>
      </c>
      <c r="AI31" s="122">
        <f>IFERROR(SUMIFS(Datos_Origen[G],Datos_Origen[Cargo Tipo Valorado],Cargos_Catalogo[[#This Row],[Cargo]])/Cargos_Catalogo[[#This Row],[Frecuencia]],0)</f>
        <v>6354018.0000000009</v>
      </c>
      <c r="AJ31" s="122">
        <f>IFERROR(SUMIFS(Datos_Origen[G+V],Datos_Origen[Cargo Tipo Valorado],Cargos_Catalogo[[#This Row],[Cargo]])/Cargos_Catalogo[[#This Row],[Frecuencia]],0)</f>
        <v>6354018.0000000009</v>
      </c>
      <c r="AK31" s="122">
        <f>IFERROR(SUMIFS(Datos_Origen[CT],Datos_Origen[Cargo Tipo Valorado],Cargos_Catalogo[[#This Row],[Cargo]])/Cargos_Catalogo[[#This Row],[Frecuencia]],0)</f>
        <v>6354018.0000000009</v>
      </c>
      <c r="AL31" s="117" t="str">
        <f>IF(COUNTA(Cargos_Catalogo[[#This Row],[PuntosF]:[CriticidadF]])=0,"",COUNTA(Cargos_Catalogo[[#This Row],[PuntosF]:[CriticidadF]]))</f>
        <v/>
      </c>
      <c r="AM31" s="118"/>
      <c r="AN31" s="123"/>
      <c r="AO31" s="123"/>
      <c r="AP31" s="123"/>
      <c r="AQ31" s="117" t="str">
        <f>IFERROR(VLOOKUP(Cargos_Catalogo[[#This Row],[Categoria]],NivelSHR[],2,1),"")</f>
        <v>Táctico</v>
      </c>
      <c r="AR31" s="127">
        <f>IFERROR(SUMIFS(Datos_Origen[[Promedio de Comisiones  ]],Datos_Origen[Cargo Tipo Valorado],Cargos_Catalogo[[#This Row],[Cargo]])/Cargos_Catalogo[[#This Row],[Frecuencia]],0)</f>
        <v>0</v>
      </c>
      <c r="AS31" s="124"/>
      <c r="AT31" s="123"/>
    </row>
    <row r="32" spans="2:46" ht="13.8">
      <c r="B32" s="116" t="s">
        <v>307</v>
      </c>
      <c r="C32" s="116" t="s">
        <v>594</v>
      </c>
      <c r="D32" s="116" t="s">
        <v>595</v>
      </c>
      <c r="E32" s="116" t="s">
        <v>584</v>
      </c>
      <c r="F32" s="116"/>
      <c r="G32" s="117">
        <f>IFERROR(IF(Cargos_Catalogo[[#This Row],[PuntosF]]="",ROUND(Cargos_Catalogo[[#This Row],[Total Puntos1]]+Cargos_Catalogo[[#This Row],[Total Puntos2]]+Cargos_Catalogo[[#This Row],[PuntosRR]],0),Cargos_Catalogo[PuntosF]),"")</f>
        <v>452</v>
      </c>
      <c r="H32" s="118" t="s">
        <v>155</v>
      </c>
      <c r="I32" s="118" t="s">
        <v>117</v>
      </c>
      <c r="J32" s="118" t="s">
        <v>120</v>
      </c>
      <c r="K32" s="118">
        <v>1</v>
      </c>
      <c r="L32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216</v>
      </c>
      <c r="M32" s="118" t="s">
        <v>118</v>
      </c>
      <c r="N32" s="118">
        <v>4</v>
      </c>
      <c r="O32" s="118" t="s">
        <v>120</v>
      </c>
      <c r="P32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32" s="117">
        <f>IFERROR(Cargos_Catalogo[[#This Row],[PuntosC&amp;H]]+Cargos_Catalogo[[#This Row],[PuntosHC]],"")</f>
        <v>293</v>
      </c>
      <c r="R32" s="118">
        <v>2</v>
      </c>
      <c r="S32" s="118" t="s">
        <v>117</v>
      </c>
      <c r="T32" s="118" t="s">
        <v>137</v>
      </c>
      <c r="U32" s="118" t="s">
        <v>117</v>
      </c>
      <c r="V32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0.24</v>
      </c>
      <c r="W32" s="120">
        <f>IFERROR(Cargos_Catalogo[[#This Row],[Total Puntos1]]*Cargos_Catalogo[[#This Row],[Porcentaje]],"")</f>
        <v>70.319999999999993</v>
      </c>
      <c r="X32" s="118" t="s">
        <v>120</v>
      </c>
      <c r="Y32" s="118" t="s">
        <v>137</v>
      </c>
      <c r="Z32" s="118">
        <v>2</v>
      </c>
      <c r="AA32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89</v>
      </c>
      <c r="AB32" s="125">
        <v>1</v>
      </c>
      <c r="AC32" s="125">
        <v>1</v>
      </c>
      <c r="AD32" s="125">
        <v>1</v>
      </c>
      <c r="AE32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12</v>
      </c>
      <c r="AF32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Crítico</v>
      </c>
      <c r="AG32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 Especialista</v>
      </c>
      <c r="AH32" s="117">
        <f>COUNTIF(Datos_Origen[Cargo Tipo Valorado],Cargos_Catalogo[[#This Row],[Cargo]])</f>
        <v>1</v>
      </c>
      <c r="AI32" s="122">
        <f>IFERROR(SUMIFS(Datos_Origen[G],Datos_Origen[Cargo Tipo Valorado],Cargos_Catalogo[[#This Row],[Cargo]])/Cargos_Catalogo[[#This Row],[Frecuencia]],0)</f>
        <v>6189284.2000000002</v>
      </c>
      <c r="AJ32" s="122">
        <f>IFERROR(SUMIFS(Datos_Origen[G+V],Datos_Origen[Cargo Tipo Valorado],Cargos_Catalogo[[#This Row],[Cargo]])/Cargos_Catalogo[[#This Row],[Frecuencia]],0)</f>
        <v>10307629.200000001</v>
      </c>
      <c r="AK32" s="122">
        <f>IFERROR(SUMIFS(Datos_Origen[CT],Datos_Origen[Cargo Tipo Valorado],Cargos_Catalogo[[#This Row],[Cargo]])/Cargos_Catalogo[[#This Row],[Frecuencia]],0)</f>
        <v>10307629.200000001</v>
      </c>
      <c r="AL32" s="117" t="str">
        <f>IF(COUNTA(Cargos_Catalogo[[#This Row],[PuntosF]:[CriticidadF]])=0,"",COUNTA(Cargos_Catalogo[[#This Row],[PuntosF]:[CriticidadF]]))</f>
        <v/>
      </c>
      <c r="AM32" s="118"/>
      <c r="AN32" s="123"/>
      <c r="AO32" s="123"/>
      <c r="AP32" s="123"/>
      <c r="AQ32" s="117" t="str">
        <f>IFERROR(VLOOKUP(Cargos_Catalogo[[#This Row],[Categoria]],NivelSHR[],2,1),"")</f>
        <v>Táctico</v>
      </c>
      <c r="AR32" s="127">
        <f>IFERROR(SUMIFS(Datos_Origen[[Promedio de Comisiones  ]],Datos_Origen[Cargo Tipo Valorado],Cargos_Catalogo[[#This Row],[Cargo]])/Cargos_Catalogo[[#This Row],[Frecuencia]],0)</f>
        <v>3500000</v>
      </c>
      <c r="AS32" s="124"/>
      <c r="AT32" s="123"/>
    </row>
    <row r="33" spans="2:46" ht="13.8">
      <c r="B33" s="116" t="s">
        <v>305</v>
      </c>
      <c r="C33" s="116" t="s">
        <v>596</v>
      </c>
      <c r="D33" s="116" t="s">
        <v>588</v>
      </c>
      <c r="E33" s="116" t="s">
        <v>584</v>
      </c>
      <c r="F33" s="116"/>
      <c r="G33" s="117">
        <f>IFERROR(IF(Cargos_Catalogo[[#This Row],[PuntosF]]="",ROUND(Cargos_Catalogo[[#This Row],[Total Puntos1]]+Cargos_Catalogo[[#This Row],[Total Puntos2]]+Cargos_Catalogo[[#This Row],[PuntosRR]],0),Cargos_Catalogo[PuntosF]),"")</f>
        <v>442</v>
      </c>
      <c r="H33" s="118" t="s">
        <v>155</v>
      </c>
      <c r="I33" s="118" t="s">
        <v>117</v>
      </c>
      <c r="J33" s="118" t="s">
        <v>120</v>
      </c>
      <c r="K33" s="118">
        <v>1</v>
      </c>
      <c r="L33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216</v>
      </c>
      <c r="M33" s="118" t="s">
        <v>118</v>
      </c>
      <c r="N33" s="118">
        <v>4</v>
      </c>
      <c r="O33" s="118" t="s">
        <v>120</v>
      </c>
      <c r="P33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33" s="117">
        <f>IFERROR(Cargos_Catalogo[[#This Row],[PuntosC&amp;H]]+Cargos_Catalogo[[#This Row],[PuntosHC]],"")</f>
        <v>293</v>
      </c>
      <c r="R33" s="118">
        <v>4</v>
      </c>
      <c r="S33" s="118" t="s">
        <v>78</v>
      </c>
      <c r="T33" s="118" t="s">
        <v>137</v>
      </c>
      <c r="U33" s="118" t="s">
        <v>117</v>
      </c>
      <c r="V33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0.28999999999999998</v>
      </c>
      <c r="W33" s="120">
        <f>IFERROR(Cargos_Catalogo[[#This Row],[Total Puntos1]]*Cargos_Catalogo[[#This Row],[Porcentaje]],"")</f>
        <v>84.97</v>
      </c>
      <c r="X33" s="118" t="s">
        <v>120</v>
      </c>
      <c r="Y33" s="118" t="s">
        <v>118</v>
      </c>
      <c r="Z33" s="118">
        <v>1</v>
      </c>
      <c r="AA33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64</v>
      </c>
      <c r="AB33" s="125">
        <v>1</v>
      </c>
      <c r="AC33" s="125">
        <v>1</v>
      </c>
      <c r="AD33" s="125">
        <v>1</v>
      </c>
      <c r="AE33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12</v>
      </c>
      <c r="AF33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Crítico</v>
      </c>
      <c r="AG33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 Especialista</v>
      </c>
      <c r="AH33" s="117">
        <f>COUNTIF(Datos_Origen[Cargo Tipo Valorado],Cargos_Catalogo[[#This Row],[Cargo]])</f>
        <v>5</v>
      </c>
      <c r="AI33" s="122">
        <f>IFERROR(SUMIFS(Datos_Origen[G],Datos_Origen[Cargo Tipo Valorado],Cargos_Catalogo[[#This Row],[Cargo]])/Cargos_Catalogo[[#This Row],[Frecuencia]],0)</f>
        <v>4745510.1100000003</v>
      </c>
      <c r="AJ33" s="122">
        <f>IFERROR(SUMIFS(Datos_Origen[G+V],Datos_Origen[Cargo Tipo Valorado],Cargos_Catalogo[[#This Row],[Cargo]])/Cargos_Catalogo[[#This Row],[Frecuencia]],0)</f>
        <v>4745510.1100000003</v>
      </c>
      <c r="AK33" s="122">
        <f>IFERROR(SUMIFS(Datos_Origen[CT],Datos_Origen[Cargo Tipo Valorado],Cargos_Catalogo[[#This Row],[Cargo]])/Cargos_Catalogo[[#This Row],[Frecuencia]],0)</f>
        <v>4745510.1100000003</v>
      </c>
      <c r="AL33" s="117" t="str">
        <f>IF(COUNTA(Cargos_Catalogo[[#This Row],[PuntosF]:[CriticidadF]])=0,"",COUNTA(Cargos_Catalogo[[#This Row],[PuntosF]:[CriticidadF]]))</f>
        <v/>
      </c>
      <c r="AM33" s="118"/>
      <c r="AN33" s="123"/>
      <c r="AO33" s="123"/>
      <c r="AP33" s="123"/>
      <c r="AQ33" s="117" t="str">
        <f>IFERROR(VLOOKUP(Cargos_Catalogo[[#This Row],[Categoria]],NivelSHR[],2,1),"")</f>
        <v>Táctico</v>
      </c>
      <c r="AR33" s="127">
        <f>IFERROR(SUMIFS(Datos_Origen[[Promedio de Comisiones  ]],Datos_Origen[Cargo Tipo Valorado],Cargos_Catalogo[[#This Row],[Cargo]])/Cargos_Catalogo[[#This Row],[Frecuencia]],0)</f>
        <v>0</v>
      </c>
      <c r="AS33" s="124"/>
      <c r="AT33" s="123"/>
    </row>
    <row r="34" spans="2:46" ht="13.8">
      <c r="B34" s="116" t="s">
        <v>303</v>
      </c>
      <c r="C34" s="116" t="e">
        <v>#N/A</v>
      </c>
      <c r="D34" s="116" t="s">
        <v>583</v>
      </c>
      <c r="E34" s="116" t="s">
        <v>587</v>
      </c>
      <c r="F34" s="116"/>
      <c r="G34" s="117">
        <f>IFERROR(IF(Cargos_Catalogo[[#This Row],[PuntosF]]="",ROUND(Cargos_Catalogo[[#This Row],[Total Puntos1]]+Cargos_Catalogo[[#This Row],[Total Puntos2]]+Cargos_Catalogo[[#This Row],[PuntosRR]],0),Cargos_Catalogo[PuntosF]),"")</f>
        <v>420</v>
      </c>
      <c r="H34" s="118" t="s">
        <v>155</v>
      </c>
      <c r="I34" s="118" t="s">
        <v>97</v>
      </c>
      <c r="J34" s="118" t="s">
        <v>120</v>
      </c>
      <c r="K34" s="118">
        <v>3</v>
      </c>
      <c r="L34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202</v>
      </c>
      <c r="M34" s="118" t="s">
        <v>118</v>
      </c>
      <c r="N34" s="118">
        <v>4</v>
      </c>
      <c r="O34" s="118" t="s">
        <v>120</v>
      </c>
      <c r="P34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34" s="117">
        <f>IFERROR(Cargos_Catalogo[[#This Row],[PuntosC&amp;H]]+Cargos_Catalogo[[#This Row],[PuntosHC]],"")</f>
        <v>279</v>
      </c>
      <c r="R34" s="118">
        <v>2</v>
      </c>
      <c r="S34" s="118" t="s">
        <v>117</v>
      </c>
      <c r="T34" s="118" t="s">
        <v>155</v>
      </c>
      <c r="U34" s="118" t="s">
        <v>78</v>
      </c>
      <c r="V34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0.24</v>
      </c>
      <c r="W34" s="120">
        <f>IFERROR(Cargos_Catalogo[[#This Row],[Total Puntos1]]*Cargos_Catalogo[[#This Row],[Porcentaje]],"")</f>
        <v>66.959999999999994</v>
      </c>
      <c r="X34" s="118" t="s">
        <v>120</v>
      </c>
      <c r="Y34" s="118" t="s">
        <v>137</v>
      </c>
      <c r="Z34" s="118">
        <v>1</v>
      </c>
      <c r="AA34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74</v>
      </c>
      <c r="AB34" s="125">
        <v>0</v>
      </c>
      <c r="AC34" s="125">
        <v>0</v>
      </c>
      <c r="AD34" s="125">
        <v>0</v>
      </c>
      <c r="AE34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12</v>
      </c>
      <c r="AF34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34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 Especialista</v>
      </c>
      <c r="AH34" s="117">
        <f>COUNTIF(Datos_Origen[Cargo Tipo Valorado],Cargos_Catalogo[[#This Row],[Cargo]])</f>
        <v>1</v>
      </c>
      <c r="AI34" s="122">
        <f>IFERROR(SUMIFS(Datos_Origen[G],Datos_Origen[Cargo Tipo Valorado],Cargos_Catalogo[[#This Row],[Cargo]])/Cargos_Catalogo[[#This Row],[Frecuencia]],0)</f>
        <v>11251318.540000001</v>
      </c>
      <c r="AJ34" s="122">
        <f>IFERROR(SUMIFS(Datos_Origen[G+V],Datos_Origen[Cargo Tipo Valorado],Cargos_Catalogo[[#This Row],[Cargo]])/Cargos_Catalogo[[#This Row],[Frecuencia]],0)</f>
        <v>11251318.540000001</v>
      </c>
      <c r="AK34" s="122">
        <f>IFERROR(SUMIFS(Datos_Origen[CT],Datos_Origen[Cargo Tipo Valorado],Cargos_Catalogo[[#This Row],[Cargo]])/Cargos_Catalogo[[#This Row],[Frecuencia]],0)</f>
        <v>11251318.540000001</v>
      </c>
      <c r="AL34" s="117" t="str">
        <f>IF(COUNTA(Cargos_Catalogo[[#This Row],[PuntosF]:[CriticidadF]])=0,"",COUNTA(Cargos_Catalogo[[#This Row],[PuntosF]:[CriticidadF]]))</f>
        <v/>
      </c>
      <c r="AM34" s="118"/>
      <c r="AN34" s="123"/>
      <c r="AO34" s="123"/>
      <c r="AP34" s="123"/>
      <c r="AQ34" s="117" t="str">
        <f>IFERROR(VLOOKUP(Cargos_Catalogo[[#This Row],[Categoria]],NivelSHR[],2,1),"")</f>
        <v>Táctico</v>
      </c>
      <c r="AR34" s="127">
        <f>IFERROR(SUMIFS(Datos_Origen[[Promedio de Comisiones  ]],Datos_Origen[Cargo Tipo Valorado],Cargos_Catalogo[[#This Row],[Cargo]])/Cargos_Catalogo[[#This Row],[Frecuencia]],0)</f>
        <v>0</v>
      </c>
      <c r="AS34" s="124"/>
      <c r="AT34" s="123"/>
    </row>
    <row r="35" spans="2:46" ht="13.8">
      <c r="B35" s="116" t="s">
        <v>304</v>
      </c>
      <c r="C35" s="116" t="s">
        <v>597</v>
      </c>
      <c r="D35" s="116" t="s">
        <v>583</v>
      </c>
      <c r="E35" s="116" t="s">
        <v>243</v>
      </c>
      <c r="F35" s="116"/>
      <c r="G35" s="117">
        <f>IFERROR(IF(Cargos_Catalogo[[#This Row],[PuntosF]]="",ROUND(Cargos_Catalogo[[#This Row],[Total Puntos1]]+Cargos_Catalogo[[#This Row],[Total Puntos2]]+Cargos_Catalogo[[#This Row],[PuntosRR]],0),Cargos_Catalogo[PuntosF]),"")</f>
        <v>420</v>
      </c>
      <c r="H35" s="118" t="s">
        <v>155</v>
      </c>
      <c r="I35" s="118" t="s">
        <v>97</v>
      </c>
      <c r="J35" s="118" t="s">
        <v>120</v>
      </c>
      <c r="K35" s="118">
        <v>3</v>
      </c>
      <c r="L35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202</v>
      </c>
      <c r="M35" s="118" t="s">
        <v>118</v>
      </c>
      <c r="N35" s="118">
        <v>4</v>
      </c>
      <c r="O35" s="118" t="s">
        <v>120</v>
      </c>
      <c r="P35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35" s="117">
        <f>IFERROR(Cargos_Catalogo[[#This Row],[PuntosC&amp;H]]+Cargos_Catalogo[[#This Row],[PuntosHC]],"")</f>
        <v>279</v>
      </c>
      <c r="R35" s="118">
        <v>2</v>
      </c>
      <c r="S35" s="118" t="s">
        <v>117</v>
      </c>
      <c r="T35" s="118" t="s">
        <v>137</v>
      </c>
      <c r="U35" s="118" t="s">
        <v>117</v>
      </c>
      <c r="V35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0.24</v>
      </c>
      <c r="W35" s="120">
        <f>IFERROR(Cargos_Catalogo[[#This Row],[Total Puntos1]]*Cargos_Catalogo[[#This Row],[Porcentaje]],"")</f>
        <v>66.959999999999994</v>
      </c>
      <c r="X35" s="118" t="s">
        <v>120</v>
      </c>
      <c r="Y35" s="118" t="s">
        <v>137</v>
      </c>
      <c r="Z35" s="118">
        <v>1</v>
      </c>
      <c r="AA35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74</v>
      </c>
      <c r="AB35" s="125">
        <v>0</v>
      </c>
      <c r="AC35" s="125">
        <v>0</v>
      </c>
      <c r="AD35" s="125">
        <v>0</v>
      </c>
      <c r="AE35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12</v>
      </c>
      <c r="AF35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35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 Especialista</v>
      </c>
      <c r="AH35" s="117">
        <f>COUNTIF(Datos_Origen[Cargo Tipo Valorado],Cargos_Catalogo[[#This Row],[Cargo]])</f>
        <v>1</v>
      </c>
      <c r="AI35" s="122">
        <f>IFERROR(SUMIFS(Datos_Origen[G],Datos_Origen[Cargo Tipo Valorado],Cargos_Catalogo[[#This Row],[Cargo]])/Cargos_Catalogo[[#This Row],[Frecuencia]],0)</f>
        <v>5424448.7000000002</v>
      </c>
      <c r="AJ35" s="122">
        <f>IFERROR(SUMIFS(Datos_Origen[G+V],Datos_Origen[Cargo Tipo Valorado],Cargos_Catalogo[[#This Row],[Cargo]])/Cargos_Catalogo[[#This Row],[Frecuencia]],0)</f>
        <v>5424448.7000000002</v>
      </c>
      <c r="AK35" s="122">
        <f>IFERROR(SUMIFS(Datos_Origen[CT],Datos_Origen[Cargo Tipo Valorado],Cargos_Catalogo[[#This Row],[Cargo]])/Cargos_Catalogo[[#This Row],[Frecuencia]],0)</f>
        <v>5424448.7000000002</v>
      </c>
      <c r="AL35" s="117" t="str">
        <f>IF(COUNTA(Cargos_Catalogo[[#This Row],[PuntosF]:[CriticidadF]])=0,"",COUNTA(Cargos_Catalogo[[#This Row],[PuntosF]:[CriticidadF]]))</f>
        <v/>
      </c>
      <c r="AM35" s="118"/>
      <c r="AN35" s="123"/>
      <c r="AO35" s="123"/>
      <c r="AP35" s="123"/>
      <c r="AQ35" s="117" t="str">
        <f>IFERROR(VLOOKUP(Cargos_Catalogo[[#This Row],[Categoria]],NivelSHR[],2,1),"")</f>
        <v>Táctico</v>
      </c>
      <c r="AR35" s="127">
        <f>IFERROR(SUMIFS(Datos_Origen[[Promedio de Comisiones  ]],Datos_Origen[Cargo Tipo Valorado],Cargos_Catalogo[[#This Row],[Cargo]])/Cargos_Catalogo[[#This Row],[Frecuencia]],0)</f>
        <v>0</v>
      </c>
      <c r="AS35" s="124"/>
      <c r="AT35" s="123"/>
    </row>
    <row r="36" spans="2:46" ht="13.8">
      <c r="B36" s="116" t="s">
        <v>299</v>
      </c>
      <c r="C36" s="116" t="e">
        <v>#N/A</v>
      </c>
      <c r="D36" s="116" t="s">
        <v>581</v>
      </c>
      <c r="E36" s="116" t="s">
        <v>241</v>
      </c>
      <c r="F36" s="116"/>
      <c r="G36" s="117">
        <f>IFERROR(IF(Cargos_Catalogo[[#This Row],[PuntosF]]="",ROUND(Cargos_Catalogo[[#This Row],[Total Puntos1]]+Cargos_Catalogo[[#This Row],[Total Puntos2]]+Cargos_Catalogo[[#This Row],[PuntosRR]],0),Cargos_Catalogo[PuntosF]),"")</f>
        <v>410</v>
      </c>
      <c r="H36" s="118" t="s">
        <v>155</v>
      </c>
      <c r="I36" s="118" t="s">
        <v>97</v>
      </c>
      <c r="J36" s="118" t="s">
        <v>120</v>
      </c>
      <c r="K36" s="118">
        <v>3</v>
      </c>
      <c r="L36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202</v>
      </c>
      <c r="M36" s="118" t="s">
        <v>118</v>
      </c>
      <c r="N36" s="118">
        <v>4</v>
      </c>
      <c r="O36" s="118" t="s">
        <v>120</v>
      </c>
      <c r="P36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36" s="117">
        <f>IFERROR(Cargos_Catalogo[[#This Row],[PuntosC&amp;H]]+Cargos_Catalogo[[#This Row],[PuntosHC]],"")</f>
        <v>279</v>
      </c>
      <c r="R36" s="118">
        <v>2</v>
      </c>
      <c r="S36" s="118" t="s">
        <v>117</v>
      </c>
      <c r="T36" s="118" t="s">
        <v>137</v>
      </c>
      <c r="U36" s="118" t="s">
        <v>117</v>
      </c>
      <c r="V36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0.24</v>
      </c>
      <c r="W36" s="120">
        <f>IFERROR(Cargos_Catalogo[[#This Row],[Total Puntos1]]*Cargos_Catalogo[[#This Row],[Porcentaje]],"")</f>
        <v>66.959999999999994</v>
      </c>
      <c r="X36" s="118" t="s">
        <v>120</v>
      </c>
      <c r="Y36" s="118" t="s">
        <v>118</v>
      </c>
      <c r="Z36" s="118">
        <v>1</v>
      </c>
      <c r="AA36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64</v>
      </c>
      <c r="AB36" s="125">
        <v>0</v>
      </c>
      <c r="AC36" s="125">
        <v>1</v>
      </c>
      <c r="AD36" s="125">
        <v>0</v>
      </c>
      <c r="AE36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12</v>
      </c>
      <c r="AF36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Importante</v>
      </c>
      <c r="AG36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 Especialista</v>
      </c>
      <c r="AH36" s="117">
        <f>COUNTIF(Datos_Origen[Cargo Tipo Valorado],Cargos_Catalogo[[#This Row],[Cargo]])</f>
        <v>1</v>
      </c>
      <c r="AI36" s="122">
        <f>IFERROR(SUMIFS(Datos_Origen[G],Datos_Origen[Cargo Tipo Valorado],Cargos_Catalogo[[#This Row],[Cargo]])/Cargos_Catalogo[[#This Row],[Frecuencia]],0)</f>
        <v>5818633.1500000004</v>
      </c>
      <c r="AJ36" s="122">
        <f>IFERROR(SUMIFS(Datos_Origen[G+V],Datos_Origen[Cargo Tipo Valorado],Cargos_Catalogo[[#This Row],[Cargo]])/Cargos_Catalogo[[#This Row],[Frecuencia]],0)</f>
        <v>5818633.1500000004</v>
      </c>
      <c r="AK36" s="122">
        <f>IFERROR(SUMIFS(Datos_Origen[CT],Datos_Origen[Cargo Tipo Valorado],Cargos_Catalogo[[#This Row],[Cargo]])/Cargos_Catalogo[[#This Row],[Frecuencia]],0)</f>
        <v>5818633.1500000004</v>
      </c>
      <c r="AL36" s="117" t="str">
        <f>IF(COUNTA(Cargos_Catalogo[[#This Row],[PuntosF]:[CriticidadF]])=0,"",COUNTA(Cargos_Catalogo[[#This Row],[PuntosF]:[CriticidadF]]))</f>
        <v/>
      </c>
      <c r="AM36" s="118"/>
      <c r="AN36" s="123"/>
      <c r="AO36" s="123"/>
      <c r="AP36" s="123"/>
      <c r="AQ36" s="117" t="str">
        <f>IFERROR(VLOOKUP(Cargos_Catalogo[[#This Row],[Categoria]],NivelSHR[],2,1),"")</f>
        <v>Táctico</v>
      </c>
      <c r="AR36" s="127">
        <f>IFERROR(SUMIFS(Datos_Origen[[Promedio de Comisiones  ]],Datos_Origen[Cargo Tipo Valorado],Cargos_Catalogo[[#This Row],[Cargo]])/Cargos_Catalogo[[#This Row],[Frecuencia]],0)</f>
        <v>0</v>
      </c>
      <c r="AS36" s="124"/>
      <c r="AT36" s="123"/>
    </row>
    <row r="37" spans="2:46" ht="13.8">
      <c r="B37" s="116" t="s">
        <v>302</v>
      </c>
      <c r="C37" s="116" t="s">
        <v>592</v>
      </c>
      <c r="D37" s="116" t="e">
        <v>#N/A</v>
      </c>
      <c r="E37" s="116" t="s">
        <v>587</v>
      </c>
      <c r="F37" s="116"/>
      <c r="G37" s="117">
        <f>IFERROR(IF(Cargos_Catalogo[[#This Row],[PuntosF]]="",ROUND(Cargos_Catalogo[[#This Row],[Total Puntos1]]+Cargos_Catalogo[[#This Row],[Total Puntos2]]+Cargos_Catalogo[[#This Row],[PuntosRR]],0),Cargos_Catalogo[PuntosF]),"")</f>
        <v>410</v>
      </c>
      <c r="H37" s="118" t="s">
        <v>155</v>
      </c>
      <c r="I37" s="118" t="s">
        <v>97</v>
      </c>
      <c r="J37" s="118" t="s">
        <v>120</v>
      </c>
      <c r="K37" s="118">
        <v>3</v>
      </c>
      <c r="L37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202</v>
      </c>
      <c r="M37" s="118" t="s">
        <v>118</v>
      </c>
      <c r="N37" s="118">
        <v>4</v>
      </c>
      <c r="O37" s="118" t="s">
        <v>120</v>
      </c>
      <c r="P37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37" s="117">
        <f>IFERROR(Cargos_Catalogo[[#This Row],[PuntosC&amp;H]]+Cargos_Catalogo[[#This Row],[PuntosHC]],"")</f>
        <v>279</v>
      </c>
      <c r="R37" s="118">
        <v>3</v>
      </c>
      <c r="S37" s="118" t="s">
        <v>78</v>
      </c>
      <c r="T37" s="118" t="s">
        <v>137</v>
      </c>
      <c r="U37" s="118" t="s">
        <v>117</v>
      </c>
      <c r="V37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0.24</v>
      </c>
      <c r="W37" s="120">
        <f>IFERROR(Cargos_Catalogo[[#This Row],[Total Puntos1]]*Cargos_Catalogo[[#This Row],[Porcentaje]],"")</f>
        <v>66.959999999999994</v>
      </c>
      <c r="X37" s="118" t="s">
        <v>120</v>
      </c>
      <c r="Y37" s="118" t="s">
        <v>118</v>
      </c>
      <c r="Z37" s="118">
        <v>1</v>
      </c>
      <c r="AA37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64</v>
      </c>
      <c r="AB37" s="125">
        <v>0</v>
      </c>
      <c r="AC37" s="125">
        <v>0</v>
      </c>
      <c r="AD37" s="125">
        <v>0</v>
      </c>
      <c r="AE37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12</v>
      </c>
      <c r="AF37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37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 Especialista</v>
      </c>
      <c r="AH37" s="117">
        <f>COUNTIF(Datos_Origen[Cargo Tipo Valorado],Cargos_Catalogo[[#This Row],[Cargo]])</f>
        <v>1</v>
      </c>
      <c r="AI37" s="122">
        <f>IFERROR(SUMIFS(Datos_Origen[G],Datos_Origen[Cargo Tipo Valorado],Cargos_Catalogo[[#This Row],[Cargo]])/Cargos_Catalogo[[#This Row],[Frecuencia]],0)</f>
        <v>5570355.7800000003</v>
      </c>
      <c r="AJ37" s="122">
        <f>IFERROR(SUMIFS(Datos_Origen[G+V],Datos_Origen[Cargo Tipo Valorado],Cargos_Catalogo[[#This Row],[Cargo]])/Cargos_Catalogo[[#This Row],[Frecuencia]],0)</f>
        <v>5570355.7800000003</v>
      </c>
      <c r="AK37" s="122">
        <f>IFERROR(SUMIFS(Datos_Origen[CT],Datos_Origen[Cargo Tipo Valorado],Cargos_Catalogo[[#This Row],[Cargo]])/Cargos_Catalogo[[#This Row],[Frecuencia]],0)</f>
        <v>5570355.7800000003</v>
      </c>
      <c r="AL37" s="117" t="str">
        <f>IF(COUNTA(Cargos_Catalogo[[#This Row],[PuntosF]:[CriticidadF]])=0,"",COUNTA(Cargos_Catalogo[[#This Row],[PuntosF]:[CriticidadF]]))</f>
        <v/>
      </c>
      <c r="AM37" s="118"/>
      <c r="AN37" s="123"/>
      <c r="AO37" s="123"/>
      <c r="AP37" s="123"/>
      <c r="AQ37" s="117" t="str">
        <f>IFERROR(VLOOKUP(Cargos_Catalogo[[#This Row],[Categoria]],NivelSHR[],2,1),"")</f>
        <v>Táctico</v>
      </c>
      <c r="AR37" s="127">
        <f>IFERROR(SUMIFS(Datos_Origen[[Promedio de Comisiones  ]],Datos_Origen[Cargo Tipo Valorado],Cargos_Catalogo[[#This Row],[Cargo]])/Cargos_Catalogo[[#This Row],[Frecuencia]],0)</f>
        <v>0</v>
      </c>
      <c r="AS37" s="124"/>
      <c r="AT37" s="123"/>
    </row>
    <row r="38" spans="2:46" ht="13.8">
      <c r="B38" s="116" t="s">
        <v>301</v>
      </c>
      <c r="C38" s="116" t="s">
        <v>598</v>
      </c>
      <c r="D38" s="116" t="s">
        <v>595</v>
      </c>
      <c r="E38" s="116" t="s">
        <v>584</v>
      </c>
      <c r="F38" s="116"/>
      <c r="G38" s="117">
        <f>IFERROR(IF(Cargos_Catalogo[[#This Row],[PuntosF]]="",ROUND(Cargos_Catalogo[[#This Row],[Total Puntos1]]+Cargos_Catalogo[[#This Row],[Total Puntos2]]+Cargos_Catalogo[[#This Row],[PuntosRR]],0),Cargos_Catalogo[PuntosF]),"")</f>
        <v>409</v>
      </c>
      <c r="H38" s="118" t="s">
        <v>155</v>
      </c>
      <c r="I38" s="118" t="s">
        <v>97</v>
      </c>
      <c r="J38" s="118" t="s">
        <v>120</v>
      </c>
      <c r="K38" s="118">
        <v>1</v>
      </c>
      <c r="L38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190</v>
      </c>
      <c r="M38" s="118" t="s">
        <v>118</v>
      </c>
      <c r="N38" s="118">
        <v>4</v>
      </c>
      <c r="O38" s="118" t="s">
        <v>120</v>
      </c>
      <c r="P38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38" s="117">
        <f>IFERROR(Cargos_Catalogo[[#This Row],[PuntosC&amp;H]]+Cargos_Catalogo[[#This Row],[PuntosHC]],"")</f>
        <v>267</v>
      </c>
      <c r="R38" s="118">
        <v>2</v>
      </c>
      <c r="S38" s="118" t="s">
        <v>117</v>
      </c>
      <c r="T38" s="118" t="s">
        <v>137</v>
      </c>
      <c r="U38" s="118" t="s">
        <v>117</v>
      </c>
      <c r="V38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0.24</v>
      </c>
      <c r="W38" s="120">
        <f>IFERROR(Cargos_Catalogo[[#This Row],[Total Puntos1]]*Cargos_Catalogo[[#This Row],[Porcentaje]],"")</f>
        <v>64.08</v>
      </c>
      <c r="X38" s="118" t="s">
        <v>120</v>
      </c>
      <c r="Y38" s="118" t="s">
        <v>118</v>
      </c>
      <c r="Z38" s="118">
        <v>2</v>
      </c>
      <c r="AA38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78</v>
      </c>
      <c r="AB38" s="125">
        <v>1</v>
      </c>
      <c r="AC38" s="125">
        <v>1</v>
      </c>
      <c r="AD38" s="125">
        <v>0</v>
      </c>
      <c r="AE38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12</v>
      </c>
      <c r="AF38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Muy Importante</v>
      </c>
      <c r="AG38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 Especialista</v>
      </c>
      <c r="AH38" s="117">
        <f>COUNTIF(Datos_Origen[Cargo Tipo Valorado],Cargos_Catalogo[[#This Row],[Cargo]])</f>
        <v>1</v>
      </c>
      <c r="AI38" s="122">
        <f>IFERROR(SUMIFS(Datos_Origen[G],Datos_Origen[Cargo Tipo Valorado],Cargos_Catalogo[[#This Row],[Cargo]])/Cargos_Catalogo[[#This Row],[Frecuencia]],0)</f>
        <v>4471346</v>
      </c>
      <c r="AJ38" s="122">
        <f>IFERROR(SUMIFS(Datos_Origen[G+V],Datos_Origen[Cargo Tipo Valorado],Cargos_Catalogo[[#This Row],[Cargo]])/Cargos_Catalogo[[#This Row],[Frecuencia]],0)</f>
        <v>7883689</v>
      </c>
      <c r="AK38" s="122">
        <f>IFERROR(SUMIFS(Datos_Origen[CT],Datos_Origen[Cargo Tipo Valorado],Cargos_Catalogo[[#This Row],[Cargo]])/Cargos_Catalogo[[#This Row],[Frecuencia]],0)</f>
        <v>7883689</v>
      </c>
      <c r="AL38" s="117" t="str">
        <f>IF(COUNTA(Cargos_Catalogo[[#This Row],[PuntosF]:[CriticidadF]])=0,"",COUNTA(Cargos_Catalogo[[#This Row],[PuntosF]:[CriticidadF]]))</f>
        <v/>
      </c>
      <c r="AM38" s="118"/>
      <c r="AN38" s="123"/>
      <c r="AO38" s="123"/>
      <c r="AP38" s="123"/>
      <c r="AQ38" s="117" t="str">
        <f>IFERROR(VLOOKUP(Cargos_Catalogo[[#This Row],[Categoria]],NivelSHR[],2,1),"")</f>
        <v>Táctico</v>
      </c>
      <c r="AR38" s="127">
        <f>IFERROR(SUMIFS(Datos_Origen[[Promedio de Comisiones  ]],Datos_Origen[Cargo Tipo Valorado],Cargos_Catalogo[[#This Row],[Cargo]])/Cargos_Catalogo[[#This Row],[Frecuencia]],0)</f>
        <v>2900000</v>
      </c>
      <c r="AS38" s="124"/>
      <c r="AT38" s="123"/>
    </row>
    <row r="39" spans="2:46" ht="13.8">
      <c r="B39" s="116" t="s">
        <v>300</v>
      </c>
      <c r="C39" s="116" t="e">
        <v>#N/A</v>
      </c>
      <c r="D39" s="116" t="s">
        <v>588</v>
      </c>
      <c r="E39" s="116" t="s">
        <v>241</v>
      </c>
      <c r="F39" s="116"/>
      <c r="G39" s="117">
        <f>IFERROR(IF(Cargos_Catalogo[[#This Row],[PuntosF]]="",ROUND(Cargos_Catalogo[[#This Row],[Total Puntos1]]+Cargos_Catalogo[[#This Row],[Total Puntos2]]+Cargos_Catalogo[[#This Row],[PuntosRR]],0),Cargos_Catalogo[PuntosF]),"")</f>
        <v>408</v>
      </c>
      <c r="H39" s="118" t="s">
        <v>155</v>
      </c>
      <c r="I39" s="118" t="s">
        <v>97</v>
      </c>
      <c r="J39" s="118" t="s">
        <v>120</v>
      </c>
      <c r="K39" s="118">
        <v>1</v>
      </c>
      <c r="L39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190</v>
      </c>
      <c r="M39" s="118" t="s">
        <v>118</v>
      </c>
      <c r="N39" s="118">
        <v>4</v>
      </c>
      <c r="O39" s="118" t="s">
        <v>120</v>
      </c>
      <c r="P39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39" s="117">
        <f>IFERROR(Cargos_Catalogo[[#This Row],[PuntosC&amp;H]]+Cargos_Catalogo[[#This Row],[PuntosHC]],"")</f>
        <v>267</v>
      </c>
      <c r="R39" s="118">
        <v>4</v>
      </c>
      <c r="S39" s="118" t="s">
        <v>78</v>
      </c>
      <c r="T39" s="118" t="s">
        <v>137</v>
      </c>
      <c r="U39" s="118" t="s">
        <v>117</v>
      </c>
      <c r="V39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0.28999999999999998</v>
      </c>
      <c r="W39" s="120">
        <f>IFERROR(Cargos_Catalogo[[#This Row],[Total Puntos1]]*Cargos_Catalogo[[#This Row],[Porcentaje]],"")</f>
        <v>77.429999999999993</v>
      </c>
      <c r="X39" s="118" t="s">
        <v>120</v>
      </c>
      <c r="Y39" s="118" t="s">
        <v>118</v>
      </c>
      <c r="Z39" s="118">
        <v>1</v>
      </c>
      <c r="AA39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64</v>
      </c>
      <c r="AB39" s="125">
        <v>1</v>
      </c>
      <c r="AC39" s="125">
        <v>1</v>
      </c>
      <c r="AD39" s="125">
        <v>1</v>
      </c>
      <c r="AE39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12</v>
      </c>
      <c r="AF39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Crítico</v>
      </c>
      <c r="AG39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 Especialista</v>
      </c>
      <c r="AH39" s="117">
        <f>COUNTIF(Datos_Origen[Cargo Tipo Valorado],Cargos_Catalogo[[#This Row],[Cargo]])</f>
        <v>8</v>
      </c>
      <c r="AI39" s="122">
        <f>IFERROR(SUMIFS(Datos_Origen[G],Datos_Origen[Cargo Tipo Valorado],Cargos_Catalogo[[#This Row],[Cargo]])/Cargos_Catalogo[[#This Row],[Frecuencia]],0)</f>
        <v>4745510.1100000003</v>
      </c>
      <c r="AJ39" s="122">
        <f>IFERROR(SUMIFS(Datos_Origen[G+V],Datos_Origen[Cargo Tipo Valorado],Cargos_Catalogo[[#This Row],[Cargo]])/Cargos_Catalogo[[#This Row],[Frecuencia]],0)</f>
        <v>4745510.1100000003</v>
      </c>
      <c r="AK39" s="122">
        <f>IFERROR(SUMIFS(Datos_Origen[CT],Datos_Origen[Cargo Tipo Valorado],Cargos_Catalogo[[#This Row],[Cargo]])/Cargos_Catalogo[[#This Row],[Frecuencia]],0)</f>
        <v>4745510.1100000003</v>
      </c>
      <c r="AL39" s="117" t="str">
        <f>IF(COUNTA(Cargos_Catalogo[[#This Row],[PuntosF]:[CriticidadF]])=0,"",COUNTA(Cargos_Catalogo[[#This Row],[PuntosF]:[CriticidadF]]))</f>
        <v/>
      </c>
      <c r="AM39" s="118"/>
      <c r="AN39" s="123"/>
      <c r="AO39" s="123"/>
      <c r="AP39" s="123"/>
      <c r="AQ39" s="117" t="str">
        <f>IFERROR(VLOOKUP(Cargos_Catalogo[[#This Row],[Categoria]],NivelSHR[],2,1),"")</f>
        <v>Táctico</v>
      </c>
      <c r="AR39" s="127">
        <f>IFERROR(SUMIFS(Datos_Origen[[Promedio de Comisiones  ]],Datos_Origen[Cargo Tipo Valorado],Cargos_Catalogo[[#This Row],[Cargo]])/Cargos_Catalogo[[#This Row],[Frecuencia]],0)</f>
        <v>0</v>
      </c>
      <c r="AS39" s="124"/>
      <c r="AT39" s="123"/>
    </row>
    <row r="40" spans="2:46" ht="13.8">
      <c r="B40" s="116" t="s">
        <v>321</v>
      </c>
      <c r="C40" s="116" t="s">
        <v>599</v>
      </c>
      <c r="D40" s="116" t="s">
        <v>583</v>
      </c>
      <c r="E40" s="116" t="s">
        <v>587</v>
      </c>
      <c r="F40" s="116"/>
      <c r="G40" s="117">
        <f>IFERROR(IF(Cargos_Catalogo[[#This Row],[PuntosF]]="",ROUND(Cargos_Catalogo[[#This Row],[Total Puntos1]]+Cargos_Catalogo[[#This Row],[Total Puntos2]]+Cargos_Catalogo[[#This Row],[PuntosRR]],0),Cargos_Catalogo[PuntosF]),"")</f>
        <v>404</v>
      </c>
      <c r="H40" s="118" t="s">
        <v>155</v>
      </c>
      <c r="I40" s="118" t="s">
        <v>97</v>
      </c>
      <c r="J40" s="118" t="s">
        <v>120</v>
      </c>
      <c r="K40" s="118">
        <v>3</v>
      </c>
      <c r="L40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202</v>
      </c>
      <c r="M40" s="118" t="s">
        <v>118</v>
      </c>
      <c r="N40" s="118">
        <v>4</v>
      </c>
      <c r="O40" s="118" t="s">
        <v>120</v>
      </c>
      <c r="P40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40" s="117">
        <f>IFERROR(Cargos_Catalogo[[#This Row],[PuntosC&amp;H]]+Cargos_Catalogo[[#This Row],[PuntosHC]],"")</f>
        <v>279</v>
      </c>
      <c r="R40" s="118">
        <v>2</v>
      </c>
      <c r="S40" s="118" t="s">
        <v>117</v>
      </c>
      <c r="T40" s="118" t="s">
        <v>137</v>
      </c>
      <c r="U40" s="118" t="s">
        <v>97</v>
      </c>
      <c r="V40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0.22</v>
      </c>
      <c r="W40" s="120">
        <f>IFERROR(Cargos_Catalogo[[#This Row],[Total Puntos1]]*Cargos_Catalogo[[#This Row],[Porcentaje]],"")</f>
        <v>61.38</v>
      </c>
      <c r="X40" s="118" t="s">
        <v>120</v>
      </c>
      <c r="Y40" s="118" t="s">
        <v>118</v>
      </c>
      <c r="Z40" s="118">
        <v>1</v>
      </c>
      <c r="AA40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64</v>
      </c>
      <c r="AB40" s="125">
        <v>0</v>
      </c>
      <c r="AC40" s="125">
        <v>0</v>
      </c>
      <c r="AD40" s="125">
        <v>0</v>
      </c>
      <c r="AE40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11</v>
      </c>
      <c r="AF40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40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/Especialista</v>
      </c>
      <c r="AH40" s="117">
        <f>COUNTIF(Datos_Origen[Cargo Tipo Valorado],Cargos_Catalogo[[#This Row],[Cargo]])</f>
        <v>1</v>
      </c>
      <c r="AI40" s="122">
        <f>IFERROR(SUMIFS(Datos_Origen[G],Datos_Origen[Cargo Tipo Valorado],Cargos_Catalogo[[#This Row],[Cargo]])/Cargos_Catalogo[[#This Row],[Frecuencia]],0)</f>
        <v>6471685.0000000009</v>
      </c>
      <c r="AJ40" s="122">
        <f>IFERROR(SUMIFS(Datos_Origen[G+V],Datos_Origen[Cargo Tipo Valorado],Cargos_Catalogo[[#This Row],[Cargo]])/Cargos_Catalogo[[#This Row],[Frecuencia]],0)</f>
        <v>6471685.0000000009</v>
      </c>
      <c r="AK40" s="122">
        <f>IFERROR(SUMIFS(Datos_Origen[CT],Datos_Origen[Cargo Tipo Valorado],Cargos_Catalogo[[#This Row],[Cargo]])/Cargos_Catalogo[[#This Row],[Frecuencia]],0)</f>
        <v>6471685.0000000009</v>
      </c>
      <c r="AL40" s="117" t="str">
        <f>IF(COUNTA(Cargos_Catalogo[[#This Row],[PuntosF]:[CriticidadF]])=0,"",COUNTA(Cargos_Catalogo[[#This Row],[PuntosF]:[CriticidadF]]))</f>
        <v/>
      </c>
      <c r="AM40" s="118"/>
      <c r="AN40" s="123"/>
      <c r="AO40" s="123"/>
      <c r="AP40" s="123"/>
      <c r="AQ40" s="117" t="str">
        <f>IFERROR(VLOOKUP(Cargos_Catalogo[[#This Row],[Categoria]],NivelSHR[],2,1),"")</f>
        <v>Táctico</v>
      </c>
      <c r="AR40" s="127">
        <f>IFERROR(SUMIFS(Datos_Origen[[Promedio de Comisiones  ]],Datos_Origen[Cargo Tipo Valorado],Cargos_Catalogo[[#This Row],[Cargo]])/Cargos_Catalogo[[#This Row],[Frecuencia]],0)</f>
        <v>0</v>
      </c>
      <c r="AS40" s="124"/>
      <c r="AT40" s="123"/>
    </row>
    <row r="41" spans="2:46" ht="13.8">
      <c r="B41" s="116" t="s">
        <v>310</v>
      </c>
      <c r="C41" s="116" t="s">
        <v>600</v>
      </c>
      <c r="D41" s="116" t="s">
        <v>588</v>
      </c>
      <c r="E41" s="116" t="s">
        <v>241</v>
      </c>
      <c r="F41" s="116"/>
      <c r="G41" s="117">
        <f>IFERROR(IF(Cargos_Catalogo[[#This Row],[PuntosF]]="",ROUND(Cargos_Catalogo[[#This Row],[Total Puntos1]]+Cargos_Catalogo[[#This Row],[Total Puntos2]]+Cargos_Catalogo[[#This Row],[PuntosRR]],0),Cargos_Catalogo[PuntosF]),"")</f>
        <v>399</v>
      </c>
      <c r="H41" s="118" t="s">
        <v>155</v>
      </c>
      <c r="I41" s="118" t="s">
        <v>97</v>
      </c>
      <c r="J41" s="118" t="s">
        <v>120</v>
      </c>
      <c r="K41" s="118">
        <v>3</v>
      </c>
      <c r="L41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202</v>
      </c>
      <c r="M41" s="118" t="s">
        <v>118</v>
      </c>
      <c r="N41" s="118">
        <v>4</v>
      </c>
      <c r="O41" s="118" t="s">
        <v>120</v>
      </c>
      <c r="P41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41" s="117">
        <f>IFERROR(Cargos_Catalogo[[#This Row],[PuntosC&amp;H]]+Cargos_Catalogo[[#This Row],[PuntosHC]],"")</f>
        <v>279</v>
      </c>
      <c r="R41" s="118">
        <v>2</v>
      </c>
      <c r="S41" s="118" t="s">
        <v>117</v>
      </c>
      <c r="T41" s="118" t="s">
        <v>137</v>
      </c>
      <c r="U41" s="118" t="s">
        <v>78</v>
      </c>
      <c r="V41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</v>
      </c>
      <c r="W41" s="120">
        <f>IFERROR(Cargos_Catalogo[[#This Row],[Total Puntos1]]*Cargos_Catalogo[[#This Row],[Porcentaje]],"")</f>
        <v>55.800000000000004</v>
      </c>
      <c r="X41" s="118" t="s">
        <v>120</v>
      </c>
      <c r="Y41" s="118" t="s">
        <v>118</v>
      </c>
      <c r="Z41" s="118">
        <v>1</v>
      </c>
      <c r="AA41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64</v>
      </c>
      <c r="AB41" s="125">
        <v>0</v>
      </c>
      <c r="AC41" s="125">
        <v>1</v>
      </c>
      <c r="AD41" s="125">
        <v>0</v>
      </c>
      <c r="AE41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11</v>
      </c>
      <c r="AF41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Importante</v>
      </c>
      <c r="AG41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/Especialista</v>
      </c>
      <c r="AH41" s="117">
        <f>COUNTIF(Datos_Origen[Cargo Tipo Valorado],Cargos_Catalogo[[#This Row],[Cargo]])</f>
        <v>1</v>
      </c>
      <c r="AI41" s="122">
        <f>IFERROR(SUMIFS(Datos_Origen[G],Datos_Origen[Cargo Tipo Valorado],Cargos_Catalogo[[#This Row],[Cargo]])/Cargos_Catalogo[[#This Row],[Frecuencia]],0)</f>
        <v>6561111.9200000009</v>
      </c>
      <c r="AJ41" s="122">
        <f>IFERROR(SUMIFS(Datos_Origen[G+V],Datos_Origen[Cargo Tipo Valorado],Cargos_Catalogo[[#This Row],[Cargo]])/Cargos_Catalogo[[#This Row],[Frecuencia]],0)</f>
        <v>6561111.9200000009</v>
      </c>
      <c r="AK41" s="122">
        <f>IFERROR(SUMIFS(Datos_Origen[CT],Datos_Origen[Cargo Tipo Valorado],Cargos_Catalogo[[#This Row],[Cargo]])/Cargos_Catalogo[[#This Row],[Frecuencia]],0)</f>
        <v>6561111.9200000009</v>
      </c>
      <c r="AL41" s="117" t="str">
        <f>IF(COUNTA(Cargos_Catalogo[[#This Row],[PuntosF]:[CriticidadF]])=0,"",COUNTA(Cargos_Catalogo[[#This Row],[PuntosF]:[CriticidadF]]))</f>
        <v/>
      </c>
      <c r="AM41" s="118"/>
      <c r="AN41" s="123"/>
      <c r="AO41" s="123"/>
      <c r="AP41" s="123"/>
      <c r="AQ41" s="117" t="str">
        <f>IFERROR(VLOOKUP(Cargos_Catalogo[[#This Row],[Categoria]],NivelSHR[],2,1),"")</f>
        <v>Táctico</v>
      </c>
      <c r="AR41" s="127">
        <f>IFERROR(SUMIFS(Datos_Origen[[Promedio de Comisiones  ]],Datos_Origen[Cargo Tipo Valorado],Cargos_Catalogo[[#This Row],[Cargo]])/Cargos_Catalogo[[#This Row],[Frecuencia]],0)</f>
        <v>0</v>
      </c>
      <c r="AS41" s="124"/>
      <c r="AT41" s="123"/>
    </row>
    <row r="42" spans="2:46" ht="13.8">
      <c r="B42" s="116" t="s">
        <v>311</v>
      </c>
      <c r="C42" s="116" t="s">
        <v>601</v>
      </c>
      <c r="D42" s="116" t="s">
        <v>588</v>
      </c>
      <c r="E42" s="116" t="s">
        <v>241</v>
      </c>
      <c r="F42" s="116"/>
      <c r="G42" s="117">
        <f>IFERROR(IF(Cargos_Catalogo[[#This Row],[PuntosF]]="",ROUND(Cargos_Catalogo[[#This Row],[Total Puntos1]]+Cargos_Catalogo[[#This Row],[Total Puntos2]]+Cargos_Catalogo[[#This Row],[PuntosRR]],0),Cargos_Catalogo[PuntosF]),"")</f>
        <v>396</v>
      </c>
      <c r="H42" s="118" t="s">
        <v>155</v>
      </c>
      <c r="I42" s="118" t="s">
        <v>97</v>
      </c>
      <c r="J42" s="118" t="s">
        <v>120</v>
      </c>
      <c r="K42" s="118">
        <v>3</v>
      </c>
      <c r="L42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202</v>
      </c>
      <c r="M42" s="118" t="s">
        <v>118</v>
      </c>
      <c r="N42" s="118">
        <v>4</v>
      </c>
      <c r="O42" s="118" t="s">
        <v>120</v>
      </c>
      <c r="P42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42" s="117">
        <f>IFERROR(Cargos_Catalogo[[#This Row],[PuntosC&amp;H]]+Cargos_Catalogo[[#This Row],[PuntosHC]],"")</f>
        <v>279</v>
      </c>
      <c r="R42" s="118">
        <v>2</v>
      </c>
      <c r="S42" s="118" t="s">
        <v>97</v>
      </c>
      <c r="T42" s="118" t="s">
        <v>118</v>
      </c>
      <c r="U42" s="118" t="s">
        <v>117</v>
      </c>
      <c r="V42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0.19</v>
      </c>
      <c r="W42" s="120">
        <f>IFERROR(Cargos_Catalogo[[#This Row],[Total Puntos1]]*Cargos_Catalogo[[#This Row],[Porcentaje]],"")</f>
        <v>53.01</v>
      </c>
      <c r="X42" s="118" t="s">
        <v>120</v>
      </c>
      <c r="Y42" s="118" t="s">
        <v>118</v>
      </c>
      <c r="Z42" s="118">
        <v>1</v>
      </c>
      <c r="AA42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64</v>
      </c>
      <c r="AB42" s="125">
        <v>0</v>
      </c>
      <c r="AC42" s="125">
        <v>1</v>
      </c>
      <c r="AD42" s="125">
        <v>0</v>
      </c>
      <c r="AE42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11</v>
      </c>
      <c r="AF42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Importante</v>
      </c>
      <c r="AG42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/Especialista</v>
      </c>
      <c r="AH42" s="117">
        <f>COUNTIF(Datos_Origen[Cargo Tipo Valorado],Cargos_Catalogo[[#This Row],[Cargo]])</f>
        <v>7</v>
      </c>
      <c r="AI42" s="122">
        <f>IFERROR(SUMIFS(Datos_Origen[G],Datos_Origen[Cargo Tipo Valorado],Cargos_Catalogo[[#This Row],[Cargo]])/Cargos_Catalogo[[#This Row],[Frecuencia]],0)</f>
        <v>4745510.1100000003</v>
      </c>
      <c r="AJ42" s="122">
        <f>IFERROR(SUMIFS(Datos_Origen[G+V],Datos_Origen[Cargo Tipo Valorado],Cargos_Catalogo[[#This Row],[Cargo]])/Cargos_Catalogo[[#This Row],[Frecuencia]],0)</f>
        <v>4745510.1100000003</v>
      </c>
      <c r="AK42" s="122">
        <f>IFERROR(SUMIFS(Datos_Origen[CT],Datos_Origen[Cargo Tipo Valorado],Cargos_Catalogo[[#This Row],[Cargo]])/Cargos_Catalogo[[#This Row],[Frecuencia]],0)</f>
        <v>4745510.1100000003</v>
      </c>
      <c r="AL42" s="117" t="str">
        <f>IF(COUNTA(Cargos_Catalogo[[#This Row],[PuntosF]:[CriticidadF]])=0,"",COUNTA(Cargos_Catalogo[[#This Row],[PuntosF]:[CriticidadF]]))</f>
        <v/>
      </c>
      <c r="AM42" s="118"/>
      <c r="AN42" s="123"/>
      <c r="AO42" s="123"/>
      <c r="AP42" s="123"/>
      <c r="AQ42" s="117" t="str">
        <f>IFERROR(VLOOKUP(Cargos_Catalogo[[#This Row],[Categoria]],NivelSHR[],2,1),"")</f>
        <v>Táctico</v>
      </c>
      <c r="AR42" s="127">
        <f>IFERROR(SUMIFS(Datos_Origen[[Promedio de Comisiones  ]],Datos_Origen[Cargo Tipo Valorado],Cargos_Catalogo[[#This Row],[Cargo]])/Cargos_Catalogo[[#This Row],[Frecuencia]],0)</f>
        <v>0</v>
      </c>
      <c r="AS42" s="124"/>
      <c r="AT42" s="123"/>
    </row>
    <row r="43" spans="2:46" ht="13.8">
      <c r="B43" s="116" t="s">
        <v>319</v>
      </c>
      <c r="C43" s="116" t="s">
        <v>602</v>
      </c>
      <c r="D43" s="116" t="s">
        <v>595</v>
      </c>
      <c r="E43" s="116" t="s">
        <v>241</v>
      </c>
      <c r="F43" s="116"/>
      <c r="G43" s="117">
        <f>IFERROR(IF(Cargos_Catalogo[[#This Row],[PuntosF]]="",ROUND(Cargos_Catalogo[[#This Row],[Total Puntos1]]+Cargos_Catalogo[[#This Row],[Total Puntos2]]+Cargos_Catalogo[[#This Row],[PuntosRR]],0),Cargos_Catalogo[PuntosF]),"")</f>
        <v>384</v>
      </c>
      <c r="H43" s="118" t="s">
        <v>155</v>
      </c>
      <c r="I43" s="118" t="s">
        <v>97</v>
      </c>
      <c r="J43" s="118" t="s">
        <v>120</v>
      </c>
      <c r="K43" s="118">
        <v>1</v>
      </c>
      <c r="L43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190</v>
      </c>
      <c r="M43" s="118" t="s">
        <v>118</v>
      </c>
      <c r="N43" s="118">
        <v>4</v>
      </c>
      <c r="O43" s="118" t="s">
        <v>120</v>
      </c>
      <c r="P43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43" s="117">
        <f>IFERROR(Cargos_Catalogo[[#This Row],[PuntosC&amp;H]]+Cargos_Catalogo[[#This Row],[PuntosHC]],"")</f>
        <v>267</v>
      </c>
      <c r="R43" s="118">
        <v>2</v>
      </c>
      <c r="S43" s="118" t="s">
        <v>117</v>
      </c>
      <c r="T43" s="118" t="s">
        <v>137</v>
      </c>
      <c r="U43" s="118" t="s">
        <v>78</v>
      </c>
      <c r="V43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</v>
      </c>
      <c r="W43" s="120">
        <f>IFERROR(Cargos_Catalogo[[#This Row],[Total Puntos1]]*Cargos_Catalogo[[#This Row],[Porcentaje]],"")</f>
        <v>53.400000000000006</v>
      </c>
      <c r="X43" s="118" t="s">
        <v>120</v>
      </c>
      <c r="Y43" s="118" t="s">
        <v>118</v>
      </c>
      <c r="Z43" s="118">
        <v>1</v>
      </c>
      <c r="AA43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64</v>
      </c>
      <c r="AB43" s="125">
        <v>0</v>
      </c>
      <c r="AC43" s="125">
        <v>1</v>
      </c>
      <c r="AD43" s="125">
        <v>0</v>
      </c>
      <c r="AE43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11</v>
      </c>
      <c r="AF43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Importante</v>
      </c>
      <c r="AG43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/Especialista</v>
      </c>
      <c r="AH43" s="117">
        <f>COUNTIF(Datos_Origen[Cargo Tipo Valorado],Cargos_Catalogo[[#This Row],[Cargo]])</f>
        <v>1</v>
      </c>
      <c r="AI43" s="122">
        <f>IFERROR(SUMIFS(Datos_Origen[G],Datos_Origen[Cargo Tipo Valorado],Cargos_Catalogo[[#This Row],[Cargo]])/Cargos_Catalogo[[#This Row],[Frecuencia]],0)</f>
        <v>5356201.8400000008</v>
      </c>
      <c r="AJ43" s="122">
        <f>IFERROR(SUMIFS(Datos_Origen[G+V],Datos_Origen[Cargo Tipo Valorado],Cargos_Catalogo[[#This Row],[Cargo]])/Cargos_Catalogo[[#This Row],[Frecuencia]],0)</f>
        <v>5356201.8400000008</v>
      </c>
      <c r="AK43" s="122">
        <f>IFERROR(SUMIFS(Datos_Origen[CT],Datos_Origen[Cargo Tipo Valorado],Cargos_Catalogo[[#This Row],[Cargo]])/Cargos_Catalogo[[#This Row],[Frecuencia]],0)</f>
        <v>5356201.8400000008</v>
      </c>
      <c r="AL43" s="117" t="str">
        <f>IF(COUNTA(Cargos_Catalogo[[#This Row],[PuntosF]:[CriticidadF]])=0,"",COUNTA(Cargos_Catalogo[[#This Row],[PuntosF]:[CriticidadF]]))</f>
        <v/>
      </c>
      <c r="AM43" s="118"/>
      <c r="AN43" s="123"/>
      <c r="AO43" s="123"/>
      <c r="AP43" s="123"/>
      <c r="AQ43" s="117" t="str">
        <f>IFERROR(VLOOKUP(Cargos_Catalogo[[#This Row],[Categoria]],NivelSHR[],2,1),"")</f>
        <v>Táctico</v>
      </c>
      <c r="AR43" s="127">
        <f>IFERROR(SUMIFS(Datos_Origen[[Promedio de Comisiones  ]],Datos_Origen[Cargo Tipo Valorado],Cargos_Catalogo[[#This Row],[Cargo]])/Cargos_Catalogo[[#This Row],[Frecuencia]],0)</f>
        <v>0</v>
      </c>
      <c r="AS43" s="124"/>
      <c r="AT43" s="123"/>
    </row>
    <row r="44" spans="2:46" ht="13.8">
      <c r="B44" s="116" t="s">
        <v>320</v>
      </c>
      <c r="C44" s="116" t="s">
        <v>603</v>
      </c>
      <c r="D44" s="116" t="s">
        <v>595</v>
      </c>
      <c r="E44" s="116" t="s">
        <v>243</v>
      </c>
      <c r="F44" s="116"/>
      <c r="G44" s="117">
        <f>IFERROR(IF(Cargos_Catalogo[[#This Row],[PuntosF]]="",ROUND(Cargos_Catalogo[[#This Row],[Total Puntos1]]+Cargos_Catalogo[[#This Row],[Total Puntos2]]+Cargos_Catalogo[[#This Row],[PuntosRR]],0),Cargos_Catalogo[PuntosF]),"")</f>
        <v>384</v>
      </c>
      <c r="H44" s="118" t="s">
        <v>155</v>
      </c>
      <c r="I44" s="118" t="s">
        <v>97</v>
      </c>
      <c r="J44" s="118" t="s">
        <v>120</v>
      </c>
      <c r="K44" s="118">
        <v>1</v>
      </c>
      <c r="L44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190</v>
      </c>
      <c r="M44" s="118" t="s">
        <v>118</v>
      </c>
      <c r="N44" s="118">
        <v>4</v>
      </c>
      <c r="O44" s="118" t="s">
        <v>120</v>
      </c>
      <c r="P44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44" s="117">
        <f>IFERROR(Cargos_Catalogo[[#This Row],[PuntosC&amp;H]]+Cargos_Catalogo[[#This Row],[PuntosHC]],"")</f>
        <v>267</v>
      </c>
      <c r="R44" s="118">
        <v>2</v>
      </c>
      <c r="S44" s="118" t="s">
        <v>97</v>
      </c>
      <c r="T44" s="118" t="s">
        <v>137</v>
      </c>
      <c r="U44" s="118" t="s">
        <v>97</v>
      </c>
      <c r="V44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</v>
      </c>
      <c r="W44" s="120">
        <f>IFERROR(Cargos_Catalogo[[#This Row],[Total Puntos1]]*Cargos_Catalogo[[#This Row],[Porcentaje]],"")</f>
        <v>53.400000000000006</v>
      </c>
      <c r="X44" s="118" t="s">
        <v>120</v>
      </c>
      <c r="Y44" s="118" t="s">
        <v>118</v>
      </c>
      <c r="Z44" s="118">
        <v>1</v>
      </c>
      <c r="AA44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64</v>
      </c>
      <c r="AB44" s="125">
        <v>0</v>
      </c>
      <c r="AC44" s="125">
        <v>0</v>
      </c>
      <c r="AD44" s="125">
        <v>0</v>
      </c>
      <c r="AE44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11</v>
      </c>
      <c r="AF44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44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/Especialista</v>
      </c>
      <c r="AH44" s="117">
        <f>COUNTIF(Datos_Origen[Cargo Tipo Valorado],Cargos_Catalogo[[#This Row],[Cargo]])</f>
        <v>1</v>
      </c>
      <c r="AI44" s="122">
        <f>IFERROR(SUMIFS(Datos_Origen[G],Datos_Origen[Cargo Tipo Valorado],Cargos_Catalogo[[#This Row],[Cargo]])/Cargos_Catalogo[[#This Row],[Frecuencia]],0)</f>
        <v>4457225.96</v>
      </c>
      <c r="AJ44" s="122">
        <f>IFERROR(SUMIFS(Datos_Origen[G+V],Datos_Origen[Cargo Tipo Valorado],Cargos_Catalogo[[#This Row],[Cargo]])/Cargos_Catalogo[[#This Row],[Frecuencia]],0)</f>
        <v>4457225.96</v>
      </c>
      <c r="AK44" s="122">
        <f>IFERROR(SUMIFS(Datos_Origen[CT],Datos_Origen[Cargo Tipo Valorado],Cargos_Catalogo[[#This Row],[Cargo]])/Cargos_Catalogo[[#This Row],[Frecuencia]],0)</f>
        <v>4457225.96</v>
      </c>
      <c r="AL44" s="117" t="str">
        <f>IF(COUNTA(Cargos_Catalogo[[#This Row],[PuntosF]:[CriticidadF]])=0,"",COUNTA(Cargos_Catalogo[[#This Row],[PuntosF]:[CriticidadF]]))</f>
        <v/>
      </c>
      <c r="AM44" s="118"/>
      <c r="AN44" s="123"/>
      <c r="AO44" s="123"/>
      <c r="AP44" s="123"/>
      <c r="AQ44" s="117" t="str">
        <f>IFERROR(VLOOKUP(Cargos_Catalogo[[#This Row],[Categoria]],NivelSHR[],2,1),"")</f>
        <v>Táctico</v>
      </c>
      <c r="AR44" s="127">
        <f>IFERROR(SUMIFS(Datos_Origen[[Promedio de Comisiones  ]],Datos_Origen[Cargo Tipo Valorado],Cargos_Catalogo[[#This Row],[Cargo]])/Cargos_Catalogo[[#This Row],[Frecuencia]],0)</f>
        <v>0</v>
      </c>
      <c r="AS44" s="124"/>
      <c r="AT44" s="123"/>
    </row>
    <row r="45" spans="2:46" ht="13.8">
      <c r="B45" s="116" t="s">
        <v>316</v>
      </c>
      <c r="C45" s="116" t="s">
        <v>604</v>
      </c>
      <c r="D45" s="116" t="s">
        <v>581</v>
      </c>
      <c r="E45" s="116" t="s">
        <v>241</v>
      </c>
      <c r="F45" s="116"/>
      <c r="G45" s="117">
        <f>IFERROR(IF(Cargos_Catalogo[[#This Row],[PuntosF]]="",ROUND(Cargos_Catalogo[[#This Row],[Total Puntos1]]+Cargos_Catalogo[[#This Row],[Total Puntos2]]+Cargos_Catalogo[[#This Row],[PuntosRR]],0),Cargos_Catalogo[PuntosF]),"")</f>
        <v>376</v>
      </c>
      <c r="H45" s="118" t="s">
        <v>155</v>
      </c>
      <c r="I45" s="118" t="s">
        <v>97</v>
      </c>
      <c r="J45" s="118" t="s">
        <v>120</v>
      </c>
      <c r="K45" s="118">
        <v>3</v>
      </c>
      <c r="L45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202</v>
      </c>
      <c r="M45" s="118" t="s">
        <v>79</v>
      </c>
      <c r="N45" s="118">
        <v>4</v>
      </c>
      <c r="O45" s="118" t="s">
        <v>120</v>
      </c>
      <c r="P45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58</v>
      </c>
      <c r="Q45" s="117">
        <f>IFERROR(Cargos_Catalogo[[#This Row],[PuntosC&amp;H]]+Cargos_Catalogo[[#This Row],[PuntosHC]],"")</f>
        <v>260</v>
      </c>
      <c r="R45" s="118">
        <v>2</v>
      </c>
      <c r="S45" s="118" t="s">
        <v>117</v>
      </c>
      <c r="T45" s="118" t="s">
        <v>137</v>
      </c>
      <c r="U45" s="118" t="s">
        <v>78</v>
      </c>
      <c r="V45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</v>
      </c>
      <c r="W45" s="120">
        <f>IFERROR(Cargos_Catalogo[[#This Row],[Total Puntos1]]*Cargos_Catalogo[[#This Row],[Porcentaje]],"")</f>
        <v>52</v>
      </c>
      <c r="X45" s="118" t="s">
        <v>120</v>
      </c>
      <c r="Y45" s="118" t="s">
        <v>118</v>
      </c>
      <c r="Z45" s="118">
        <v>1</v>
      </c>
      <c r="AA45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64</v>
      </c>
      <c r="AB45" s="125">
        <v>0</v>
      </c>
      <c r="AC45" s="125">
        <v>1</v>
      </c>
      <c r="AD45" s="125">
        <v>0</v>
      </c>
      <c r="AE45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11</v>
      </c>
      <c r="AF45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Importante</v>
      </c>
      <c r="AG45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/Especialista</v>
      </c>
      <c r="AH45" s="117">
        <f>COUNTIF(Datos_Origen[Cargo Tipo Valorado],Cargos_Catalogo[[#This Row],[Cargo]])</f>
        <v>1</v>
      </c>
      <c r="AI45" s="122">
        <f>IFERROR(SUMIFS(Datos_Origen[G],Datos_Origen[Cargo Tipo Valorado],Cargos_Catalogo[[#This Row],[Cargo]])/Cargos_Catalogo[[#This Row],[Frecuencia]],0)</f>
        <v>5424448.7000000002</v>
      </c>
      <c r="AJ45" s="122">
        <f>IFERROR(SUMIFS(Datos_Origen[G+V],Datos_Origen[Cargo Tipo Valorado],Cargos_Catalogo[[#This Row],[Cargo]])/Cargos_Catalogo[[#This Row],[Frecuencia]],0)</f>
        <v>5424448.7000000002</v>
      </c>
      <c r="AK45" s="122">
        <f>IFERROR(SUMIFS(Datos_Origen[CT],Datos_Origen[Cargo Tipo Valorado],Cargos_Catalogo[[#This Row],[Cargo]])/Cargos_Catalogo[[#This Row],[Frecuencia]],0)</f>
        <v>5424448.7000000002</v>
      </c>
      <c r="AL45" s="117" t="str">
        <f>IF(COUNTA(Cargos_Catalogo[[#This Row],[PuntosF]:[CriticidadF]])=0,"",COUNTA(Cargos_Catalogo[[#This Row],[PuntosF]:[CriticidadF]]))</f>
        <v/>
      </c>
      <c r="AM45" s="118"/>
      <c r="AN45" s="123"/>
      <c r="AO45" s="123"/>
      <c r="AP45" s="123"/>
      <c r="AQ45" s="117" t="str">
        <f>IFERROR(VLOOKUP(Cargos_Catalogo[[#This Row],[Categoria]],NivelSHR[],2,1),"")</f>
        <v>Táctico</v>
      </c>
      <c r="AR45" s="127">
        <f>IFERROR(SUMIFS(Datos_Origen[[Promedio de Comisiones  ]],Datos_Origen[Cargo Tipo Valorado],Cargos_Catalogo[[#This Row],[Cargo]])/Cargos_Catalogo[[#This Row],[Frecuencia]],0)</f>
        <v>0</v>
      </c>
      <c r="AS45" s="124"/>
      <c r="AT45" s="123"/>
    </row>
    <row r="46" spans="2:46" ht="13.8">
      <c r="B46" s="116" t="s">
        <v>317</v>
      </c>
      <c r="C46" s="116" t="s">
        <v>593</v>
      </c>
      <c r="D46" s="116" t="s">
        <v>588</v>
      </c>
      <c r="E46" s="116" t="s">
        <v>241</v>
      </c>
      <c r="F46" s="116"/>
      <c r="G46" s="117">
        <f>IFERROR(IF(Cargos_Catalogo[[#This Row],[PuntosF]]="",ROUND(Cargos_Catalogo[[#This Row],[Total Puntos1]]+Cargos_Catalogo[[#This Row],[Total Puntos2]]+Cargos_Catalogo[[#This Row],[PuntosRR]],0),Cargos_Catalogo[PuntosF]),"")</f>
        <v>376</v>
      </c>
      <c r="H46" s="118" t="s">
        <v>155</v>
      </c>
      <c r="I46" s="118" t="s">
        <v>97</v>
      </c>
      <c r="J46" s="118" t="s">
        <v>120</v>
      </c>
      <c r="K46" s="118">
        <v>3</v>
      </c>
      <c r="L46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202</v>
      </c>
      <c r="M46" s="118" t="s">
        <v>79</v>
      </c>
      <c r="N46" s="118">
        <v>4</v>
      </c>
      <c r="O46" s="118" t="s">
        <v>120</v>
      </c>
      <c r="P46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58</v>
      </c>
      <c r="Q46" s="117">
        <f>IFERROR(Cargos_Catalogo[[#This Row],[PuntosC&amp;H]]+Cargos_Catalogo[[#This Row],[PuntosHC]],"")</f>
        <v>260</v>
      </c>
      <c r="R46" s="118">
        <v>2</v>
      </c>
      <c r="S46" s="118" t="s">
        <v>117</v>
      </c>
      <c r="T46" s="118" t="s">
        <v>137</v>
      </c>
      <c r="U46" s="118" t="s">
        <v>78</v>
      </c>
      <c r="V46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</v>
      </c>
      <c r="W46" s="120">
        <f>IFERROR(Cargos_Catalogo[[#This Row],[Total Puntos1]]*Cargos_Catalogo[[#This Row],[Porcentaje]],"")</f>
        <v>52</v>
      </c>
      <c r="X46" s="118" t="s">
        <v>120</v>
      </c>
      <c r="Y46" s="118" t="s">
        <v>118</v>
      </c>
      <c r="Z46" s="118">
        <v>1</v>
      </c>
      <c r="AA46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64</v>
      </c>
      <c r="AB46" s="125">
        <v>1</v>
      </c>
      <c r="AC46" s="125">
        <v>1</v>
      </c>
      <c r="AD46" s="125">
        <v>1</v>
      </c>
      <c r="AE46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11</v>
      </c>
      <c r="AF46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Crítico</v>
      </c>
      <c r="AG46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/Especialista</v>
      </c>
      <c r="AH46" s="117">
        <f>COUNTIF(Datos_Origen[Cargo Tipo Valorado],Cargos_Catalogo[[#This Row],[Cargo]])</f>
        <v>1</v>
      </c>
      <c r="AI46" s="122">
        <f>IFERROR(SUMIFS(Datos_Origen[G],Datos_Origen[Cargo Tipo Valorado],Cargos_Catalogo[[#This Row],[Cargo]])/Cargos_Catalogo[[#This Row],[Frecuencia]],0)</f>
        <v>4745510.1100000003</v>
      </c>
      <c r="AJ46" s="122">
        <f>IFERROR(SUMIFS(Datos_Origen[G+V],Datos_Origen[Cargo Tipo Valorado],Cargos_Catalogo[[#This Row],[Cargo]])/Cargos_Catalogo[[#This Row],[Frecuencia]],0)</f>
        <v>4745510.1100000003</v>
      </c>
      <c r="AK46" s="122">
        <f>IFERROR(SUMIFS(Datos_Origen[CT],Datos_Origen[Cargo Tipo Valorado],Cargos_Catalogo[[#This Row],[Cargo]])/Cargos_Catalogo[[#This Row],[Frecuencia]],0)</f>
        <v>4745510.1100000003</v>
      </c>
      <c r="AL46" s="117" t="str">
        <f>IF(COUNTA(Cargos_Catalogo[[#This Row],[PuntosF]:[CriticidadF]])=0,"",COUNTA(Cargos_Catalogo[[#This Row],[PuntosF]:[CriticidadF]]))</f>
        <v/>
      </c>
      <c r="AM46" s="118"/>
      <c r="AN46" s="123"/>
      <c r="AO46" s="123"/>
      <c r="AP46" s="123"/>
      <c r="AQ46" s="117" t="str">
        <f>IFERROR(VLOOKUP(Cargos_Catalogo[[#This Row],[Categoria]],NivelSHR[],2,1),"")</f>
        <v>Táctico</v>
      </c>
      <c r="AR46" s="127">
        <f>IFERROR(SUMIFS(Datos_Origen[[Promedio de Comisiones  ]],Datos_Origen[Cargo Tipo Valorado],Cargos_Catalogo[[#This Row],[Cargo]])/Cargos_Catalogo[[#This Row],[Frecuencia]],0)</f>
        <v>0</v>
      </c>
      <c r="AS46" s="124"/>
      <c r="AT46" s="123"/>
    </row>
    <row r="47" spans="2:46" ht="13.8">
      <c r="B47" s="116" t="s">
        <v>314</v>
      </c>
      <c r="C47" s="116" t="s">
        <v>605</v>
      </c>
      <c r="D47" s="116" t="s">
        <v>588</v>
      </c>
      <c r="E47" s="116" t="s">
        <v>241</v>
      </c>
      <c r="F47" s="116"/>
      <c r="G47" s="117">
        <f>IFERROR(IF(Cargos_Catalogo[[#This Row],[PuntosF]]="",ROUND(Cargos_Catalogo[[#This Row],[Total Puntos1]]+Cargos_Catalogo[[#This Row],[Total Puntos2]]+Cargos_Catalogo[[#This Row],[PuntosRR]],0),Cargos_Catalogo[PuntosF]),"")</f>
        <v>370</v>
      </c>
      <c r="H47" s="118" t="s">
        <v>155</v>
      </c>
      <c r="I47" s="118" t="s">
        <v>97</v>
      </c>
      <c r="J47" s="118" t="s">
        <v>120</v>
      </c>
      <c r="K47" s="118">
        <v>1</v>
      </c>
      <c r="L47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190</v>
      </c>
      <c r="M47" s="118" t="s">
        <v>118</v>
      </c>
      <c r="N47" s="118">
        <v>4</v>
      </c>
      <c r="O47" s="118" t="s">
        <v>120</v>
      </c>
      <c r="P47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47" s="117">
        <f>IFERROR(Cargos_Catalogo[[#This Row],[PuntosC&amp;H]]+Cargos_Catalogo[[#This Row],[PuntosHC]],"")</f>
        <v>267</v>
      </c>
      <c r="R47" s="118">
        <v>2</v>
      </c>
      <c r="S47" s="118" t="s">
        <v>97</v>
      </c>
      <c r="T47" s="118" t="s">
        <v>137</v>
      </c>
      <c r="U47" s="118" t="s">
        <v>97</v>
      </c>
      <c r="V47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</v>
      </c>
      <c r="W47" s="120">
        <f>IFERROR(Cargos_Catalogo[[#This Row],[Total Puntos1]]*Cargos_Catalogo[[#This Row],[Porcentaje]],"")</f>
        <v>53.400000000000006</v>
      </c>
      <c r="X47" s="118" t="s">
        <v>100</v>
      </c>
      <c r="Y47" s="118" t="s">
        <v>118</v>
      </c>
      <c r="Z47" s="118">
        <v>1</v>
      </c>
      <c r="AA47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50</v>
      </c>
      <c r="AB47" s="125">
        <v>0</v>
      </c>
      <c r="AC47" s="125">
        <v>1</v>
      </c>
      <c r="AD47" s="125">
        <v>0</v>
      </c>
      <c r="AE47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11</v>
      </c>
      <c r="AF47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Importante</v>
      </c>
      <c r="AG47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/Especialista</v>
      </c>
      <c r="AH47" s="117">
        <f>COUNTIF(Datos_Origen[Cargo Tipo Valorado],Cargos_Catalogo[[#This Row],[Cargo]])</f>
        <v>1</v>
      </c>
      <c r="AI47" s="122">
        <f>IFERROR(SUMIFS(Datos_Origen[G],Datos_Origen[Cargo Tipo Valorado],Cargos_Catalogo[[#This Row],[Cargo]])/Cargos_Catalogo[[#This Row],[Frecuencia]],0)</f>
        <v>5072624.37</v>
      </c>
      <c r="AJ47" s="122">
        <f>IFERROR(SUMIFS(Datos_Origen[G+V],Datos_Origen[Cargo Tipo Valorado],Cargos_Catalogo[[#This Row],[Cargo]])/Cargos_Catalogo[[#This Row],[Frecuencia]],0)</f>
        <v>5072624.37</v>
      </c>
      <c r="AK47" s="122">
        <f>IFERROR(SUMIFS(Datos_Origen[CT],Datos_Origen[Cargo Tipo Valorado],Cargos_Catalogo[[#This Row],[Cargo]])/Cargos_Catalogo[[#This Row],[Frecuencia]],0)</f>
        <v>5072624.37</v>
      </c>
      <c r="AL47" s="117" t="str">
        <f>IF(COUNTA(Cargos_Catalogo[[#This Row],[PuntosF]:[CriticidadF]])=0,"",COUNTA(Cargos_Catalogo[[#This Row],[PuntosF]:[CriticidadF]]))</f>
        <v/>
      </c>
      <c r="AM47" s="118"/>
      <c r="AN47" s="123"/>
      <c r="AO47" s="123"/>
      <c r="AP47" s="123"/>
      <c r="AQ47" s="117" t="str">
        <f>IFERROR(VLOOKUP(Cargos_Catalogo[[#This Row],[Categoria]],NivelSHR[],2,1),"")</f>
        <v>Táctico</v>
      </c>
      <c r="AR47" s="127">
        <f>IFERROR(SUMIFS(Datos_Origen[[Promedio de Comisiones  ]],Datos_Origen[Cargo Tipo Valorado],Cargos_Catalogo[[#This Row],[Cargo]])/Cargos_Catalogo[[#This Row],[Frecuencia]],0)</f>
        <v>0</v>
      </c>
      <c r="AS47" s="124"/>
      <c r="AT47" s="123"/>
    </row>
    <row r="48" spans="2:46" ht="13.8">
      <c r="B48" s="116" t="s">
        <v>315</v>
      </c>
      <c r="C48" s="116" t="s">
        <v>601</v>
      </c>
      <c r="D48" s="116" t="s">
        <v>595</v>
      </c>
      <c r="E48" s="116" t="s">
        <v>241</v>
      </c>
      <c r="F48" s="116"/>
      <c r="G48" s="117">
        <f>IFERROR(IF(Cargos_Catalogo[[#This Row],[PuntosF]]="",ROUND(Cargos_Catalogo[[#This Row],[Total Puntos1]]+Cargos_Catalogo[[#This Row],[Total Puntos2]]+Cargos_Catalogo[[#This Row],[PuntosRR]],0),Cargos_Catalogo[PuntosF]),"")</f>
        <v>370</v>
      </c>
      <c r="H48" s="118" t="s">
        <v>155</v>
      </c>
      <c r="I48" s="118" t="s">
        <v>97</v>
      </c>
      <c r="J48" s="118" t="s">
        <v>120</v>
      </c>
      <c r="K48" s="118">
        <v>1</v>
      </c>
      <c r="L48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190</v>
      </c>
      <c r="M48" s="118" t="s">
        <v>118</v>
      </c>
      <c r="N48" s="118">
        <v>4</v>
      </c>
      <c r="O48" s="118" t="s">
        <v>120</v>
      </c>
      <c r="P48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48" s="117">
        <f>IFERROR(Cargos_Catalogo[[#This Row],[PuntosC&amp;H]]+Cargos_Catalogo[[#This Row],[PuntosHC]],"")</f>
        <v>267</v>
      </c>
      <c r="R48" s="118">
        <v>2</v>
      </c>
      <c r="S48" s="118" t="s">
        <v>97</v>
      </c>
      <c r="T48" s="118" t="s">
        <v>137</v>
      </c>
      <c r="U48" s="118" t="s">
        <v>97</v>
      </c>
      <c r="V48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</v>
      </c>
      <c r="W48" s="120">
        <f>IFERROR(Cargos_Catalogo[[#This Row],[Total Puntos1]]*Cargos_Catalogo[[#This Row],[Porcentaje]],"")</f>
        <v>53.400000000000006</v>
      </c>
      <c r="X48" s="118" t="s">
        <v>100</v>
      </c>
      <c r="Y48" s="118" t="s">
        <v>118</v>
      </c>
      <c r="Z48" s="118">
        <v>1</v>
      </c>
      <c r="AA48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50</v>
      </c>
      <c r="AB48" s="125">
        <v>0</v>
      </c>
      <c r="AC48" s="125">
        <v>0</v>
      </c>
      <c r="AD48" s="125">
        <v>0</v>
      </c>
      <c r="AE48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11</v>
      </c>
      <c r="AF48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48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/Especialista</v>
      </c>
      <c r="AH48" s="117">
        <f>COUNTIF(Datos_Origen[Cargo Tipo Valorado],Cargos_Catalogo[[#This Row],[Cargo]])</f>
        <v>1</v>
      </c>
      <c r="AI48" s="122">
        <f>IFERROR(SUMIFS(Datos_Origen[G],Datos_Origen[Cargo Tipo Valorado],Cargos_Catalogo[[#This Row],[Cargo]])/Cargos_Catalogo[[#This Row],[Frecuencia]],0)</f>
        <v>7441261.080000001</v>
      </c>
      <c r="AJ48" s="122">
        <f>IFERROR(SUMIFS(Datos_Origen[G+V],Datos_Origen[Cargo Tipo Valorado],Cargos_Catalogo[[#This Row],[Cargo]])/Cargos_Catalogo[[#This Row],[Frecuencia]],0)</f>
        <v>7441261.080000001</v>
      </c>
      <c r="AK48" s="122">
        <f>IFERROR(SUMIFS(Datos_Origen[CT],Datos_Origen[Cargo Tipo Valorado],Cargos_Catalogo[[#This Row],[Cargo]])/Cargos_Catalogo[[#This Row],[Frecuencia]],0)</f>
        <v>7441261.080000001</v>
      </c>
      <c r="AL48" s="117" t="str">
        <f>IF(COUNTA(Cargos_Catalogo[[#This Row],[PuntosF]:[CriticidadF]])=0,"",COUNTA(Cargos_Catalogo[[#This Row],[PuntosF]:[CriticidadF]]))</f>
        <v/>
      </c>
      <c r="AM48" s="118"/>
      <c r="AN48" s="123"/>
      <c r="AO48" s="123"/>
      <c r="AP48" s="123"/>
      <c r="AQ48" s="117" t="str">
        <f>IFERROR(VLOOKUP(Cargos_Catalogo[[#This Row],[Categoria]],NivelSHR[],2,1),"")</f>
        <v>Táctico</v>
      </c>
      <c r="AR48" s="127">
        <f>IFERROR(SUMIFS(Datos_Origen[[Promedio de Comisiones  ]],Datos_Origen[Cargo Tipo Valorado],Cargos_Catalogo[[#This Row],[Cargo]])/Cargos_Catalogo[[#This Row],[Frecuencia]],0)</f>
        <v>0</v>
      </c>
      <c r="AS48" s="124"/>
      <c r="AT48" s="123"/>
    </row>
    <row r="49" spans="2:46" ht="13.8">
      <c r="B49" s="116" t="s">
        <v>318</v>
      </c>
      <c r="C49" s="116" t="s">
        <v>606</v>
      </c>
      <c r="D49" s="116" t="s">
        <v>581</v>
      </c>
      <c r="E49" s="116" t="s">
        <v>241</v>
      </c>
      <c r="F49" s="116"/>
      <c r="G49" s="117">
        <f>IFERROR(IF(Cargos_Catalogo[[#This Row],[PuntosF]]="",ROUND(Cargos_Catalogo[[#This Row],[Total Puntos1]]+Cargos_Catalogo[[#This Row],[Total Puntos2]]+Cargos_Catalogo[[#This Row],[PuntosRR]],0),Cargos_Catalogo[PuntosF]),"")</f>
        <v>381</v>
      </c>
      <c r="H49" s="118" t="s">
        <v>155</v>
      </c>
      <c r="I49" s="118" t="s">
        <v>97</v>
      </c>
      <c r="J49" s="118" t="s">
        <v>120</v>
      </c>
      <c r="K49" s="118">
        <v>1</v>
      </c>
      <c r="L49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190</v>
      </c>
      <c r="M49" s="118" t="s">
        <v>118</v>
      </c>
      <c r="N49" s="118">
        <v>4</v>
      </c>
      <c r="O49" s="118" t="s">
        <v>120</v>
      </c>
      <c r="P49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49" s="117">
        <f>IFERROR(Cargos_Catalogo[[#This Row],[PuntosC&amp;H]]+Cargos_Catalogo[[#This Row],[PuntosHC]],"")</f>
        <v>267</v>
      </c>
      <c r="R49" s="118">
        <v>4</v>
      </c>
      <c r="S49" s="118" t="s">
        <v>78</v>
      </c>
      <c r="T49" s="118" t="s">
        <v>137</v>
      </c>
      <c r="U49" s="118" t="s">
        <v>78</v>
      </c>
      <c r="V49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0.24</v>
      </c>
      <c r="W49" s="120">
        <f>IFERROR(Cargos_Catalogo[[#This Row],[Total Puntos1]]*Cargos_Catalogo[[#This Row],[Porcentaje]],"")</f>
        <v>64.08</v>
      </c>
      <c r="X49" s="118" t="s">
        <v>100</v>
      </c>
      <c r="Y49" s="118" t="s">
        <v>118</v>
      </c>
      <c r="Z49" s="118">
        <v>1</v>
      </c>
      <c r="AA49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50</v>
      </c>
      <c r="AB49" s="125">
        <v>1</v>
      </c>
      <c r="AC49" s="125">
        <v>1</v>
      </c>
      <c r="AD49" s="125">
        <v>1</v>
      </c>
      <c r="AE49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11</v>
      </c>
      <c r="AF49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Crítico</v>
      </c>
      <c r="AG49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/Especialista</v>
      </c>
      <c r="AH49" s="117">
        <f>COUNTIF(Datos_Origen[Cargo Tipo Valorado],Cargos_Catalogo[[#This Row],[Cargo]])</f>
        <v>1</v>
      </c>
      <c r="AI49" s="122">
        <f>IFERROR(SUMIFS(Datos_Origen[G],Datos_Origen[Cargo Tipo Valorado],Cargos_Catalogo[[#This Row],[Cargo]])/Cargos_Catalogo[[#This Row],[Frecuencia]],0)</f>
        <v>9295693</v>
      </c>
      <c r="AJ49" s="122">
        <f>IFERROR(SUMIFS(Datos_Origen[G+V],Datos_Origen[Cargo Tipo Valorado],Cargos_Catalogo[[#This Row],[Cargo]])/Cargos_Catalogo[[#This Row],[Frecuencia]],0)</f>
        <v>9295693</v>
      </c>
      <c r="AK49" s="122">
        <f>IFERROR(SUMIFS(Datos_Origen[CT],Datos_Origen[Cargo Tipo Valorado],Cargos_Catalogo[[#This Row],[Cargo]])/Cargos_Catalogo[[#This Row],[Frecuencia]],0)</f>
        <v>9295693</v>
      </c>
      <c r="AL49" s="117" t="str">
        <f>IF(COUNTA(Cargos_Catalogo[[#This Row],[PuntosF]:[CriticidadF]])=0,"",COUNTA(Cargos_Catalogo[[#This Row],[PuntosF]:[CriticidadF]]))</f>
        <v/>
      </c>
      <c r="AM49" s="118"/>
      <c r="AN49" s="123"/>
      <c r="AO49" s="123"/>
      <c r="AP49" s="123"/>
      <c r="AQ49" s="117" t="str">
        <f>IFERROR(VLOOKUP(Cargos_Catalogo[[#This Row],[Categoria]],NivelSHR[],2,1),"")</f>
        <v>Táctico</v>
      </c>
      <c r="AR49" s="127">
        <f>IFERROR(SUMIFS(Datos_Origen[[Promedio de Comisiones  ]],Datos_Origen[Cargo Tipo Valorado],Cargos_Catalogo[[#This Row],[Cargo]])/Cargos_Catalogo[[#This Row],[Frecuencia]],0)</f>
        <v>0</v>
      </c>
      <c r="AS49" s="124"/>
      <c r="AT49" s="123"/>
    </row>
    <row r="50" spans="2:46" ht="13.8">
      <c r="B50" s="116" t="s">
        <v>313</v>
      </c>
      <c r="C50" s="116">
        <v>0</v>
      </c>
      <c r="D50" s="116" t="s">
        <v>588</v>
      </c>
      <c r="E50" s="116" t="s">
        <v>241</v>
      </c>
      <c r="F50" s="116"/>
      <c r="G50" s="117">
        <f>IFERROR(IF(Cargos_Catalogo[[#This Row],[PuntosF]]="",ROUND(Cargos_Catalogo[[#This Row],[Total Puntos1]]+Cargos_Catalogo[[#This Row],[Total Puntos2]]+Cargos_Catalogo[[#This Row],[PuntosRR]],0),Cargos_Catalogo[PuntosF]),"")</f>
        <v>362</v>
      </c>
      <c r="H50" s="118" t="s">
        <v>137</v>
      </c>
      <c r="I50" s="118" t="s">
        <v>117</v>
      </c>
      <c r="J50" s="118" t="s">
        <v>120</v>
      </c>
      <c r="K50" s="118">
        <v>1</v>
      </c>
      <c r="L50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167</v>
      </c>
      <c r="M50" s="118" t="s">
        <v>118</v>
      </c>
      <c r="N50" s="118">
        <v>4</v>
      </c>
      <c r="O50" s="118" t="s">
        <v>120</v>
      </c>
      <c r="P50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50" s="117">
        <f>IFERROR(Cargos_Catalogo[[#This Row],[PuntosC&amp;H]]+Cargos_Catalogo[[#This Row],[PuntosHC]],"")</f>
        <v>244</v>
      </c>
      <c r="R50" s="118">
        <v>2</v>
      </c>
      <c r="S50" s="118" t="s">
        <v>117</v>
      </c>
      <c r="T50" s="118" t="s">
        <v>137</v>
      </c>
      <c r="U50" s="118" t="s">
        <v>97</v>
      </c>
      <c r="V50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0.22</v>
      </c>
      <c r="W50" s="120">
        <f>IFERROR(Cargos_Catalogo[[#This Row],[Total Puntos1]]*Cargos_Catalogo[[#This Row],[Porcentaje]],"")</f>
        <v>53.68</v>
      </c>
      <c r="X50" s="118" t="s">
        <v>120</v>
      </c>
      <c r="Y50" s="118" t="s">
        <v>118</v>
      </c>
      <c r="Z50" s="118">
        <v>1</v>
      </c>
      <c r="AA50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64</v>
      </c>
      <c r="AB50" s="125">
        <v>0</v>
      </c>
      <c r="AC50" s="125">
        <v>1</v>
      </c>
      <c r="AD50" s="125">
        <v>0</v>
      </c>
      <c r="AE50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11</v>
      </c>
      <c r="AF50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Importante</v>
      </c>
      <c r="AG50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/Especialista</v>
      </c>
      <c r="AH50" s="117">
        <f>COUNTIF(Datos_Origen[Cargo Tipo Valorado],Cargos_Catalogo[[#This Row],[Cargo]])</f>
        <v>1</v>
      </c>
      <c r="AI50" s="122">
        <f>IFERROR(SUMIFS(Datos_Origen[G],Datos_Origen[Cargo Tipo Valorado],Cargos_Catalogo[[#This Row],[Cargo]])/Cargos_Catalogo[[#This Row],[Frecuencia]],0)</f>
        <v>4236012</v>
      </c>
      <c r="AJ50" s="122">
        <f>IFERROR(SUMIFS(Datos_Origen[G+V],Datos_Origen[Cargo Tipo Valorado],Cargos_Catalogo[[#This Row],[Cargo]])/Cargos_Catalogo[[#This Row],[Frecuencia]],0)</f>
        <v>4236012</v>
      </c>
      <c r="AK50" s="122">
        <f>IFERROR(SUMIFS(Datos_Origen[CT],Datos_Origen[Cargo Tipo Valorado],Cargos_Catalogo[[#This Row],[Cargo]])/Cargos_Catalogo[[#This Row],[Frecuencia]],0)</f>
        <v>4236012</v>
      </c>
      <c r="AL50" s="117" t="str">
        <f>IF(COUNTA(Cargos_Catalogo[[#This Row],[PuntosF]:[CriticidadF]])=0,"",COUNTA(Cargos_Catalogo[[#This Row],[PuntosF]:[CriticidadF]]))</f>
        <v/>
      </c>
      <c r="AM50" s="118"/>
      <c r="AN50" s="123"/>
      <c r="AO50" s="123"/>
      <c r="AP50" s="123"/>
      <c r="AQ50" s="117" t="str">
        <f>IFERROR(VLOOKUP(Cargos_Catalogo[[#This Row],[Categoria]],NivelSHR[],2,1),"")</f>
        <v>Táctico</v>
      </c>
      <c r="AR50" s="127">
        <f>IFERROR(SUMIFS(Datos_Origen[[Promedio de Comisiones  ]],Datos_Origen[Cargo Tipo Valorado],Cargos_Catalogo[[#This Row],[Cargo]])/Cargos_Catalogo[[#This Row],[Frecuencia]],0)</f>
        <v>0</v>
      </c>
      <c r="AS50" s="124"/>
      <c r="AT50" s="123"/>
    </row>
    <row r="51" spans="2:46" ht="13.8">
      <c r="B51" s="116" t="s">
        <v>312</v>
      </c>
      <c r="C51" s="116" t="e">
        <v>#N/A</v>
      </c>
      <c r="D51" s="116" t="s">
        <v>595</v>
      </c>
      <c r="E51" s="116" t="s">
        <v>587</v>
      </c>
      <c r="F51" s="116"/>
      <c r="G51" s="117">
        <f>IFERROR(IF(Cargos_Catalogo[[#This Row],[PuntosF]]="",ROUND(Cargos_Catalogo[[#This Row],[Total Puntos1]]+Cargos_Catalogo[[#This Row],[Total Puntos2]]+Cargos_Catalogo[[#This Row],[PuntosRR]],0),Cargos_Catalogo[PuntosF]),"")</f>
        <v>357</v>
      </c>
      <c r="H51" s="118" t="s">
        <v>155</v>
      </c>
      <c r="I51" s="118" t="s">
        <v>78</v>
      </c>
      <c r="J51" s="118" t="s">
        <v>120</v>
      </c>
      <c r="K51" s="118">
        <v>1</v>
      </c>
      <c r="L51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167</v>
      </c>
      <c r="M51" s="118" t="s">
        <v>118</v>
      </c>
      <c r="N51" s="118">
        <v>4</v>
      </c>
      <c r="O51" s="118" t="s">
        <v>120</v>
      </c>
      <c r="P51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51" s="117">
        <f>IFERROR(Cargos_Catalogo[[#This Row],[PuntosC&amp;H]]+Cargos_Catalogo[[#This Row],[PuntosHC]],"")</f>
        <v>244</v>
      </c>
      <c r="R51" s="118">
        <v>2</v>
      </c>
      <c r="S51" s="118" t="s">
        <v>97</v>
      </c>
      <c r="T51" s="118" t="s">
        <v>137</v>
      </c>
      <c r="U51" s="118" t="s">
        <v>97</v>
      </c>
      <c r="V51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</v>
      </c>
      <c r="W51" s="120">
        <f>IFERROR(Cargos_Catalogo[[#This Row],[Total Puntos1]]*Cargos_Catalogo[[#This Row],[Porcentaje]],"")</f>
        <v>48.800000000000004</v>
      </c>
      <c r="X51" s="118" t="s">
        <v>120</v>
      </c>
      <c r="Y51" s="118" t="s">
        <v>118</v>
      </c>
      <c r="Z51" s="118">
        <v>1</v>
      </c>
      <c r="AA51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64</v>
      </c>
      <c r="AB51" s="125">
        <v>0</v>
      </c>
      <c r="AC51" s="125">
        <v>0</v>
      </c>
      <c r="AD51" s="125">
        <v>0</v>
      </c>
      <c r="AE51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11</v>
      </c>
      <c r="AF51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51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/Especialista</v>
      </c>
      <c r="AH51" s="117">
        <f>COUNTIF(Datos_Origen[Cargo Tipo Valorado],Cargos_Catalogo[[#This Row],[Cargo]])</f>
        <v>1</v>
      </c>
      <c r="AI51" s="122">
        <f>IFERROR(SUMIFS(Datos_Origen[G],Datos_Origen[Cargo Tipo Valorado],Cargos_Catalogo[[#This Row],[Cargo]])/Cargos_Catalogo[[#This Row],[Frecuencia]],0)</f>
        <v>3218192.45</v>
      </c>
      <c r="AJ51" s="122">
        <f>IFERROR(SUMIFS(Datos_Origen[G+V],Datos_Origen[Cargo Tipo Valorado],Cargos_Catalogo[[#This Row],[Cargo]])/Cargos_Catalogo[[#This Row],[Frecuencia]],0)</f>
        <v>3218192.45</v>
      </c>
      <c r="AK51" s="122">
        <f>IFERROR(SUMIFS(Datos_Origen[CT],Datos_Origen[Cargo Tipo Valorado],Cargos_Catalogo[[#This Row],[Cargo]])/Cargos_Catalogo[[#This Row],[Frecuencia]],0)</f>
        <v>3218192.45</v>
      </c>
      <c r="AL51" s="117" t="str">
        <f>IF(COUNTA(Cargos_Catalogo[[#This Row],[PuntosF]:[CriticidadF]])=0,"",COUNTA(Cargos_Catalogo[[#This Row],[PuntosF]:[CriticidadF]]))</f>
        <v/>
      </c>
      <c r="AM51" s="118"/>
      <c r="AN51" s="123"/>
      <c r="AO51" s="123"/>
      <c r="AP51" s="123"/>
      <c r="AQ51" s="117" t="str">
        <f>IFERROR(VLOOKUP(Cargos_Catalogo[[#This Row],[Categoria]],NivelSHR[],2,1),"")</f>
        <v>Táctico</v>
      </c>
      <c r="AR51" s="127">
        <f>IFERROR(SUMIFS(Datos_Origen[[Promedio de Comisiones  ]],Datos_Origen[Cargo Tipo Valorado],Cargos_Catalogo[[#This Row],[Cargo]])/Cargos_Catalogo[[#This Row],[Frecuencia]],0)</f>
        <v>0</v>
      </c>
      <c r="AS51" s="124"/>
      <c r="AT51" s="123"/>
    </row>
    <row r="52" spans="2:46" ht="13.8">
      <c r="B52" s="116" t="s">
        <v>323</v>
      </c>
      <c r="C52" s="116" t="s">
        <v>598</v>
      </c>
      <c r="D52" s="116" t="s">
        <v>595</v>
      </c>
      <c r="E52" s="116" t="s">
        <v>584</v>
      </c>
      <c r="F52" s="116"/>
      <c r="G52" s="117">
        <f>IFERROR(IF(Cargos_Catalogo[[#This Row],[PuntosF]]="",ROUND(Cargos_Catalogo[[#This Row],[Total Puntos1]]+Cargos_Catalogo[[#This Row],[Total Puntos2]]+Cargos_Catalogo[[#This Row],[PuntosRR]],0),Cargos_Catalogo[PuntosF]),"")</f>
        <v>351</v>
      </c>
      <c r="H52" s="118" t="s">
        <v>137</v>
      </c>
      <c r="I52" s="118" t="s">
        <v>97</v>
      </c>
      <c r="J52" s="118" t="s">
        <v>120</v>
      </c>
      <c r="K52" s="118">
        <v>1</v>
      </c>
      <c r="L52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147</v>
      </c>
      <c r="M52" s="118" t="s">
        <v>118</v>
      </c>
      <c r="N52" s="118">
        <v>4</v>
      </c>
      <c r="O52" s="118" t="s">
        <v>120</v>
      </c>
      <c r="P52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52" s="117">
        <f>IFERROR(Cargos_Catalogo[[#This Row],[PuntosC&amp;H]]+Cargos_Catalogo[[#This Row],[PuntosHC]],"")</f>
        <v>224</v>
      </c>
      <c r="R52" s="118">
        <v>2</v>
      </c>
      <c r="S52" s="118" t="s">
        <v>97</v>
      </c>
      <c r="T52" s="118" t="s">
        <v>137</v>
      </c>
      <c r="U52" s="118" t="s">
        <v>117</v>
      </c>
      <c r="V52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0.22</v>
      </c>
      <c r="W52" s="120">
        <f>IFERROR(Cargos_Catalogo[[#This Row],[Total Puntos1]]*Cargos_Catalogo[[#This Row],[Porcentaje]],"")</f>
        <v>49.28</v>
      </c>
      <c r="X52" s="118" t="s">
        <v>120</v>
      </c>
      <c r="Y52" s="118" t="s">
        <v>118</v>
      </c>
      <c r="Z52" s="118">
        <v>2</v>
      </c>
      <c r="AA52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78</v>
      </c>
      <c r="AB52" s="125">
        <v>0</v>
      </c>
      <c r="AC52" s="125">
        <v>1</v>
      </c>
      <c r="AD52" s="125">
        <v>0</v>
      </c>
      <c r="AE52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10</v>
      </c>
      <c r="AF52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Importante</v>
      </c>
      <c r="AG52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 Especialista</v>
      </c>
      <c r="AH52" s="117">
        <f>COUNTIF(Datos_Origen[Cargo Tipo Valorado],Cargos_Catalogo[[#This Row],[Cargo]])</f>
        <v>1</v>
      </c>
      <c r="AI52" s="122">
        <f>IFERROR(SUMIFS(Datos_Origen[G],Datos_Origen[Cargo Tipo Valorado],Cargos_Catalogo[[#This Row],[Cargo]])/Cargos_Catalogo[[#This Row],[Frecuencia]],0)</f>
        <v>3177009.0000000005</v>
      </c>
      <c r="AJ52" s="122">
        <f>IFERROR(SUMIFS(Datos_Origen[G+V],Datos_Origen[Cargo Tipo Valorado],Cargos_Catalogo[[#This Row],[Cargo]])/Cargos_Catalogo[[#This Row],[Frecuencia]],0)</f>
        <v>4353679</v>
      </c>
      <c r="AK52" s="122">
        <f>IFERROR(SUMIFS(Datos_Origen[CT],Datos_Origen[Cargo Tipo Valorado],Cargos_Catalogo[[#This Row],[Cargo]])/Cargos_Catalogo[[#This Row],[Frecuencia]],0)</f>
        <v>4353679</v>
      </c>
      <c r="AL52" s="117" t="str">
        <f>IF(COUNTA(Cargos_Catalogo[[#This Row],[PuntosF]:[CriticidadF]])=0,"",COUNTA(Cargos_Catalogo[[#This Row],[PuntosF]:[CriticidadF]]))</f>
        <v/>
      </c>
      <c r="AM52" s="118"/>
      <c r="AN52" s="123"/>
      <c r="AO52" s="123"/>
      <c r="AP52" s="123"/>
      <c r="AQ52" s="117" t="str">
        <f>IFERROR(VLOOKUP(Cargos_Catalogo[[#This Row],[Categoria]],NivelSHR[],2,1),"")</f>
        <v>Táctico</v>
      </c>
      <c r="AR52" s="127">
        <f>IFERROR(SUMIFS(Datos_Origen[[Promedio de Comisiones  ]],Datos_Origen[Cargo Tipo Valorado],Cargos_Catalogo[[#This Row],[Cargo]])/Cargos_Catalogo[[#This Row],[Frecuencia]],0)</f>
        <v>1000000</v>
      </c>
      <c r="AS52" s="124"/>
      <c r="AT52" s="123"/>
    </row>
    <row r="53" spans="2:46" ht="13.8">
      <c r="B53" s="116" t="s">
        <v>322</v>
      </c>
      <c r="C53" s="116" t="s">
        <v>607</v>
      </c>
      <c r="D53" s="116" t="s">
        <v>595</v>
      </c>
      <c r="E53" s="116" t="s">
        <v>584</v>
      </c>
      <c r="F53" s="116"/>
      <c r="G53" s="117">
        <f>IFERROR(IF(Cargos_Catalogo[[#This Row],[PuntosF]]="",ROUND(Cargos_Catalogo[[#This Row],[Total Puntos1]]+Cargos_Catalogo[[#This Row],[Total Puntos2]]+Cargos_Catalogo[[#This Row],[PuntosRR]],0),Cargos_Catalogo[PuntosF]),"")</f>
        <v>339</v>
      </c>
      <c r="H53" s="118" t="s">
        <v>155</v>
      </c>
      <c r="I53" s="118" t="s">
        <v>97</v>
      </c>
      <c r="J53" s="118" t="s">
        <v>120</v>
      </c>
      <c r="K53" s="118">
        <v>1</v>
      </c>
      <c r="L53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190</v>
      </c>
      <c r="M53" s="118" t="s">
        <v>79</v>
      </c>
      <c r="N53" s="118">
        <v>3</v>
      </c>
      <c r="O53" s="118" t="s">
        <v>100</v>
      </c>
      <c r="P53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32</v>
      </c>
      <c r="Q53" s="117">
        <f>IFERROR(Cargos_Catalogo[[#This Row],[PuntosC&amp;H]]+Cargos_Catalogo[[#This Row],[PuntosHC]],"")</f>
        <v>222</v>
      </c>
      <c r="R53" s="118">
        <v>3</v>
      </c>
      <c r="S53" s="118" t="s">
        <v>78</v>
      </c>
      <c r="T53" s="118" t="s">
        <v>137</v>
      </c>
      <c r="U53" s="118" t="s">
        <v>117</v>
      </c>
      <c r="V53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0.24</v>
      </c>
      <c r="W53" s="120">
        <f>IFERROR(Cargos_Catalogo[[#This Row],[Total Puntos1]]*Cargos_Catalogo[[#This Row],[Porcentaje]],"")</f>
        <v>53.28</v>
      </c>
      <c r="X53" s="118" t="s">
        <v>120</v>
      </c>
      <c r="Y53" s="118" t="s">
        <v>118</v>
      </c>
      <c r="Z53" s="118">
        <v>1</v>
      </c>
      <c r="AA53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64</v>
      </c>
      <c r="AB53" s="125">
        <v>0</v>
      </c>
      <c r="AC53" s="125">
        <v>1</v>
      </c>
      <c r="AD53" s="125">
        <v>1</v>
      </c>
      <c r="AE53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10</v>
      </c>
      <c r="AF53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Muy Importante</v>
      </c>
      <c r="AG53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 Especialista</v>
      </c>
      <c r="AH53" s="117">
        <f>COUNTIF(Datos_Origen[Cargo Tipo Valorado],Cargos_Catalogo[[#This Row],[Cargo]])</f>
        <v>1</v>
      </c>
      <c r="AI53" s="122">
        <f>IFERROR(SUMIFS(Datos_Origen[G],Datos_Origen[Cargo Tipo Valorado],Cargos_Catalogo[[#This Row],[Cargo]])/Cargos_Catalogo[[#This Row],[Frecuencia]],0)</f>
        <v>4457225.96</v>
      </c>
      <c r="AJ53" s="122">
        <f>IFERROR(SUMIFS(Datos_Origen[G+V],Datos_Origen[Cargo Tipo Valorado],Cargos_Catalogo[[#This Row],[Cargo]])/Cargos_Catalogo[[#This Row],[Frecuencia]],0)</f>
        <v>4457225.96</v>
      </c>
      <c r="AK53" s="122">
        <f>IFERROR(SUMIFS(Datos_Origen[CT],Datos_Origen[Cargo Tipo Valorado],Cargos_Catalogo[[#This Row],[Cargo]])/Cargos_Catalogo[[#This Row],[Frecuencia]],0)</f>
        <v>4457225.96</v>
      </c>
      <c r="AL53" s="117" t="str">
        <f>IF(COUNTA(Cargos_Catalogo[[#This Row],[PuntosF]:[CriticidadF]])=0,"",COUNTA(Cargos_Catalogo[[#This Row],[PuntosF]:[CriticidadF]]))</f>
        <v/>
      </c>
      <c r="AM53" s="118"/>
      <c r="AN53" s="123"/>
      <c r="AO53" s="123"/>
      <c r="AP53" s="123"/>
      <c r="AQ53" s="117" t="str">
        <f>IFERROR(VLOOKUP(Cargos_Catalogo[[#This Row],[Categoria]],NivelSHR[],2,1),"")</f>
        <v>Táctico</v>
      </c>
      <c r="AR53" s="127">
        <f>IFERROR(SUMIFS(Datos_Origen[[Promedio de Comisiones  ]],Datos_Origen[Cargo Tipo Valorado],Cargos_Catalogo[[#This Row],[Cargo]])/Cargos_Catalogo[[#This Row],[Frecuencia]],0)</f>
        <v>0</v>
      </c>
      <c r="AS53" s="124"/>
      <c r="AT53" s="123"/>
    </row>
    <row r="54" spans="2:46" ht="13.8">
      <c r="B54" s="116" t="s">
        <v>327</v>
      </c>
      <c r="C54" s="116" t="e">
        <v>#N/A</v>
      </c>
      <c r="D54" s="116" t="s">
        <v>595</v>
      </c>
      <c r="E54" s="116" t="s">
        <v>587</v>
      </c>
      <c r="F54" s="116"/>
      <c r="G54" s="117">
        <f>IFERROR(IF(Cargos_Catalogo[[#This Row],[PuntosF]]="",ROUND(Cargos_Catalogo[[#This Row],[Total Puntos1]]+Cargos_Catalogo[[#This Row],[Total Puntos2]]+Cargos_Catalogo[[#This Row],[PuntosRR]],0),Cargos_Catalogo[PuntosF]),"")</f>
        <v>304</v>
      </c>
      <c r="H54" s="118" t="s">
        <v>155</v>
      </c>
      <c r="I54" s="118" t="s">
        <v>97</v>
      </c>
      <c r="J54" s="118" t="s">
        <v>81</v>
      </c>
      <c r="K54" s="118">
        <v>1</v>
      </c>
      <c r="L54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157</v>
      </c>
      <c r="M54" s="118" t="s">
        <v>118</v>
      </c>
      <c r="N54" s="118">
        <v>4</v>
      </c>
      <c r="O54" s="118" t="s">
        <v>100</v>
      </c>
      <c r="P54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51</v>
      </c>
      <c r="Q54" s="117">
        <f>IFERROR(Cargos_Catalogo[[#This Row],[PuntosC&amp;H]]+Cargos_Catalogo[[#This Row],[PuntosHC]],"")</f>
        <v>208</v>
      </c>
      <c r="R54" s="118">
        <v>2</v>
      </c>
      <c r="S54" s="118" t="s">
        <v>117</v>
      </c>
      <c r="T54" s="118" t="s">
        <v>137</v>
      </c>
      <c r="U54" s="118" t="s">
        <v>97</v>
      </c>
      <c r="V54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0.22</v>
      </c>
      <c r="W54" s="120">
        <f>IFERROR(Cargos_Catalogo[[#This Row],[Total Puntos1]]*Cargos_Catalogo[[#This Row],[Porcentaje]],"")</f>
        <v>45.76</v>
      </c>
      <c r="X54" s="118" t="s">
        <v>100</v>
      </c>
      <c r="Y54" s="118" t="s">
        <v>118</v>
      </c>
      <c r="Z54" s="118">
        <v>1</v>
      </c>
      <c r="AA54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50</v>
      </c>
      <c r="AB54" s="125">
        <v>0</v>
      </c>
      <c r="AC54" s="125">
        <v>0</v>
      </c>
      <c r="AD54" s="125">
        <v>0</v>
      </c>
      <c r="AE54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9</v>
      </c>
      <c r="AF54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54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 Analista</v>
      </c>
      <c r="AH54" s="117">
        <f>COUNTIF(Datos_Origen[Cargo Tipo Valorado],Cargos_Catalogo[[#This Row],[Cargo]])</f>
        <v>2</v>
      </c>
      <c r="AI54" s="122">
        <f>IFERROR(SUMIFS(Datos_Origen[G],Datos_Origen[Cargo Tipo Valorado],Cargos_Catalogo[[#This Row],[Cargo]])/Cargos_Catalogo[[#This Row],[Frecuencia]],0)</f>
        <v>2828714.68</v>
      </c>
      <c r="AJ54" s="122">
        <f>IFERROR(SUMIFS(Datos_Origen[G+V],Datos_Origen[Cargo Tipo Valorado],Cargos_Catalogo[[#This Row],[Cargo]])/Cargos_Catalogo[[#This Row],[Frecuencia]],0)</f>
        <v>2828714.68</v>
      </c>
      <c r="AK54" s="122">
        <f>IFERROR(SUMIFS(Datos_Origen[CT],Datos_Origen[Cargo Tipo Valorado],Cargos_Catalogo[[#This Row],[Cargo]])/Cargos_Catalogo[[#This Row],[Frecuencia]],0)</f>
        <v>2828714.68</v>
      </c>
      <c r="AL54" s="117" t="str">
        <f>IF(COUNTA(Cargos_Catalogo[[#This Row],[PuntosF]:[CriticidadF]])=0,"",COUNTA(Cargos_Catalogo[[#This Row],[PuntosF]:[CriticidadF]]))</f>
        <v/>
      </c>
      <c r="AM54" s="118"/>
      <c r="AN54" s="123"/>
      <c r="AO54" s="123"/>
      <c r="AP54" s="123"/>
      <c r="AQ54" s="117" t="str">
        <f>IFERROR(VLOOKUP(Cargos_Catalogo[[#This Row],[Categoria]],NivelSHR[],2,1),"")</f>
        <v>Táctico</v>
      </c>
      <c r="AR54" s="127">
        <f>IFERROR(SUMIFS(Datos_Origen[[Promedio de Comisiones  ]],Datos_Origen[Cargo Tipo Valorado],Cargos_Catalogo[[#This Row],[Cargo]])/Cargos_Catalogo[[#This Row],[Frecuencia]],0)</f>
        <v>0</v>
      </c>
      <c r="AS54" s="124"/>
      <c r="AT54" s="123"/>
    </row>
    <row r="55" spans="2:46" ht="13.8">
      <c r="B55" s="116" t="s">
        <v>326</v>
      </c>
      <c r="C55" s="116" t="s">
        <v>608</v>
      </c>
      <c r="D55" s="116" t="s">
        <v>595</v>
      </c>
      <c r="E55" s="116" t="s">
        <v>241</v>
      </c>
      <c r="F55" s="116"/>
      <c r="G55" s="117">
        <f>IFERROR(IF(Cargos_Catalogo[[#This Row],[PuntosF]]="",ROUND(Cargos_Catalogo[[#This Row],[Total Puntos1]]+Cargos_Catalogo[[#This Row],[Total Puntos2]]+Cargos_Catalogo[[#This Row],[PuntosRR]],0),Cargos_Catalogo[PuntosF]),"")</f>
        <v>301</v>
      </c>
      <c r="H55" s="118" t="s">
        <v>155</v>
      </c>
      <c r="I55" s="118" t="s">
        <v>78</v>
      </c>
      <c r="J55" s="118" t="s">
        <v>120</v>
      </c>
      <c r="K55" s="118">
        <v>1</v>
      </c>
      <c r="L55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167</v>
      </c>
      <c r="M55" s="118" t="s">
        <v>79</v>
      </c>
      <c r="N55" s="118">
        <v>3</v>
      </c>
      <c r="O55" s="118" t="s">
        <v>100</v>
      </c>
      <c r="P55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32</v>
      </c>
      <c r="Q55" s="117">
        <f>IFERROR(Cargos_Catalogo[[#This Row],[PuntosC&amp;H]]+Cargos_Catalogo[[#This Row],[PuntosHC]],"")</f>
        <v>199</v>
      </c>
      <c r="R55" s="118">
        <v>2</v>
      </c>
      <c r="S55" s="118" t="s">
        <v>97</v>
      </c>
      <c r="T55" s="118" t="s">
        <v>118</v>
      </c>
      <c r="U55" s="118" t="s">
        <v>117</v>
      </c>
      <c r="V55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0.19</v>
      </c>
      <c r="W55" s="120">
        <f>IFERROR(Cargos_Catalogo[[#This Row],[Total Puntos1]]*Cargos_Catalogo[[#This Row],[Porcentaje]],"")</f>
        <v>37.81</v>
      </c>
      <c r="X55" s="118" t="s">
        <v>120</v>
      </c>
      <c r="Y55" s="118" t="s">
        <v>118</v>
      </c>
      <c r="Z55" s="118">
        <v>1</v>
      </c>
      <c r="AA55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64</v>
      </c>
      <c r="AB55" s="125">
        <v>1</v>
      </c>
      <c r="AC55" s="125">
        <v>1</v>
      </c>
      <c r="AD55" s="125">
        <v>1</v>
      </c>
      <c r="AE55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9</v>
      </c>
      <c r="AF55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Crítico</v>
      </c>
      <c r="AG55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 Analista</v>
      </c>
      <c r="AH55" s="117">
        <f>COUNTIF(Datos_Origen[Cargo Tipo Valorado],Cargos_Catalogo[[#This Row],[Cargo]])</f>
        <v>1</v>
      </c>
      <c r="AI55" s="122">
        <f>IFERROR(SUMIFS(Datos_Origen[G],Datos_Origen[Cargo Tipo Valorado],Cargos_Catalogo[[#This Row],[Cargo]])/Cargos_Catalogo[[#This Row],[Frecuencia]],0)</f>
        <v>4471346</v>
      </c>
      <c r="AJ55" s="122">
        <f>IFERROR(SUMIFS(Datos_Origen[G+V],Datos_Origen[Cargo Tipo Valorado],Cargos_Catalogo[[#This Row],[Cargo]])/Cargos_Catalogo[[#This Row],[Frecuencia]],0)</f>
        <v>4471346</v>
      </c>
      <c r="AK55" s="122">
        <f>IFERROR(SUMIFS(Datos_Origen[CT],Datos_Origen[Cargo Tipo Valorado],Cargos_Catalogo[[#This Row],[Cargo]])/Cargos_Catalogo[[#This Row],[Frecuencia]],0)</f>
        <v>4471346</v>
      </c>
      <c r="AL55" s="117" t="str">
        <f>IF(COUNTA(Cargos_Catalogo[[#This Row],[PuntosF]:[CriticidadF]])=0,"",COUNTA(Cargos_Catalogo[[#This Row],[PuntosF]:[CriticidadF]]))</f>
        <v/>
      </c>
      <c r="AM55" s="118"/>
      <c r="AN55" s="123"/>
      <c r="AO55" s="123"/>
      <c r="AP55" s="123"/>
      <c r="AQ55" s="117" t="str">
        <f>IFERROR(VLOOKUP(Cargos_Catalogo[[#This Row],[Categoria]],NivelSHR[],2,1),"")</f>
        <v>Táctico</v>
      </c>
      <c r="AR55" s="127">
        <f>IFERROR(SUMIFS(Datos_Origen[[Promedio de Comisiones  ]],Datos_Origen[Cargo Tipo Valorado],Cargos_Catalogo[[#This Row],[Cargo]])/Cargos_Catalogo[[#This Row],[Frecuencia]],0)</f>
        <v>0</v>
      </c>
      <c r="AS55" s="124"/>
      <c r="AT55" s="123"/>
    </row>
    <row r="56" spans="2:46" ht="13.8">
      <c r="B56" s="116" t="s">
        <v>325</v>
      </c>
      <c r="C56" s="116" t="s">
        <v>609</v>
      </c>
      <c r="D56" s="116" t="s">
        <v>581</v>
      </c>
      <c r="E56" s="116" t="s">
        <v>587</v>
      </c>
      <c r="F56" s="116"/>
      <c r="G56" s="117">
        <f>IFERROR(IF(Cargos_Catalogo[[#This Row],[PuntosF]]="",ROUND(Cargos_Catalogo[[#This Row],[Total Puntos1]]+Cargos_Catalogo[[#This Row],[Total Puntos2]]+Cargos_Catalogo[[#This Row],[PuntosRR]],0),Cargos_Catalogo[PuntosF]),"")</f>
        <v>300</v>
      </c>
      <c r="H56" s="118" t="s">
        <v>155</v>
      </c>
      <c r="I56" s="118" t="s">
        <v>97</v>
      </c>
      <c r="J56" s="118" t="s">
        <v>81</v>
      </c>
      <c r="K56" s="118">
        <v>1</v>
      </c>
      <c r="L56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157</v>
      </c>
      <c r="M56" s="118" t="s">
        <v>118</v>
      </c>
      <c r="N56" s="118">
        <v>4</v>
      </c>
      <c r="O56" s="118" t="s">
        <v>100</v>
      </c>
      <c r="P56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51</v>
      </c>
      <c r="Q56" s="117">
        <f>IFERROR(Cargos_Catalogo[[#This Row],[PuntosC&amp;H]]+Cargos_Catalogo[[#This Row],[PuntosHC]],"")</f>
        <v>208</v>
      </c>
      <c r="R56" s="118">
        <v>2</v>
      </c>
      <c r="S56" s="118" t="s">
        <v>117</v>
      </c>
      <c r="T56" s="118" t="s">
        <v>137</v>
      </c>
      <c r="U56" s="118" t="s">
        <v>78</v>
      </c>
      <c r="V56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</v>
      </c>
      <c r="W56" s="120">
        <f>IFERROR(Cargos_Catalogo[[#This Row],[Total Puntos1]]*Cargos_Catalogo[[#This Row],[Porcentaje]],"")</f>
        <v>41.6</v>
      </c>
      <c r="X56" s="118" t="s">
        <v>100</v>
      </c>
      <c r="Y56" s="118" t="s">
        <v>118</v>
      </c>
      <c r="Z56" s="118">
        <v>1</v>
      </c>
      <c r="AA56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50</v>
      </c>
      <c r="AB56" s="125">
        <v>0</v>
      </c>
      <c r="AC56" s="125">
        <v>0</v>
      </c>
      <c r="AD56" s="125">
        <v>0</v>
      </c>
      <c r="AE56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9</v>
      </c>
      <c r="AF56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56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 Analista</v>
      </c>
      <c r="AH56" s="117">
        <f>COUNTIF(Datos_Origen[Cargo Tipo Valorado],Cargos_Catalogo[[#This Row],[Cargo]])</f>
        <v>1</v>
      </c>
      <c r="AI56" s="122">
        <f>IFERROR(SUMIFS(Datos_Origen[G],Datos_Origen[Cargo Tipo Valorado],Cargos_Catalogo[[#This Row],[Cargo]])/Cargos_Catalogo[[#This Row],[Frecuencia]],0)</f>
        <v>6763499.1600000001</v>
      </c>
      <c r="AJ56" s="122">
        <f>IFERROR(SUMIFS(Datos_Origen[G+V],Datos_Origen[Cargo Tipo Valorado],Cargos_Catalogo[[#This Row],[Cargo]])/Cargos_Catalogo[[#This Row],[Frecuencia]],0)</f>
        <v>6763499.1600000001</v>
      </c>
      <c r="AK56" s="122">
        <f>IFERROR(SUMIFS(Datos_Origen[CT],Datos_Origen[Cargo Tipo Valorado],Cargos_Catalogo[[#This Row],[Cargo]])/Cargos_Catalogo[[#This Row],[Frecuencia]],0)</f>
        <v>6763499.1600000001</v>
      </c>
      <c r="AL56" s="117" t="str">
        <f>IF(COUNTA(Cargos_Catalogo[[#This Row],[PuntosF]:[CriticidadF]])=0,"",COUNTA(Cargos_Catalogo[[#This Row],[PuntosF]:[CriticidadF]]))</f>
        <v/>
      </c>
      <c r="AM56" s="118"/>
      <c r="AN56" s="123"/>
      <c r="AO56" s="123"/>
      <c r="AP56" s="123"/>
      <c r="AQ56" s="117" t="str">
        <f>IFERROR(VLOOKUP(Cargos_Catalogo[[#This Row],[Categoria]],NivelSHR[],2,1),"")</f>
        <v>Táctico</v>
      </c>
      <c r="AR56" s="127">
        <f>IFERROR(SUMIFS(Datos_Origen[[Promedio de Comisiones  ]],Datos_Origen[Cargo Tipo Valorado],Cargos_Catalogo[[#This Row],[Cargo]])/Cargos_Catalogo[[#This Row],[Frecuencia]],0)</f>
        <v>0</v>
      </c>
      <c r="AS56" s="124"/>
      <c r="AT56" s="123"/>
    </row>
    <row r="57" spans="2:46" ht="13.8">
      <c r="B57" s="116" t="s">
        <v>324</v>
      </c>
      <c r="C57" s="116" t="s">
        <v>610</v>
      </c>
      <c r="D57" s="116" t="s">
        <v>611</v>
      </c>
      <c r="E57" s="116" t="s">
        <v>587</v>
      </c>
      <c r="F57" s="116"/>
      <c r="G57" s="117">
        <f>IFERROR(IF(Cargos_Catalogo[[#This Row],[PuntosF]]="",ROUND(Cargos_Catalogo[[#This Row],[Total Puntos1]]+Cargos_Catalogo[[#This Row],[Total Puntos2]]+Cargos_Catalogo[[#This Row],[PuntosRR]],0),Cargos_Catalogo[PuntosF]),"")</f>
        <v>268</v>
      </c>
      <c r="H57" s="118" t="s">
        <v>137</v>
      </c>
      <c r="I57" s="118" t="s">
        <v>97</v>
      </c>
      <c r="J57" s="118" t="s">
        <v>100</v>
      </c>
      <c r="K57" s="118">
        <v>1</v>
      </c>
      <c r="L57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135</v>
      </c>
      <c r="M57" s="118" t="s">
        <v>118</v>
      </c>
      <c r="N57" s="118">
        <v>4</v>
      </c>
      <c r="O57" s="118" t="s">
        <v>100</v>
      </c>
      <c r="P57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51</v>
      </c>
      <c r="Q57" s="117">
        <f>IFERROR(Cargos_Catalogo[[#This Row],[PuntosC&amp;H]]+Cargos_Catalogo[[#This Row],[PuntosHC]],"")</f>
        <v>186</v>
      </c>
      <c r="R57" s="118">
        <v>2</v>
      </c>
      <c r="S57" s="118" t="s">
        <v>97</v>
      </c>
      <c r="T57" s="118" t="s">
        <v>118</v>
      </c>
      <c r="U57" s="118" t="s">
        <v>97</v>
      </c>
      <c r="V57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0.17</v>
      </c>
      <c r="W57" s="120">
        <f>IFERROR(Cargos_Catalogo[[#This Row],[Total Puntos1]]*Cargos_Catalogo[[#This Row],[Porcentaje]],"")</f>
        <v>31.62</v>
      </c>
      <c r="X57" s="118" t="s">
        <v>100</v>
      </c>
      <c r="Y57" s="118" t="s">
        <v>118</v>
      </c>
      <c r="Z57" s="118">
        <v>1</v>
      </c>
      <c r="AA57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50</v>
      </c>
      <c r="AB57" s="125">
        <v>0</v>
      </c>
      <c r="AC57" s="125">
        <v>0</v>
      </c>
      <c r="AD57" s="125">
        <v>0</v>
      </c>
      <c r="AE57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9</v>
      </c>
      <c r="AF57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57" s="117" t="str">
        <f>IFERROR(IF(Cargos_Catalogo[[#This Row],[NivelF]]="",VLOOKUP(Cargos_Catalogo[[#This Row],[Categoria]],Niveles_Registro[],MATCH(Niveles_Registro[[#Headers],[Nivel]],Niveles_Registro[#Headers],0),FALSE),Cargos_Catalogo[NivelF]),"")</f>
        <v>Coordinador / Analista</v>
      </c>
      <c r="AH57" s="117">
        <f>COUNTIF(Datos_Origen[Cargo Tipo Valorado],Cargos_Catalogo[[#This Row],[Cargo]])</f>
        <v>2</v>
      </c>
      <c r="AI57" s="122">
        <f>IFERROR(SUMIFS(Datos_Origen[G],Datos_Origen[Cargo Tipo Valorado],Cargos_Catalogo[[#This Row],[Cargo]])/Cargos_Catalogo[[#This Row],[Frecuencia]],0)</f>
        <v>2828714.68</v>
      </c>
      <c r="AJ57" s="122">
        <f>IFERROR(SUMIFS(Datos_Origen[G+V],Datos_Origen[Cargo Tipo Valorado],Cargos_Catalogo[[#This Row],[Cargo]])/Cargos_Catalogo[[#This Row],[Frecuencia]],0)</f>
        <v>2828714.68</v>
      </c>
      <c r="AK57" s="122">
        <f>IFERROR(SUMIFS(Datos_Origen[CT],Datos_Origen[Cargo Tipo Valorado],Cargos_Catalogo[[#This Row],[Cargo]])/Cargos_Catalogo[[#This Row],[Frecuencia]],0)</f>
        <v>2828714.68</v>
      </c>
      <c r="AL57" s="117" t="str">
        <f>IF(COUNTA(Cargos_Catalogo[[#This Row],[PuntosF]:[CriticidadF]])=0,"",COUNTA(Cargos_Catalogo[[#This Row],[PuntosF]:[CriticidadF]]))</f>
        <v/>
      </c>
      <c r="AM57" s="118"/>
      <c r="AN57" s="123"/>
      <c r="AO57" s="123"/>
      <c r="AP57" s="123"/>
      <c r="AQ57" s="117" t="str">
        <f>IFERROR(VLOOKUP(Cargos_Catalogo[[#This Row],[Categoria]],NivelSHR[],2,1),"")</f>
        <v>Táctico</v>
      </c>
      <c r="AR57" s="127">
        <f>IFERROR(SUMIFS(Datos_Origen[[Promedio de Comisiones  ]],Datos_Origen[Cargo Tipo Valorado],Cargos_Catalogo[[#This Row],[Cargo]])/Cargos_Catalogo[[#This Row],[Frecuencia]],0)</f>
        <v>0</v>
      </c>
      <c r="AS57" s="124"/>
      <c r="AT57" s="123"/>
    </row>
    <row r="58" spans="2:46" ht="13.8">
      <c r="B58" s="116" t="s">
        <v>335</v>
      </c>
      <c r="C58" s="116" t="s">
        <v>612</v>
      </c>
      <c r="D58" s="116" t="s">
        <v>595</v>
      </c>
      <c r="E58" s="116" t="s">
        <v>241</v>
      </c>
      <c r="F58" s="116"/>
      <c r="G58" s="117">
        <f>IFERROR(IF(Cargos_Catalogo[[#This Row],[PuntosF]]="",ROUND(Cargos_Catalogo[[#This Row],[Total Puntos1]]+Cargos_Catalogo[[#This Row],[Total Puntos2]]+Cargos_Catalogo[[#This Row],[PuntosRR]],0),Cargos_Catalogo[PuntosF]),"")</f>
        <v>262</v>
      </c>
      <c r="H58" s="118" t="s">
        <v>118</v>
      </c>
      <c r="I58" s="118" t="s">
        <v>97</v>
      </c>
      <c r="J58" s="118" t="s">
        <v>100</v>
      </c>
      <c r="K58" s="118">
        <v>1</v>
      </c>
      <c r="L58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104</v>
      </c>
      <c r="M58" s="118" t="s">
        <v>118</v>
      </c>
      <c r="N58" s="118">
        <v>4</v>
      </c>
      <c r="O58" s="118" t="s">
        <v>120</v>
      </c>
      <c r="P58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58" s="117">
        <f>IFERROR(Cargos_Catalogo[[#This Row],[PuntosC&amp;H]]+Cargos_Catalogo[[#This Row],[PuntosHC]],"")</f>
        <v>181</v>
      </c>
      <c r="R58" s="118">
        <v>2</v>
      </c>
      <c r="S58" s="118" t="s">
        <v>97</v>
      </c>
      <c r="T58" s="118" t="s">
        <v>118</v>
      </c>
      <c r="U58" s="118" t="s">
        <v>97</v>
      </c>
      <c r="V58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0.17</v>
      </c>
      <c r="W58" s="120">
        <f>IFERROR(Cargos_Catalogo[[#This Row],[Total Puntos1]]*Cargos_Catalogo[[#This Row],[Porcentaje]],"")</f>
        <v>30.770000000000003</v>
      </c>
      <c r="X58" s="118" t="s">
        <v>100</v>
      </c>
      <c r="Y58" s="118" t="s">
        <v>118</v>
      </c>
      <c r="Z58" s="118">
        <v>1</v>
      </c>
      <c r="AA58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50</v>
      </c>
      <c r="AB58" s="125">
        <v>0</v>
      </c>
      <c r="AC58" s="125">
        <v>0</v>
      </c>
      <c r="AD58" s="125">
        <v>0</v>
      </c>
      <c r="AE58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8</v>
      </c>
      <c r="AF58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58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58" s="117">
        <f>COUNTIF(Datos_Origen[Cargo Tipo Valorado],Cargos_Catalogo[[#This Row],[Cargo]])</f>
        <v>4</v>
      </c>
      <c r="AI58" s="122">
        <f>IFERROR(SUMIFS(Datos_Origen[G],Datos_Origen[Cargo Tipo Valorado],Cargos_Catalogo[[#This Row],[Cargo]])/Cargos_Catalogo[[#This Row],[Frecuencia]],0)</f>
        <v>2828714.68</v>
      </c>
      <c r="AJ58" s="122">
        <f>IFERROR(SUMIFS(Datos_Origen[G+V],Datos_Origen[Cargo Tipo Valorado],Cargos_Catalogo[[#This Row],[Cargo]])/Cargos_Catalogo[[#This Row],[Frecuencia]],0)</f>
        <v>2828714.68</v>
      </c>
      <c r="AK58" s="122">
        <f>IFERROR(SUMIFS(Datos_Origen[CT],Datos_Origen[Cargo Tipo Valorado],Cargos_Catalogo[[#This Row],[Cargo]])/Cargos_Catalogo[[#This Row],[Frecuencia]],0)</f>
        <v>2828714.68</v>
      </c>
      <c r="AL58" s="117" t="str">
        <f>IF(COUNTA(Cargos_Catalogo[[#This Row],[PuntosF]:[CriticidadF]])=0,"",COUNTA(Cargos_Catalogo[[#This Row],[PuntosF]:[CriticidadF]]))</f>
        <v/>
      </c>
      <c r="AM58" s="118"/>
      <c r="AN58" s="123"/>
      <c r="AO58" s="123"/>
      <c r="AP58" s="123"/>
      <c r="AQ58" s="117" t="str">
        <f>IFERROR(VLOOKUP(Cargos_Catalogo[[#This Row],[Categoria]],NivelSHR[],2,1),"")</f>
        <v>Soporte</v>
      </c>
      <c r="AR58" s="127">
        <f>IFERROR(SUMIFS(Datos_Origen[[Promedio de Comisiones  ]],Datos_Origen[Cargo Tipo Valorado],Cargos_Catalogo[[#This Row],[Cargo]])/Cargos_Catalogo[[#This Row],[Frecuencia]],0)</f>
        <v>0</v>
      </c>
      <c r="AS58" s="124"/>
      <c r="AT58" s="123"/>
    </row>
    <row r="59" spans="2:46" ht="13.8">
      <c r="B59" s="116" t="s">
        <v>329</v>
      </c>
      <c r="C59" s="116" t="s">
        <v>613</v>
      </c>
      <c r="D59" s="116" t="s">
        <v>611</v>
      </c>
      <c r="E59" s="116" t="s">
        <v>241</v>
      </c>
      <c r="F59" s="116"/>
      <c r="G59" s="117">
        <f>IFERROR(IF(Cargos_Catalogo[[#This Row],[PuntosF]]="",ROUND(Cargos_Catalogo[[#This Row],[Total Puntos1]]+Cargos_Catalogo[[#This Row],[Total Puntos2]]+Cargos_Catalogo[[#This Row],[PuntosRR]],0),Cargos_Catalogo[PuntosF]),"")</f>
        <v>248</v>
      </c>
      <c r="H59" s="118" t="s">
        <v>137</v>
      </c>
      <c r="I59" s="118" t="s">
        <v>97</v>
      </c>
      <c r="J59" s="118" t="s">
        <v>81</v>
      </c>
      <c r="K59" s="118">
        <v>1</v>
      </c>
      <c r="L59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114</v>
      </c>
      <c r="M59" s="118" t="s">
        <v>118</v>
      </c>
      <c r="N59" s="118">
        <v>4</v>
      </c>
      <c r="O59" s="118" t="s">
        <v>100</v>
      </c>
      <c r="P59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51</v>
      </c>
      <c r="Q59" s="117">
        <f>IFERROR(Cargos_Catalogo[[#This Row],[PuntosC&amp;H]]+Cargos_Catalogo[[#This Row],[PuntosHC]],"")</f>
        <v>165</v>
      </c>
      <c r="R59" s="118">
        <v>2</v>
      </c>
      <c r="S59" s="118" t="s">
        <v>97</v>
      </c>
      <c r="T59" s="118" t="s">
        <v>137</v>
      </c>
      <c r="U59" s="118" t="s">
        <v>97</v>
      </c>
      <c r="V59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</v>
      </c>
      <c r="W59" s="120">
        <f>IFERROR(Cargos_Catalogo[[#This Row],[Total Puntos1]]*Cargos_Catalogo[[#This Row],[Porcentaje]],"")</f>
        <v>33</v>
      </c>
      <c r="X59" s="118" t="s">
        <v>100</v>
      </c>
      <c r="Y59" s="118" t="s">
        <v>118</v>
      </c>
      <c r="Z59" s="118">
        <v>1</v>
      </c>
      <c r="AA59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50</v>
      </c>
      <c r="AB59" s="125">
        <v>0</v>
      </c>
      <c r="AC59" s="125">
        <v>0</v>
      </c>
      <c r="AD59" s="125">
        <v>0</v>
      </c>
      <c r="AE59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8</v>
      </c>
      <c r="AF59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59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59" s="117">
        <f>COUNTIF(Datos_Origen[Cargo Tipo Valorado],Cargos_Catalogo[[#This Row],[Cargo]])</f>
        <v>1</v>
      </c>
      <c r="AI59" s="122">
        <f>IFERROR(SUMIFS(Datos_Origen[G],Datos_Origen[Cargo Tipo Valorado],Cargos_Catalogo[[#This Row],[Cargo]])/Cargos_Catalogo[[#This Row],[Frecuencia]],0)</f>
        <v>2941675.0000000005</v>
      </c>
      <c r="AJ59" s="122">
        <f>IFERROR(SUMIFS(Datos_Origen[G+V],Datos_Origen[Cargo Tipo Valorado],Cargos_Catalogo[[#This Row],[Cargo]])/Cargos_Catalogo[[#This Row],[Frecuencia]],0)</f>
        <v>2941675.0000000005</v>
      </c>
      <c r="AK59" s="122">
        <f>IFERROR(SUMIFS(Datos_Origen[CT],Datos_Origen[Cargo Tipo Valorado],Cargos_Catalogo[[#This Row],[Cargo]])/Cargos_Catalogo[[#This Row],[Frecuencia]],0)</f>
        <v>2941675.0000000005</v>
      </c>
      <c r="AL59" s="117" t="str">
        <f>IF(COUNTA(Cargos_Catalogo[[#This Row],[PuntosF]:[CriticidadF]])=0,"",COUNTA(Cargos_Catalogo[[#This Row],[PuntosF]:[CriticidadF]]))</f>
        <v/>
      </c>
      <c r="AM59" s="118"/>
      <c r="AN59" s="123"/>
      <c r="AO59" s="123"/>
      <c r="AP59" s="123"/>
      <c r="AQ59" s="117" t="str">
        <f>IFERROR(VLOOKUP(Cargos_Catalogo[[#This Row],[Categoria]],NivelSHR[],2,1),"")</f>
        <v>Soporte</v>
      </c>
      <c r="AR59" s="127">
        <f>IFERROR(SUMIFS(Datos_Origen[[Promedio de Comisiones  ]],Datos_Origen[Cargo Tipo Valorado],Cargos_Catalogo[[#This Row],[Cargo]])/Cargos_Catalogo[[#This Row],[Frecuencia]],0)</f>
        <v>0</v>
      </c>
      <c r="AS59" s="124"/>
      <c r="AT59" s="123"/>
    </row>
    <row r="60" spans="2:46" ht="13.8">
      <c r="B60" s="116" t="s">
        <v>334</v>
      </c>
      <c r="C60" s="116" t="s">
        <v>614</v>
      </c>
      <c r="D60" s="116" t="s">
        <v>615</v>
      </c>
      <c r="E60" s="116" t="s">
        <v>241</v>
      </c>
      <c r="F60" s="116"/>
      <c r="G60" s="117">
        <f>IFERROR(IF(Cargos_Catalogo[[#This Row],[PuntosF]]="",ROUND(Cargos_Catalogo[[#This Row],[Total Puntos1]]+Cargos_Catalogo[[#This Row],[Total Puntos2]]+Cargos_Catalogo[[#This Row],[PuntosRR]],0),Cargos_Catalogo[PuntosF]),"")</f>
        <v>248</v>
      </c>
      <c r="H60" s="118" t="s">
        <v>137</v>
      </c>
      <c r="I60" s="118" t="s">
        <v>78</v>
      </c>
      <c r="J60" s="118" t="s">
        <v>81</v>
      </c>
      <c r="K60" s="118">
        <v>1</v>
      </c>
      <c r="L60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98</v>
      </c>
      <c r="M60" s="118" t="s">
        <v>118</v>
      </c>
      <c r="N60" s="118">
        <v>4</v>
      </c>
      <c r="O60" s="118" t="s">
        <v>120</v>
      </c>
      <c r="P60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77</v>
      </c>
      <c r="Q60" s="117">
        <f>IFERROR(Cargos_Catalogo[[#This Row],[PuntosC&amp;H]]+Cargos_Catalogo[[#This Row],[PuntosHC]],"")</f>
        <v>175</v>
      </c>
      <c r="R60" s="118">
        <v>2</v>
      </c>
      <c r="S60" s="118" t="s">
        <v>97</v>
      </c>
      <c r="T60" s="118" t="s">
        <v>118</v>
      </c>
      <c r="U60" s="118" t="s">
        <v>97</v>
      </c>
      <c r="V60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0.17</v>
      </c>
      <c r="W60" s="120">
        <f>IFERROR(Cargos_Catalogo[[#This Row],[Total Puntos1]]*Cargos_Catalogo[[#This Row],[Porcentaje]],"")</f>
        <v>29.750000000000004</v>
      </c>
      <c r="X60" s="118" t="s">
        <v>100</v>
      </c>
      <c r="Y60" s="118" t="s">
        <v>98</v>
      </c>
      <c r="Z60" s="118">
        <v>1</v>
      </c>
      <c r="AA60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43</v>
      </c>
      <c r="AB60" s="125">
        <v>0</v>
      </c>
      <c r="AC60" s="125">
        <v>0</v>
      </c>
      <c r="AD60" s="125">
        <v>0</v>
      </c>
      <c r="AE60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8</v>
      </c>
      <c r="AF60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60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60" s="117">
        <f>COUNTIF(Datos_Origen[Cargo Tipo Valorado],Cargos_Catalogo[[#This Row],[Cargo]])</f>
        <v>1</v>
      </c>
      <c r="AI60" s="122">
        <f>IFERROR(SUMIFS(Datos_Origen[G],Datos_Origen[Cargo Tipo Valorado],Cargos_Catalogo[[#This Row],[Cargo]])/Cargos_Catalogo[[#This Row],[Frecuencia]],0)</f>
        <v>2828714.68</v>
      </c>
      <c r="AJ60" s="122">
        <f>IFERROR(SUMIFS(Datos_Origen[G+V],Datos_Origen[Cargo Tipo Valorado],Cargos_Catalogo[[#This Row],[Cargo]])/Cargos_Catalogo[[#This Row],[Frecuencia]],0)</f>
        <v>2828714.68</v>
      </c>
      <c r="AK60" s="122">
        <f>IFERROR(SUMIFS(Datos_Origen[CT],Datos_Origen[Cargo Tipo Valorado],Cargos_Catalogo[[#This Row],[Cargo]])/Cargos_Catalogo[[#This Row],[Frecuencia]],0)</f>
        <v>2828714.68</v>
      </c>
      <c r="AL60" s="117" t="str">
        <f>IF(COUNTA(Cargos_Catalogo[[#This Row],[PuntosF]:[CriticidadF]])=0,"",COUNTA(Cargos_Catalogo[[#This Row],[PuntosF]:[CriticidadF]]))</f>
        <v/>
      </c>
      <c r="AM60" s="118"/>
      <c r="AN60" s="123"/>
      <c r="AO60" s="123"/>
      <c r="AP60" s="123"/>
      <c r="AQ60" s="117" t="str">
        <f>IFERROR(VLOOKUP(Cargos_Catalogo[[#This Row],[Categoria]],NivelSHR[],2,1),"")</f>
        <v>Soporte</v>
      </c>
      <c r="AR60" s="127">
        <f>IFERROR(SUMIFS(Datos_Origen[[Promedio de Comisiones  ]],Datos_Origen[Cargo Tipo Valorado],Cargos_Catalogo[[#This Row],[Cargo]])/Cargos_Catalogo[[#This Row],[Frecuencia]],0)</f>
        <v>0</v>
      </c>
      <c r="AS60" s="124"/>
      <c r="AT60" s="123"/>
    </row>
    <row r="61" spans="2:46" ht="13.8">
      <c r="B61" s="116" t="s">
        <v>330</v>
      </c>
      <c r="C61" s="116" t="s">
        <v>606</v>
      </c>
      <c r="D61" s="116" t="s">
        <v>611</v>
      </c>
      <c r="E61" s="116" t="s">
        <v>241</v>
      </c>
      <c r="F61" s="116"/>
      <c r="G61" s="117">
        <f>IFERROR(IF(Cargos_Catalogo[[#This Row],[PuntosF]]="",ROUND(Cargos_Catalogo[[#This Row],[Total Puntos1]]+Cargos_Catalogo[[#This Row],[Total Puntos2]]+Cargos_Catalogo[[#This Row],[PuntosRR]],0),Cargos_Catalogo[PuntosF]),"")</f>
        <v>246</v>
      </c>
      <c r="H61" s="118" t="s">
        <v>137</v>
      </c>
      <c r="I61" s="118" t="s">
        <v>97</v>
      </c>
      <c r="J61" s="118" t="s">
        <v>81</v>
      </c>
      <c r="K61" s="118">
        <v>1</v>
      </c>
      <c r="L61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114</v>
      </c>
      <c r="M61" s="118" t="s">
        <v>118</v>
      </c>
      <c r="N61" s="118">
        <v>4</v>
      </c>
      <c r="O61" s="118" t="s">
        <v>100</v>
      </c>
      <c r="P61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51</v>
      </c>
      <c r="Q61" s="117">
        <f>IFERROR(Cargos_Catalogo[[#This Row],[PuntosC&amp;H]]+Cargos_Catalogo[[#This Row],[PuntosHC]],"")</f>
        <v>165</v>
      </c>
      <c r="R61" s="118">
        <v>2</v>
      </c>
      <c r="S61" s="118" t="s">
        <v>78</v>
      </c>
      <c r="T61" s="118" t="s">
        <v>137</v>
      </c>
      <c r="U61" s="118" t="s">
        <v>97</v>
      </c>
      <c r="V61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0.19</v>
      </c>
      <c r="W61" s="120">
        <f>IFERROR(Cargos_Catalogo[[#This Row],[Total Puntos1]]*Cargos_Catalogo[[#This Row],[Porcentaje]],"")</f>
        <v>31.35</v>
      </c>
      <c r="X61" s="118" t="s">
        <v>100</v>
      </c>
      <c r="Y61" s="118" t="s">
        <v>118</v>
      </c>
      <c r="Z61" s="118">
        <v>1</v>
      </c>
      <c r="AA61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50</v>
      </c>
      <c r="AB61" s="125">
        <v>0</v>
      </c>
      <c r="AC61" s="125">
        <v>0</v>
      </c>
      <c r="AD61" s="125">
        <v>0</v>
      </c>
      <c r="AE61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8</v>
      </c>
      <c r="AF61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61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61" s="117">
        <f>COUNTIF(Datos_Origen[Cargo Tipo Valorado],Cargos_Catalogo[[#This Row],[Cargo]])</f>
        <v>1</v>
      </c>
      <c r="AI61" s="122">
        <f>IFERROR(SUMIFS(Datos_Origen[G],Datos_Origen[Cargo Tipo Valorado],Cargos_Catalogo[[#This Row],[Cargo]])/Cargos_Catalogo[[#This Row],[Frecuencia]],0)</f>
        <v>2828714.68</v>
      </c>
      <c r="AJ61" s="122">
        <f>IFERROR(SUMIFS(Datos_Origen[G+V],Datos_Origen[Cargo Tipo Valorado],Cargos_Catalogo[[#This Row],[Cargo]])/Cargos_Catalogo[[#This Row],[Frecuencia]],0)</f>
        <v>2828714.68</v>
      </c>
      <c r="AK61" s="122">
        <f>IFERROR(SUMIFS(Datos_Origen[CT],Datos_Origen[Cargo Tipo Valorado],Cargos_Catalogo[[#This Row],[Cargo]])/Cargos_Catalogo[[#This Row],[Frecuencia]],0)</f>
        <v>2828714.68</v>
      </c>
      <c r="AL61" s="117" t="str">
        <f>IF(COUNTA(Cargos_Catalogo[[#This Row],[PuntosF]:[CriticidadF]])=0,"",COUNTA(Cargos_Catalogo[[#This Row],[PuntosF]:[CriticidadF]]))</f>
        <v/>
      </c>
      <c r="AM61" s="118"/>
      <c r="AN61" s="123"/>
      <c r="AO61" s="123"/>
      <c r="AP61" s="123"/>
      <c r="AQ61" s="117" t="str">
        <f>IFERROR(VLOOKUP(Cargos_Catalogo[[#This Row],[Categoria]],NivelSHR[],2,1),"")</f>
        <v>Soporte</v>
      </c>
      <c r="AR61" s="127">
        <f>IFERROR(SUMIFS(Datos_Origen[[Promedio de Comisiones  ]],Datos_Origen[Cargo Tipo Valorado],Cargos_Catalogo[[#This Row],[Cargo]])/Cargos_Catalogo[[#This Row],[Frecuencia]],0)</f>
        <v>0</v>
      </c>
      <c r="AS61" s="124"/>
      <c r="AT61" s="123"/>
    </row>
    <row r="62" spans="2:46" ht="13.8">
      <c r="B62" s="116" t="s">
        <v>333</v>
      </c>
      <c r="C62" s="116" t="e">
        <v>#N/A</v>
      </c>
      <c r="D62" s="116" t="s">
        <v>616</v>
      </c>
      <c r="E62" s="116" t="s">
        <v>243</v>
      </c>
      <c r="F62" s="116"/>
      <c r="G62" s="117">
        <f>IFERROR(IF(Cargos_Catalogo[[#This Row],[PuntosF]]="",ROUND(Cargos_Catalogo[[#This Row],[Total Puntos1]]+Cargos_Catalogo[[#This Row],[Total Puntos2]]+Cargos_Catalogo[[#This Row],[PuntosRR]],0),Cargos_Catalogo[PuntosF]),"")</f>
        <v>246</v>
      </c>
      <c r="H62" s="118" t="s">
        <v>137</v>
      </c>
      <c r="I62" s="118" t="s">
        <v>97</v>
      </c>
      <c r="J62" s="118" t="s">
        <v>81</v>
      </c>
      <c r="K62" s="118">
        <v>1</v>
      </c>
      <c r="L62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114</v>
      </c>
      <c r="M62" s="118" t="s">
        <v>118</v>
      </c>
      <c r="N62" s="118">
        <v>4</v>
      </c>
      <c r="O62" s="118" t="s">
        <v>100</v>
      </c>
      <c r="P62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51</v>
      </c>
      <c r="Q62" s="117">
        <f>IFERROR(Cargos_Catalogo[[#This Row],[PuntosC&amp;H]]+Cargos_Catalogo[[#This Row],[PuntosHC]],"")</f>
        <v>165</v>
      </c>
      <c r="R62" s="118">
        <v>2</v>
      </c>
      <c r="S62" s="118" t="s">
        <v>97</v>
      </c>
      <c r="T62" s="118" t="s">
        <v>118</v>
      </c>
      <c r="U62" s="118" t="s">
        <v>117</v>
      </c>
      <c r="V62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0.19</v>
      </c>
      <c r="W62" s="120">
        <f>IFERROR(Cargos_Catalogo[[#This Row],[Total Puntos1]]*Cargos_Catalogo[[#This Row],[Porcentaje]],"")</f>
        <v>31.35</v>
      </c>
      <c r="X62" s="118" t="s">
        <v>100</v>
      </c>
      <c r="Y62" s="118" t="s">
        <v>118</v>
      </c>
      <c r="Z62" s="118">
        <v>1</v>
      </c>
      <c r="AA62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50</v>
      </c>
      <c r="AB62" s="125">
        <v>0</v>
      </c>
      <c r="AC62" s="125">
        <v>0</v>
      </c>
      <c r="AD62" s="125">
        <v>0</v>
      </c>
      <c r="AE62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8</v>
      </c>
      <c r="AF62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62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62" s="117">
        <f>COUNTIF(Datos_Origen[Cargo Tipo Valorado],Cargos_Catalogo[[#This Row],[Cargo]])</f>
        <v>1</v>
      </c>
      <c r="AI62" s="122">
        <f>IFERROR(SUMIFS(Datos_Origen[G],Datos_Origen[Cargo Tipo Valorado],Cargos_Catalogo[[#This Row],[Cargo]])/Cargos_Catalogo[[#This Row],[Frecuencia]],0)</f>
        <v>3061695.3400000003</v>
      </c>
      <c r="AJ62" s="122">
        <f>IFERROR(SUMIFS(Datos_Origen[G+V],Datos_Origen[Cargo Tipo Valorado],Cargos_Catalogo[[#This Row],[Cargo]])/Cargos_Catalogo[[#This Row],[Frecuencia]],0)</f>
        <v>3061695.3400000003</v>
      </c>
      <c r="AK62" s="122">
        <f>IFERROR(SUMIFS(Datos_Origen[CT],Datos_Origen[Cargo Tipo Valorado],Cargos_Catalogo[[#This Row],[Cargo]])/Cargos_Catalogo[[#This Row],[Frecuencia]],0)</f>
        <v>3061695.3400000003</v>
      </c>
      <c r="AL62" s="117" t="str">
        <f>IF(COUNTA(Cargos_Catalogo[[#This Row],[PuntosF]:[CriticidadF]])=0,"",COUNTA(Cargos_Catalogo[[#This Row],[PuntosF]:[CriticidadF]]))</f>
        <v/>
      </c>
      <c r="AM62" s="118"/>
      <c r="AN62" s="123"/>
      <c r="AO62" s="123"/>
      <c r="AP62" s="123"/>
      <c r="AQ62" s="117" t="str">
        <f>IFERROR(VLOOKUP(Cargos_Catalogo[[#This Row],[Categoria]],NivelSHR[],2,1),"")</f>
        <v>Soporte</v>
      </c>
      <c r="AR62" s="127">
        <f>IFERROR(SUMIFS(Datos_Origen[[Promedio de Comisiones  ]],Datos_Origen[Cargo Tipo Valorado],Cargos_Catalogo[[#This Row],[Cargo]])/Cargos_Catalogo[[#This Row],[Frecuencia]],0)</f>
        <v>0</v>
      </c>
      <c r="AS62" s="124"/>
      <c r="AT62" s="123"/>
    </row>
    <row r="63" spans="2:46" ht="13.8">
      <c r="B63" s="116" t="s">
        <v>332</v>
      </c>
      <c r="C63" s="116" t="s">
        <v>596</v>
      </c>
      <c r="D63" s="116" t="s">
        <v>615</v>
      </c>
      <c r="E63" s="116" t="s">
        <v>584</v>
      </c>
      <c r="F63" s="116"/>
      <c r="G63" s="117">
        <f>IFERROR(IF(Cargos_Catalogo[[#This Row],[PuntosF]]="",ROUND(Cargos_Catalogo[[#This Row],[Total Puntos1]]+Cargos_Catalogo[[#This Row],[Total Puntos2]]+Cargos_Catalogo[[#This Row],[PuntosRR]],0),Cargos_Catalogo[PuntosF]),"")</f>
        <v>236</v>
      </c>
      <c r="H63" s="118" t="s">
        <v>137</v>
      </c>
      <c r="I63" s="118" t="s">
        <v>97</v>
      </c>
      <c r="J63" s="118" t="s">
        <v>81</v>
      </c>
      <c r="K63" s="118">
        <v>1</v>
      </c>
      <c r="L63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114</v>
      </c>
      <c r="M63" s="118" t="s">
        <v>118</v>
      </c>
      <c r="N63" s="118">
        <v>4</v>
      </c>
      <c r="O63" s="118" t="s">
        <v>100</v>
      </c>
      <c r="P63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51</v>
      </c>
      <c r="Q63" s="117">
        <f>IFERROR(Cargos_Catalogo[[#This Row],[PuntosC&amp;H]]+Cargos_Catalogo[[#This Row],[PuntosHC]],"")</f>
        <v>165</v>
      </c>
      <c r="R63" s="118">
        <v>2</v>
      </c>
      <c r="S63" s="118" t="s">
        <v>97</v>
      </c>
      <c r="T63" s="118" t="s">
        <v>118</v>
      </c>
      <c r="U63" s="118" t="s">
        <v>97</v>
      </c>
      <c r="V63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0.17</v>
      </c>
      <c r="W63" s="120">
        <f>IFERROR(Cargos_Catalogo[[#This Row],[Total Puntos1]]*Cargos_Catalogo[[#This Row],[Porcentaje]],"")</f>
        <v>28.05</v>
      </c>
      <c r="X63" s="118" t="s">
        <v>100</v>
      </c>
      <c r="Y63" s="118" t="s">
        <v>98</v>
      </c>
      <c r="Z63" s="118">
        <v>1</v>
      </c>
      <c r="AA63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43</v>
      </c>
      <c r="AB63" s="125">
        <v>0</v>
      </c>
      <c r="AC63" s="125">
        <v>0</v>
      </c>
      <c r="AD63" s="125">
        <v>0</v>
      </c>
      <c r="AE63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8</v>
      </c>
      <c r="AF63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63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63" s="117">
        <f>COUNTIF(Datos_Origen[Cargo Tipo Valorado],Cargos_Catalogo[[#This Row],[Cargo]])</f>
        <v>2</v>
      </c>
      <c r="AI63" s="122">
        <f>IFERROR(SUMIFS(Datos_Origen[G],Datos_Origen[Cargo Tipo Valorado],Cargos_Catalogo[[#This Row],[Cargo]])/Cargos_Catalogo[[#This Row],[Frecuencia]],0)</f>
        <v>2828714.68</v>
      </c>
      <c r="AJ63" s="122">
        <f>IFERROR(SUMIFS(Datos_Origen[G+V],Datos_Origen[Cargo Tipo Valorado],Cargos_Catalogo[[#This Row],[Cargo]])/Cargos_Catalogo[[#This Row],[Frecuencia]],0)</f>
        <v>2828714.68</v>
      </c>
      <c r="AK63" s="122">
        <f>IFERROR(SUMIFS(Datos_Origen[CT],Datos_Origen[Cargo Tipo Valorado],Cargos_Catalogo[[#This Row],[Cargo]])/Cargos_Catalogo[[#This Row],[Frecuencia]],0)</f>
        <v>2828714.68</v>
      </c>
      <c r="AL63" s="117" t="str">
        <f>IF(COUNTA(Cargos_Catalogo[[#This Row],[PuntosF]:[CriticidadF]])=0,"",COUNTA(Cargos_Catalogo[[#This Row],[PuntosF]:[CriticidadF]]))</f>
        <v/>
      </c>
      <c r="AM63" s="118"/>
      <c r="AN63" s="123"/>
      <c r="AO63" s="123"/>
      <c r="AP63" s="123"/>
      <c r="AQ63" s="117" t="str">
        <f>IFERROR(VLOOKUP(Cargos_Catalogo[[#This Row],[Categoria]],NivelSHR[],2,1),"")</f>
        <v>Soporte</v>
      </c>
      <c r="AR63" s="127">
        <f>IFERROR(SUMIFS(Datos_Origen[[Promedio de Comisiones  ]],Datos_Origen[Cargo Tipo Valorado],Cargos_Catalogo[[#This Row],[Cargo]])/Cargos_Catalogo[[#This Row],[Frecuencia]],0)</f>
        <v>0</v>
      </c>
      <c r="AS63" s="124"/>
      <c r="AT63" s="123"/>
    </row>
    <row r="64" spans="2:46" ht="13.8">
      <c r="B64" s="116" t="s">
        <v>328</v>
      </c>
      <c r="C64" s="116" t="s">
        <v>617</v>
      </c>
      <c r="D64" s="116" t="s">
        <v>588</v>
      </c>
      <c r="E64" s="116" t="s">
        <v>241</v>
      </c>
      <c r="F64" s="116"/>
      <c r="G64" s="117">
        <f>IFERROR(IF(Cargos_Catalogo[[#This Row],[PuntosF]]="",ROUND(Cargos_Catalogo[[#This Row],[Total Puntos1]]+Cargos_Catalogo[[#This Row],[Total Puntos2]]+Cargos_Catalogo[[#This Row],[PuntosRR]],0),Cargos_Catalogo[PuntosF]),"")</f>
        <v>236</v>
      </c>
      <c r="H64" s="118" t="s">
        <v>137</v>
      </c>
      <c r="I64" s="118" t="s">
        <v>97</v>
      </c>
      <c r="J64" s="118" t="s">
        <v>81</v>
      </c>
      <c r="K64" s="118">
        <v>1</v>
      </c>
      <c r="L64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114</v>
      </c>
      <c r="M64" s="118" t="s">
        <v>118</v>
      </c>
      <c r="N64" s="118">
        <v>4</v>
      </c>
      <c r="O64" s="118" t="s">
        <v>100</v>
      </c>
      <c r="P64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51</v>
      </c>
      <c r="Q64" s="117">
        <f>IFERROR(Cargos_Catalogo[[#This Row],[PuntosC&amp;H]]+Cargos_Catalogo[[#This Row],[PuntosHC]],"")</f>
        <v>165</v>
      </c>
      <c r="R64" s="118">
        <v>2</v>
      </c>
      <c r="S64" s="118" t="s">
        <v>97</v>
      </c>
      <c r="T64" s="118" t="s">
        <v>118</v>
      </c>
      <c r="U64" s="118" t="s">
        <v>97</v>
      </c>
      <c r="V64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0.17</v>
      </c>
      <c r="W64" s="120">
        <f>IFERROR(Cargos_Catalogo[[#This Row],[Total Puntos1]]*Cargos_Catalogo[[#This Row],[Porcentaje]],"")</f>
        <v>28.05</v>
      </c>
      <c r="X64" s="118" t="s">
        <v>100</v>
      </c>
      <c r="Y64" s="118" t="s">
        <v>98</v>
      </c>
      <c r="Z64" s="118">
        <v>1</v>
      </c>
      <c r="AA64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43</v>
      </c>
      <c r="AB64" s="125">
        <v>0</v>
      </c>
      <c r="AC64" s="125">
        <v>0</v>
      </c>
      <c r="AD64" s="125">
        <v>0</v>
      </c>
      <c r="AE64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8</v>
      </c>
      <c r="AF64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64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64" s="117">
        <f>COUNTIF(Datos_Origen[Cargo Tipo Valorado],Cargos_Catalogo[[#This Row],[Cargo]])</f>
        <v>2</v>
      </c>
      <c r="AI64" s="122">
        <f>IFERROR(SUMIFS(Datos_Origen[G],Datos_Origen[Cargo Tipo Valorado],Cargos_Catalogo[[#This Row],[Cargo]])/Cargos_Catalogo[[#This Row],[Frecuencia]],0)</f>
        <v>2828714.68</v>
      </c>
      <c r="AJ64" s="122">
        <f>IFERROR(SUMIFS(Datos_Origen[G+V],Datos_Origen[Cargo Tipo Valorado],Cargos_Catalogo[[#This Row],[Cargo]])/Cargos_Catalogo[[#This Row],[Frecuencia]],0)</f>
        <v>2828714.68</v>
      </c>
      <c r="AK64" s="122">
        <f>IFERROR(SUMIFS(Datos_Origen[CT],Datos_Origen[Cargo Tipo Valorado],Cargos_Catalogo[[#This Row],[Cargo]])/Cargos_Catalogo[[#This Row],[Frecuencia]],0)</f>
        <v>2828714.68</v>
      </c>
      <c r="AL64" s="117" t="str">
        <f>IF(COUNTA(Cargos_Catalogo[[#This Row],[PuntosF]:[CriticidadF]])=0,"",COUNTA(Cargos_Catalogo[[#This Row],[PuntosF]:[CriticidadF]]))</f>
        <v/>
      </c>
      <c r="AM64" s="118"/>
      <c r="AN64" s="123"/>
      <c r="AO64" s="123"/>
      <c r="AP64" s="123"/>
      <c r="AQ64" s="117" t="str">
        <f>IFERROR(VLOOKUP(Cargos_Catalogo[[#This Row],[Categoria]],NivelSHR[],2,1),"")</f>
        <v>Soporte</v>
      </c>
      <c r="AR64" s="127">
        <f>IFERROR(SUMIFS(Datos_Origen[[Promedio de Comisiones  ]],Datos_Origen[Cargo Tipo Valorado],Cargos_Catalogo[[#This Row],[Cargo]])/Cargos_Catalogo[[#This Row],[Frecuencia]],0)</f>
        <v>0</v>
      </c>
      <c r="AS64" s="124"/>
      <c r="AT64" s="123"/>
    </row>
    <row r="65" spans="2:46" ht="13.8">
      <c r="B65" s="116" t="s">
        <v>331</v>
      </c>
      <c r="C65" s="116" t="s">
        <v>618</v>
      </c>
      <c r="D65" s="116" t="s">
        <v>615</v>
      </c>
      <c r="E65" s="116" t="s">
        <v>241</v>
      </c>
      <c r="F65" s="116"/>
      <c r="G65" s="117">
        <f>IFERROR(IF(Cargos_Catalogo[[#This Row],[PuntosF]]="",ROUND(Cargos_Catalogo[[#This Row],[Total Puntos1]]+Cargos_Catalogo[[#This Row],[Total Puntos2]]+Cargos_Catalogo[[#This Row],[PuntosRR]],0),Cargos_Catalogo[PuntosF]),"")</f>
        <v>231</v>
      </c>
      <c r="H65" s="118" t="s">
        <v>155</v>
      </c>
      <c r="I65" s="118" t="s">
        <v>78</v>
      </c>
      <c r="J65" s="118" t="s">
        <v>81</v>
      </c>
      <c r="K65" s="118">
        <v>1</v>
      </c>
      <c r="L65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134</v>
      </c>
      <c r="M65" s="118" t="s">
        <v>79</v>
      </c>
      <c r="N65" s="118">
        <v>4</v>
      </c>
      <c r="O65" s="118" t="s">
        <v>81</v>
      </c>
      <c r="P65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25</v>
      </c>
      <c r="Q65" s="117">
        <f>IFERROR(Cargos_Catalogo[[#This Row],[PuntosC&amp;H]]+Cargos_Catalogo[[#This Row],[PuntosHC]],"")</f>
        <v>159</v>
      </c>
      <c r="R65" s="118">
        <v>2</v>
      </c>
      <c r="S65" s="118" t="s">
        <v>97</v>
      </c>
      <c r="T65" s="118" t="s">
        <v>137</v>
      </c>
      <c r="U65" s="118" t="s">
        <v>97</v>
      </c>
      <c r="V65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</v>
      </c>
      <c r="W65" s="120">
        <f>IFERROR(Cargos_Catalogo[[#This Row],[Total Puntos1]]*Cargos_Catalogo[[#This Row],[Porcentaje]],"")</f>
        <v>31.8</v>
      </c>
      <c r="X65" s="118" t="s">
        <v>81</v>
      </c>
      <c r="Y65" s="118" t="s">
        <v>118</v>
      </c>
      <c r="Z65" s="118">
        <v>1</v>
      </c>
      <c r="AA65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40</v>
      </c>
      <c r="AB65" s="125">
        <v>0</v>
      </c>
      <c r="AC65" s="125">
        <v>1</v>
      </c>
      <c r="AD65" s="125">
        <v>0</v>
      </c>
      <c r="AE65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8</v>
      </c>
      <c r="AF65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Importante</v>
      </c>
      <c r="AG65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65" s="117">
        <f>COUNTIF(Datos_Origen[Cargo Tipo Valorado],Cargos_Catalogo[[#This Row],[Cargo]])</f>
        <v>7</v>
      </c>
      <c r="AI65" s="122">
        <f>IFERROR(SUMIFS(Datos_Origen[G],Datos_Origen[Cargo Tipo Valorado],Cargos_Catalogo[[#This Row],[Cargo]])/Cargos_Catalogo[[#This Row],[Frecuencia]],0)</f>
        <v>3765344.0000000005</v>
      </c>
      <c r="AJ65" s="122">
        <f>IFERROR(SUMIFS(Datos_Origen[G+V],Datos_Origen[Cargo Tipo Valorado],Cargos_Catalogo[[#This Row],[Cargo]])/Cargos_Catalogo[[#This Row],[Frecuencia]],0)</f>
        <v>3765344.0000000005</v>
      </c>
      <c r="AK65" s="122">
        <f>IFERROR(SUMIFS(Datos_Origen[CT],Datos_Origen[Cargo Tipo Valorado],Cargos_Catalogo[[#This Row],[Cargo]])/Cargos_Catalogo[[#This Row],[Frecuencia]],0)</f>
        <v>3765344.0000000005</v>
      </c>
      <c r="AL65" s="117" t="str">
        <f>IF(COUNTA(Cargos_Catalogo[[#This Row],[PuntosF]:[CriticidadF]])=0,"",COUNTA(Cargos_Catalogo[[#This Row],[PuntosF]:[CriticidadF]]))</f>
        <v/>
      </c>
      <c r="AM65" s="118"/>
      <c r="AN65" s="123"/>
      <c r="AO65" s="123"/>
      <c r="AP65" s="123"/>
      <c r="AQ65" s="117" t="str">
        <f>IFERROR(VLOOKUP(Cargos_Catalogo[[#This Row],[Categoria]],NivelSHR[],2,1),"")</f>
        <v>Soporte</v>
      </c>
      <c r="AR65" s="127">
        <f>IFERROR(SUMIFS(Datos_Origen[[Promedio de Comisiones  ]],Datos_Origen[Cargo Tipo Valorado],Cargos_Catalogo[[#This Row],[Cargo]])/Cargos_Catalogo[[#This Row],[Frecuencia]],0)</f>
        <v>0</v>
      </c>
      <c r="AS65" s="124"/>
      <c r="AT65" s="123"/>
    </row>
    <row r="66" spans="2:46" ht="13.8">
      <c r="B66" s="116" t="s">
        <v>349</v>
      </c>
      <c r="C66" s="116" t="s">
        <v>608</v>
      </c>
      <c r="D66" s="116" t="s">
        <v>611</v>
      </c>
      <c r="E66" s="116" t="s">
        <v>241</v>
      </c>
      <c r="F66" s="116"/>
      <c r="G66" s="117">
        <f>IFERROR(IF(Cargos_Catalogo[[#This Row],[PuntosF]]="",ROUND(Cargos_Catalogo[[#This Row],[Total Puntos1]]+Cargos_Catalogo[[#This Row],[Total Puntos2]]+Cargos_Catalogo[[#This Row],[PuntosRR]],0),Cargos_Catalogo[PuntosF]),"")</f>
        <v>227</v>
      </c>
      <c r="H66" s="118" t="s">
        <v>137</v>
      </c>
      <c r="I66" s="118" t="s">
        <v>78</v>
      </c>
      <c r="J66" s="118" t="s">
        <v>81</v>
      </c>
      <c r="K66" s="118">
        <v>1</v>
      </c>
      <c r="L66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98</v>
      </c>
      <c r="M66" s="118" t="s">
        <v>118</v>
      </c>
      <c r="N66" s="118">
        <v>4</v>
      </c>
      <c r="O66" s="118" t="s">
        <v>100</v>
      </c>
      <c r="P66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51</v>
      </c>
      <c r="Q66" s="117">
        <f>IFERROR(Cargos_Catalogo[[#This Row],[PuntosC&amp;H]]+Cargos_Catalogo[[#This Row],[PuntosHC]],"")</f>
        <v>149</v>
      </c>
      <c r="R66" s="118">
        <v>2</v>
      </c>
      <c r="S66" s="118" t="s">
        <v>97</v>
      </c>
      <c r="T66" s="118" t="s">
        <v>137</v>
      </c>
      <c r="U66" s="118" t="s">
        <v>78</v>
      </c>
      <c r="V66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0.19</v>
      </c>
      <c r="W66" s="120">
        <f>IFERROR(Cargos_Catalogo[[#This Row],[Total Puntos1]]*Cargos_Catalogo[[#This Row],[Porcentaje]],"")</f>
        <v>28.31</v>
      </c>
      <c r="X66" s="118" t="s">
        <v>100</v>
      </c>
      <c r="Y66" s="118" t="s">
        <v>118</v>
      </c>
      <c r="Z66" s="118">
        <v>1</v>
      </c>
      <c r="AA66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50</v>
      </c>
      <c r="AB66" s="125">
        <v>0</v>
      </c>
      <c r="AC66" s="125">
        <v>0</v>
      </c>
      <c r="AD66" s="125">
        <v>0</v>
      </c>
      <c r="AE66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7</v>
      </c>
      <c r="AF66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66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66" s="117">
        <f>COUNTIF(Datos_Origen[Cargo Tipo Valorado],Cargos_Catalogo[[#This Row],[Cargo]])</f>
        <v>1</v>
      </c>
      <c r="AI66" s="122">
        <f>IFERROR(SUMIFS(Datos_Origen[G],Datos_Origen[Cargo Tipo Valorado],Cargos_Catalogo[[#This Row],[Cargo]])/Cargos_Catalogo[[#This Row],[Frecuencia]],0)</f>
        <v>2828714.68</v>
      </c>
      <c r="AJ66" s="122">
        <f>IFERROR(SUMIFS(Datos_Origen[G+V],Datos_Origen[Cargo Tipo Valorado],Cargos_Catalogo[[#This Row],[Cargo]])/Cargos_Catalogo[[#This Row],[Frecuencia]],0)</f>
        <v>2828714.68</v>
      </c>
      <c r="AK66" s="122">
        <f>IFERROR(SUMIFS(Datos_Origen[CT],Datos_Origen[Cargo Tipo Valorado],Cargos_Catalogo[[#This Row],[Cargo]])/Cargos_Catalogo[[#This Row],[Frecuencia]],0)</f>
        <v>2828714.68</v>
      </c>
      <c r="AL66" s="117" t="str">
        <f>IF(COUNTA(Cargos_Catalogo[[#This Row],[PuntosF]:[CriticidadF]])=0,"",COUNTA(Cargos_Catalogo[[#This Row],[PuntosF]:[CriticidadF]]))</f>
        <v/>
      </c>
      <c r="AM66" s="118"/>
      <c r="AN66" s="123"/>
      <c r="AO66" s="123"/>
      <c r="AP66" s="123"/>
      <c r="AQ66" s="117" t="str">
        <f>IFERROR(VLOOKUP(Cargos_Catalogo[[#This Row],[Categoria]],NivelSHR[],2,1),"")</f>
        <v>Soporte</v>
      </c>
      <c r="AR66" s="127">
        <f>IFERROR(SUMIFS(Datos_Origen[[Promedio de Comisiones  ]],Datos_Origen[Cargo Tipo Valorado],Cargos_Catalogo[[#This Row],[Cargo]])/Cargos_Catalogo[[#This Row],[Frecuencia]],0)</f>
        <v>0</v>
      </c>
      <c r="AS66" s="124"/>
      <c r="AT66" s="123"/>
    </row>
    <row r="67" spans="2:46" ht="13.8">
      <c r="B67" s="116" t="s">
        <v>347</v>
      </c>
      <c r="C67" s="116" t="s">
        <v>619</v>
      </c>
      <c r="D67" s="116" t="s">
        <v>620</v>
      </c>
      <c r="E67" s="116" t="s">
        <v>587</v>
      </c>
      <c r="F67" s="116"/>
      <c r="G67" s="117">
        <f>IFERROR(IF(Cargos_Catalogo[[#This Row],[PuntosF]]="",ROUND(Cargos_Catalogo[[#This Row],[Total Puntos1]]+Cargos_Catalogo[[#This Row],[Total Puntos2]]+Cargos_Catalogo[[#This Row],[PuntosRR]],0),Cargos_Catalogo[PuntosF]),"")</f>
        <v>224</v>
      </c>
      <c r="H67" s="118" t="s">
        <v>118</v>
      </c>
      <c r="I67" s="118" t="s">
        <v>117</v>
      </c>
      <c r="J67" s="118" t="s">
        <v>81</v>
      </c>
      <c r="K67" s="118">
        <v>1</v>
      </c>
      <c r="L67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98</v>
      </c>
      <c r="M67" s="118" t="s">
        <v>118</v>
      </c>
      <c r="N67" s="118">
        <v>4</v>
      </c>
      <c r="O67" s="118" t="s">
        <v>100</v>
      </c>
      <c r="P67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51</v>
      </c>
      <c r="Q67" s="117">
        <f>IFERROR(Cargos_Catalogo[[#This Row],[PuntosC&amp;H]]+Cargos_Catalogo[[#This Row],[PuntosHC]],"")</f>
        <v>149</v>
      </c>
      <c r="R67" s="118">
        <v>2</v>
      </c>
      <c r="S67" s="118" t="s">
        <v>97</v>
      </c>
      <c r="T67" s="118" t="s">
        <v>118</v>
      </c>
      <c r="U67" s="118" t="s">
        <v>97</v>
      </c>
      <c r="V67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0.17</v>
      </c>
      <c r="W67" s="120">
        <f>IFERROR(Cargos_Catalogo[[#This Row],[Total Puntos1]]*Cargos_Catalogo[[#This Row],[Porcentaje]],"")</f>
        <v>25.330000000000002</v>
      </c>
      <c r="X67" s="118" t="s">
        <v>100</v>
      </c>
      <c r="Y67" s="118" t="s">
        <v>118</v>
      </c>
      <c r="Z67" s="118">
        <v>1</v>
      </c>
      <c r="AA67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50</v>
      </c>
      <c r="AB67" s="125">
        <v>0</v>
      </c>
      <c r="AC67" s="125">
        <v>0</v>
      </c>
      <c r="AD67" s="125">
        <v>0</v>
      </c>
      <c r="AE67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7</v>
      </c>
      <c r="AF67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67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67" s="117">
        <f>COUNTIF(Datos_Origen[Cargo Tipo Valorado],Cargos_Catalogo[[#This Row],[Cargo]])</f>
        <v>3</v>
      </c>
      <c r="AI67" s="122">
        <f>IFERROR(SUMIFS(Datos_Origen[G],Datos_Origen[Cargo Tipo Valorado],Cargos_Catalogo[[#This Row],[Cargo]])/Cargos_Catalogo[[#This Row],[Frecuencia]],0)</f>
        <v>2536900.52</v>
      </c>
      <c r="AJ67" s="122">
        <f>IFERROR(SUMIFS(Datos_Origen[G+V],Datos_Origen[Cargo Tipo Valorado],Cargos_Catalogo[[#This Row],[Cargo]])/Cargos_Catalogo[[#This Row],[Frecuencia]],0)</f>
        <v>2536900.52</v>
      </c>
      <c r="AK67" s="122">
        <f>IFERROR(SUMIFS(Datos_Origen[CT],Datos_Origen[Cargo Tipo Valorado],Cargos_Catalogo[[#This Row],[Cargo]])/Cargos_Catalogo[[#This Row],[Frecuencia]],0)</f>
        <v>2536900.52</v>
      </c>
      <c r="AL67" s="117" t="str">
        <f>IF(COUNTA(Cargos_Catalogo[[#This Row],[PuntosF]:[CriticidadF]])=0,"",COUNTA(Cargos_Catalogo[[#This Row],[PuntosF]:[CriticidadF]]))</f>
        <v/>
      </c>
      <c r="AM67" s="118"/>
      <c r="AN67" s="123"/>
      <c r="AO67" s="123"/>
      <c r="AP67" s="123"/>
      <c r="AQ67" s="117" t="str">
        <f>IFERROR(VLOOKUP(Cargos_Catalogo[[#This Row],[Categoria]],NivelSHR[],2,1),"")</f>
        <v>Soporte</v>
      </c>
      <c r="AR67" s="127">
        <f>IFERROR(SUMIFS(Datos_Origen[[Promedio de Comisiones  ]],Datos_Origen[Cargo Tipo Valorado],Cargos_Catalogo[[#This Row],[Cargo]])/Cargos_Catalogo[[#This Row],[Frecuencia]],0)</f>
        <v>0</v>
      </c>
      <c r="AS67" s="124"/>
      <c r="AT67" s="123"/>
    </row>
    <row r="68" spans="2:46" ht="13.8">
      <c r="B68" s="116" t="s">
        <v>348</v>
      </c>
      <c r="C68" s="116" t="s">
        <v>621</v>
      </c>
      <c r="D68" s="116" t="s">
        <v>611</v>
      </c>
      <c r="E68" s="116" t="s">
        <v>584</v>
      </c>
      <c r="F68" s="116"/>
      <c r="G68" s="117">
        <f>IFERROR(IF(Cargos_Catalogo[[#This Row],[PuntosF]]="",ROUND(Cargos_Catalogo[[#This Row],[Total Puntos1]]+Cargos_Catalogo[[#This Row],[Total Puntos2]]+Cargos_Catalogo[[#This Row],[PuntosRR]],0),Cargos_Catalogo[PuntosF]),"")</f>
        <v>224</v>
      </c>
      <c r="H68" s="118" t="s">
        <v>137</v>
      </c>
      <c r="I68" s="118" t="s">
        <v>78</v>
      </c>
      <c r="J68" s="118" t="s">
        <v>81</v>
      </c>
      <c r="K68" s="118">
        <v>1</v>
      </c>
      <c r="L68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98</v>
      </c>
      <c r="M68" s="118" t="s">
        <v>118</v>
      </c>
      <c r="N68" s="118">
        <v>4</v>
      </c>
      <c r="O68" s="118" t="s">
        <v>100</v>
      </c>
      <c r="P68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51</v>
      </c>
      <c r="Q68" s="117">
        <f>IFERROR(Cargos_Catalogo[[#This Row],[PuntosC&amp;H]]+Cargos_Catalogo[[#This Row],[PuntosHC]],"")</f>
        <v>149</v>
      </c>
      <c r="R68" s="118">
        <v>2</v>
      </c>
      <c r="S68" s="118" t="s">
        <v>97</v>
      </c>
      <c r="T68" s="118" t="s">
        <v>118</v>
      </c>
      <c r="U68" s="118" t="s">
        <v>97</v>
      </c>
      <c r="V68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0.17</v>
      </c>
      <c r="W68" s="120">
        <f>IFERROR(Cargos_Catalogo[[#This Row],[Total Puntos1]]*Cargos_Catalogo[[#This Row],[Porcentaje]],"")</f>
        <v>25.330000000000002</v>
      </c>
      <c r="X68" s="118" t="s">
        <v>100</v>
      </c>
      <c r="Y68" s="118" t="s">
        <v>118</v>
      </c>
      <c r="Z68" s="118">
        <v>1</v>
      </c>
      <c r="AA68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50</v>
      </c>
      <c r="AB68" s="125">
        <v>0</v>
      </c>
      <c r="AC68" s="125">
        <v>0</v>
      </c>
      <c r="AD68" s="125">
        <v>0</v>
      </c>
      <c r="AE68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7</v>
      </c>
      <c r="AF68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68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68" s="117">
        <f>COUNTIF(Datos_Origen[Cargo Tipo Valorado],Cargos_Catalogo[[#This Row],[Cargo]])</f>
        <v>1</v>
      </c>
      <c r="AI68" s="122">
        <f>IFERROR(SUMIFS(Datos_Origen[G],Datos_Origen[Cargo Tipo Valorado],Cargos_Catalogo[[#This Row],[Cargo]])/Cargos_Catalogo[[#This Row],[Frecuencia]],0)</f>
        <v>2828714.68</v>
      </c>
      <c r="AJ68" s="122">
        <f>IFERROR(SUMIFS(Datos_Origen[G+V],Datos_Origen[Cargo Tipo Valorado],Cargos_Catalogo[[#This Row],[Cargo]])/Cargos_Catalogo[[#This Row],[Frecuencia]],0)</f>
        <v>2828714.68</v>
      </c>
      <c r="AK68" s="122">
        <f>IFERROR(SUMIFS(Datos_Origen[CT],Datos_Origen[Cargo Tipo Valorado],Cargos_Catalogo[[#This Row],[Cargo]])/Cargos_Catalogo[[#This Row],[Frecuencia]],0)</f>
        <v>2828714.68</v>
      </c>
      <c r="AL68" s="117" t="str">
        <f>IF(COUNTA(Cargos_Catalogo[[#This Row],[PuntosF]:[CriticidadF]])=0,"",COUNTA(Cargos_Catalogo[[#This Row],[PuntosF]:[CriticidadF]]))</f>
        <v/>
      </c>
      <c r="AM68" s="118"/>
      <c r="AN68" s="123"/>
      <c r="AO68" s="123"/>
      <c r="AP68" s="123"/>
      <c r="AQ68" s="117" t="str">
        <f>IFERROR(VLOOKUP(Cargos_Catalogo[[#This Row],[Categoria]],NivelSHR[],2,1),"")</f>
        <v>Soporte</v>
      </c>
      <c r="AR68" s="127">
        <f>IFERROR(SUMIFS(Datos_Origen[[Promedio de Comisiones  ]],Datos_Origen[Cargo Tipo Valorado],Cargos_Catalogo[[#This Row],[Cargo]])/Cargos_Catalogo[[#This Row],[Frecuencia]],0)</f>
        <v>0</v>
      </c>
      <c r="AS68" s="124"/>
      <c r="AT68" s="123"/>
    </row>
    <row r="69" spans="2:46" ht="13.8">
      <c r="B69" s="116" t="s">
        <v>337</v>
      </c>
      <c r="C69" s="116" t="s">
        <v>622</v>
      </c>
      <c r="D69" s="116" t="s">
        <v>623</v>
      </c>
      <c r="E69" s="116" t="s">
        <v>584</v>
      </c>
      <c r="F69" s="116"/>
      <c r="G69" s="117">
        <f>IFERROR(IF(Cargos_Catalogo[[#This Row],[PuntosF]]="",ROUND(Cargos_Catalogo[[#This Row],[Total Puntos1]]+Cargos_Catalogo[[#This Row],[Total Puntos2]]+Cargos_Catalogo[[#This Row],[PuntosRR]],0),Cargos_Catalogo[PuntosF]),"")</f>
        <v>208</v>
      </c>
      <c r="H69" s="118" t="s">
        <v>118</v>
      </c>
      <c r="I69" s="118" t="s">
        <v>117</v>
      </c>
      <c r="J69" s="118" t="s">
        <v>81</v>
      </c>
      <c r="K69" s="118">
        <v>1</v>
      </c>
      <c r="L69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98</v>
      </c>
      <c r="M69" s="118" t="s">
        <v>118</v>
      </c>
      <c r="N69" s="118">
        <v>4</v>
      </c>
      <c r="O69" s="118" t="s">
        <v>81</v>
      </c>
      <c r="P69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34</v>
      </c>
      <c r="Q69" s="117">
        <f>IFERROR(Cargos_Catalogo[[#This Row],[PuntosC&amp;H]]+Cargos_Catalogo[[#This Row],[PuntosHC]],"")</f>
        <v>132</v>
      </c>
      <c r="R69" s="118">
        <v>2</v>
      </c>
      <c r="S69" s="118" t="s">
        <v>117</v>
      </c>
      <c r="T69" s="118" t="s">
        <v>118</v>
      </c>
      <c r="U69" s="118" t="s">
        <v>117</v>
      </c>
      <c r="V69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0.2</v>
      </c>
      <c r="W69" s="120">
        <f>IFERROR(Cargos_Catalogo[[#This Row],[Total Puntos1]]*Cargos_Catalogo[[#This Row],[Porcentaje]],"")</f>
        <v>26.400000000000002</v>
      </c>
      <c r="X69" s="118" t="s">
        <v>100</v>
      </c>
      <c r="Y69" s="118" t="s">
        <v>118</v>
      </c>
      <c r="Z69" s="118">
        <v>1</v>
      </c>
      <c r="AA69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50</v>
      </c>
      <c r="AB69" s="125">
        <v>0</v>
      </c>
      <c r="AC69" s="125">
        <v>1</v>
      </c>
      <c r="AD69" s="125">
        <v>0</v>
      </c>
      <c r="AE69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7</v>
      </c>
      <c r="AF69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Importante</v>
      </c>
      <c r="AG69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69" s="117">
        <f>COUNTIF(Datos_Origen[Cargo Tipo Valorado],Cargos_Catalogo[[#This Row],[Cargo]])</f>
        <v>10</v>
      </c>
      <c r="AI69" s="122">
        <f>IFERROR(SUMIFS(Datos_Origen[G],Datos_Origen[Cargo Tipo Valorado],Cargos_Catalogo[[#This Row],[Cargo]])/Cargos_Catalogo[[#This Row],[Frecuencia]],0)</f>
        <v>3353509.5000000005</v>
      </c>
      <c r="AJ69" s="122">
        <f>IFERROR(SUMIFS(Datos_Origen[G+V],Datos_Origen[Cargo Tipo Valorado],Cargos_Catalogo[[#This Row],[Cargo]])/Cargos_Catalogo[[#This Row],[Frecuencia]],0)</f>
        <v>3353509.5000000005</v>
      </c>
      <c r="AK69" s="122">
        <f>IFERROR(SUMIFS(Datos_Origen[CT],Datos_Origen[Cargo Tipo Valorado],Cargos_Catalogo[[#This Row],[Cargo]])/Cargos_Catalogo[[#This Row],[Frecuencia]],0)</f>
        <v>3353509.5000000005</v>
      </c>
      <c r="AL69" s="117" t="str">
        <f>IF(COUNTA(Cargos_Catalogo[[#This Row],[PuntosF]:[CriticidadF]])=0,"",COUNTA(Cargos_Catalogo[[#This Row],[PuntosF]:[CriticidadF]]))</f>
        <v/>
      </c>
      <c r="AM69" s="118"/>
      <c r="AN69" s="123"/>
      <c r="AO69" s="123"/>
      <c r="AP69" s="123"/>
      <c r="AQ69" s="117" t="str">
        <f>IFERROR(VLOOKUP(Cargos_Catalogo[[#This Row],[Categoria]],NivelSHR[],2,1),"")</f>
        <v>Soporte</v>
      </c>
      <c r="AR69" s="127">
        <f>IFERROR(SUMIFS(Datos_Origen[[Promedio de Comisiones  ]],Datos_Origen[Cargo Tipo Valorado],Cargos_Catalogo[[#This Row],[Cargo]])/Cargos_Catalogo[[#This Row],[Frecuencia]],0)</f>
        <v>0</v>
      </c>
      <c r="AS69" s="124"/>
      <c r="AT69" s="123"/>
    </row>
    <row r="70" spans="2:46" ht="13.8">
      <c r="B70" s="116" t="s">
        <v>339</v>
      </c>
      <c r="C70" s="116" t="e">
        <v>#N/A</v>
      </c>
      <c r="D70" s="116" t="s">
        <v>615</v>
      </c>
      <c r="E70" s="116" t="s">
        <v>587</v>
      </c>
      <c r="F70" s="116"/>
      <c r="G70" s="117">
        <f>IFERROR(IF(Cargos_Catalogo[[#This Row],[PuntosF]]="",ROUND(Cargos_Catalogo[[#This Row],[Total Puntos1]]+Cargos_Catalogo[[#This Row],[Total Puntos2]]+Cargos_Catalogo[[#This Row],[PuntosRR]],0),Cargos_Catalogo[PuntosF]),"")</f>
        <v>217</v>
      </c>
      <c r="H70" s="118" t="s">
        <v>137</v>
      </c>
      <c r="I70" s="118" t="s">
        <v>78</v>
      </c>
      <c r="J70" s="118" t="s">
        <v>81</v>
      </c>
      <c r="K70" s="118">
        <v>1</v>
      </c>
      <c r="L70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98</v>
      </c>
      <c r="M70" s="118" t="s">
        <v>118</v>
      </c>
      <c r="N70" s="118">
        <v>4</v>
      </c>
      <c r="O70" s="118" t="s">
        <v>100</v>
      </c>
      <c r="P70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51</v>
      </c>
      <c r="Q70" s="117">
        <f>IFERROR(Cargos_Catalogo[[#This Row],[PuntosC&amp;H]]+Cargos_Catalogo[[#This Row],[PuntosHC]],"")</f>
        <v>149</v>
      </c>
      <c r="R70" s="118">
        <v>2</v>
      </c>
      <c r="S70" s="118" t="s">
        <v>97</v>
      </c>
      <c r="T70" s="118" t="s">
        <v>118</v>
      </c>
      <c r="U70" s="118" t="s">
        <v>97</v>
      </c>
      <c r="V70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0.17</v>
      </c>
      <c r="W70" s="120">
        <f>IFERROR(Cargos_Catalogo[[#This Row],[Total Puntos1]]*Cargos_Catalogo[[#This Row],[Porcentaje]],"")</f>
        <v>25.330000000000002</v>
      </c>
      <c r="X70" s="118" t="s">
        <v>100</v>
      </c>
      <c r="Y70" s="118" t="s">
        <v>98</v>
      </c>
      <c r="Z70" s="118">
        <v>1</v>
      </c>
      <c r="AA70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43</v>
      </c>
      <c r="AB70" s="125">
        <v>0</v>
      </c>
      <c r="AC70" s="125">
        <v>0</v>
      </c>
      <c r="AD70" s="125">
        <v>0</v>
      </c>
      <c r="AE70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7</v>
      </c>
      <c r="AF70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70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70" s="117">
        <f>COUNTIF(Datos_Origen[Cargo Tipo Valorado],Cargos_Catalogo[[#This Row],[Cargo]])</f>
        <v>1</v>
      </c>
      <c r="AI70" s="122">
        <f>IFERROR(SUMIFS(Datos_Origen[G],Datos_Origen[Cargo Tipo Valorado],Cargos_Catalogo[[#This Row],[Cargo]])/Cargos_Catalogo[[#This Row],[Frecuencia]],0)</f>
        <v>3218192.45</v>
      </c>
      <c r="AJ70" s="122">
        <f>IFERROR(SUMIFS(Datos_Origen[G+V],Datos_Origen[Cargo Tipo Valorado],Cargos_Catalogo[[#This Row],[Cargo]])/Cargos_Catalogo[[#This Row],[Frecuencia]],0)</f>
        <v>3218192.45</v>
      </c>
      <c r="AK70" s="122">
        <f>IFERROR(SUMIFS(Datos_Origen[CT],Datos_Origen[Cargo Tipo Valorado],Cargos_Catalogo[[#This Row],[Cargo]])/Cargos_Catalogo[[#This Row],[Frecuencia]],0)</f>
        <v>3218192.45</v>
      </c>
      <c r="AL70" s="117" t="str">
        <f>IF(COUNTA(Cargos_Catalogo[[#This Row],[PuntosF]:[CriticidadF]])=0,"",COUNTA(Cargos_Catalogo[[#This Row],[PuntosF]:[CriticidadF]]))</f>
        <v/>
      </c>
      <c r="AM70" s="118"/>
      <c r="AN70" s="123"/>
      <c r="AO70" s="123"/>
      <c r="AP70" s="123"/>
      <c r="AQ70" s="117" t="str">
        <f>IFERROR(VLOOKUP(Cargos_Catalogo[[#This Row],[Categoria]],NivelSHR[],2,1),"")</f>
        <v>Soporte</v>
      </c>
      <c r="AR70" s="127">
        <f>IFERROR(SUMIFS(Datos_Origen[[Promedio de Comisiones  ]],Datos_Origen[Cargo Tipo Valorado],Cargos_Catalogo[[#This Row],[Cargo]])/Cargos_Catalogo[[#This Row],[Frecuencia]],0)</f>
        <v>0</v>
      </c>
      <c r="AS70" s="124"/>
      <c r="AT70" s="123"/>
    </row>
    <row r="71" spans="2:46" ht="13.8">
      <c r="B71" s="116" t="s">
        <v>346</v>
      </c>
      <c r="C71" s="116" t="e">
        <v>#N/A</v>
      </c>
      <c r="D71" s="116" t="s">
        <v>623</v>
      </c>
      <c r="E71" s="116" t="s">
        <v>587</v>
      </c>
      <c r="F71" s="116"/>
      <c r="G71" s="117">
        <f>IFERROR(IF(Cargos_Catalogo[[#This Row],[PuntosF]]="",ROUND(Cargos_Catalogo[[#This Row],[Total Puntos1]]+Cargos_Catalogo[[#This Row],[Total Puntos2]]+Cargos_Catalogo[[#This Row],[PuntosRR]],0),Cargos_Catalogo[PuntosF]),"")</f>
        <v>217</v>
      </c>
      <c r="H71" s="118" t="s">
        <v>118</v>
      </c>
      <c r="I71" s="118" t="s">
        <v>117</v>
      </c>
      <c r="J71" s="118" t="s">
        <v>81</v>
      </c>
      <c r="K71" s="118">
        <v>1</v>
      </c>
      <c r="L71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98</v>
      </c>
      <c r="M71" s="118" t="s">
        <v>118</v>
      </c>
      <c r="N71" s="118">
        <v>4</v>
      </c>
      <c r="O71" s="118" t="s">
        <v>100</v>
      </c>
      <c r="P71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51</v>
      </c>
      <c r="Q71" s="117">
        <f>IFERROR(Cargos_Catalogo[[#This Row],[PuntosC&amp;H]]+Cargos_Catalogo[[#This Row],[PuntosHC]],"")</f>
        <v>149</v>
      </c>
      <c r="R71" s="118">
        <v>2</v>
      </c>
      <c r="S71" s="118" t="s">
        <v>97</v>
      </c>
      <c r="T71" s="118" t="s">
        <v>118</v>
      </c>
      <c r="U71" s="118" t="s">
        <v>97</v>
      </c>
      <c r="V71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0.17</v>
      </c>
      <c r="W71" s="120">
        <f>IFERROR(Cargos_Catalogo[[#This Row],[Total Puntos1]]*Cargos_Catalogo[[#This Row],[Porcentaje]],"")</f>
        <v>25.330000000000002</v>
      </c>
      <c r="X71" s="118" t="s">
        <v>100</v>
      </c>
      <c r="Y71" s="118" t="s">
        <v>98</v>
      </c>
      <c r="Z71" s="118">
        <v>1</v>
      </c>
      <c r="AA71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43</v>
      </c>
      <c r="AB71" s="125">
        <v>0</v>
      </c>
      <c r="AC71" s="125">
        <v>0</v>
      </c>
      <c r="AD71" s="125">
        <v>0</v>
      </c>
      <c r="AE71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7</v>
      </c>
      <c r="AF71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71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71" s="117">
        <f>COUNTIF(Datos_Origen[Cargo Tipo Valorado],Cargos_Catalogo[[#This Row],[Cargo]])</f>
        <v>1</v>
      </c>
      <c r="AI71" s="122">
        <f>IFERROR(SUMIFS(Datos_Origen[G],Datos_Origen[Cargo Tipo Valorado],Cargos_Catalogo[[#This Row],[Cargo]])/Cargos_Catalogo[[#This Row],[Frecuencia]],0)</f>
        <v>2828714.68</v>
      </c>
      <c r="AJ71" s="122">
        <f>IFERROR(SUMIFS(Datos_Origen[G+V],Datos_Origen[Cargo Tipo Valorado],Cargos_Catalogo[[#This Row],[Cargo]])/Cargos_Catalogo[[#This Row],[Frecuencia]],0)</f>
        <v>2828714.68</v>
      </c>
      <c r="AK71" s="122">
        <f>IFERROR(SUMIFS(Datos_Origen[CT],Datos_Origen[Cargo Tipo Valorado],Cargos_Catalogo[[#This Row],[Cargo]])/Cargos_Catalogo[[#This Row],[Frecuencia]],0)</f>
        <v>2828714.68</v>
      </c>
      <c r="AL71" s="117" t="str">
        <f>IF(COUNTA(Cargos_Catalogo[[#This Row],[PuntosF]:[CriticidadF]])=0,"",COUNTA(Cargos_Catalogo[[#This Row],[PuntosF]:[CriticidadF]]))</f>
        <v/>
      </c>
      <c r="AM71" s="118"/>
      <c r="AN71" s="123"/>
      <c r="AO71" s="123"/>
      <c r="AP71" s="123"/>
      <c r="AQ71" s="117" t="str">
        <f>IFERROR(VLOOKUP(Cargos_Catalogo[[#This Row],[Categoria]],NivelSHR[],2,1),"")</f>
        <v>Soporte</v>
      </c>
      <c r="AR71" s="127">
        <f>IFERROR(SUMIFS(Datos_Origen[[Promedio de Comisiones  ]],Datos_Origen[Cargo Tipo Valorado],Cargos_Catalogo[[#This Row],[Cargo]])/Cargos_Catalogo[[#This Row],[Frecuencia]],0)</f>
        <v>0</v>
      </c>
      <c r="AS71" s="124"/>
      <c r="AT71" s="123"/>
    </row>
    <row r="72" spans="2:46" ht="13.8">
      <c r="B72" s="116" t="s">
        <v>338</v>
      </c>
      <c r="C72" s="116" t="e">
        <v>#N/A</v>
      </c>
      <c r="D72" s="116" t="s">
        <v>588</v>
      </c>
      <c r="E72" s="116" t="s">
        <v>587</v>
      </c>
      <c r="F72" s="116"/>
      <c r="G72" s="117">
        <f>IFERROR(IF(Cargos_Catalogo[[#This Row],[PuntosF]]="",ROUND(Cargos_Catalogo[[#This Row],[Total Puntos1]]+Cargos_Catalogo[[#This Row],[Total Puntos2]]+Cargos_Catalogo[[#This Row],[PuntosRR]],0),Cargos_Catalogo[PuntosF]),"")</f>
        <v>217</v>
      </c>
      <c r="H72" s="118" t="s">
        <v>137</v>
      </c>
      <c r="I72" s="118" t="s">
        <v>78</v>
      </c>
      <c r="J72" s="118" t="s">
        <v>81</v>
      </c>
      <c r="K72" s="118">
        <v>1</v>
      </c>
      <c r="L72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98</v>
      </c>
      <c r="M72" s="118" t="s">
        <v>118</v>
      </c>
      <c r="N72" s="118">
        <v>4</v>
      </c>
      <c r="O72" s="118" t="s">
        <v>100</v>
      </c>
      <c r="P72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51</v>
      </c>
      <c r="Q72" s="117">
        <f>IFERROR(Cargos_Catalogo[[#This Row],[PuntosC&amp;H]]+Cargos_Catalogo[[#This Row],[PuntosHC]],"")</f>
        <v>149</v>
      </c>
      <c r="R72" s="118">
        <v>2</v>
      </c>
      <c r="S72" s="118" t="s">
        <v>97</v>
      </c>
      <c r="T72" s="118" t="s">
        <v>118</v>
      </c>
      <c r="U72" s="118" t="s">
        <v>97</v>
      </c>
      <c r="V72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0.17</v>
      </c>
      <c r="W72" s="120">
        <f>IFERROR(Cargos_Catalogo[[#This Row],[Total Puntos1]]*Cargos_Catalogo[[#This Row],[Porcentaje]],"")</f>
        <v>25.330000000000002</v>
      </c>
      <c r="X72" s="118" t="s">
        <v>100</v>
      </c>
      <c r="Y72" s="118" t="s">
        <v>98</v>
      </c>
      <c r="Z72" s="118">
        <v>1</v>
      </c>
      <c r="AA72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43</v>
      </c>
      <c r="AB72" s="125">
        <v>0</v>
      </c>
      <c r="AC72" s="125">
        <v>0</v>
      </c>
      <c r="AD72" s="125">
        <v>0</v>
      </c>
      <c r="AE72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7</v>
      </c>
      <c r="AF72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72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72" s="117">
        <f>COUNTIF(Datos_Origen[Cargo Tipo Valorado],Cargos_Catalogo[[#This Row],[Cargo]])</f>
        <v>1</v>
      </c>
      <c r="AI72" s="122">
        <f>IFERROR(SUMIFS(Datos_Origen[G],Datos_Origen[Cargo Tipo Valorado],Cargos_Catalogo[[#This Row],[Cargo]])/Cargos_Catalogo[[#This Row],[Frecuencia]],0)</f>
        <v>2828714.68</v>
      </c>
      <c r="AJ72" s="122">
        <f>IFERROR(SUMIFS(Datos_Origen[G+V],Datos_Origen[Cargo Tipo Valorado],Cargos_Catalogo[[#This Row],[Cargo]])/Cargos_Catalogo[[#This Row],[Frecuencia]],0)</f>
        <v>2828714.68</v>
      </c>
      <c r="AK72" s="122">
        <f>IFERROR(SUMIFS(Datos_Origen[CT],Datos_Origen[Cargo Tipo Valorado],Cargos_Catalogo[[#This Row],[Cargo]])/Cargos_Catalogo[[#This Row],[Frecuencia]],0)</f>
        <v>2828714.68</v>
      </c>
      <c r="AL72" s="117" t="str">
        <f>IF(COUNTA(Cargos_Catalogo[[#This Row],[PuntosF]:[CriticidadF]])=0,"",COUNTA(Cargos_Catalogo[[#This Row],[PuntosF]:[CriticidadF]]))</f>
        <v/>
      </c>
      <c r="AM72" s="118"/>
      <c r="AN72" s="123"/>
      <c r="AO72" s="123"/>
      <c r="AP72" s="123"/>
      <c r="AQ72" s="117" t="str">
        <f>IFERROR(VLOOKUP(Cargos_Catalogo[[#This Row],[Categoria]],NivelSHR[],2,1),"")</f>
        <v>Soporte</v>
      </c>
      <c r="AR72" s="127">
        <f>IFERROR(SUMIFS(Datos_Origen[[Promedio de Comisiones  ]],Datos_Origen[Cargo Tipo Valorado],Cargos_Catalogo[[#This Row],[Cargo]])/Cargos_Catalogo[[#This Row],[Frecuencia]],0)</f>
        <v>0</v>
      </c>
      <c r="AS72" s="124"/>
      <c r="AT72" s="123"/>
    </row>
    <row r="73" spans="2:46" ht="13.8">
      <c r="B73" s="116" t="s">
        <v>345</v>
      </c>
      <c r="C73" s="116" t="s">
        <v>624</v>
      </c>
      <c r="D73" s="116" t="s">
        <v>616</v>
      </c>
      <c r="E73" s="116" t="s">
        <v>241</v>
      </c>
      <c r="F73" s="116"/>
      <c r="G73" s="117">
        <f>IFERROR(IF(Cargos_Catalogo[[#This Row],[PuntosF]]="",ROUND(Cargos_Catalogo[[#This Row],[Total Puntos1]]+Cargos_Catalogo[[#This Row],[Total Puntos2]]+Cargos_Catalogo[[#This Row],[PuntosRR]],0),Cargos_Catalogo[PuntosF]),"")</f>
        <v>213</v>
      </c>
      <c r="H73" s="118" t="s">
        <v>137</v>
      </c>
      <c r="I73" s="118" t="s">
        <v>78</v>
      </c>
      <c r="J73" s="118" t="s">
        <v>81</v>
      </c>
      <c r="K73" s="118">
        <v>1</v>
      </c>
      <c r="L73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98</v>
      </c>
      <c r="M73" s="118" t="s">
        <v>118</v>
      </c>
      <c r="N73" s="118">
        <v>4</v>
      </c>
      <c r="O73" s="118" t="s">
        <v>100</v>
      </c>
      <c r="P73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51</v>
      </c>
      <c r="Q73" s="117">
        <f>IFERROR(Cargos_Catalogo[[#This Row],[PuntosC&amp;H]]+Cargos_Catalogo[[#This Row],[PuntosHC]],"")</f>
        <v>149</v>
      </c>
      <c r="R73" s="118">
        <v>2</v>
      </c>
      <c r="S73" s="118" t="s">
        <v>78</v>
      </c>
      <c r="T73" s="118" t="s">
        <v>118</v>
      </c>
      <c r="U73" s="118" t="s">
        <v>97</v>
      </c>
      <c r="V73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0.16</v>
      </c>
      <c r="W73" s="120">
        <f>IFERROR(Cargos_Catalogo[[#This Row],[Total Puntos1]]*Cargos_Catalogo[[#This Row],[Porcentaje]],"")</f>
        <v>23.84</v>
      </c>
      <c r="X73" s="118" t="s">
        <v>81</v>
      </c>
      <c r="Y73" s="118" t="s">
        <v>118</v>
      </c>
      <c r="Z73" s="118">
        <v>1</v>
      </c>
      <c r="AA73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40</v>
      </c>
      <c r="AB73" s="125">
        <v>0</v>
      </c>
      <c r="AC73" s="125">
        <v>0</v>
      </c>
      <c r="AD73" s="125">
        <v>0</v>
      </c>
      <c r="AE73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7</v>
      </c>
      <c r="AF73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73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73" s="117">
        <f>COUNTIF(Datos_Origen[Cargo Tipo Valorado],Cargos_Catalogo[[#This Row],[Cargo]])</f>
        <v>1</v>
      </c>
      <c r="AI73" s="122">
        <f>IFERROR(SUMIFS(Datos_Origen[G],Datos_Origen[Cargo Tipo Valorado],Cargos_Catalogo[[#This Row],[Cargo]])/Cargos_Catalogo[[#This Row],[Frecuencia]],0)</f>
        <v>2828714.68</v>
      </c>
      <c r="AJ73" s="122">
        <f>IFERROR(SUMIFS(Datos_Origen[G+V],Datos_Origen[Cargo Tipo Valorado],Cargos_Catalogo[[#This Row],[Cargo]])/Cargos_Catalogo[[#This Row],[Frecuencia]],0)</f>
        <v>2828714.68</v>
      </c>
      <c r="AK73" s="122">
        <f>IFERROR(SUMIFS(Datos_Origen[CT],Datos_Origen[Cargo Tipo Valorado],Cargos_Catalogo[[#This Row],[Cargo]])/Cargos_Catalogo[[#This Row],[Frecuencia]],0)</f>
        <v>2828714.68</v>
      </c>
      <c r="AL73" s="117" t="str">
        <f>IF(COUNTA(Cargos_Catalogo[[#This Row],[PuntosF]:[CriticidadF]])=0,"",COUNTA(Cargos_Catalogo[[#This Row],[PuntosF]:[CriticidadF]]))</f>
        <v/>
      </c>
      <c r="AM73" s="118"/>
      <c r="AN73" s="123"/>
      <c r="AO73" s="123"/>
      <c r="AP73" s="123"/>
      <c r="AQ73" s="117" t="str">
        <f>IFERROR(VLOOKUP(Cargos_Catalogo[[#This Row],[Categoria]],NivelSHR[],2,1),"")</f>
        <v>Soporte</v>
      </c>
      <c r="AR73" s="127">
        <f>IFERROR(SUMIFS(Datos_Origen[[Promedio de Comisiones  ]],Datos_Origen[Cargo Tipo Valorado],Cargos_Catalogo[[#This Row],[Cargo]])/Cargos_Catalogo[[#This Row],[Frecuencia]],0)</f>
        <v>0</v>
      </c>
      <c r="AS73" s="124"/>
      <c r="AT73" s="123"/>
    </row>
    <row r="74" spans="2:46" ht="13.8">
      <c r="B74" s="116" t="s">
        <v>336</v>
      </c>
      <c r="C74" s="116" t="s">
        <v>625</v>
      </c>
      <c r="D74" s="116" t="s">
        <v>611</v>
      </c>
      <c r="E74" s="116" t="s">
        <v>584</v>
      </c>
      <c r="F74" s="116"/>
      <c r="G74" s="117">
        <f>IFERROR(IF(Cargos_Catalogo[[#This Row],[PuntosF]]="",ROUND(Cargos_Catalogo[[#This Row],[Total Puntos1]]+Cargos_Catalogo[[#This Row],[Total Puntos2]]+Cargos_Catalogo[[#This Row],[PuntosRR]],0),Cargos_Catalogo[PuntosF]),"")</f>
        <v>212</v>
      </c>
      <c r="H74" s="118" t="s">
        <v>137</v>
      </c>
      <c r="I74" s="118" t="s">
        <v>78</v>
      </c>
      <c r="J74" s="118" t="s">
        <v>81</v>
      </c>
      <c r="K74" s="118">
        <v>1</v>
      </c>
      <c r="L74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98</v>
      </c>
      <c r="M74" s="118" t="s">
        <v>79</v>
      </c>
      <c r="N74" s="118">
        <v>4</v>
      </c>
      <c r="O74" s="118" t="s">
        <v>100</v>
      </c>
      <c r="P74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38</v>
      </c>
      <c r="Q74" s="117">
        <f>IFERROR(Cargos_Catalogo[[#This Row],[PuntosC&amp;H]]+Cargos_Catalogo[[#This Row],[PuntosHC]],"")</f>
        <v>136</v>
      </c>
      <c r="R74" s="118">
        <v>2</v>
      </c>
      <c r="S74" s="118" t="s">
        <v>97</v>
      </c>
      <c r="T74" s="118" t="s">
        <v>137</v>
      </c>
      <c r="U74" s="118" t="s">
        <v>78</v>
      </c>
      <c r="V74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0.19</v>
      </c>
      <c r="W74" s="120">
        <f>IFERROR(Cargos_Catalogo[[#This Row],[Total Puntos1]]*Cargos_Catalogo[[#This Row],[Porcentaje]],"")</f>
        <v>25.84</v>
      </c>
      <c r="X74" s="118" t="s">
        <v>100</v>
      </c>
      <c r="Y74" s="118" t="s">
        <v>118</v>
      </c>
      <c r="Z74" s="118">
        <v>1</v>
      </c>
      <c r="AA74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50</v>
      </c>
      <c r="AB74" s="125">
        <v>0</v>
      </c>
      <c r="AC74" s="125">
        <v>0</v>
      </c>
      <c r="AD74" s="125">
        <v>0</v>
      </c>
      <c r="AE74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7</v>
      </c>
      <c r="AF74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74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74" s="117">
        <f>COUNTIF(Datos_Origen[Cargo Tipo Valorado],Cargos_Catalogo[[#This Row],[Cargo]])</f>
        <v>2</v>
      </c>
      <c r="AI74" s="122">
        <f>IFERROR(SUMIFS(Datos_Origen[G],Datos_Origen[Cargo Tipo Valorado],Cargos_Catalogo[[#This Row],[Cargo]])/Cargos_Catalogo[[#This Row],[Frecuencia]],0)</f>
        <v>2828714.68</v>
      </c>
      <c r="AJ74" s="122">
        <f>IFERROR(SUMIFS(Datos_Origen[G+V],Datos_Origen[Cargo Tipo Valorado],Cargos_Catalogo[[#This Row],[Cargo]])/Cargos_Catalogo[[#This Row],[Frecuencia]],0)</f>
        <v>2828714.68</v>
      </c>
      <c r="AK74" s="122">
        <f>IFERROR(SUMIFS(Datos_Origen[CT],Datos_Origen[Cargo Tipo Valorado],Cargos_Catalogo[[#This Row],[Cargo]])/Cargos_Catalogo[[#This Row],[Frecuencia]],0)</f>
        <v>2828714.68</v>
      </c>
      <c r="AL74" s="117" t="str">
        <f>IF(COUNTA(Cargos_Catalogo[[#This Row],[PuntosF]:[CriticidadF]])=0,"",COUNTA(Cargos_Catalogo[[#This Row],[PuntosF]:[CriticidadF]]))</f>
        <v/>
      </c>
      <c r="AM74" s="118"/>
      <c r="AN74" s="123"/>
      <c r="AO74" s="123"/>
      <c r="AP74" s="123"/>
      <c r="AQ74" s="117" t="str">
        <f>IFERROR(VLOOKUP(Cargos_Catalogo[[#This Row],[Categoria]],NivelSHR[],2,1),"")</f>
        <v>Soporte</v>
      </c>
      <c r="AR74" s="127">
        <f>IFERROR(SUMIFS(Datos_Origen[[Promedio de Comisiones  ]],Datos_Origen[Cargo Tipo Valorado],Cargos_Catalogo[[#This Row],[Cargo]])/Cargos_Catalogo[[#This Row],[Frecuencia]],0)</f>
        <v>0</v>
      </c>
      <c r="AS74" s="124"/>
      <c r="AT74" s="123"/>
    </row>
    <row r="75" spans="2:46" ht="13.8">
      <c r="B75" s="116" t="s">
        <v>344</v>
      </c>
      <c r="C75" s="116" t="e">
        <v>#N/A</v>
      </c>
      <c r="D75" s="116" t="s">
        <v>595</v>
      </c>
      <c r="E75" s="116" t="s">
        <v>587</v>
      </c>
      <c r="F75" s="116"/>
      <c r="G75" s="117">
        <f>IFERROR(IF(Cargos_Catalogo[[#This Row],[PuntosF]]="",ROUND(Cargos_Catalogo[[#This Row],[Total Puntos1]]+Cargos_Catalogo[[#This Row],[Total Puntos2]]+Cargos_Catalogo[[#This Row],[PuntosRR]],0),Cargos_Catalogo[PuntosF]),"")</f>
        <v>211</v>
      </c>
      <c r="H75" s="118" t="s">
        <v>137</v>
      </c>
      <c r="I75" s="118" t="s">
        <v>78</v>
      </c>
      <c r="J75" s="118" t="s">
        <v>81</v>
      </c>
      <c r="K75" s="118">
        <v>1</v>
      </c>
      <c r="L75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98</v>
      </c>
      <c r="M75" s="118" t="s">
        <v>118</v>
      </c>
      <c r="N75" s="118">
        <v>4</v>
      </c>
      <c r="O75" s="118" t="s">
        <v>100</v>
      </c>
      <c r="P75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51</v>
      </c>
      <c r="Q75" s="117">
        <f>IFERROR(Cargos_Catalogo[[#This Row],[PuntosC&amp;H]]+Cargos_Catalogo[[#This Row],[PuntosHC]],"")</f>
        <v>149</v>
      </c>
      <c r="R75" s="118">
        <v>2</v>
      </c>
      <c r="S75" s="118" t="s">
        <v>97</v>
      </c>
      <c r="T75" s="118" t="s">
        <v>137</v>
      </c>
      <c r="U75" s="118" t="s">
        <v>78</v>
      </c>
      <c r="V75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0.19</v>
      </c>
      <c r="W75" s="120">
        <f>IFERROR(Cargos_Catalogo[[#This Row],[Total Puntos1]]*Cargos_Catalogo[[#This Row],[Porcentaje]],"")</f>
        <v>28.31</v>
      </c>
      <c r="X75" s="118" t="s">
        <v>81</v>
      </c>
      <c r="Y75" s="118" t="s">
        <v>98</v>
      </c>
      <c r="Z75" s="118">
        <v>1</v>
      </c>
      <c r="AA75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34</v>
      </c>
      <c r="AB75" s="125">
        <v>0</v>
      </c>
      <c r="AC75" s="125">
        <v>0</v>
      </c>
      <c r="AD75" s="125">
        <v>0</v>
      </c>
      <c r="AE75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7</v>
      </c>
      <c r="AF75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75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75" s="117">
        <f>COUNTIF(Datos_Origen[Cargo Tipo Valorado],Cargos_Catalogo[[#This Row],[Cargo]])</f>
        <v>1</v>
      </c>
      <c r="AI75" s="122">
        <f>IFERROR(SUMIFS(Datos_Origen[G],Datos_Origen[Cargo Tipo Valorado],Cargos_Catalogo[[#This Row],[Cargo]])/Cargos_Catalogo[[#This Row],[Frecuencia]],0)</f>
        <v>3112292.1500000004</v>
      </c>
      <c r="AJ75" s="122">
        <f>IFERROR(SUMIFS(Datos_Origen[G+V],Datos_Origen[Cargo Tipo Valorado],Cargos_Catalogo[[#This Row],[Cargo]])/Cargos_Catalogo[[#This Row],[Frecuencia]],0)</f>
        <v>3112292.1500000004</v>
      </c>
      <c r="AK75" s="122">
        <f>IFERROR(SUMIFS(Datos_Origen[CT],Datos_Origen[Cargo Tipo Valorado],Cargos_Catalogo[[#This Row],[Cargo]])/Cargos_Catalogo[[#This Row],[Frecuencia]],0)</f>
        <v>3112292.1500000004</v>
      </c>
      <c r="AL75" s="117" t="str">
        <f>IF(COUNTA(Cargos_Catalogo[[#This Row],[PuntosF]:[CriticidadF]])=0,"",COUNTA(Cargos_Catalogo[[#This Row],[PuntosF]:[CriticidadF]]))</f>
        <v/>
      </c>
      <c r="AM75" s="118"/>
      <c r="AN75" s="123"/>
      <c r="AO75" s="123"/>
      <c r="AP75" s="123"/>
      <c r="AQ75" s="117" t="str">
        <f>IFERROR(VLOOKUP(Cargos_Catalogo[[#This Row],[Categoria]],NivelSHR[],2,1),"")</f>
        <v>Soporte</v>
      </c>
      <c r="AR75" s="127">
        <f>IFERROR(SUMIFS(Datos_Origen[[Promedio de Comisiones  ]],Datos_Origen[Cargo Tipo Valorado],Cargos_Catalogo[[#This Row],[Cargo]])/Cargos_Catalogo[[#This Row],[Frecuencia]],0)</f>
        <v>0</v>
      </c>
      <c r="AS75" s="124"/>
      <c r="AT75" s="123"/>
    </row>
    <row r="76" spans="2:46" ht="13.8">
      <c r="B76" s="116" t="s">
        <v>343</v>
      </c>
      <c r="C76" s="116" t="s">
        <v>596</v>
      </c>
      <c r="D76" s="116" t="s">
        <v>615</v>
      </c>
      <c r="E76" s="116" t="s">
        <v>584</v>
      </c>
      <c r="F76" s="116"/>
      <c r="G76" s="117">
        <f>IFERROR(IF(Cargos_Catalogo[[#This Row],[PuntosF]]="",ROUND(Cargos_Catalogo[[#This Row],[Total Puntos1]]+Cargos_Catalogo[[#This Row],[Total Puntos2]]+Cargos_Catalogo[[#This Row],[PuntosRR]],0),Cargos_Catalogo[PuntosF]),"")</f>
        <v>209</v>
      </c>
      <c r="H76" s="118" t="s">
        <v>118</v>
      </c>
      <c r="I76" s="118" t="s">
        <v>117</v>
      </c>
      <c r="J76" s="118" t="s">
        <v>81</v>
      </c>
      <c r="K76" s="118">
        <v>1</v>
      </c>
      <c r="L76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98</v>
      </c>
      <c r="M76" s="118" t="s">
        <v>79</v>
      </c>
      <c r="N76" s="118">
        <v>4</v>
      </c>
      <c r="O76" s="118" t="s">
        <v>100</v>
      </c>
      <c r="P76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38</v>
      </c>
      <c r="Q76" s="117">
        <f>IFERROR(Cargos_Catalogo[[#This Row],[PuntosC&amp;H]]+Cargos_Catalogo[[#This Row],[PuntosHC]],"")</f>
        <v>136</v>
      </c>
      <c r="R76" s="118">
        <v>2</v>
      </c>
      <c r="S76" s="118" t="s">
        <v>97</v>
      </c>
      <c r="T76" s="118" t="s">
        <v>118</v>
      </c>
      <c r="U76" s="118" t="s">
        <v>97</v>
      </c>
      <c r="V76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0.17</v>
      </c>
      <c r="W76" s="120">
        <f>IFERROR(Cargos_Catalogo[[#This Row],[Total Puntos1]]*Cargos_Catalogo[[#This Row],[Porcentaje]],"")</f>
        <v>23.12</v>
      </c>
      <c r="X76" s="118" t="s">
        <v>100</v>
      </c>
      <c r="Y76" s="118" t="s">
        <v>118</v>
      </c>
      <c r="Z76" s="118">
        <v>1</v>
      </c>
      <c r="AA76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50</v>
      </c>
      <c r="AB76" s="125">
        <v>0</v>
      </c>
      <c r="AC76" s="125">
        <v>0</v>
      </c>
      <c r="AD76" s="125">
        <v>0</v>
      </c>
      <c r="AE76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7</v>
      </c>
      <c r="AF76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76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76" s="117">
        <f>COUNTIF(Datos_Origen[Cargo Tipo Valorado],Cargos_Catalogo[[#This Row],[Cargo]])</f>
        <v>1</v>
      </c>
      <c r="AI76" s="122">
        <f>IFERROR(SUMIFS(Datos_Origen[G],Datos_Origen[Cargo Tipo Valorado],Cargos_Catalogo[[#This Row],[Cargo]])/Cargos_Catalogo[[#This Row],[Frecuencia]],0)</f>
        <v>2828714.68</v>
      </c>
      <c r="AJ76" s="122">
        <f>IFERROR(SUMIFS(Datos_Origen[G+V],Datos_Origen[Cargo Tipo Valorado],Cargos_Catalogo[[#This Row],[Cargo]])/Cargos_Catalogo[[#This Row],[Frecuencia]],0)</f>
        <v>2828714.68</v>
      </c>
      <c r="AK76" s="122">
        <f>IFERROR(SUMIFS(Datos_Origen[CT],Datos_Origen[Cargo Tipo Valorado],Cargos_Catalogo[[#This Row],[Cargo]])/Cargos_Catalogo[[#This Row],[Frecuencia]],0)</f>
        <v>2828714.68</v>
      </c>
      <c r="AL76" s="117" t="str">
        <f>IF(COUNTA(Cargos_Catalogo[[#This Row],[PuntosF]:[CriticidadF]])=0,"",COUNTA(Cargos_Catalogo[[#This Row],[PuntosF]:[CriticidadF]]))</f>
        <v/>
      </c>
      <c r="AM76" s="118"/>
      <c r="AN76" s="123"/>
      <c r="AO76" s="123"/>
      <c r="AP76" s="123"/>
      <c r="AQ76" s="117" t="str">
        <f>IFERROR(VLOOKUP(Cargos_Catalogo[[#This Row],[Categoria]],NivelSHR[],2,1),"")</f>
        <v>Soporte</v>
      </c>
      <c r="AR76" s="127">
        <f>IFERROR(SUMIFS(Datos_Origen[[Promedio de Comisiones  ]],Datos_Origen[Cargo Tipo Valorado],Cargos_Catalogo[[#This Row],[Cargo]])/Cargos_Catalogo[[#This Row],[Frecuencia]],0)</f>
        <v>0</v>
      </c>
      <c r="AS76" s="124"/>
      <c r="AT76" s="123"/>
    </row>
    <row r="77" spans="2:46" ht="13.8">
      <c r="B77" s="116" t="s">
        <v>342</v>
      </c>
      <c r="C77" s="116" t="s">
        <v>625</v>
      </c>
      <c r="D77" s="116" t="s">
        <v>588</v>
      </c>
      <c r="E77" s="116" t="s">
        <v>584</v>
      </c>
      <c r="F77" s="116"/>
      <c r="G77" s="117">
        <f>IFERROR(IF(Cargos_Catalogo[[#This Row],[PuntosF]]="",ROUND(Cargos_Catalogo[[#This Row],[Total Puntos1]]+Cargos_Catalogo[[#This Row],[Total Puntos2]]+Cargos_Catalogo[[#This Row],[PuntosRR]],0),Cargos_Catalogo[PuntosF]),"")</f>
        <v>208</v>
      </c>
      <c r="H77" s="118" t="s">
        <v>118</v>
      </c>
      <c r="I77" s="118" t="s">
        <v>97</v>
      </c>
      <c r="J77" s="118" t="s">
        <v>81</v>
      </c>
      <c r="K77" s="118">
        <v>1</v>
      </c>
      <c r="L77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84</v>
      </c>
      <c r="M77" s="118" t="s">
        <v>118</v>
      </c>
      <c r="N77" s="118">
        <v>4</v>
      </c>
      <c r="O77" s="118" t="s">
        <v>100</v>
      </c>
      <c r="P77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51</v>
      </c>
      <c r="Q77" s="117">
        <f>IFERROR(Cargos_Catalogo[[#This Row],[PuntosC&amp;H]]+Cargos_Catalogo[[#This Row],[PuntosHC]],"")</f>
        <v>135</v>
      </c>
      <c r="R77" s="118">
        <v>2</v>
      </c>
      <c r="S77" s="118" t="s">
        <v>78</v>
      </c>
      <c r="T77" s="118" t="s">
        <v>118</v>
      </c>
      <c r="U77" s="118" t="s">
        <v>117</v>
      </c>
      <c r="V77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0.17</v>
      </c>
      <c r="W77" s="120">
        <f>IFERROR(Cargos_Catalogo[[#This Row],[Total Puntos1]]*Cargos_Catalogo[[#This Row],[Porcentaje]],"")</f>
        <v>22.950000000000003</v>
      </c>
      <c r="X77" s="118" t="s">
        <v>100</v>
      </c>
      <c r="Y77" s="118" t="s">
        <v>118</v>
      </c>
      <c r="Z77" s="118">
        <v>1</v>
      </c>
      <c r="AA77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50</v>
      </c>
      <c r="AB77" s="125">
        <v>0</v>
      </c>
      <c r="AC77" s="125">
        <v>0</v>
      </c>
      <c r="AD77" s="125">
        <v>0</v>
      </c>
      <c r="AE77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7</v>
      </c>
      <c r="AF77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77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77" s="117">
        <f>COUNTIF(Datos_Origen[Cargo Tipo Valorado],Cargos_Catalogo[[#This Row],[Cargo]])</f>
        <v>1</v>
      </c>
      <c r="AI77" s="122">
        <f>IFERROR(SUMIFS(Datos_Origen[G],Datos_Origen[Cargo Tipo Valorado],Cargos_Catalogo[[#This Row],[Cargo]])/Cargos_Catalogo[[#This Row],[Frecuencia]],0)</f>
        <v>2536900.52</v>
      </c>
      <c r="AJ77" s="122">
        <f>IFERROR(SUMIFS(Datos_Origen[G+V],Datos_Origen[Cargo Tipo Valorado],Cargos_Catalogo[[#This Row],[Cargo]])/Cargos_Catalogo[[#This Row],[Frecuencia]],0)</f>
        <v>2536900.52</v>
      </c>
      <c r="AK77" s="122">
        <f>IFERROR(SUMIFS(Datos_Origen[CT],Datos_Origen[Cargo Tipo Valorado],Cargos_Catalogo[[#This Row],[Cargo]])/Cargos_Catalogo[[#This Row],[Frecuencia]],0)</f>
        <v>2536900.52</v>
      </c>
      <c r="AL77" s="117" t="str">
        <f>IF(COUNTA(Cargos_Catalogo[[#This Row],[PuntosF]:[CriticidadF]])=0,"",COUNTA(Cargos_Catalogo[[#This Row],[PuntosF]:[CriticidadF]]))</f>
        <v/>
      </c>
      <c r="AM77" s="118"/>
      <c r="AN77" s="123"/>
      <c r="AO77" s="123"/>
      <c r="AP77" s="123"/>
      <c r="AQ77" s="117" t="str">
        <f>IFERROR(VLOOKUP(Cargos_Catalogo[[#This Row],[Categoria]],NivelSHR[],2,1),"")</f>
        <v>Soporte</v>
      </c>
      <c r="AR77" s="127">
        <f>IFERROR(SUMIFS(Datos_Origen[[Promedio de Comisiones  ]],Datos_Origen[Cargo Tipo Valorado],Cargos_Catalogo[[#This Row],[Cargo]])/Cargos_Catalogo[[#This Row],[Frecuencia]],0)</f>
        <v>0</v>
      </c>
      <c r="AS77" s="124"/>
      <c r="AT77" s="123"/>
    </row>
    <row r="78" spans="2:46" ht="13.8">
      <c r="B78" s="116" t="s">
        <v>340</v>
      </c>
      <c r="C78" s="116" t="s">
        <v>626</v>
      </c>
      <c r="D78" s="116" t="s">
        <v>611</v>
      </c>
      <c r="E78" s="116" t="s">
        <v>241</v>
      </c>
      <c r="F78" s="116"/>
      <c r="G78" s="117">
        <f>IFERROR(IF(Cargos_Catalogo[[#This Row],[PuntosF]]="",ROUND(Cargos_Catalogo[[#This Row],[Total Puntos1]]+Cargos_Catalogo[[#This Row],[Total Puntos2]]+Cargos_Catalogo[[#This Row],[PuntosRR]],0),Cargos_Catalogo[PuntosF]),"")</f>
        <v>204</v>
      </c>
      <c r="H78" s="118" t="s">
        <v>137</v>
      </c>
      <c r="I78" s="118" t="s">
        <v>78</v>
      </c>
      <c r="J78" s="118" t="s">
        <v>81</v>
      </c>
      <c r="K78" s="118">
        <v>1</v>
      </c>
      <c r="L78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98</v>
      </c>
      <c r="M78" s="118" t="s">
        <v>118</v>
      </c>
      <c r="N78" s="118">
        <v>4</v>
      </c>
      <c r="O78" s="118" t="s">
        <v>81</v>
      </c>
      <c r="P78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34</v>
      </c>
      <c r="Q78" s="117">
        <f>IFERROR(Cargos_Catalogo[[#This Row],[PuntosC&amp;H]]+Cargos_Catalogo[[#This Row],[PuntosHC]],"")</f>
        <v>132</v>
      </c>
      <c r="R78" s="118">
        <v>2</v>
      </c>
      <c r="S78" s="118" t="s">
        <v>97</v>
      </c>
      <c r="T78" s="118" t="s">
        <v>118</v>
      </c>
      <c r="U78" s="118" t="s">
        <v>97</v>
      </c>
      <c r="V78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0.17</v>
      </c>
      <c r="W78" s="120">
        <f>IFERROR(Cargos_Catalogo[[#This Row],[Total Puntos1]]*Cargos_Catalogo[[#This Row],[Porcentaje]],"")</f>
        <v>22.44</v>
      </c>
      <c r="X78" s="118" t="s">
        <v>100</v>
      </c>
      <c r="Y78" s="118" t="s">
        <v>118</v>
      </c>
      <c r="Z78" s="118">
        <v>1</v>
      </c>
      <c r="AA78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50</v>
      </c>
      <c r="AB78" s="125">
        <v>0</v>
      </c>
      <c r="AC78" s="125">
        <v>0</v>
      </c>
      <c r="AD78" s="125">
        <v>0</v>
      </c>
      <c r="AE78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7</v>
      </c>
      <c r="AF78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78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78" s="117">
        <f>COUNTIF(Datos_Origen[Cargo Tipo Valorado],Cargos_Catalogo[[#This Row],[Cargo]])</f>
        <v>3</v>
      </c>
      <c r="AI78" s="122">
        <f>IFERROR(SUMIFS(Datos_Origen[G],Datos_Origen[Cargo Tipo Valorado],Cargos_Catalogo[[#This Row],[Cargo]])/Cargos_Catalogo[[#This Row],[Frecuencia]],0)</f>
        <v>2828714.68</v>
      </c>
      <c r="AJ78" s="122">
        <f>IFERROR(SUMIFS(Datos_Origen[G+V],Datos_Origen[Cargo Tipo Valorado],Cargos_Catalogo[[#This Row],[Cargo]])/Cargos_Catalogo[[#This Row],[Frecuencia]],0)</f>
        <v>2828714.68</v>
      </c>
      <c r="AK78" s="122">
        <f>IFERROR(SUMIFS(Datos_Origen[CT],Datos_Origen[Cargo Tipo Valorado],Cargos_Catalogo[[#This Row],[Cargo]])/Cargos_Catalogo[[#This Row],[Frecuencia]],0)</f>
        <v>2828714.68</v>
      </c>
      <c r="AL78" s="117" t="str">
        <f>IF(COUNTA(Cargos_Catalogo[[#This Row],[PuntosF]:[CriticidadF]])=0,"",COUNTA(Cargos_Catalogo[[#This Row],[PuntosF]:[CriticidadF]]))</f>
        <v/>
      </c>
      <c r="AM78" s="118"/>
      <c r="AN78" s="123"/>
      <c r="AO78" s="123"/>
      <c r="AP78" s="123"/>
      <c r="AQ78" s="117" t="str">
        <f>IFERROR(VLOOKUP(Cargos_Catalogo[[#This Row],[Categoria]],NivelSHR[],2,1),"")</f>
        <v>Soporte</v>
      </c>
      <c r="AR78" s="127">
        <f>IFERROR(SUMIFS(Datos_Origen[[Promedio de Comisiones  ]],Datos_Origen[Cargo Tipo Valorado],Cargos_Catalogo[[#This Row],[Cargo]])/Cargos_Catalogo[[#This Row],[Frecuencia]],0)</f>
        <v>0</v>
      </c>
      <c r="AS78" s="124"/>
      <c r="AT78" s="123"/>
    </row>
    <row r="79" spans="2:46" ht="13.8">
      <c r="B79" s="116" t="s">
        <v>341</v>
      </c>
      <c r="C79" s="116" t="s">
        <v>596</v>
      </c>
      <c r="D79" s="116" t="s">
        <v>615</v>
      </c>
      <c r="E79" s="116" t="s">
        <v>584</v>
      </c>
      <c r="F79" s="116"/>
      <c r="G79" s="117">
        <f>IFERROR(IF(Cargos_Catalogo[[#This Row],[PuntosF]]="",ROUND(Cargos_Catalogo[[#This Row],[Total Puntos1]]+Cargos_Catalogo[[#This Row],[Total Puntos2]]+Cargos_Catalogo[[#This Row],[PuntosRR]],0),Cargos_Catalogo[PuntosF]),"")</f>
        <v>204</v>
      </c>
      <c r="H79" s="118" t="s">
        <v>118</v>
      </c>
      <c r="I79" s="118" t="s">
        <v>97</v>
      </c>
      <c r="J79" s="118" t="s">
        <v>81</v>
      </c>
      <c r="K79" s="118">
        <v>1</v>
      </c>
      <c r="L79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84</v>
      </c>
      <c r="M79" s="118" t="s">
        <v>118</v>
      </c>
      <c r="N79" s="118">
        <v>4</v>
      </c>
      <c r="O79" s="118" t="s">
        <v>100</v>
      </c>
      <c r="P79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51</v>
      </c>
      <c r="Q79" s="117">
        <f>IFERROR(Cargos_Catalogo[[#This Row],[PuntosC&amp;H]]+Cargos_Catalogo[[#This Row],[PuntosHC]],"")</f>
        <v>135</v>
      </c>
      <c r="R79" s="118">
        <v>2</v>
      </c>
      <c r="S79" s="118" t="s">
        <v>78</v>
      </c>
      <c r="T79" s="118" t="s">
        <v>98</v>
      </c>
      <c r="U79" s="118" t="s">
        <v>117</v>
      </c>
      <c r="V79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0.14000000000000001</v>
      </c>
      <c r="W79" s="120">
        <f>IFERROR(Cargos_Catalogo[[#This Row],[Total Puntos1]]*Cargos_Catalogo[[#This Row],[Porcentaje]],"")</f>
        <v>18.900000000000002</v>
      </c>
      <c r="X79" s="118" t="s">
        <v>100</v>
      </c>
      <c r="Y79" s="118" t="s">
        <v>118</v>
      </c>
      <c r="Z79" s="118">
        <v>1</v>
      </c>
      <c r="AA79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50</v>
      </c>
      <c r="AB79" s="125">
        <v>0</v>
      </c>
      <c r="AC79" s="125">
        <v>0</v>
      </c>
      <c r="AD79" s="125">
        <v>0</v>
      </c>
      <c r="AE79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7</v>
      </c>
      <c r="AF79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79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</v>
      </c>
      <c r="AH79" s="117">
        <f>COUNTIF(Datos_Origen[Cargo Tipo Valorado],Cargos_Catalogo[[#This Row],[Cargo]])</f>
        <v>1</v>
      </c>
      <c r="AI79" s="122">
        <f>IFERROR(SUMIFS(Datos_Origen[G],Datos_Origen[Cargo Tipo Valorado],Cargos_Catalogo[[#This Row],[Cargo]])/Cargos_Catalogo[[#This Row],[Frecuencia]],0)</f>
        <v>2295683.1700000004</v>
      </c>
      <c r="AJ79" s="122">
        <f>IFERROR(SUMIFS(Datos_Origen[G+V],Datos_Origen[Cargo Tipo Valorado],Cargos_Catalogo[[#This Row],[Cargo]])/Cargos_Catalogo[[#This Row],[Frecuencia]],0)</f>
        <v>2295683.1700000004</v>
      </c>
      <c r="AK79" s="122">
        <f>IFERROR(SUMIFS(Datos_Origen[CT],Datos_Origen[Cargo Tipo Valorado],Cargos_Catalogo[[#This Row],[Cargo]])/Cargos_Catalogo[[#This Row],[Frecuencia]],0)</f>
        <v>2295683.1700000004</v>
      </c>
      <c r="AL79" s="117" t="str">
        <f>IF(COUNTA(Cargos_Catalogo[[#This Row],[PuntosF]:[CriticidadF]])=0,"",COUNTA(Cargos_Catalogo[[#This Row],[PuntosF]:[CriticidadF]]))</f>
        <v/>
      </c>
      <c r="AM79" s="118"/>
      <c r="AN79" s="123"/>
      <c r="AO79" s="123"/>
      <c r="AP79" s="123"/>
      <c r="AQ79" s="117" t="str">
        <f>IFERROR(VLOOKUP(Cargos_Catalogo[[#This Row],[Categoria]],NivelSHR[],2,1),"")</f>
        <v>Soporte</v>
      </c>
      <c r="AR79" s="127">
        <f>IFERROR(SUMIFS(Datos_Origen[[Promedio de Comisiones  ]],Datos_Origen[Cargo Tipo Valorado],Cargos_Catalogo[[#This Row],[Cargo]])/Cargos_Catalogo[[#This Row],[Frecuencia]],0)</f>
        <v>0</v>
      </c>
      <c r="AS79" s="124"/>
      <c r="AT79" s="123"/>
    </row>
    <row r="80" spans="2:46" ht="13.8">
      <c r="B80" s="116" t="s">
        <v>353</v>
      </c>
      <c r="C80" s="116" t="s">
        <v>592</v>
      </c>
      <c r="D80" s="116" t="s">
        <v>615</v>
      </c>
      <c r="E80" s="116" t="s">
        <v>587</v>
      </c>
      <c r="F80" s="116"/>
      <c r="G80" s="117">
        <f>IFERROR(IF(Cargos_Catalogo[[#This Row],[PuntosF]]="",ROUND(Cargos_Catalogo[[#This Row],[Total Puntos1]]+Cargos_Catalogo[[#This Row],[Total Puntos2]]+Cargos_Catalogo[[#This Row],[PuntosRR]],0),Cargos_Catalogo[PuntosF]),"")</f>
        <v>200</v>
      </c>
      <c r="H80" s="118" t="s">
        <v>137</v>
      </c>
      <c r="I80" s="118" t="s">
        <v>78</v>
      </c>
      <c r="J80" s="118" t="s">
        <v>81</v>
      </c>
      <c r="K80" s="118">
        <v>1</v>
      </c>
      <c r="L80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98</v>
      </c>
      <c r="M80" s="118" t="s">
        <v>118</v>
      </c>
      <c r="N80" s="118">
        <v>4</v>
      </c>
      <c r="O80" s="118" t="s">
        <v>81</v>
      </c>
      <c r="P80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34</v>
      </c>
      <c r="Q80" s="117">
        <f>IFERROR(Cargos_Catalogo[[#This Row],[PuntosC&amp;H]]+Cargos_Catalogo[[#This Row],[PuntosHC]],"")</f>
        <v>132</v>
      </c>
      <c r="R80" s="118">
        <v>2</v>
      </c>
      <c r="S80" s="118" t="s">
        <v>97</v>
      </c>
      <c r="T80" s="118" t="s">
        <v>118</v>
      </c>
      <c r="U80" s="118" t="s">
        <v>117</v>
      </c>
      <c r="V80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0.19</v>
      </c>
      <c r="W80" s="120">
        <f>IFERROR(Cargos_Catalogo[[#This Row],[Total Puntos1]]*Cargos_Catalogo[[#This Row],[Porcentaje]],"")</f>
        <v>25.080000000000002</v>
      </c>
      <c r="X80" s="118" t="s">
        <v>100</v>
      </c>
      <c r="Y80" s="118" t="s">
        <v>98</v>
      </c>
      <c r="Z80" s="118">
        <v>1</v>
      </c>
      <c r="AA80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43</v>
      </c>
      <c r="AB80" s="125">
        <v>0</v>
      </c>
      <c r="AC80" s="125">
        <v>0</v>
      </c>
      <c r="AD80" s="125">
        <v>0</v>
      </c>
      <c r="AE80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6</v>
      </c>
      <c r="AF80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80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 /Operario Experto</v>
      </c>
      <c r="AH80" s="117">
        <f>COUNTIF(Datos_Origen[Cargo Tipo Valorado],Cargos_Catalogo[[#This Row],[Cargo]])</f>
        <v>1</v>
      </c>
      <c r="AI80" s="122">
        <f>IFERROR(SUMIFS(Datos_Origen[G],Datos_Origen[Cargo Tipo Valorado],Cargos_Catalogo[[#This Row],[Cargo]])/Cargos_Catalogo[[#This Row],[Frecuencia]],0)</f>
        <v>2828714.68</v>
      </c>
      <c r="AJ80" s="122">
        <f>IFERROR(SUMIFS(Datos_Origen[G+V],Datos_Origen[Cargo Tipo Valorado],Cargos_Catalogo[[#This Row],[Cargo]])/Cargos_Catalogo[[#This Row],[Frecuencia]],0)</f>
        <v>2828714.68</v>
      </c>
      <c r="AK80" s="122">
        <f>IFERROR(SUMIFS(Datos_Origen[CT],Datos_Origen[Cargo Tipo Valorado],Cargos_Catalogo[[#This Row],[Cargo]])/Cargos_Catalogo[[#This Row],[Frecuencia]],0)</f>
        <v>2828714.68</v>
      </c>
      <c r="AL80" s="117" t="str">
        <f>IF(COUNTA(Cargos_Catalogo[[#This Row],[PuntosF]:[CriticidadF]])=0,"",COUNTA(Cargos_Catalogo[[#This Row],[PuntosF]:[CriticidadF]]))</f>
        <v/>
      </c>
      <c r="AM80" s="118"/>
      <c r="AN80" s="123"/>
      <c r="AO80" s="123"/>
      <c r="AP80" s="123"/>
      <c r="AQ80" s="117" t="str">
        <f>IFERROR(VLOOKUP(Cargos_Catalogo[[#This Row],[Categoria]],NivelSHR[],2,1),"")</f>
        <v>Soporte</v>
      </c>
      <c r="AR80" s="127">
        <f>IFERROR(SUMIFS(Datos_Origen[[Promedio de Comisiones  ]],Datos_Origen[Cargo Tipo Valorado],Cargos_Catalogo[[#This Row],[Cargo]])/Cargos_Catalogo[[#This Row],[Frecuencia]],0)</f>
        <v>0</v>
      </c>
      <c r="AS80" s="124"/>
      <c r="AT80" s="123"/>
    </row>
    <row r="81" spans="2:46" ht="13.8">
      <c r="B81" s="116" t="s">
        <v>352</v>
      </c>
      <c r="C81" s="116" t="s">
        <v>608</v>
      </c>
      <c r="D81" s="116" t="s">
        <v>556</v>
      </c>
      <c r="E81" s="116" t="s">
        <v>241</v>
      </c>
      <c r="F81" s="116"/>
      <c r="G81" s="117">
        <f>IFERROR(IF(Cargos_Catalogo[[#This Row],[PuntosF]]="",ROUND(Cargos_Catalogo[[#This Row],[Total Puntos1]]+Cargos_Catalogo[[#This Row],[Total Puntos2]]+Cargos_Catalogo[[#This Row],[PuntosRR]],0),Cargos_Catalogo[PuntosF]),"")</f>
        <v>199</v>
      </c>
      <c r="H81" s="118" t="s">
        <v>137</v>
      </c>
      <c r="I81" s="118" t="s">
        <v>78</v>
      </c>
      <c r="J81" s="118" t="s">
        <v>81</v>
      </c>
      <c r="K81" s="118">
        <v>1</v>
      </c>
      <c r="L81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98</v>
      </c>
      <c r="M81" s="118" t="s">
        <v>79</v>
      </c>
      <c r="N81" s="118">
        <v>4</v>
      </c>
      <c r="O81" s="118" t="s">
        <v>100</v>
      </c>
      <c r="P81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38</v>
      </c>
      <c r="Q81" s="117">
        <f>IFERROR(Cargos_Catalogo[[#This Row],[PuntosC&amp;H]]+Cargos_Catalogo[[#This Row],[PuntosHC]],"")</f>
        <v>136</v>
      </c>
      <c r="R81" s="118">
        <v>2</v>
      </c>
      <c r="S81" s="118" t="s">
        <v>97</v>
      </c>
      <c r="T81" s="118" t="s">
        <v>118</v>
      </c>
      <c r="U81" s="118" t="s">
        <v>97</v>
      </c>
      <c r="V81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0.17</v>
      </c>
      <c r="W81" s="120">
        <f>IFERROR(Cargos_Catalogo[[#This Row],[Total Puntos1]]*Cargos_Catalogo[[#This Row],[Porcentaje]],"")</f>
        <v>23.12</v>
      </c>
      <c r="X81" s="118" t="s">
        <v>81</v>
      </c>
      <c r="Y81" s="118" t="s">
        <v>118</v>
      </c>
      <c r="Z81" s="118">
        <v>1</v>
      </c>
      <c r="AA81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40</v>
      </c>
      <c r="AB81" s="125">
        <v>0</v>
      </c>
      <c r="AC81" s="125">
        <v>1</v>
      </c>
      <c r="AD81" s="125">
        <v>0</v>
      </c>
      <c r="AE81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6</v>
      </c>
      <c r="AF81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Importante</v>
      </c>
      <c r="AG81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 /Operario Experto</v>
      </c>
      <c r="AH81" s="117">
        <f>COUNTIF(Datos_Origen[Cargo Tipo Valorado],Cargos_Catalogo[[#This Row],[Cargo]])</f>
        <v>6</v>
      </c>
      <c r="AI81" s="122">
        <f>IFERROR(SUMIFS(Datos_Origen[G],Datos_Origen[Cargo Tipo Valorado],Cargos_Catalogo[[#This Row],[Cargo]])/Cargos_Catalogo[[#This Row],[Frecuencia]],0)</f>
        <v>3177009.0000000005</v>
      </c>
      <c r="AJ81" s="122">
        <f>IFERROR(SUMIFS(Datos_Origen[G+V],Datos_Origen[Cargo Tipo Valorado],Cargos_Catalogo[[#This Row],[Cargo]])/Cargos_Catalogo[[#This Row],[Frecuencia]],0)</f>
        <v>3177009.0000000005</v>
      </c>
      <c r="AK81" s="122">
        <f>IFERROR(SUMIFS(Datos_Origen[CT],Datos_Origen[Cargo Tipo Valorado],Cargos_Catalogo[[#This Row],[Cargo]])/Cargos_Catalogo[[#This Row],[Frecuencia]],0)</f>
        <v>3177009.0000000005</v>
      </c>
      <c r="AL81" s="117" t="str">
        <f>IF(COUNTA(Cargos_Catalogo[[#This Row],[PuntosF]:[CriticidadF]])=0,"",COUNTA(Cargos_Catalogo[[#This Row],[PuntosF]:[CriticidadF]]))</f>
        <v/>
      </c>
      <c r="AM81" s="118"/>
      <c r="AN81" s="123"/>
      <c r="AO81" s="123"/>
      <c r="AP81" s="123"/>
      <c r="AQ81" s="117" t="str">
        <f>IFERROR(VLOOKUP(Cargos_Catalogo[[#This Row],[Categoria]],NivelSHR[],2,1),"")</f>
        <v>Soporte</v>
      </c>
      <c r="AR81" s="127">
        <f>IFERROR(SUMIFS(Datos_Origen[[Promedio de Comisiones  ]],Datos_Origen[Cargo Tipo Valorado],Cargos_Catalogo[[#This Row],[Cargo]])/Cargos_Catalogo[[#This Row],[Frecuencia]],0)</f>
        <v>0</v>
      </c>
      <c r="AS81" s="124"/>
      <c r="AT81" s="123"/>
    </row>
    <row r="82" spans="2:46" ht="13.8">
      <c r="B82" s="116" t="s">
        <v>351</v>
      </c>
      <c r="C82" s="116" t="s">
        <v>625</v>
      </c>
      <c r="D82" s="116" t="s">
        <v>588</v>
      </c>
      <c r="E82" s="116" t="s">
        <v>584</v>
      </c>
      <c r="F82" s="116"/>
      <c r="G82" s="117">
        <f>IFERROR(IF(Cargos_Catalogo[[#This Row],[PuntosF]]="",ROUND(Cargos_Catalogo[[#This Row],[Total Puntos1]]+Cargos_Catalogo[[#This Row],[Total Puntos2]]+Cargos_Catalogo[[#This Row],[PuntosRR]],0),Cargos_Catalogo[PuntosF]),"")</f>
        <v>193</v>
      </c>
      <c r="H82" s="118" t="s">
        <v>118</v>
      </c>
      <c r="I82" s="118" t="s">
        <v>97</v>
      </c>
      <c r="J82" s="118" t="s">
        <v>81</v>
      </c>
      <c r="K82" s="118">
        <v>1</v>
      </c>
      <c r="L82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84</v>
      </c>
      <c r="M82" s="118" t="s">
        <v>79</v>
      </c>
      <c r="N82" s="118">
        <v>4</v>
      </c>
      <c r="O82" s="118" t="s">
        <v>100</v>
      </c>
      <c r="P82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38</v>
      </c>
      <c r="Q82" s="117">
        <f>IFERROR(Cargos_Catalogo[[#This Row],[PuntosC&amp;H]]+Cargos_Catalogo[[#This Row],[PuntosHC]],"")</f>
        <v>122</v>
      </c>
      <c r="R82" s="118">
        <v>2</v>
      </c>
      <c r="S82" s="118" t="s">
        <v>78</v>
      </c>
      <c r="T82" s="118" t="s">
        <v>118</v>
      </c>
      <c r="U82" s="118" t="s">
        <v>117</v>
      </c>
      <c r="V82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0.17</v>
      </c>
      <c r="W82" s="120">
        <f>IFERROR(Cargos_Catalogo[[#This Row],[Total Puntos1]]*Cargos_Catalogo[[#This Row],[Porcentaje]],"")</f>
        <v>20.740000000000002</v>
      </c>
      <c r="X82" s="118" t="s">
        <v>100</v>
      </c>
      <c r="Y82" s="118" t="s">
        <v>118</v>
      </c>
      <c r="Z82" s="118">
        <v>1</v>
      </c>
      <c r="AA82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50</v>
      </c>
      <c r="AB82" s="125">
        <v>0</v>
      </c>
      <c r="AC82" s="125">
        <v>0</v>
      </c>
      <c r="AD82" s="125">
        <v>0</v>
      </c>
      <c r="AE82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6</v>
      </c>
      <c r="AF82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82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 /Operario Experto</v>
      </c>
      <c r="AH82" s="117">
        <f>COUNTIF(Datos_Origen[Cargo Tipo Valorado],Cargos_Catalogo[[#This Row],[Cargo]])</f>
        <v>1</v>
      </c>
      <c r="AI82" s="122">
        <f>IFERROR(SUMIFS(Datos_Origen[G],Datos_Origen[Cargo Tipo Valorado],Cargos_Catalogo[[#This Row],[Cargo]])/Cargos_Catalogo[[#This Row],[Frecuencia]],0)</f>
        <v>2295683.1700000004</v>
      </c>
      <c r="AJ82" s="122">
        <f>IFERROR(SUMIFS(Datos_Origen[G+V],Datos_Origen[Cargo Tipo Valorado],Cargos_Catalogo[[#This Row],[Cargo]])/Cargos_Catalogo[[#This Row],[Frecuencia]],0)</f>
        <v>2295683.1700000004</v>
      </c>
      <c r="AK82" s="122">
        <f>IFERROR(SUMIFS(Datos_Origen[CT],Datos_Origen[Cargo Tipo Valorado],Cargos_Catalogo[[#This Row],[Cargo]])/Cargos_Catalogo[[#This Row],[Frecuencia]],0)</f>
        <v>2295683.1700000004</v>
      </c>
      <c r="AL82" s="117" t="str">
        <f>IF(COUNTA(Cargos_Catalogo[[#This Row],[PuntosF]:[CriticidadF]])=0,"",COUNTA(Cargos_Catalogo[[#This Row],[PuntosF]:[CriticidadF]]))</f>
        <v/>
      </c>
      <c r="AM82" s="118"/>
      <c r="AN82" s="123"/>
      <c r="AO82" s="123"/>
      <c r="AP82" s="123"/>
      <c r="AQ82" s="117" t="str">
        <f>IFERROR(VLOOKUP(Cargos_Catalogo[[#This Row],[Categoria]],NivelSHR[],2,1),"")</f>
        <v>Soporte</v>
      </c>
      <c r="AR82" s="127">
        <f>IFERROR(SUMIFS(Datos_Origen[[Promedio de Comisiones  ]],Datos_Origen[Cargo Tipo Valorado],Cargos_Catalogo[[#This Row],[Cargo]])/Cargos_Catalogo[[#This Row],[Frecuencia]],0)</f>
        <v>0</v>
      </c>
      <c r="AS82" s="124"/>
      <c r="AT82" s="123"/>
    </row>
    <row r="83" spans="2:46" ht="13.8">
      <c r="B83" s="116" t="s">
        <v>350</v>
      </c>
      <c r="C83" s="116" t="s">
        <v>601</v>
      </c>
      <c r="D83" s="116" t="s">
        <v>556</v>
      </c>
      <c r="E83" s="116" t="s">
        <v>241</v>
      </c>
      <c r="F83" s="116"/>
      <c r="G83" s="117">
        <f>IFERROR(IF(Cargos_Catalogo[[#This Row],[PuntosF]]="",ROUND(Cargos_Catalogo[[#This Row],[Total Puntos1]]+Cargos_Catalogo[[#This Row],[Total Puntos2]]+Cargos_Catalogo[[#This Row],[PuntosRR]],0),Cargos_Catalogo[PuntosF]),"")</f>
        <v>192</v>
      </c>
      <c r="H83" s="118" t="s">
        <v>118</v>
      </c>
      <c r="I83" s="118" t="s">
        <v>117</v>
      </c>
      <c r="J83" s="118" t="s">
        <v>81</v>
      </c>
      <c r="K83" s="118">
        <v>1</v>
      </c>
      <c r="L83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98</v>
      </c>
      <c r="M83" s="118" t="s">
        <v>79</v>
      </c>
      <c r="N83" s="118">
        <v>4</v>
      </c>
      <c r="O83" s="118" t="s">
        <v>100</v>
      </c>
      <c r="P83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38</v>
      </c>
      <c r="Q83" s="117">
        <f>IFERROR(Cargos_Catalogo[[#This Row],[PuntosC&amp;H]]+Cargos_Catalogo[[#This Row],[PuntosHC]],"")</f>
        <v>136</v>
      </c>
      <c r="R83" s="118">
        <v>2</v>
      </c>
      <c r="S83" s="118" t="s">
        <v>78</v>
      </c>
      <c r="T83" s="118" t="s">
        <v>118</v>
      </c>
      <c r="U83" s="118" t="s">
        <v>97</v>
      </c>
      <c r="V83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0.16</v>
      </c>
      <c r="W83" s="120">
        <f>IFERROR(Cargos_Catalogo[[#This Row],[Total Puntos1]]*Cargos_Catalogo[[#This Row],[Porcentaje]],"")</f>
        <v>21.76</v>
      </c>
      <c r="X83" s="118" t="s">
        <v>81</v>
      </c>
      <c r="Y83" s="118" t="s">
        <v>98</v>
      </c>
      <c r="Z83" s="118">
        <v>1</v>
      </c>
      <c r="AA83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34</v>
      </c>
      <c r="AB83" s="125">
        <v>0</v>
      </c>
      <c r="AC83" s="125">
        <v>1</v>
      </c>
      <c r="AD83" s="125">
        <v>0</v>
      </c>
      <c r="AE83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6</v>
      </c>
      <c r="AF83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Importante</v>
      </c>
      <c r="AG83" s="117" t="str">
        <f>IFERROR(IF(Cargos_Catalogo[[#This Row],[NivelF]]="",VLOOKUP(Cargos_Catalogo[[#This Row],[Categoria]],Niveles_Registro[],MATCH(Niveles_Registro[[#Headers],[Nivel]],Niveles_Registro[#Headers],0),FALSE),Cargos_Catalogo[NivelF]),"")</f>
        <v>Líder / Técnico / Analista /Operario Experto</v>
      </c>
      <c r="AH83" s="117">
        <f>COUNTIF(Datos_Origen[Cargo Tipo Valorado],Cargos_Catalogo[[#This Row],[Cargo]])</f>
        <v>3</v>
      </c>
      <c r="AI83" s="122">
        <f>IFERROR(SUMIFS(Datos_Origen[G],Datos_Origen[Cargo Tipo Valorado],Cargos_Catalogo[[#This Row],[Cargo]])/Cargos_Catalogo[[#This Row],[Frecuencia]],0)</f>
        <v>2706341.0000000005</v>
      </c>
      <c r="AJ83" s="122">
        <f>IFERROR(SUMIFS(Datos_Origen[G+V],Datos_Origen[Cargo Tipo Valorado],Cargos_Catalogo[[#This Row],[Cargo]])/Cargos_Catalogo[[#This Row],[Frecuencia]],0)</f>
        <v>2706341.0000000005</v>
      </c>
      <c r="AK83" s="122">
        <f>IFERROR(SUMIFS(Datos_Origen[CT],Datos_Origen[Cargo Tipo Valorado],Cargos_Catalogo[[#This Row],[Cargo]])/Cargos_Catalogo[[#This Row],[Frecuencia]],0)</f>
        <v>2706341.0000000005</v>
      </c>
      <c r="AL83" s="117" t="str">
        <f>IF(COUNTA(Cargos_Catalogo[[#This Row],[PuntosF]:[CriticidadF]])=0,"",COUNTA(Cargos_Catalogo[[#This Row],[PuntosF]:[CriticidadF]]))</f>
        <v/>
      </c>
      <c r="AM83" s="118"/>
      <c r="AN83" s="123"/>
      <c r="AO83" s="123"/>
      <c r="AP83" s="123"/>
      <c r="AQ83" s="117" t="str">
        <f>IFERROR(VLOOKUP(Cargos_Catalogo[[#This Row],[Categoria]],NivelSHR[],2,1),"")</f>
        <v>Soporte</v>
      </c>
      <c r="AR83" s="127">
        <f>IFERROR(SUMIFS(Datos_Origen[[Promedio de Comisiones  ]],Datos_Origen[Cargo Tipo Valorado],Cargos_Catalogo[[#This Row],[Cargo]])/Cargos_Catalogo[[#This Row],[Frecuencia]],0)</f>
        <v>0</v>
      </c>
      <c r="AS83" s="124"/>
      <c r="AT83" s="123"/>
    </row>
    <row r="84" spans="2:46" ht="13.8">
      <c r="B84" s="116" t="s">
        <v>354</v>
      </c>
      <c r="C84" s="116" t="s">
        <v>627</v>
      </c>
      <c r="D84" s="116" t="s">
        <v>588</v>
      </c>
      <c r="E84" s="116" t="s">
        <v>241</v>
      </c>
      <c r="F84" s="116"/>
      <c r="G84" s="117">
        <f>IFERROR(IF(Cargos_Catalogo[[#This Row],[PuntosF]]="",ROUND(Cargos_Catalogo[[#This Row],[Total Puntos1]]+Cargos_Catalogo[[#This Row],[Total Puntos2]]+Cargos_Catalogo[[#This Row],[PuntosRR]],0),Cargos_Catalogo[PuntosF]),"")</f>
        <v>168</v>
      </c>
      <c r="H84" s="118" t="s">
        <v>118</v>
      </c>
      <c r="I84" s="118" t="s">
        <v>117</v>
      </c>
      <c r="J84" s="118" t="s">
        <v>81</v>
      </c>
      <c r="K84" s="118">
        <v>1</v>
      </c>
      <c r="L84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98</v>
      </c>
      <c r="M84" s="118" t="s">
        <v>79</v>
      </c>
      <c r="N84" s="118">
        <v>4</v>
      </c>
      <c r="O84" s="118" t="s">
        <v>81</v>
      </c>
      <c r="P84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25</v>
      </c>
      <c r="Q84" s="117">
        <f>IFERROR(Cargos_Catalogo[[#This Row],[PuntosC&amp;H]]+Cargos_Catalogo[[#This Row],[PuntosHC]],"")</f>
        <v>123</v>
      </c>
      <c r="R84" s="118">
        <v>1</v>
      </c>
      <c r="S84" s="118" t="s">
        <v>117</v>
      </c>
      <c r="T84" s="118" t="s">
        <v>98</v>
      </c>
      <c r="U84" s="118" t="s">
        <v>78</v>
      </c>
      <c r="V84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0.12</v>
      </c>
      <c r="W84" s="120">
        <f>IFERROR(Cargos_Catalogo[[#This Row],[Total Puntos1]]*Cargos_Catalogo[[#This Row],[Porcentaje]],"")</f>
        <v>14.76</v>
      </c>
      <c r="X84" s="118" t="s">
        <v>81</v>
      </c>
      <c r="Y84" s="118" t="s">
        <v>79</v>
      </c>
      <c r="Z84" s="118">
        <v>1</v>
      </c>
      <c r="AA84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30</v>
      </c>
      <c r="AB84" s="125">
        <v>0</v>
      </c>
      <c r="AC84" s="125">
        <v>0</v>
      </c>
      <c r="AD84" s="125">
        <v>0</v>
      </c>
      <c r="AE84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5</v>
      </c>
      <c r="AF84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84" s="117" t="str">
        <f>IFERROR(IF(Cargos_Catalogo[[#This Row],[NivelF]]="",VLOOKUP(Cargos_Catalogo[[#This Row],[Categoria]],Niveles_Registro[],MATCH(Niveles_Registro[[#Headers],[Nivel]],Niveles_Registro[#Headers],0),FALSE),Cargos_Catalogo[NivelF]),"")</f>
        <v>Operario Experto / Auxiliar</v>
      </c>
      <c r="AH84" s="117">
        <f>COUNTIF(Datos_Origen[Cargo Tipo Valorado],Cargos_Catalogo[[#This Row],[Cargo]])</f>
        <v>7</v>
      </c>
      <c r="AI84" s="122">
        <f>IFERROR(SUMIFS(Datos_Origen[G],Datos_Origen[Cargo Tipo Valorado],Cargos_Catalogo[[#This Row],[Cargo]])/Cargos_Catalogo[[#This Row],[Frecuencia]],0)</f>
        <v>2412173.5</v>
      </c>
      <c r="AJ84" s="122">
        <f>IFERROR(SUMIFS(Datos_Origen[G+V],Datos_Origen[Cargo Tipo Valorado],Cargos_Catalogo[[#This Row],[Cargo]])/Cargos_Catalogo[[#This Row],[Frecuencia]],0)</f>
        <v>2412173.5</v>
      </c>
      <c r="AK84" s="122">
        <f>IFERROR(SUMIFS(Datos_Origen[CT],Datos_Origen[Cargo Tipo Valorado],Cargos_Catalogo[[#This Row],[Cargo]])/Cargos_Catalogo[[#This Row],[Frecuencia]],0)</f>
        <v>2412173.5</v>
      </c>
      <c r="AL84" s="117" t="str">
        <f>IF(COUNTA(Cargos_Catalogo[[#This Row],[PuntosF]:[CriticidadF]])=0,"",COUNTA(Cargos_Catalogo[[#This Row],[PuntosF]:[CriticidadF]]))</f>
        <v/>
      </c>
      <c r="AM84" s="118"/>
      <c r="AN84" s="123"/>
      <c r="AO84" s="123"/>
      <c r="AP84" s="123"/>
      <c r="AQ84" s="117" t="str">
        <f>IFERROR(VLOOKUP(Cargos_Catalogo[[#This Row],[Categoria]],NivelSHR[],2,1),"")</f>
        <v>Operativo</v>
      </c>
      <c r="AR84" s="127">
        <f>IFERROR(SUMIFS(Datos_Origen[[Promedio de Comisiones  ]],Datos_Origen[Cargo Tipo Valorado],Cargos_Catalogo[[#This Row],[Cargo]])/Cargos_Catalogo[[#This Row],[Frecuencia]],0)</f>
        <v>0</v>
      </c>
      <c r="AS84" s="124"/>
      <c r="AT84" s="123"/>
    </row>
    <row r="85" spans="2:46" ht="13.8">
      <c r="B85" s="116" t="s">
        <v>356</v>
      </c>
      <c r="C85" s="116" t="s">
        <v>628</v>
      </c>
      <c r="D85" s="116" t="s">
        <v>588</v>
      </c>
      <c r="E85" s="116" t="s">
        <v>241</v>
      </c>
      <c r="F85" s="116"/>
      <c r="G85" s="117">
        <f>IFERROR(IF(Cargos_Catalogo[[#This Row],[PuntosF]]="",ROUND(Cargos_Catalogo[[#This Row],[Total Puntos1]]+Cargos_Catalogo[[#This Row],[Total Puntos2]]+Cargos_Catalogo[[#This Row],[PuntosRR]],0),Cargos_Catalogo[PuntosF]),"")</f>
        <v>142</v>
      </c>
      <c r="H85" s="118" t="s">
        <v>98</v>
      </c>
      <c r="I85" s="118" t="s">
        <v>117</v>
      </c>
      <c r="J85" s="118" t="s">
        <v>81</v>
      </c>
      <c r="K85" s="118">
        <v>1</v>
      </c>
      <c r="L85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72</v>
      </c>
      <c r="M85" s="118" t="s">
        <v>79</v>
      </c>
      <c r="N85" s="118">
        <v>4</v>
      </c>
      <c r="O85" s="118" t="s">
        <v>81</v>
      </c>
      <c r="P85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25</v>
      </c>
      <c r="Q85" s="117">
        <f>IFERROR(Cargos_Catalogo[[#This Row],[PuntosC&amp;H]]+Cargos_Catalogo[[#This Row],[PuntosHC]],"")</f>
        <v>97</v>
      </c>
      <c r="R85" s="118">
        <v>1</v>
      </c>
      <c r="S85" s="118" t="s">
        <v>97</v>
      </c>
      <c r="T85" s="118" t="s">
        <v>98</v>
      </c>
      <c r="U85" s="118" t="s">
        <v>78</v>
      </c>
      <c r="V85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0.11</v>
      </c>
      <c r="W85" s="120">
        <f>IFERROR(Cargos_Catalogo[[#This Row],[Total Puntos1]]*Cargos_Catalogo[[#This Row],[Porcentaje]],"")</f>
        <v>10.67</v>
      </c>
      <c r="X85" s="118" t="s">
        <v>81</v>
      </c>
      <c r="Y85" s="118" t="s">
        <v>98</v>
      </c>
      <c r="Z85" s="118">
        <v>1</v>
      </c>
      <c r="AA85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34</v>
      </c>
      <c r="AB85" s="125">
        <v>0</v>
      </c>
      <c r="AC85" s="125">
        <v>0</v>
      </c>
      <c r="AD85" s="125">
        <v>0</v>
      </c>
      <c r="AE85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4</v>
      </c>
      <c r="AF85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85" s="117" t="str">
        <f>IFERROR(IF(Cargos_Catalogo[[#This Row],[NivelF]]="",VLOOKUP(Cargos_Catalogo[[#This Row],[Categoria]],Niveles_Registro[],MATCH(Niveles_Registro[[#Headers],[Nivel]],Niveles_Registro[#Headers],0),FALSE),Cargos_Catalogo[NivelF]),"")</f>
        <v>Operario Experto / Auxiliar</v>
      </c>
      <c r="AH85" s="117">
        <f>COUNTIF(Datos_Origen[Cargo Tipo Valorado],Cargos_Catalogo[[#This Row],[Cargo]])</f>
        <v>1</v>
      </c>
      <c r="AI85" s="122">
        <f>IFERROR(SUMIFS(Datos_Origen[G],Datos_Origen[Cargo Tipo Valorado],Cargos_Catalogo[[#This Row],[Cargo]])/Cargos_Catalogo[[#This Row],[Frecuencia]],0)</f>
        <v>2295683.1700000004</v>
      </c>
      <c r="AJ85" s="122">
        <f>IFERROR(SUMIFS(Datos_Origen[G+V],Datos_Origen[Cargo Tipo Valorado],Cargos_Catalogo[[#This Row],[Cargo]])/Cargos_Catalogo[[#This Row],[Frecuencia]],0)</f>
        <v>2295683.1700000004</v>
      </c>
      <c r="AK85" s="122">
        <f>IFERROR(SUMIFS(Datos_Origen[CT],Datos_Origen[Cargo Tipo Valorado],Cargos_Catalogo[[#This Row],[Cargo]])/Cargos_Catalogo[[#This Row],[Frecuencia]],0)</f>
        <v>2295683.1700000004</v>
      </c>
      <c r="AL85" s="117" t="str">
        <f>IF(COUNTA(Cargos_Catalogo[[#This Row],[PuntosF]:[CriticidadF]])=0,"",COUNTA(Cargos_Catalogo[[#This Row],[PuntosF]:[CriticidadF]]))</f>
        <v/>
      </c>
      <c r="AM85" s="118"/>
      <c r="AN85" s="123"/>
      <c r="AO85" s="123"/>
      <c r="AP85" s="123"/>
      <c r="AQ85" s="117" t="str">
        <f>IFERROR(VLOOKUP(Cargos_Catalogo[[#This Row],[Categoria]],NivelSHR[],2,1),"")</f>
        <v>Operativo</v>
      </c>
      <c r="AR85" s="127">
        <f>IFERROR(SUMIFS(Datos_Origen[[Promedio de Comisiones  ]],Datos_Origen[Cargo Tipo Valorado],Cargos_Catalogo[[#This Row],[Cargo]])/Cargos_Catalogo[[#This Row],[Frecuencia]],0)</f>
        <v>0</v>
      </c>
      <c r="AS85" s="124"/>
      <c r="AT85" s="123"/>
    </row>
    <row r="86" spans="2:46" ht="13.8">
      <c r="B86" s="116" t="s">
        <v>355</v>
      </c>
      <c r="C86" s="116" t="s">
        <v>628</v>
      </c>
      <c r="D86" s="116" t="s">
        <v>588</v>
      </c>
      <c r="E86" s="116" t="s">
        <v>241</v>
      </c>
      <c r="F86" s="116"/>
      <c r="G86" s="117">
        <f>IFERROR(IF(Cargos_Catalogo[[#This Row],[PuntosF]]="",ROUND(Cargos_Catalogo[[#This Row],[Total Puntos1]]+Cargos_Catalogo[[#This Row],[Total Puntos2]]+Cargos_Catalogo[[#This Row],[PuntosRR]],0),Cargos_Catalogo[PuntosF]),"")</f>
        <v>138</v>
      </c>
      <c r="H86" s="118" t="s">
        <v>98</v>
      </c>
      <c r="I86" s="118" t="s">
        <v>117</v>
      </c>
      <c r="J86" s="118" t="s">
        <v>81</v>
      </c>
      <c r="K86" s="118">
        <v>1</v>
      </c>
      <c r="L86" s="117">
        <f>IFERROR(VLOOKUP(Cargos_Catalogo[[#This Row],[Conocimientos]]&amp;" "&amp;Cargos_Catalogo[[#This Row],[Experiencia Específica]]&amp;" "&amp;Cargos_Catalogo[[#This Row],[Habilidad Gerencial]]&amp;" "&amp;Cargos_Catalogo[[#This Row],[Rol del Cargo]],Factor_1[],MATCH(Factor_1[[#Headers],[Puntos]],Factor_1[#Headers],0),FALSE),"")</f>
        <v>72</v>
      </c>
      <c r="M86" s="118" t="s">
        <v>79</v>
      </c>
      <c r="N86" s="118">
        <v>4</v>
      </c>
      <c r="O86" s="118" t="s">
        <v>81</v>
      </c>
      <c r="P86" s="117">
        <f>IFERROR(VLOOKUP(Cargos_Catalogo[[#This Row],[Contacto]]&amp;" "&amp;Cargos_Catalogo[[#This Row],[Frecuencia del Contacto]]&amp;" "&amp;Cargos_Catalogo[[#This Row],[Contenido de las Relaciones]],Factor_2[],MATCH(Factor_2[[#Headers],[Puntos]],Factor_2[#Headers],0),FALSE),"")</f>
        <v>25</v>
      </c>
      <c r="Q86" s="117">
        <f>IFERROR(Cargos_Catalogo[[#This Row],[PuntosC&amp;H]]+Cargos_Catalogo[[#This Row],[PuntosHC]],"")</f>
        <v>97</v>
      </c>
      <c r="R86" s="118">
        <v>1</v>
      </c>
      <c r="S86" s="118" t="s">
        <v>97</v>
      </c>
      <c r="T86" s="118" t="s">
        <v>98</v>
      </c>
      <c r="U86" s="118" t="s">
        <v>78</v>
      </c>
      <c r="V86" s="119">
        <f>IFERROR(VLOOKUP(Cargos_Catalogo[[#This Row],[Complejidad Conceptual]]&amp;" "&amp;Cargos_Catalogo[[#This Row],[TendenciaCC]]&amp;" "&amp;Cargos_Catalogo[[#This Row],[Guias de Apoyo]]&amp;" "&amp;Cargos_Catalogo[[#This Row],[TendenciaGA]],Factor_3[],MATCH(Factor_3[[#Headers],[Puntos]],Factor_3[#Headers],0),FALSE),"")</f>
        <v>0.11</v>
      </c>
      <c r="W86" s="120">
        <f>IFERROR(Cargos_Catalogo[[#This Row],[Total Puntos1]]*Cargos_Catalogo[[#This Row],[Porcentaje]],"")</f>
        <v>10.67</v>
      </c>
      <c r="X86" s="118" t="s">
        <v>81</v>
      </c>
      <c r="Y86" s="118" t="s">
        <v>79</v>
      </c>
      <c r="Z86" s="118">
        <v>1</v>
      </c>
      <c r="AA86" s="117">
        <f>IFERROR(VLOOKUP(Cargos_Catalogo[[#This Row],[Impacto del cargo]]&amp;" "&amp;Cargos_Catalogo[[#This Row],[Autonomia]]&amp;" "&amp;Cargos_Catalogo[[#This Row],[Magnitud de Cifras]],Factor_4[],MATCH(Factor_4[[#Headers],[Puntos]],Factor_4[#Headers],0),FALSE),"")</f>
        <v>30</v>
      </c>
      <c r="AB86" s="125">
        <v>0</v>
      </c>
      <c r="AC86" s="125">
        <v>0</v>
      </c>
      <c r="AD86" s="125">
        <v>0</v>
      </c>
      <c r="AE86" s="121">
        <f>IFERROR(IF(Cargos_Catalogo[[#This Row],[CategoriaF]]="",VLOOKUP(Cargos_Catalogo[[#This Row],[Puntos]],Categorias_Registro[],MATCH(Categorias_Registro[[#Headers],[Categoria]],Categorias_Registro[#Headers],0),FALSE),Cargos_Catalogo[CategoriaF]),"")</f>
        <v>4</v>
      </c>
      <c r="AF86" s="115" t="str">
        <f>IF((Cargos_Catalogo[[#This Row],[Categoria]]=""),"",IFERROR(IF(Cargos_Catalogo[[#This Row],[CriticidadF]]="",VLOOKUP(Cargos_Catalogo[[#This Row],[Criterio 1]]+Cargos_Catalogo[[#This Row],[Criterio 2]]+Cargos_Catalogo[[#This Row],[Criterio 3]],Criticidad_Registro[],MATCH(Criticidad_Registro[[#Headers],[Criticidad]],Criticidad_Registro[#Headers],0),FALSE),Cargos_Catalogo[CriticidadF]),""))</f>
        <v>Relevante</v>
      </c>
      <c r="AG86" s="117" t="str">
        <f>IFERROR(IF(Cargos_Catalogo[[#This Row],[NivelF]]="",VLOOKUP(Cargos_Catalogo[[#This Row],[Categoria]],Niveles_Registro[],MATCH(Niveles_Registro[[#Headers],[Nivel]],Niveles_Registro[#Headers],0),FALSE),Cargos_Catalogo[NivelF]),"")</f>
        <v>Operario Experto / Auxiliar</v>
      </c>
      <c r="AH86" s="117">
        <f>COUNTIF(Datos_Origen[Cargo Tipo Valorado],Cargos_Catalogo[[#This Row],[Cargo]])</f>
        <v>1</v>
      </c>
      <c r="AI86" s="122">
        <f>IFERROR(SUMIFS(Datos_Origen[G],Datos_Origen[Cargo Tipo Valorado],Cargos_Catalogo[[#This Row],[Cargo]])/Cargos_Catalogo[[#This Row],[Frecuencia]],0)</f>
        <v>2295683.1700000004</v>
      </c>
      <c r="AJ86" s="122">
        <f>IFERROR(SUMIFS(Datos_Origen[G+V],Datos_Origen[Cargo Tipo Valorado],Cargos_Catalogo[[#This Row],[Cargo]])/Cargos_Catalogo[[#This Row],[Frecuencia]],0)</f>
        <v>2295683.1700000004</v>
      </c>
      <c r="AK86" s="122">
        <f>IFERROR(SUMIFS(Datos_Origen[CT],Datos_Origen[Cargo Tipo Valorado],Cargos_Catalogo[[#This Row],[Cargo]])/Cargos_Catalogo[[#This Row],[Frecuencia]],0)</f>
        <v>2295683.1700000004</v>
      </c>
      <c r="AL86" s="117" t="str">
        <f>IF(COUNTA(Cargos_Catalogo[[#This Row],[PuntosF]:[CriticidadF]])=0,"",COUNTA(Cargos_Catalogo[[#This Row],[PuntosF]:[CriticidadF]]))</f>
        <v/>
      </c>
      <c r="AM86" s="118"/>
      <c r="AN86" s="123"/>
      <c r="AO86" s="123"/>
      <c r="AP86" s="123"/>
      <c r="AQ86" s="117" t="str">
        <f>IFERROR(VLOOKUP(Cargos_Catalogo[[#This Row],[Categoria]],NivelSHR[],2,1),"")</f>
        <v>Operativo</v>
      </c>
      <c r="AR86" s="127">
        <f>IFERROR(SUMIFS(Datos_Origen[[Promedio de Comisiones  ]],Datos_Origen[Cargo Tipo Valorado],Cargos_Catalogo[[#This Row],[Cargo]])/Cargos_Catalogo[[#This Row],[Frecuencia]],0)</f>
        <v>0</v>
      </c>
      <c r="AS86" s="124"/>
      <c r="AT86" s="123"/>
    </row>
  </sheetData>
  <mergeCells count="7">
    <mergeCell ref="AR3:AS3"/>
    <mergeCell ref="AB2:AD3"/>
    <mergeCell ref="AI3:AK3"/>
    <mergeCell ref="H2:L3"/>
    <mergeCell ref="M2:Q3"/>
    <mergeCell ref="R2:W3"/>
    <mergeCell ref="X2:AA3"/>
  </mergeCells>
  <conditionalFormatting sqref="AB6:AD86">
    <cfRule type="expression" dxfId="1924" priority="1">
      <formula>AB6=0</formula>
    </cfRule>
    <cfRule type="expression" dxfId="1923" priority="2">
      <formula>AB6=1</formula>
    </cfRule>
  </conditionalFormatting>
  <dataValidations xWindow="541" yWindow="371" count="15">
    <dataValidation type="list" allowBlank="1" showInputMessage="1" showErrorMessage="1" sqref="K6:K86" xr:uid="{00000000-0002-0000-1400-000000000000}">
      <formula1>Rol_del_Cargo_Lista</formula1>
    </dataValidation>
    <dataValidation type="list" allowBlank="1" showInputMessage="1" showErrorMessage="1" sqref="J6:J86" xr:uid="{00000000-0002-0000-1400-000001000000}">
      <formula1>Habilidad_Gerencial_Lista</formula1>
    </dataValidation>
    <dataValidation type="list" allowBlank="1" showInputMessage="1" showErrorMessage="1" sqref="I6:I86 U6:U86 S6:S86" xr:uid="{00000000-0002-0000-1400-000002000000}">
      <formula1>Tendencia_Lista</formula1>
    </dataValidation>
    <dataValidation type="list" allowBlank="1" showInputMessage="1" showErrorMessage="1" sqref="H6:H86" xr:uid="{00000000-0002-0000-1400-000003000000}">
      <formula1>Conocimientos_Lista</formula1>
    </dataValidation>
    <dataValidation type="list" allowBlank="1" showInputMessage="1" showErrorMessage="1" sqref="O6:O86" xr:uid="{00000000-0002-0000-1400-000004000000}">
      <formula1>Contenido_de_las_Relaciones_Lista</formula1>
    </dataValidation>
    <dataValidation type="list" allowBlank="1" showInputMessage="1" showErrorMessage="1" sqref="N6:N86" xr:uid="{00000000-0002-0000-1400-000005000000}">
      <formula1>Frecuencia_del_Contacto_Lista</formula1>
    </dataValidation>
    <dataValidation type="list" allowBlank="1" showInputMessage="1" showErrorMessage="1" sqref="M6:M86" xr:uid="{00000000-0002-0000-1400-000006000000}">
      <formula1>Contacto_Lista</formula1>
    </dataValidation>
    <dataValidation type="list" allowBlank="1" showInputMessage="1" showErrorMessage="1" sqref="T6:T86" xr:uid="{00000000-0002-0000-1400-000007000000}">
      <formula1>Guias_de_Apoyo_Lista</formula1>
    </dataValidation>
    <dataValidation type="list" allowBlank="1" showInputMessage="1" showErrorMessage="1" sqref="R6:R86" xr:uid="{00000000-0002-0000-1400-000008000000}">
      <formula1>Complejidad_Conceptual_Lista</formula1>
    </dataValidation>
    <dataValidation type="list" allowBlank="1" showInputMessage="1" showErrorMessage="1" sqref="Z6:Z86" xr:uid="{00000000-0002-0000-1400-000009000000}">
      <formula1>Magnitud_de_Cifras_Lista</formula1>
    </dataValidation>
    <dataValidation type="list" allowBlank="1" showInputMessage="1" showErrorMessage="1" sqref="Y6:Y86" xr:uid="{00000000-0002-0000-1400-00000A000000}">
      <formula1>Autonomia_Lista</formula1>
    </dataValidation>
    <dataValidation type="list" allowBlank="1" showInputMessage="1" showErrorMessage="1" sqref="X6:X86" xr:uid="{00000000-0002-0000-1400-00000B000000}">
      <formula1>Impacto_del_Cargo_Lista</formula1>
    </dataValidation>
    <dataValidation type="whole" allowBlank="1" showInputMessage="1" showErrorMessage="1" errorTitle="Error" error="Solo se permite el ingreso de 1 o 0 (cero)." promptTitle="Conocimiento" prompt="¿El cargo requiere conocimientos específicos relacionados con la estrategia del negocio?" sqref="AB6:AB86" xr:uid="{00000000-0002-0000-1400-00000C000000}">
      <formula1>0</formula1>
      <formula2>1</formula2>
    </dataValidation>
    <dataValidation type="whole" allowBlank="1" showInputMessage="1" showErrorMessage="1" errorTitle="Error" error="Solo se permite el ingreso de 1 o 0 (cero)." promptTitle="Pertinencia" prompt="¿ El cargo pertenece al core del negocio o a procesos criticos para la organización ?" sqref="AC6:AC86" xr:uid="{00000000-0002-0000-1400-00000D000000}">
      <formula1>0</formula1>
      <formula2>1</formula2>
    </dataValidation>
    <dataValidation type="whole" allowBlank="1" showInputMessage="1" showErrorMessage="1" errorTitle="Error" error="Solo se permite el ingreso de 1 o 0 (cero)." promptTitle="Oferta" prompt="¿ La oferta de personas con los conocimientos requeridos en el mercado laboral es escasa para este cargo ?" sqref="AD6:AD86" xr:uid="{00000000-0002-0000-1400-00000E000000}">
      <formula1>0</formula1>
      <formula2>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5" r:id="rId3" name="Button 9">
              <controlPr defaultSize="0" print="0" autoFill="0" autoPict="0" macro="[0]!ValoracionMenu">
                <anchor moveWithCells="1" sizeWithCells="1">
                  <from>
                    <xdr:col>1</xdr:col>
                    <xdr:colOff>480060</xdr:colOff>
                    <xdr:row>0</xdr:row>
                    <xdr:rowOff>76200</xdr:rowOff>
                  </from>
                  <to>
                    <xdr:col>1</xdr:col>
                    <xdr:colOff>1562100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F25C1-FBD5-4A1B-894E-AF5E4E4B6C06}">
  <sheetPr codeName="Hoja31"/>
  <dimension ref="A1:L14"/>
  <sheetViews>
    <sheetView workbookViewId="0"/>
  </sheetViews>
  <sheetFormatPr baseColWidth="10" defaultColWidth="11.44140625" defaultRowHeight="14.4"/>
  <cols>
    <col min="1" max="1" width="11.109375" customWidth="1"/>
    <col min="2" max="2" width="24" customWidth="1"/>
    <col min="3" max="3" width="1.6640625" customWidth="1"/>
    <col min="4" max="4" width="18.109375" customWidth="1"/>
    <col min="5" max="5" width="1.44140625" customWidth="1"/>
    <col min="6" max="6" width="18.109375" customWidth="1"/>
    <col min="7" max="7" width="1.44140625" customWidth="1"/>
    <col min="8" max="8" width="18.109375" customWidth="1"/>
    <col min="9" max="9" width="1.44140625" customWidth="1"/>
    <col min="10" max="10" width="18.109375" customWidth="1"/>
    <col min="11" max="11" width="1.44140625" customWidth="1"/>
    <col min="12" max="12" width="18.109375" customWidth="1"/>
    <col min="13" max="13" width="1.33203125" customWidth="1"/>
  </cols>
  <sheetData>
    <row r="1" spans="1:12" ht="9.75" customHeight="1"/>
    <row r="2" spans="1:12" ht="45" customHeight="1">
      <c r="A2" s="377">
        <v>20</v>
      </c>
      <c r="B2" s="377" t="str">
        <f>+VLOOKUP(A2,'Metodologia Nomenclatura'!B:F,5,0)</f>
        <v xml:space="preserve"> Vicepresidente  / Director Región  / Presidente  País</v>
      </c>
      <c r="D2" s="600" t="s">
        <v>272</v>
      </c>
      <c r="E2" s="600"/>
      <c r="F2" s="600"/>
      <c r="G2" s="600"/>
      <c r="H2" s="600"/>
      <c r="I2" s="600"/>
      <c r="J2" s="600"/>
      <c r="K2" s="600"/>
      <c r="L2" s="600"/>
    </row>
    <row r="3" spans="1:12" ht="45" customHeight="1">
      <c r="A3" s="377">
        <v>19</v>
      </c>
      <c r="B3" s="377" t="str">
        <f>+VLOOKUP(A3,'Metodologia Nomenclatura'!B:F,5,0)</f>
        <v>Director / Director Región / Director País</v>
      </c>
      <c r="D3" s="379"/>
      <c r="F3" s="377"/>
      <c r="H3" s="377"/>
      <c r="J3" s="377"/>
      <c r="L3" s="377"/>
    </row>
    <row r="4" spans="1:12" ht="45" customHeight="1">
      <c r="A4" s="377">
        <v>18</v>
      </c>
      <c r="B4" s="377" t="str">
        <f>+VLOOKUP(A4,'Metodologia Nomenclatura'!B:F,5,0)</f>
        <v>Director / Director Región / Director País</v>
      </c>
      <c r="D4" s="378" t="s">
        <v>274</v>
      </c>
      <c r="F4" s="378" t="s">
        <v>275</v>
      </c>
      <c r="H4" s="377"/>
      <c r="J4" s="377"/>
      <c r="L4" s="377"/>
    </row>
    <row r="5" spans="1:12" ht="45" customHeight="1">
      <c r="A5" s="377">
        <v>17</v>
      </c>
      <c r="B5" s="377" t="str">
        <f>+VLOOKUP(A5,'Metodologia Nomenclatura'!B:F,5,0)</f>
        <v>Director / Director Región / Director País</v>
      </c>
      <c r="D5" s="377"/>
      <c r="F5" s="377"/>
      <c r="H5" s="377"/>
      <c r="J5" s="377"/>
      <c r="L5" s="377"/>
    </row>
    <row r="6" spans="1:12" ht="45" customHeight="1">
      <c r="A6" s="377">
        <v>16</v>
      </c>
      <c r="B6" s="377" t="str">
        <f>+VLOOKUP(A6,'Metodologia Nomenclatura'!B:F,5,0)</f>
        <v>Director / Director Región / Director País</v>
      </c>
      <c r="D6" s="377"/>
      <c r="F6" s="377"/>
      <c r="H6" s="378" t="s">
        <v>276</v>
      </c>
      <c r="J6" s="377"/>
      <c r="L6" s="377"/>
    </row>
    <row r="7" spans="1:12" ht="45" customHeight="1">
      <c r="A7" s="377">
        <v>15</v>
      </c>
      <c r="B7" s="377" t="str">
        <f>+VLOOKUP(A7,'Metodologia Nomenclatura'!B:F,5,0)</f>
        <v>Gerente Sr / Gerente Región / Gerente País / Especialista Sr</v>
      </c>
      <c r="D7" s="377"/>
      <c r="F7" s="377"/>
      <c r="H7" s="377"/>
      <c r="J7" s="378" t="s">
        <v>279</v>
      </c>
      <c r="L7" s="378" t="s">
        <v>281</v>
      </c>
    </row>
    <row r="8" spans="1:12" ht="45" customHeight="1">
      <c r="A8" s="377">
        <v>14</v>
      </c>
      <c r="B8" s="377" t="str">
        <f>+VLOOKUP(A8,'Metodologia Nomenclatura'!B:F,5,0)</f>
        <v>Gerente Sr / Gerente Región / Gerente País / Especialista Sr</v>
      </c>
      <c r="D8" s="377"/>
      <c r="F8" s="377"/>
      <c r="H8" s="377"/>
      <c r="J8" s="377"/>
      <c r="L8" s="377"/>
    </row>
    <row r="9" spans="1:12" ht="45" customHeight="1">
      <c r="A9" s="377">
        <v>13</v>
      </c>
      <c r="B9" s="377" t="str">
        <f>+VLOOKUP(A9,'Metodologia Nomenclatura'!B:F,5,0)</f>
        <v>Gerente / Especialista Sr</v>
      </c>
      <c r="D9" s="377"/>
      <c r="F9" s="377"/>
      <c r="H9" s="377"/>
      <c r="J9" s="377"/>
      <c r="L9" s="377"/>
    </row>
    <row r="10" spans="1:12" ht="45" customHeight="1">
      <c r="A10" s="377">
        <v>12</v>
      </c>
      <c r="B10" s="377" t="str">
        <f>+VLOOKUP(A10,'Metodologia Nomenclatura'!B:F,5,0)</f>
        <v>Coordinador Sr. / Especialista</v>
      </c>
      <c r="D10" s="377"/>
      <c r="F10" s="377"/>
      <c r="H10" s="377"/>
      <c r="J10" s="377"/>
      <c r="L10" s="377"/>
    </row>
    <row r="11" spans="1:12" ht="45" customHeight="1">
      <c r="A11" s="377">
        <v>11</v>
      </c>
      <c r="B11" s="377" t="str">
        <f>+VLOOKUP(A11,'Metodologia Nomenclatura'!B:F,5,0)</f>
        <v>Coordinador / Especialista</v>
      </c>
      <c r="D11" s="377"/>
      <c r="F11" s="377"/>
      <c r="H11" s="377"/>
      <c r="J11" s="377"/>
      <c r="L11" s="377"/>
    </row>
    <row r="12" spans="1:12" ht="45" customHeight="1">
      <c r="A12" s="377">
        <v>10</v>
      </c>
      <c r="B12" s="377" t="str">
        <f>+VLOOKUP(A12,'Metodologia Nomenclatura'!B:F,5,0)</f>
        <v>Coordinador / Analista Sr</v>
      </c>
      <c r="D12" s="377"/>
      <c r="F12" s="377"/>
      <c r="H12" s="377"/>
      <c r="J12" s="377"/>
      <c r="L12" s="377"/>
    </row>
    <row r="13" spans="1:12" ht="6.75" customHeight="1">
      <c r="A13" s="366"/>
      <c r="B13" s="366"/>
      <c r="D13" s="366"/>
      <c r="F13" s="366"/>
      <c r="H13" s="366"/>
      <c r="J13" s="366"/>
      <c r="L13" s="366"/>
    </row>
    <row r="14" spans="1:12" ht="20.100000000000001" customHeight="1">
      <c r="A14" s="365"/>
      <c r="B14" s="365"/>
      <c r="D14" s="365"/>
      <c r="F14" s="365"/>
      <c r="H14" s="365"/>
      <c r="J14" s="365"/>
      <c r="L14" s="365"/>
    </row>
  </sheetData>
  <mergeCells count="1">
    <mergeCell ref="D2:L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1"/>
  <dimension ref="B1:O44"/>
  <sheetViews>
    <sheetView showGridLines="0" workbookViewId="0">
      <selection activeCell="C9" sqref="C9"/>
    </sheetView>
  </sheetViews>
  <sheetFormatPr baseColWidth="10" defaultColWidth="0" defaultRowHeight="13.8" zeroHeight="1" outlineLevelRow="1"/>
  <cols>
    <col min="1" max="1" width="2.5546875" style="12" customWidth="1"/>
    <col min="2" max="2" width="17" style="10" customWidth="1"/>
    <col min="3" max="4" width="17" style="12" customWidth="1"/>
    <col min="5" max="5" width="2.5546875" style="12" customWidth="1"/>
    <col min="6" max="8" width="17" style="12" customWidth="1"/>
    <col min="9" max="10" width="2.5546875" style="12" customWidth="1"/>
    <col min="11" max="11" width="35.5546875" style="12" customWidth="1"/>
    <col min="12" max="12" width="13.44140625" style="12" bestFit="1" customWidth="1"/>
    <col min="13" max="13" width="2.5546875" style="12" customWidth="1"/>
    <col min="14" max="14" width="19.5546875" style="12" hidden="1" customWidth="1"/>
    <col min="15" max="15" width="2.5546875" style="12" hidden="1" customWidth="1"/>
    <col min="16" max="16384" width="0" style="12" hidden="1"/>
  </cols>
  <sheetData>
    <row r="1" spans="2:13"/>
    <row r="2" spans="2:13"/>
    <row r="3" spans="2:13"/>
    <row r="4" spans="2:13"/>
    <row r="5" spans="2:13"/>
    <row r="6" spans="2:13">
      <c r="B6" s="601" t="s">
        <v>629</v>
      </c>
      <c r="C6" s="601"/>
      <c r="D6" s="601"/>
      <c r="F6" s="601" t="s">
        <v>630</v>
      </c>
      <c r="G6" s="601"/>
      <c r="H6" s="601"/>
      <c r="K6" s="34" t="s">
        <v>631</v>
      </c>
      <c r="L6" s="197">
        <v>1423500</v>
      </c>
    </row>
    <row r="7" spans="2:13"/>
    <row r="8" spans="2:13">
      <c r="B8" s="33" t="s">
        <v>632</v>
      </c>
      <c r="C8" s="173">
        <v>2026</v>
      </c>
      <c r="F8" s="33" t="s">
        <v>632</v>
      </c>
      <c r="G8" s="174">
        <f>Año_análisis</f>
        <v>2026</v>
      </c>
      <c r="K8" s="10"/>
    </row>
    <row r="9" spans="2:13">
      <c r="B9" s="48" t="s">
        <v>633</v>
      </c>
      <c r="C9" s="174">
        <v>2025</v>
      </c>
      <c r="F9" s="48" t="s">
        <v>633</v>
      </c>
      <c r="G9" s="174">
        <f>Año_original_informe</f>
        <v>2025</v>
      </c>
      <c r="K9" s="10"/>
    </row>
    <row r="10" spans="2:13">
      <c r="B10" s="33" t="s">
        <v>634</v>
      </c>
      <c r="C10" s="43">
        <f>VLOOKUP(Año_análisis,Indice_Ajuste_Tiempo2831[],MATCH(Indice_Ajuste_Tiempo2831[[#Headers],[Indice]],Indice_Ajuste_Tiempo2831[#Headers],0),FALSE)/VLOOKUP(Año_original_informe,Indice_Ajuste_Tiempo2831[],MATCH(Indice_Ajuste_Tiempo2831[[#Headers],[Indice]],Indice_Ajuste_Tiempo2831[#Headers],0),FALSE)</f>
        <v>1.052</v>
      </c>
      <c r="F10" s="33" t="s">
        <v>634</v>
      </c>
      <c r="G10" s="43">
        <f>VLOOKUP(Año_análisis,Indice_Ajuste_Tiempo[],MATCH(Indice_Ajuste_Tiempo[[#Headers],[Indice]],Indice_Ajuste_Tiempo[#Headers],0),FALSE)/VLOOKUP(Año_original_informe,Indice_Ajuste_Tiempo[],MATCH(Indice_Ajuste_Tiempo[[#Headers],[Indice]],Indice_Ajuste_Tiempo[#Headers],0),FALSE)</f>
        <v>1</v>
      </c>
      <c r="K10" s="603" t="s">
        <v>635</v>
      </c>
      <c r="L10" s="602">
        <f>SUM(L12:L17)</f>
        <v>0.17666666666666664</v>
      </c>
      <c r="M10" s="32"/>
    </row>
    <row r="11" spans="2:13">
      <c r="K11" s="603"/>
      <c r="L11" s="602"/>
      <c r="M11" s="10"/>
    </row>
    <row r="12" spans="2:13">
      <c r="K12" s="48" t="s">
        <v>636</v>
      </c>
      <c r="L12" s="171">
        <f>1/12</f>
        <v>8.3333333333333329E-2</v>
      </c>
      <c r="M12" s="10"/>
    </row>
    <row r="13" spans="2:13">
      <c r="B13" s="35" t="s">
        <v>637</v>
      </c>
      <c r="C13" s="36" t="s">
        <v>638</v>
      </c>
      <c r="D13" s="37" t="s">
        <v>639</v>
      </c>
      <c r="F13" s="35" t="s">
        <v>637</v>
      </c>
      <c r="G13" s="36" t="s">
        <v>638</v>
      </c>
      <c r="H13" s="37" t="s">
        <v>639</v>
      </c>
      <c r="K13" s="48" t="s">
        <v>640</v>
      </c>
      <c r="L13" s="171">
        <f>12%*L12</f>
        <v>9.9999999999999985E-3</v>
      </c>
      <c r="M13" s="10"/>
    </row>
    <row r="14" spans="2:13">
      <c r="B14" s="169">
        <v>2022</v>
      </c>
      <c r="C14" s="170"/>
      <c r="D14" s="41">
        <v>100</v>
      </c>
      <c r="E14" s="10"/>
      <c r="F14" s="169">
        <v>2022</v>
      </c>
      <c r="G14" s="170"/>
      <c r="H14" s="41">
        <v>100</v>
      </c>
      <c r="K14" s="48" t="s">
        <v>641</v>
      </c>
      <c r="L14" s="171">
        <f>1/12</f>
        <v>8.3333333333333329E-2</v>
      </c>
      <c r="M14" s="10"/>
    </row>
    <row r="15" spans="2:13">
      <c r="B15" s="169">
        <v>2023</v>
      </c>
      <c r="C15" s="170"/>
      <c r="D15" s="41">
        <f>D14*(1+Indice_Ajuste_Tiempo2831[[#This Row],[% Variación]])</f>
        <v>100</v>
      </c>
      <c r="E15" s="10"/>
      <c r="F15" s="169">
        <v>2023</v>
      </c>
      <c r="G15" s="170"/>
      <c r="H15" s="41">
        <f>H14*(1+Indice_Ajuste_Tiempo[[#This Row],[% Variación]])</f>
        <v>100</v>
      </c>
      <c r="K15" s="48"/>
      <c r="L15" s="171"/>
      <c r="M15" s="10"/>
    </row>
    <row r="16" spans="2:13">
      <c r="B16" s="169">
        <v>2024</v>
      </c>
      <c r="C16" s="170"/>
      <c r="D16" s="41">
        <f>D15*(1+Indice_Ajuste_Tiempo2831[[#This Row],[% Variación]])</f>
        <v>100</v>
      </c>
      <c r="E16" s="10"/>
      <c r="F16" s="169">
        <v>2024</v>
      </c>
      <c r="G16" s="170"/>
      <c r="H16" s="41">
        <f>H15*(1+Indice_Ajuste_Tiempo[[#This Row],[% Variación]])</f>
        <v>100</v>
      </c>
      <c r="K16" s="48"/>
      <c r="L16" s="171"/>
      <c r="M16" s="10"/>
    </row>
    <row r="17" spans="2:13">
      <c r="B17" s="169">
        <v>2025</v>
      </c>
      <c r="C17" s="170"/>
      <c r="D17" s="41">
        <f>D16*(1+Indice_Ajuste_Tiempo2831[[#This Row],[% Variación]])</f>
        <v>100</v>
      </c>
      <c r="E17" s="10"/>
      <c r="F17" s="169">
        <v>2025</v>
      </c>
      <c r="G17" s="170"/>
      <c r="H17" s="41">
        <f>H16*(1+Indice_Ajuste_Tiempo[[#This Row],[% Variación]])</f>
        <v>100</v>
      </c>
      <c r="K17" s="48"/>
      <c r="L17" s="171"/>
    </row>
    <row r="18" spans="2:13">
      <c r="B18" s="169">
        <v>2026</v>
      </c>
      <c r="C18" s="171">
        <v>5.1999999999999998E-2</v>
      </c>
      <c r="D18" s="41">
        <f>D17*(1+Indice_Ajuste_Tiempo2831[[#This Row],[% Variación]])</f>
        <v>105.2</v>
      </c>
      <c r="F18" s="169">
        <v>2026</v>
      </c>
      <c r="G18" s="171"/>
      <c r="H18" s="41">
        <f>H17*(1+Indice_Ajuste_Tiempo[[#This Row],[% Variación]])</f>
        <v>100</v>
      </c>
    </row>
    <row r="19" spans="2:13">
      <c r="B19" s="169">
        <v>2027</v>
      </c>
      <c r="C19" s="171"/>
      <c r="D19" s="41">
        <f>D18*(1+Indice_Ajuste_Tiempo2831[[#This Row],[% Variación]])</f>
        <v>105.2</v>
      </c>
      <c r="F19" s="169">
        <v>2027</v>
      </c>
      <c r="G19" s="171"/>
      <c r="H19" s="41">
        <f>H18*(1+Indice_Ajuste_Tiempo[[#This Row],[% Variación]])</f>
        <v>100</v>
      </c>
      <c r="K19" s="606" t="s">
        <v>642</v>
      </c>
      <c r="L19" s="604">
        <f>SUM(L21:L26)</f>
        <v>0</v>
      </c>
    </row>
    <row r="20" spans="2:13">
      <c r="B20" s="169">
        <v>2028</v>
      </c>
      <c r="C20" s="171"/>
      <c r="D20" s="41">
        <f>D19*(1+Indice_Ajuste_Tiempo2831[[#This Row],[% Variación]])</f>
        <v>105.2</v>
      </c>
      <c r="F20" s="169">
        <v>2028</v>
      </c>
      <c r="G20" s="171"/>
      <c r="H20" s="41">
        <f>H19*(1+Indice_Ajuste_Tiempo[[#This Row],[% Variación]])</f>
        <v>100</v>
      </c>
      <c r="K20" s="607"/>
      <c r="L20" s="605"/>
    </row>
    <row r="21" spans="2:13">
      <c r="B21" s="169">
        <v>2029</v>
      </c>
      <c r="C21" s="172"/>
      <c r="D21" s="42">
        <f>D20*(1+Indice_Ajuste_Tiempo2831[[#This Row],[% Variación]])</f>
        <v>105.2</v>
      </c>
      <c r="F21" s="169">
        <v>2029</v>
      </c>
      <c r="G21" s="171"/>
      <c r="H21" s="41">
        <f>H20*(1+Indice_Ajuste_Tiempo[[#This Row],[% Variación]])</f>
        <v>100</v>
      </c>
      <c r="K21" s="175" t="s">
        <v>636</v>
      </c>
      <c r="L21" s="176">
        <f>M23/360</f>
        <v>0</v>
      </c>
    </row>
    <row r="22" spans="2:13">
      <c r="B22" s="193"/>
      <c r="C22" s="171"/>
      <c r="D22" s="42">
        <f>D21*(1+Indice_Ajuste_Tiempo2831[[#This Row],[% Variación]])</f>
        <v>105.2</v>
      </c>
      <c r="F22" s="18"/>
      <c r="G22" s="18"/>
      <c r="H22" s="41">
        <f>H21*(1+Indice_Ajuste_Tiempo[[#This Row],[% Variación]])</f>
        <v>100</v>
      </c>
      <c r="K22" s="48" t="s">
        <v>640</v>
      </c>
      <c r="L22" s="171">
        <f>M24/360</f>
        <v>0</v>
      </c>
      <c r="M22" s="32"/>
    </row>
    <row r="23" spans="2:13">
      <c r="B23" s="193"/>
      <c r="C23" s="171"/>
      <c r="D23" s="42">
        <f>D22*(1+Indice_Ajuste_Tiempo2831[[#This Row],[% Variación]])</f>
        <v>105.2</v>
      </c>
      <c r="F23" s="18"/>
      <c r="G23" s="18"/>
      <c r="H23" s="41">
        <f>H22*(1+Indice_Ajuste_Tiempo[[#This Row],[% Variación]])</f>
        <v>100</v>
      </c>
      <c r="K23" s="48" t="s">
        <v>641</v>
      </c>
      <c r="L23" s="171">
        <f>M25/360</f>
        <v>0</v>
      </c>
      <c r="M23" s="10"/>
    </row>
    <row r="24" spans="2:13">
      <c r="B24" s="193"/>
      <c r="C24" s="171"/>
      <c r="D24" s="42">
        <f>D23*(1+Indice_Ajuste_Tiempo2831[[#This Row],[% Variación]])</f>
        <v>105.2</v>
      </c>
      <c r="F24" s="18"/>
      <c r="G24" s="18"/>
      <c r="H24" s="41">
        <f>H23*(1+Indice_Ajuste_Tiempo[[#This Row],[% Variación]])</f>
        <v>100</v>
      </c>
      <c r="K24" s="48"/>
      <c r="L24" s="171"/>
      <c r="M24" s="10"/>
    </row>
    <row r="25" spans="2:13">
      <c r="B25" s="193"/>
      <c r="C25" s="171"/>
      <c r="D25" s="42">
        <f>D24*(1+Indice_Ajuste_Tiempo2831[[#This Row],[% Variación]])</f>
        <v>105.2</v>
      </c>
      <c r="F25" s="18"/>
      <c r="G25" s="18"/>
      <c r="H25" s="41">
        <f>H24*(1+Indice_Ajuste_Tiempo[[#This Row],[% Variación]])</f>
        <v>100</v>
      </c>
      <c r="K25" s="48"/>
      <c r="L25" s="171"/>
      <c r="M25" s="10"/>
    </row>
    <row r="26" spans="2:13">
      <c r="B26" s="193"/>
      <c r="C26" s="171"/>
      <c r="D26" s="42">
        <f>D25*(1+Indice_Ajuste_Tiempo2831[[#This Row],[% Variación]])</f>
        <v>105.2</v>
      </c>
      <c r="F26" s="18"/>
      <c r="G26" s="18"/>
      <c r="H26" s="41">
        <f>H25*(1+Indice_Ajuste_Tiempo[[#This Row],[% Variación]])</f>
        <v>100</v>
      </c>
      <c r="K26" s="48"/>
      <c r="L26" s="171"/>
      <c r="M26" s="10"/>
    </row>
    <row r="27" spans="2:13">
      <c r="B27" s="193"/>
      <c r="C27" s="171"/>
      <c r="D27" s="42">
        <f>D26*(1+Indice_Ajuste_Tiempo2831[[#This Row],[% Variación]])</f>
        <v>105.2</v>
      </c>
      <c r="F27" s="18"/>
      <c r="G27" s="18"/>
      <c r="H27" s="41">
        <f>H26*(1+Indice_Ajuste_Tiempo[[#This Row],[% Variación]])</f>
        <v>100</v>
      </c>
      <c r="M27" s="10"/>
    </row>
    <row r="28" spans="2:13">
      <c r="B28" s="193"/>
      <c r="C28" s="171"/>
      <c r="D28" s="42">
        <f>D27*(1+Indice_Ajuste_Tiempo2831[[#This Row],[% Variación]])</f>
        <v>105.2</v>
      </c>
      <c r="F28" s="18"/>
      <c r="G28" s="18"/>
      <c r="H28" s="41">
        <f>H27*(1+Indice_Ajuste_Tiempo[[#This Row],[% Variación]])</f>
        <v>100</v>
      </c>
      <c r="K28" s="38" t="s">
        <v>643</v>
      </c>
      <c r="L28" s="40">
        <f>SUM(L29:L43)</f>
        <v>0</v>
      </c>
      <c r="M28" s="10"/>
    </row>
    <row r="29" spans="2:13">
      <c r="B29" s="194"/>
      <c r="C29" s="172"/>
      <c r="D29" s="42">
        <f>D28*(1+Indice_Ajuste_Tiempo2831[[#This Row],[% Variación]])</f>
        <v>105.2</v>
      </c>
      <c r="F29" s="18"/>
      <c r="G29" s="18"/>
      <c r="H29" s="41">
        <f>H28*(1+Indice_Ajuste_Tiempo[[#This Row],[% Variación]])</f>
        <v>100</v>
      </c>
      <c r="K29" s="48"/>
      <c r="L29" s="177"/>
    </row>
    <row r="30" spans="2:13">
      <c r="K30" s="48"/>
      <c r="L30" s="177"/>
    </row>
    <row r="31" spans="2:13">
      <c r="K31" s="48"/>
      <c r="L31" s="177"/>
    </row>
    <row r="32" spans="2:13">
      <c r="K32" s="48"/>
      <c r="L32" s="177"/>
    </row>
    <row r="33" spans="11:12" outlineLevel="1">
      <c r="K33" s="48"/>
      <c r="L33" s="177"/>
    </row>
    <row r="34" spans="11:12" outlineLevel="1">
      <c r="K34" s="48"/>
      <c r="L34" s="177"/>
    </row>
    <row r="35" spans="11:12" outlineLevel="1">
      <c r="K35" s="48"/>
      <c r="L35" s="177"/>
    </row>
    <row r="36" spans="11:12" outlineLevel="1">
      <c r="K36" s="48"/>
      <c r="L36" s="177"/>
    </row>
    <row r="37" spans="11:12" outlineLevel="1">
      <c r="K37" s="48"/>
      <c r="L37" s="177"/>
    </row>
    <row r="38" spans="11:12" outlineLevel="1">
      <c r="K38" s="48"/>
      <c r="L38" s="177"/>
    </row>
    <row r="39" spans="11:12" outlineLevel="1">
      <c r="K39" s="48"/>
      <c r="L39" s="177"/>
    </row>
    <row r="40" spans="11:12">
      <c r="K40" s="48"/>
      <c r="L40" s="178"/>
    </row>
    <row r="41" spans="11:12">
      <c r="K41" s="48"/>
      <c r="L41" s="178"/>
    </row>
    <row r="42" spans="11:12">
      <c r="K42" s="48"/>
      <c r="L42" s="178"/>
    </row>
    <row r="43" spans="11:12">
      <c r="K43" s="48"/>
      <c r="L43" s="178"/>
    </row>
    <row r="44" spans="11:12"/>
  </sheetData>
  <mergeCells count="6">
    <mergeCell ref="B6:D6"/>
    <mergeCell ref="F6:H6"/>
    <mergeCell ref="L10:L11"/>
    <mergeCell ref="K10:K11"/>
    <mergeCell ref="L19:L20"/>
    <mergeCell ref="K19:K2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ActualizacionCurvaCLMenu">
                <anchor moveWithCells="1" sizeWithCells="1">
                  <from>
                    <xdr:col>2</xdr:col>
                    <xdr:colOff>678180</xdr:colOff>
                    <xdr:row>1</xdr:row>
                    <xdr:rowOff>22860</xdr:rowOff>
                  </from>
                  <to>
                    <xdr:col>3</xdr:col>
                    <xdr:colOff>784860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3"/>
  <dimension ref="A1:Q32"/>
  <sheetViews>
    <sheetView showGridLines="0" zoomScaleNormal="100" workbookViewId="0"/>
  </sheetViews>
  <sheetFormatPr baseColWidth="10" defaultColWidth="0" defaultRowHeight="14.4" zeroHeight="1"/>
  <cols>
    <col min="1" max="1" width="1.5546875" customWidth="1"/>
    <col min="2" max="16" width="11.44140625" customWidth="1"/>
    <col min="17" max="17" width="2.5546875" customWidth="1"/>
    <col min="18" max="16384" width="11.44140625" hidden="1"/>
  </cols>
  <sheetData>
    <row r="1" spans="2:16"/>
    <row r="2" spans="2:16">
      <c r="B2" s="608"/>
      <c r="C2" s="608"/>
      <c r="D2" s="608"/>
      <c r="E2" s="608"/>
      <c r="F2" s="608"/>
      <c r="G2" s="608"/>
      <c r="H2" s="608"/>
      <c r="I2" s="608"/>
      <c r="J2" s="608"/>
      <c r="K2" s="608"/>
      <c r="L2" s="608"/>
      <c r="M2" s="608"/>
      <c r="N2" s="608"/>
      <c r="O2" s="608"/>
      <c r="P2" s="608"/>
    </row>
    <row r="3" spans="2:16">
      <c r="B3" s="608"/>
      <c r="C3" s="608"/>
      <c r="D3" s="608"/>
      <c r="E3" s="608"/>
      <c r="F3" s="608"/>
      <c r="G3" s="608"/>
      <c r="H3" s="608"/>
      <c r="I3" s="608"/>
      <c r="J3" s="608"/>
      <c r="K3" s="608"/>
      <c r="L3" s="608"/>
      <c r="M3" s="608"/>
      <c r="N3" s="608"/>
      <c r="O3" s="608"/>
      <c r="P3" s="608"/>
    </row>
    <row r="4" spans="2:16">
      <c r="B4" s="608"/>
      <c r="C4" s="608"/>
      <c r="D4" s="608"/>
      <c r="E4" s="608"/>
      <c r="F4" s="608"/>
      <c r="G4" s="608"/>
      <c r="H4" s="608"/>
      <c r="I4" s="608"/>
      <c r="J4" s="608"/>
      <c r="K4" s="608"/>
      <c r="L4" s="608"/>
      <c r="M4" s="608"/>
      <c r="N4" s="608"/>
      <c r="O4" s="608"/>
      <c r="P4" s="608"/>
    </row>
    <row r="5" spans="2:16"/>
    <row r="6" spans="2:16"/>
    <row r="7" spans="2:16"/>
    <row r="8" spans="2:16"/>
    <row r="9" spans="2:16"/>
    <row r="10" spans="2:16"/>
    <row r="11" spans="2:16"/>
    <row r="12" spans="2:16"/>
    <row r="13" spans="2:16"/>
    <row r="14" spans="2:16"/>
    <row r="15" spans="2:16"/>
    <row r="16" spans="2: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 ht="11.25" customHeight="1"/>
  </sheetData>
  <mergeCells count="1">
    <mergeCell ref="B2:P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3" name="Button 1">
              <controlPr defaultSize="0" print="0" autoFill="0" autoPict="0" macro="[0]!GraficoEquidadMenu">
                <anchor moveWithCells="1" sizeWithCells="1">
                  <from>
                    <xdr:col>14</xdr:col>
                    <xdr:colOff>365760</xdr:colOff>
                    <xdr:row>1</xdr:row>
                    <xdr:rowOff>137160</xdr:rowOff>
                  </from>
                  <to>
                    <xdr:col>15</xdr:col>
                    <xdr:colOff>670560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P31"/>
  <sheetViews>
    <sheetView showGridLines="0" zoomScale="115" zoomScaleNormal="115" workbookViewId="0"/>
  </sheetViews>
  <sheetFormatPr baseColWidth="10" defaultColWidth="0" defaultRowHeight="14.4" zeroHeight="1"/>
  <cols>
    <col min="1" max="1" width="1.5546875" customWidth="1"/>
    <col min="2" max="16" width="11.44140625" customWidth="1"/>
    <col min="17" max="16384" width="11.44140625" hidden="1"/>
  </cols>
  <sheetData>
    <row r="1" spans="2:16"/>
    <row r="2" spans="2:16">
      <c r="B2" s="608"/>
      <c r="C2" s="608"/>
      <c r="D2" s="608"/>
      <c r="E2" s="608"/>
      <c r="F2" s="608"/>
      <c r="G2" s="608"/>
      <c r="H2" s="608"/>
      <c r="I2" s="608"/>
      <c r="J2" s="608"/>
      <c r="K2" s="608"/>
      <c r="L2" s="608"/>
      <c r="M2" s="608"/>
      <c r="N2" s="608"/>
      <c r="O2" s="608"/>
      <c r="P2" s="608"/>
    </row>
    <row r="3" spans="2:16">
      <c r="B3" s="608"/>
      <c r="C3" s="608"/>
      <c r="D3" s="608"/>
      <c r="E3" s="608"/>
      <c r="F3" s="608"/>
      <c r="G3" s="608"/>
      <c r="H3" s="608"/>
      <c r="I3" s="608"/>
      <c r="J3" s="608"/>
      <c r="K3" s="608"/>
      <c r="L3" s="608"/>
      <c r="M3" s="608"/>
      <c r="N3" s="608"/>
      <c r="O3" s="608"/>
      <c r="P3" s="608"/>
    </row>
    <row r="4" spans="2:16">
      <c r="B4" s="608"/>
      <c r="C4" s="608"/>
      <c r="D4" s="608"/>
      <c r="E4" s="608"/>
      <c r="F4" s="608"/>
      <c r="G4" s="608"/>
      <c r="H4" s="608"/>
      <c r="I4" s="608"/>
      <c r="J4" s="608"/>
      <c r="K4" s="608"/>
      <c r="L4" s="608"/>
      <c r="M4" s="608"/>
      <c r="N4" s="608"/>
      <c r="O4" s="608"/>
      <c r="P4" s="608"/>
    </row>
    <row r="5" spans="2:16"/>
    <row r="6" spans="2:16"/>
    <row r="7" spans="2:16"/>
    <row r="8" spans="2:16"/>
    <row r="9" spans="2:16"/>
    <row r="10" spans="2:16"/>
    <row r="11" spans="2:16"/>
    <row r="12" spans="2:16"/>
    <row r="13" spans="2:16"/>
    <row r="14" spans="2:16"/>
    <row r="15" spans="2:16"/>
    <row r="16" spans="2:16"/>
    <row r="17"/>
    <row r="18"/>
    <row r="19"/>
    <row r="20"/>
    <row r="21"/>
    <row r="22"/>
    <row r="23"/>
    <row r="24"/>
    <row r="25"/>
    <row r="26"/>
    <row r="27"/>
    <row r="28"/>
    <row r="29"/>
    <row r="30"/>
    <row r="31"/>
  </sheetData>
  <mergeCells count="1">
    <mergeCell ref="B2:P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Button 1">
              <controlPr defaultSize="0" print="0" autoFill="0" autoPict="0" macro="[0]!GraficoCompetitividadMenu">
                <anchor moveWithCells="1" sizeWithCells="1">
                  <from>
                    <xdr:col>14</xdr:col>
                    <xdr:colOff>152400</xdr:colOff>
                    <xdr:row>1</xdr:row>
                    <xdr:rowOff>182880</xdr:rowOff>
                  </from>
                  <to>
                    <xdr:col>15</xdr:col>
                    <xdr:colOff>480060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S52"/>
  <sheetViews>
    <sheetView showGridLines="0" workbookViewId="0"/>
  </sheetViews>
  <sheetFormatPr baseColWidth="10" defaultColWidth="0" defaultRowHeight="14.4" zeroHeight="1"/>
  <cols>
    <col min="1" max="1" width="1.5546875" customWidth="1"/>
    <col min="2" max="2" width="10.44140625" customWidth="1"/>
    <col min="3" max="3" width="16.44140625" customWidth="1"/>
    <col min="4" max="17" width="10.44140625" customWidth="1"/>
    <col min="18" max="18" width="11.44140625" customWidth="1"/>
    <col min="19" max="19" width="5.5546875" customWidth="1"/>
    <col min="20" max="16384" width="11.44140625" hidden="1"/>
  </cols>
  <sheetData>
    <row r="1" spans="1:19">
      <c r="B1" s="629"/>
      <c r="C1" s="629"/>
      <c r="D1" s="629"/>
      <c r="E1" s="629"/>
      <c r="F1" s="629"/>
      <c r="G1" s="629"/>
      <c r="H1" s="629"/>
      <c r="I1" s="629"/>
      <c r="J1" s="629"/>
      <c r="K1" s="629"/>
      <c r="L1" s="629"/>
      <c r="M1" s="629"/>
      <c r="N1" s="629"/>
      <c r="O1" s="629"/>
      <c r="P1" s="629"/>
      <c r="Q1" s="629"/>
      <c r="S1" s="225"/>
    </row>
    <row r="2" spans="1:19"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  <c r="M2" s="629"/>
      <c r="N2" s="629"/>
      <c r="O2" s="629"/>
      <c r="P2" s="629"/>
      <c r="Q2" s="629"/>
      <c r="S2" s="225"/>
    </row>
    <row r="3" spans="1:19" ht="24" customHeight="1"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S3" s="225"/>
    </row>
    <row r="4" spans="1:19" ht="17.399999999999999">
      <c r="B4" s="629"/>
      <c r="C4" s="629"/>
      <c r="D4" s="629"/>
      <c r="E4" s="629"/>
      <c r="F4" s="629"/>
      <c r="G4" s="629"/>
      <c r="H4" s="629"/>
      <c r="I4" s="629"/>
      <c r="J4" s="629"/>
      <c r="K4" s="629"/>
      <c r="L4" s="629"/>
      <c r="M4" s="629"/>
      <c r="N4" s="629"/>
      <c r="O4" s="629"/>
      <c r="P4" s="629"/>
      <c r="Q4" s="629"/>
      <c r="S4" s="225"/>
    </row>
    <row r="5" spans="1:19">
      <c r="S5" s="225"/>
    </row>
    <row r="6" spans="1:19">
      <c r="A6" s="225"/>
      <c r="D6" s="611" t="s">
        <v>15</v>
      </c>
      <c r="E6" s="612"/>
      <c r="F6" s="622" t="s">
        <v>19</v>
      </c>
      <c r="G6" s="622"/>
      <c r="H6" s="622"/>
      <c r="I6" s="601" t="s">
        <v>21</v>
      </c>
      <c r="J6" s="601"/>
      <c r="K6" s="601"/>
      <c r="L6" s="622" t="s">
        <v>23</v>
      </c>
      <c r="M6" s="622"/>
      <c r="N6" s="622"/>
      <c r="O6" s="225"/>
      <c r="P6" s="225"/>
      <c r="Q6" s="225"/>
      <c r="R6" s="225"/>
      <c r="S6" s="225"/>
    </row>
    <row r="7" spans="1:19" ht="26.4">
      <c r="A7" s="225"/>
      <c r="D7" s="613"/>
      <c r="E7" s="614"/>
      <c r="F7" s="88" t="s">
        <v>644</v>
      </c>
      <c r="G7" s="38" t="s">
        <v>645</v>
      </c>
      <c r="H7" s="38" t="s">
        <v>645</v>
      </c>
      <c r="I7" s="89" t="s">
        <v>644</v>
      </c>
      <c r="J7" s="39" t="s">
        <v>645</v>
      </c>
      <c r="K7" s="39" t="s">
        <v>645</v>
      </c>
      <c r="L7" s="88" t="s">
        <v>644</v>
      </c>
      <c r="M7" s="38" t="s">
        <v>645</v>
      </c>
      <c r="N7" s="38" t="s">
        <v>645</v>
      </c>
      <c r="O7" s="225"/>
      <c r="P7" s="225"/>
      <c r="Q7" s="225"/>
      <c r="R7" s="225"/>
      <c r="S7" s="225"/>
    </row>
    <row r="8" spans="1:19">
      <c r="A8" s="225"/>
      <c r="B8" s="615" t="s">
        <v>646</v>
      </c>
      <c r="C8" s="615" t="s">
        <v>647</v>
      </c>
      <c r="D8" s="45">
        <v>1.5</v>
      </c>
      <c r="E8" s="45">
        <v>9</v>
      </c>
      <c r="F8" s="46">
        <f>IF(COUNTIFS(Datos_Origen[[#All],[Geqp]],"&gt;"&amp;$D8,Datos_Origen[[#All],[Geqp]],"&lt;="&amp;$E8)=0,"",COUNTIFS(Datos_Origen[[#All],[Geqp]],"&gt;"&amp;$D8,Datos_Origen[[#All],[Geqp]],"&lt;="&amp;$E8))</f>
        <v>5</v>
      </c>
      <c r="G8" s="47">
        <f>IFERROR(F8/F$18,"")</f>
        <v>3.5971223021582732E-2</v>
      </c>
      <c r="H8" s="616">
        <f>IF(SUM(G8:G10)=0,"",SUM(G8:G10))</f>
        <v>0.12949640287769784</v>
      </c>
      <c r="I8" s="46">
        <f>IF(COUNTIFS(Datos_Origen[[#All],[G+Veqp]],"&gt;"&amp;$D8,Datos_Origen[[#All],[G+Veqp]],"&lt;="&amp;$E8)=0,"",COUNTIFS(Datos_Origen[[#All],[G+Veqp]],"&gt;"&amp;$D8,Datos_Origen[[#All],[G+Veqp]],"&lt;="&amp;$E8))</f>
        <v>4</v>
      </c>
      <c r="J8" s="47">
        <f>IFERROR(I8/I$18,"")</f>
        <v>2.8776978417266189E-2</v>
      </c>
      <c r="K8" s="623">
        <f>IF(SUM(J8:J10)=0,"",SUM(J8:J10))</f>
        <v>9.3525179856115109E-2</v>
      </c>
      <c r="L8" s="46">
        <f>IF(COUNTIFS(Datos_Origen[[#All],[Cteqp]],"&gt;"&amp;$D8,Datos_Origen[[#All],[Cteqp]],"&lt;="&amp;$E8)=0,"",COUNTIFS(Datos_Origen[[#All],[Cteqp]],"&gt;"&amp;$D8,Datos_Origen[[#All],[Cteqp]],"&lt;="&amp;$E8))</f>
        <v>4</v>
      </c>
      <c r="M8" s="47">
        <f>IFERROR(L8/L$18,"")</f>
        <v>2.8776978417266189E-2</v>
      </c>
      <c r="N8" s="623">
        <f>IF(SUM(M8:M10)=0,"",SUM(M8:M10))</f>
        <v>9.3525179856115109E-2</v>
      </c>
      <c r="O8" s="228">
        <v>1</v>
      </c>
      <c r="P8" s="228"/>
      <c r="Q8" s="228"/>
      <c r="R8" s="229"/>
      <c r="S8" s="225"/>
    </row>
    <row r="9" spans="1:19">
      <c r="A9" s="225"/>
      <c r="B9" s="615"/>
      <c r="C9" s="615"/>
      <c r="D9" s="45">
        <v>1.3</v>
      </c>
      <c r="E9" s="45">
        <f>D8</f>
        <v>1.5</v>
      </c>
      <c r="F9" s="46">
        <f>IF(COUNTIFS(Datos_Origen[[#All],[Geqp]],"&gt;"&amp;$D9,Datos_Origen[[#All],[Geqp]],"&lt;="&amp;$E9)=0,"",COUNTIFS(Datos_Origen[[#All],[Geqp]],"&gt;"&amp;$D9,Datos_Origen[[#All],[Geqp]],"&lt;="&amp;$E9))</f>
        <v>4</v>
      </c>
      <c r="G9" s="47">
        <f t="shared" ref="G9:G17" si="0">IFERROR(F9/F$18,"")</f>
        <v>2.8776978417266189E-2</v>
      </c>
      <c r="H9" s="616"/>
      <c r="I9" s="46">
        <f>IF(COUNTIFS(Datos_Origen[[#All],[G+Veqp]],"&gt;"&amp;$D9,Datos_Origen[[#All],[G+Veqp]],"&lt;="&amp;$E9)=0,"",COUNTIFS(Datos_Origen[[#All],[G+Veqp]],"&gt;"&amp;$D9,Datos_Origen[[#All],[G+Veqp]],"&lt;="&amp;$E9))</f>
        <v>7</v>
      </c>
      <c r="J9" s="47">
        <f t="shared" ref="J9:J17" si="1">IFERROR(I9/I$18,"")</f>
        <v>5.0359712230215826E-2</v>
      </c>
      <c r="K9" s="624"/>
      <c r="L9" s="46">
        <f>IF(COUNTIFS(Datos_Origen[[#All],[Cteqp]],"&gt;"&amp;$D9,Datos_Origen[[#All],[Cteqp]],"&lt;="&amp;$E9)=0,"",COUNTIFS(Datos_Origen[[#All],[Cteqp]],"&gt;"&amp;$D9,Datos_Origen[[#All],[Cteqp]],"&lt;="&amp;$E9))</f>
        <v>7</v>
      </c>
      <c r="M9" s="47">
        <f t="shared" ref="M9:M17" si="2">IFERROR(L9/L$18,"")</f>
        <v>5.0359712230215826E-2</v>
      </c>
      <c r="N9" s="624"/>
      <c r="O9" s="228">
        <v>1</v>
      </c>
      <c r="P9" s="228"/>
      <c r="Q9" s="228"/>
      <c r="R9" s="229"/>
      <c r="S9" s="225"/>
    </row>
    <row r="10" spans="1:19">
      <c r="A10" s="225"/>
      <c r="B10" s="615"/>
      <c r="C10" s="615"/>
      <c r="D10" s="45">
        <v>1.2</v>
      </c>
      <c r="E10" s="45">
        <f t="shared" ref="E10:E17" si="3">D9</f>
        <v>1.3</v>
      </c>
      <c r="F10" s="46">
        <f>IF(COUNTIFS(Datos_Origen[[#All],[Geqp]],"&gt;"&amp;$D10,Datos_Origen[[#All],[Geqp]],"&lt;="&amp;$E10)=0,"",COUNTIFS(Datos_Origen[[#All],[Geqp]],"&gt;"&amp;$D10,Datos_Origen[[#All],[Geqp]],"&lt;="&amp;$E10))</f>
        <v>9</v>
      </c>
      <c r="G10" s="47">
        <f t="shared" si="0"/>
        <v>6.4748201438848921E-2</v>
      </c>
      <c r="H10" s="616"/>
      <c r="I10" s="46">
        <f>IF(COUNTIFS(Datos_Origen[[#All],[G+Veqp]],"&gt;"&amp;$D10,Datos_Origen[[#All],[G+Veqp]],"&lt;="&amp;$E10)=0,"",COUNTIFS(Datos_Origen[[#All],[G+Veqp]],"&gt;"&amp;$D10,Datos_Origen[[#All],[G+Veqp]],"&lt;="&amp;$E10))</f>
        <v>2</v>
      </c>
      <c r="J10" s="47">
        <f t="shared" si="1"/>
        <v>1.4388489208633094E-2</v>
      </c>
      <c r="K10" s="625"/>
      <c r="L10" s="46">
        <f>IF(COUNTIFS(Datos_Origen[[#All],[Cteqp]],"&gt;"&amp;$D10,Datos_Origen[[#All],[Cteqp]],"&lt;="&amp;$E10)=0,"",COUNTIFS(Datos_Origen[[#All],[Cteqp]],"&gt;"&amp;$D10,Datos_Origen[[#All],[Cteqp]],"&lt;="&amp;$E10))</f>
        <v>2</v>
      </c>
      <c r="M10" s="47">
        <f t="shared" si="2"/>
        <v>1.4388489208633094E-2</v>
      </c>
      <c r="N10" s="625"/>
      <c r="O10" s="228">
        <v>1</v>
      </c>
      <c r="P10" s="228"/>
      <c r="Q10" s="228"/>
      <c r="R10" s="229"/>
      <c r="S10" s="225"/>
    </row>
    <row r="11" spans="1:19" ht="16.2">
      <c r="A11" s="225"/>
      <c r="B11" s="615"/>
      <c r="C11" s="631" t="s">
        <v>648</v>
      </c>
      <c r="D11" s="50">
        <v>1.1000000000000001</v>
      </c>
      <c r="E11" s="50">
        <f t="shared" si="3"/>
        <v>1.2</v>
      </c>
      <c r="F11" s="51">
        <f>IF(COUNTIFS(Datos_Origen[[#All],[Geqp]],"&gt;"&amp;$D11,Datos_Origen[[#All],[Geqp]],"&lt;="&amp;$E11)=0,"",COUNTIFS(Datos_Origen[[#All],[Geqp]],"&gt;"&amp;$D11,Datos_Origen[[#All],[Geqp]],"&lt;="&amp;$E11))</f>
        <v>27</v>
      </c>
      <c r="G11" s="52">
        <f t="shared" si="0"/>
        <v>0.19424460431654678</v>
      </c>
      <c r="H11" s="617">
        <f>IF(SUM(G11:G14)=0,"",SUM(G11:G14))</f>
        <v>0.7769784172661871</v>
      </c>
      <c r="I11" s="51">
        <f>IF(COUNTIFS(Datos_Origen[[#All],[G+Veqp]],"&gt;"&amp;$D11,Datos_Origen[[#All],[G+Veqp]],"&lt;="&amp;$E11)=0,"",COUNTIFS(Datos_Origen[[#All],[G+Veqp]],"&gt;"&amp;$D11,Datos_Origen[[#All],[G+Veqp]],"&lt;="&amp;$E11))</f>
        <v>13</v>
      </c>
      <c r="J11" s="52">
        <f t="shared" si="1"/>
        <v>9.3525179856115109E-2</v>
      </c>
      <c r="K11" s="626">
        <f>IF(SUM(J11:J14)=0,"",SUM(J11:J14))</f>
        <v>0.82014388489208634</v>
      </c>
      <c r="L11" s="51">
        <f>IF(COUNTIFS(Datos_Origen[[#All],[Cteqp]],"&gt;"&amp;$D11,Datos_Origen[[#All],[Cteqp]],"&lt;="&amp;$E11)=0,"",COUNTIFS(Datos_Origen[[#All],[Cteqp]],"&gt;"&amp;$D11,Datos_Origen[[#All],[Cteqp]],"&lt;="&amp;$E11))</f>
        <v>13</v>
      </c>
      <c r="M11" s="52">
        <f t="shared" si="2"/>
        <v>9.3525179856115109E-2</v>
      </c>
      <c r="N11" s="626">
        <f>IF(SUM(M11:M14)=0,"",SUM(M11:M14))</f>
        <v>0.82014388489208634</v>
      </c>
      <c r="O11" s="228">
        <v>1</v>
      </c>
      <c r="P11" s="228"/>
      <c r="Q11" s="228"/>
      <c r="R11" s="229"/>
      <c r="S11" s="225"/>
    </row>
    <row r="12" spans="1:19" ht="16.2">
      <c r="A12" s="225"/>
      <c r="B12" s="615"/>
      <c r="C12" s="632"/>
      <c r="D12" s="53">
        <v>1</v>
      </c>
      <c r="E12" s="53">
        <f t="shared" si="3"/>
        <v>1.1000000000000001</v>
      </c>
      <c r="F12" s="54">
        <f>IF(COUNTIFS(Datos_Origen[[#All],[Geqp]],"&gt;"&amp;$D12,Datos_Origen[[#All],[Geqp]],"&lt;="&amp;$E12)=0,"",COUNTIFS(Datos_Origen[[#All],[Geqp]],"&gt;"&amp;$D12,Datos_Origen[[#All],[Geqp]],"&lt;="&amp;$E12))</f>
        <v>32</v>
      </c>
      <c r="G12" s="55">
        <f t="shared" si="0"/>
        <v>0.23021582733812951</v>
      </c>
      <c r="H12" s="618"/>
      <c r="I12" s="54">
        <f>IF(COUNTIFS(Datos_Origen[[#All],[G+Veqp]],"&gt;"&amp;$D12,Datos_Origen[[#All],[G+Veqp]],"&lt;="&amp;$E12)=0,"",COUNTIFS(Datos_Origen[[#All],[G+Veqp]],"&gt;"&amp;$D12,Datos_Origen[[#All],[G+Veqp]],"&lt;="&amp;$E12))</f>
        <v>29</v>
      </c>
      <c r="J12" s="55">
        <f t="shared" si="1"/>
        <v>0.20863309352517986</v>
      </c>
      <c r="K12" s="627"/>
      <c r="L12" s="54">
        <f>IF(COUNTIFS(Datos_Origen[[#All],[Cteqp]],"&gt;"&amp;$D12,Datos_Origen[[#All],[Cteqp]],"&lt;="&amp;$E12)=0,"",COUNTIFS(Datos_Origen[[#All],[Cteqp]],"&gt;"&amp;$D12,Datos_Origen[[#All],[Cteqp]],"&lt;="&amp;$E12))</f>
        <v>29</v>
      </c>
      <c r="M12" s="55">
        <f t="shared" si="2"/>
        <v>0.20863309352517986</v>
      </c>
      <c r="N12" s="627"/>
      <c r="O12" s="228">
        <v>1</v>
      </c>
      <c r="P12" s="228"/>
      <c r="Q12" s="228"/>
      <c r="R12" s="228"/>
      <c r="S12" s="225"/>
    </row>
    <row r="13" spans="1:19" ht="16.2">
      <c r="A13" s="225"/>
      <c r="B13" s="615"/>
      <c r="C13" s="632"/>
      <c r="D13" s="53">
        <v>0.9</v>
      </c>
      <c r="E13" s="53">
        <f t="shared" si="3"/>
        <v>1</v>
      </c>
      <c r="F13" s="54">
        <f>IF(COUNTIFS(Datos_Origen[[#All],[Geqp]],"&gt;"&amp;$D13,Datos_Origen[[#All],[Geqp]],"&lt;="&amp;$E13)=0,"",COUNTIFS(Datos_Origen[[#All],[Geqp]],"&gt;"&amp;$D13,Datos_Origen[[#All],[Geqp]],"&lt;="&amp;$E13))</f>
        <v>17</v>
      </c>
      <c r="G13" s="55">
        <f t="shared" si="0"/>
        <v>0.1223021582733813</v>
      </c>
      <c r="H13" s="618"/>
      <c r="I13" s="54">
        <f>IF(COUNTIFS(Datos_Origen[[#All],[G+Veqp]],"&gt;"&amp;$D13,Datos_Origen[[#All],[G+Veqp]],"&lt;="&amp;$E13)=0,"",COUNTIFS(Datos_Origen[[#All],[G+Veqp]],"&gt;"&amp;$D13,Datos_Origen[[#All],[G+Veqp]],"&lt;="&amp;$E13))</f>
        <v>29</v>
      </c>
      <c r="J13" s="55">
        <f t="shared" si="1"/>
        <v>0.20863309352517986</v>
      </c>
      <c r="K13" s="627"/>
      <c r="L13" s="54">
        <f>IF(COUNTIFS(Datos_Origen[[#All],[Cteqp]],"&gt;"&amp;$D13,Datos_Origen[[#All],[Cteqp]],"&lt;="&amp;$E13)=0,"",COUNTIFS(Datos_Origen[[#All],[Cteqp]],"&gt;"&amp;$D13,Datos_Origen[[#All],[Cteqp]],"&lt;="&amp;$E13))</f>
        <v>29</v>
      </c>
      <c r="M13" s="55">
        <f t="shared" si="2"/>
        <v>0.20863309352517986</v>
      </c>
      <c r="N13" s="627"/>
      <c r="O13" s="228">
        <v>1</v>
      </c>
      <c r="P13" s="228"/>
      <c r="Q13" s="228" t="s">
        <v>649</v>
      </c>
      <c r="R13" s="228" t="s">
        <v>650</v>
      </c>
      <c r="S13" s="225"/>
    </row>
    <row r="14" spans="1:19" ht="16.2">
      <c r="A14" s="225"/>
      <c r="B14" s="615"/>
      <c r="C14" s="633"/>
      <c r="D14" s="56">
        <v>0.8</v>
      </c>
      <c r="E14" s="56">
        <f t="shared" si="3"/>
        <v>0.9</v>
      </c>
      <c r="F14" s="57">
        <f>IF(COUNTIFS(Datos_Origen[[#All],[Geqp]],"&gt;"&amp;$D14,Datos_Origen[[#All],[Geqp]],"&lt;="&amp;$E14)=0,"",COUNTIFS(Datos_Origen[[#All],[Geqp]],"&gt;"&amp;$D14,Datos_Origen[[#All],[Geqp]],"&lt;="&amp;$E14))</f>
        <v>32</v>
      </c>
      <c r="G14" s="58">
        <f t="shared" si="0"/>
        <v>0.23021582733812951</v>
      </c>
      <c r="H14" s="619"/>
      <c r="I14" s="57">
        <f>IF(COUNTIFS(Datos_Origen[[#All],[G+Veqp]],"&gt;"&amp;$D14,Datos_Origen[[#All],[G+Veqp]],"&lt;="&amp;$E14)=0,"",COUNTIFS(Datos_Origen[[#All],[G+Veqp]],"&gt;"&amp;$D14,Datos_Origen[[#All],[G+Veqp]],"&lt;="&amp;$E14))</f>
        <v>43</v>
      </c>
      <c r="J14" s="58">
        <f t="shared" si="1"/>
        <v>0.30935251798561153</v>
      </c>
      <c r="K14" s="628"/>
      <c r="L14" s="57">
        <f>IF(COUNTIFS(Datos_Origen[[#All],[Cteqp]],"&gt;"&amp;$D14,Datos_Origen[[#All],[Cteqp]],"&lt;="&amp;$E14)=0,"",COUNTIFS(Datos_Origen[[#All],[Cteqp]],"&gt;"&amp;$D14,Datos_Origen[[#All],[Cteqp]],"&lt;="&amp;$E14))</f>
        <v>43</v>
      </c>
      <c r="M14" s="58">
        <f t="shared" si="2"/>
        <v>0.30935251798561153</v>
      </c>
      <c r="N14" s="628"/>
      <c r="O14" s="228">
        <v>1</v>
      </c>
      <c r="P14" s="228"/>
      <c r="Q14" s="228">
        <v>0</v>
      </c>
      <c r="R14" s="228">
        <v>0</v>
      </c>
      <c r="S14" s="225"/>
    </row>
    <row r="15" spans="1:19">
      <c r="A15" s="225"/>
      <c r="B15" s="615"/>
      <c r="C15" s="615" t="s">
        <v>651</v>
      </c>
      <c r="D15" s="45">
        <v>0.7</v>
      </c>
      <c r="E15" s="45">
        <f t="shared" si="3"/>
        <v>0.8</v>
      </c>
      <c r="F15" s="46">
        <f>IF(COUNTIFS(Datos_Origen[[#All],[Geqp]],"&gt;"&amp;$D15,Datos_Origen[[#All],[Geqp]],"&lt;="&amp;$E15)=0,"",COUNTIFS(Datos_Origen[[#All],[Geqp]],"&gt;"&amp;$D15,Datos_Origen[[#All],[Geqp]],"&lt;="&amp;$E15))</f>
        <v>8</v>
      </c>
      <c r="G15" s="47">
        <f t="shared" si="0"/>
        <v>5.7553956834532377E-2</v>
      </c>
      <c r="H15" s="616">
        <f>IF(SUM(G15:G17)=0,"",SUM(G15:G17))</f>
        <v>9.3525179856115109E-2</v>
      </c>
      <c r="I15" s="46">
        <f>IF(COUNTIFS(Datos_Origen[[#All],[G+Veqp]],"&gt;"&amp;$D15,Datos_Origen[[#All],[G+Veqp]],"&lt;="&amp;$E15)=0,"",COUNTIFS(Datos_Origen[[#All],[G+Veqp]],"&gt;"&amp;$D15,Datos_Origen[[#All],[G+Veqp]],"&lt;="&amp;$E15))</f>
        <v>11</v>
      </c>
      <c r="J15" s="47">
        <f t="shared" si="1"/>
        <v>7.9136690647482008E-2</v>
      </c>
      <c r="K15" s="623">
        <f>IF(SUM(J15:J17)=0,"",SUM(J15:J17))</f>
        <v>8.6330935251798552E-2</v>
      </c>
      <c r="L15" s="46">
        <f>IF(COUNTIFS(Datos_Origen[[#All],[Cteqp]],"&gt;"&amp;$D15,Datos_Origen[[#All],[Cteqp]],"&lt;="&amp;$E15)=0,"",COUNTIFS(Datos_Origen[[#All],[Cteqp]],"&gt;"&amp;$D15,Datos_Origen[[#All],[Cteqp]],"&lt;="&amp;$E15))</f>
        <v>11</v>
      </c>
      <c r="M15" s="47">
        <f t="shared" si="2"/>
        <v>7.9136690647482008E-2</v>
      </c>
      <c r="N15" s="623">
        <f>IF(SUM(M15:M17)=0,"",SUM(M15:M17))</f>
        <v>8.6330935251798552E-2</v>
      </c>
      <c r="O15" s="228">
        <v>1</v>
      </c>
      <c r="P15" s="228"/>
      <c r="Q15" s="228">
        <f>COS(Q17)*(-1)</f>
        <v>0.84457004779782041</v>
      </c>
      <c r="R15" s="228">
        <f>SIN(Q17)</f>
        <v>0.53544508062245511</v>
      </c>
      <c r="S15" s="225"/>
    </row>
    <row r="16" spans="1:19">
      <c r="A16" s="225"/>
      <c r="B16" s="615"/>
      <c r="C16" s="630"/>
      <c r="D16" s="45">
        <v>0.6</v>
      </c>
      <c r="E16" s="45">
        <f t="shared" si="3"/>
        <v>0.7</v>
      </c>
      <c r="F16" s="46">
        <f>IF(COUNTIFS(Datos_Origen[[#All],[Geqp]],"&gt;"&amp;$D16,Datos_Origen[[#All],[Geqp]],"&lt;="&amp;$E16)=0,"",COUNTIFS(Datos_Origen[[#All],[Geqp]],"&gt;"&amp;$D16,Datos_Origen[[#All],[Geqp]],"&lt;="&amp;$E16))</f>
        <v>3</v>
      </c>
      <c r="G16" s="47">
        <f t="shared" si="0"/>
        <v>2.1582733812949641E-2</v>
      </c>
      <c r="H16" s="616"/>
      <c r="I16" s="46">
        <f>IF(COUNTIFS(Datos_Origen[[#All],[G+Veqp]],"&gt;"&amp;$D16,Datos_Origen[[#All],[G+Veqp]],"&lt;="&amp;$E16)=0,"",COUNTIFS(Datos_Origen[[#All],[G+Veqp]],"&gt;"&amp;$D16,Datos_Origen[[#All],[G+Veqp]],"&lt;="&amp;$E16))</f>
        <v>1</v>
      </c>
      <c r="J16" s="47">
        <f t="shared" si="1"/>
        <v>7.1942446043165471E-3</v>
      </c>
      <c r="K16" s="624"/>
      <c r="L16" s="46">
        <f>IF(COUNTIFS(Datos_Origen[[#All],[Cteqp]],"&gt;"&amp;$D16,Datos_Origen[[#All],[Cteqp]],"&lt;="&amp;$E16)=0,"",COUNTIFS(Datos_Origen[[#All],[Cteqp]],"&gt;"&amp;$D16,Datos_Origen[[#All],[Cteqp]],"&lt;="&amp;$E16))</f>
        <v>1</v>
      </c>
      <c r="M16" s="47">
        <f t="shared" si="2"/>
        <v>7.1942446043165471E-3</v>
      </c>
      <c r="N16" s="624"/>
      <c r="O16" s="228">
        <v>1</v>
      </c>
      <c r="P16" s="228"/>
      <c r="Q16" s="228"/>
      <c r="R16" s="228"/>
      <c r="S16" s="225"/>
    </row>
    <row r="17" spans="1:19">
      <c r="A17" s="225"/>
      <c r="B17" s="615"/>
      <c r="C17" s="630"/>
      <c r="D17" s="48">
        <v>0</v>
      </c>
      <c r="E17" s="45">
        <f t="shared" si="3"/>
        <v>0.6</v>
      </c>
      <c r="F17" s="46">
        <f>IF(COUNTIFS(Datos_Origen[[#All],[Geqp]],"&gt;"&amp;$D17,Datos_Origen[[#All],[Geqp]],"&lt;="&amp;$E17)=0,"",COUNTIFS(Datos_Origen[[#All],[Geqp]],"&gt;"&amp;$D17,Datos_Origen[[#All],[Geqp]],"&lt;="&amp;$E17))</f>
        <v>2</v>
      </c>
      <c r="G17" s="47">
        <f t="shared" si="0"/>
        <v>1.4388489208633094E-2</v>
      </c>
      <c r="H17" s="616"/>
      <c r="I17" s="46" t="str">
        <f>IF(COUNTIFS(Datos_Origen[[#All],[G+Veqp]],"&gt;"&amp;$D17,Datos_Origen[[#All],[G+Veqp]],"&lt;="&amp;$E17)=0,"",COUNTIFS(Datos_Origen[[#All],[G+Veqp]],"&gt;"&amp;$D17,Datos_Origen[[#All],[G+Veqp]],"&lt;="&amp;$E17))</f>
        <v/>
      </c>
      <c r="J17" s="47" t="str">
        <f t="shared" si="1"/>
        <v/>
      </c>
      <c r="K17" s="625"/>
      <c r="L17" s="46" t="str">
        <f>IF(COUNTIFS(Datos_Origen[[#All],[Cteqp]],"&gt;"&amp;$D17,Datos_Origen[[#All],[Cteqp]],"&lt;="&amp;$E17)=0,"",COUNTIFS(Datos_Origen[[#All],[Cteqp]],"&gt;"&amp;$D17,Datos_Origen[[#All],[Cteqp]],"&lt;="&amp;$E17))</f>
        <v/>
      </c>
      <c r="M17" s="47" t="str">
        <f t="shared" si="2"/>
        <v/>
      </c>
      <c r="N17" s="625"/>
      <c r="O17" s="228">
        <v>1</v>
      </c>
      <c r="P17" s="228"/>
      <c r="Q17" s="228">
        <f>N11*PI()</f>
        <v>2.5765580036635716</v>
      </c>
      <c r="R17" s="228"/>
      <c r="S17" s="225"/>
    </row>
    <row r="18" spans="1:19" ht="15.6">
      <c r="A18" s="225"/>
      <c r="F18" s="59">
        <f t="shared" ref="F18:N18" si="4">SUM(F8:F17)</f>
        <v>139</v>
      </c>
      <c r="G18" s="60">
        <f t="shared" si="4"/>
        <v>1</v>
      </c>
      <c r="H18" s="60">
        <f t="shared" si="4"/>
        <v>1</v>
      </c>
      <c r="I18" s="59">
        <f t="shared" si="4"/>
        <v>139</v>
      </c>
      <c r="J18" s="60">
        <f t="shared" si="4"/>
        <v>1</v>
      </c>
      <c r="K18" s="60">
        <f t="shared" si="4"/>
        <v>1</v>
      </c>
      <c r="L18" s="59">
        <f t="shared" si="4"/>
        <v>139</v>
      </c>
      <c r="M18" s="60">
        <f t="shared" si="4"/>
        <v>1</v>
      </c>
      <c r="N18" s="60">
        <f t="shared" si="4"/>
        <v>1</v>
      </c>
      <c r="O18" s="228">
        <v>10</v>
      </c>
      <c r="P18" s="228"/>
      <c r="Q18" s="228"/>
      <c r="R18" s="228"/>
      <c r="S18" s="225"/>
    </row>
    <row r="19" spans="1:19">
      <c r="A19" s="225"/>
      <c r="B19" s="225"/>
      <c r="C19" s="225"/>
      <c r="D19" s="225"/>
      <c r="E19" s="225"/>
      <c r="F19" s="226"/>
      <c r="G19" s="227"/>
      <c r="H19" s="227"/>
      <c r="I19" s="226"/>
      <c r="J19" s="227"/>
      <c r="K19" s="227"/>
      <c r="L19" s="226"/>
      <c r="M19" s="227"/>
      <c r="N19" s="227"/>
      <c r="O19" s="225"/>
      <c r="P19" s="225"/>
      <c r="Q19" s="225"/>
      <c r="R19" s="225"/>
      <c r="S19" s="225"/>
    </row>
    <row r="20" spans="1:19">
      <c r="A20" s="225"/>
      <c r="B20" s="225"/>
      <c r="C20" s="225"/>
      <c r="D20" s="225"/>
      <c r="E20" s="225"/>
      <c r="F20" s="225"/>
      <c r="G20" s="225"/>
      <c r="H20" s="225"/>
      <c r="I20" s="225"/>
      <c r="J20" s="225"/>
      <c r="K20" s="225"/>
      <c r="L20" s="225"/>
      <c r="M20" s="225"/>
      <c r="N20" s="225"/>
      <c r="O20" s="225"/>
      <c r="P20" s="225"/>
      <c r="Q20" s="225"/>
      <c r="R20" s="225"/>
      <c r="S20" s="225"/>
    </row>
    <row r="21" spans="1:19">
      <c r="A21" s="225"/>
      <c r="B21" s="225"/>
      <c r="C21" s="225"/>
      <c r="D21" s="225"/>
      <c r="E21" s="225"/>
      <c r="F21" s="225"/>
      <c r="G21" s="225"/>
      <c r="H21" s="225"/>
      <c r="I21" s="225"/>
      <c r="J21" s="225"/>
      <c r="K21" s="225"/>
      <c r="L21" s="225"/>
      <c r="M21" s="225"/>
      <c r="N21" s="225"/>
      <c r="O21" s="225"/>
      <c r="P21" s="225"/>
      <c r="Q21" s="225"/>
      <c r="R21" s="225"/>
      <c r="S21" s="225"/>
    </row>
    <row r="22" spans="1:19">
      <c r="A22" s="225"/>
      <c r="B22" s="621"/>
      <c r="C22" s="621"/>
      <c r="D22" s="621"/>
      <c r="E22" s="621"/>
      <c r="F22" s="621"/>
      <c r="G22" s="621"/>
      <c r="H22" s="621"/>
      <c r="I22" s="621"/>
      <c r="J22" s="621"/>
      <c r="K22" s="621"/>
      <c r="L22" s="621"/>
      <c r="M22" s="621"/>
      <c r="N22" s="621"/>
      <c r="O22" s="621"/>
      <c r="P22" s="621"/>
      <c r="Q22" s="621"/>
      <c r="R22" s="225"/>
      <c r="S22" s="225"/>
    </row>
    <row r="23" spans="1:19">
      <c r="A23" s="225"/>
      <c r="B23" s="225"/>
      <c r="C23" s="225"/>
      <c r="D23" s="225"/>
      <c r="E23" s="225"/>
      <c r="F23" s="225"/>
      <c r="G23" s="225"/>
      <c r="H23" s="225"/>
      <c r="I23" s="225"/>
      <c r="J23" s="225"/>
      <c r="K23" s="225"/>
      <c r="L23" s="225"/>
      <c r="M23" s="225"/>
      <c r="N23" s="225"/>
      <c r="O23" s="225"/>
      <c r="P23" s="225"/>
      <c r="Q23" s="225"/>
      <c r="R23" s="225"/>
      <c r="S23" s="225"/>
    </row>
    <row r="24" spans="1:19">
      <c r="A24" s="225"/>
      <c r="D24" s="611" t="s">
        <v>15</v>
      </c>
      <c r="E24" s="612"/>
      <c r="F24" s="622" t="s">
        <v>273</v>
      </c>
      <c r="G24" s="622"/>
      <c r="H24" s="622"/>
      <c r="I24" s="601" t="s">
        <v>277</v>
      </c>
      <c r="J24" s="601"/>
      <c r="K24" s="601"/>
      <c r="L24" s="622" t="s">
        <v>295</v>
      </c>
      <c r="M24" s="622"/>
      <c r="N24" s="622"/>
      <c r="O24" s="622" t="s">
        <v>290</v>
      </c>
      <c r="P24" s="622"/>
      <c r="Q24" s="622"/>
      <c r="R24" s="225"/>
      <c r="S24" s="225"/>
    </row>
    <row r="25" spans="1:19" ht="26.4">
      <c r="A25" s="225"/>
      <c r="D25" s="613"/>
      <c r="E25" s="614"/>
      <c r="F25" s="88" t="s">
        <v>644</v>
      </c>
      <c r="G25" s="38" t="s">
        <v>645</v>
      </c>
      <c r="H25" s="38" t="s">
        <v>645</v>
      </c>
      <c r="I25" s="89" t="s">
        <v>644</v>
      </c>
      <c r="J25" s="39" t="s">
        <v>645</v>
      </c>
      <c r="K25" s="39" t="s">
        <v>645</v>
      </c>
      <c r="L25" s="88" t="s">
        <v>644</v>
      </c>
      <c r="M25" s="38" t="s">
        <v>645</v>
      </c>
      <c r="N25" s="38" t="s">
        <v>645</v>
      </c>
      <c r="O25" s="88" t="s">
        <v>644</v>
      </c>
      <c r="P25" s="38" t="s">
        <v>645</v>
      </c>
      <c r="Q25" s="38" t="s">
        <v>645</v>
      </c>
      <c r="R25" s="225"/>
      <c r="S25" s="225"/>
    </row>
    <row r="26" spans="1:19">
      <c r="A26" s="225"/>
      <c r="B26" s="615" t="s">
        <v>646</v>
      </c>
      <c r="C26" s="615" t="s">
        <v>647</v>
      </c>
      <c r="D26" s="45">
        <v>1.5</v>
      </c>
      <c r="E26" s="45">
        <v>9</v>
      </c>
      <c r="F26" s="46">
        <f>IF(COUNTIFS(Datos_Origen[Cteqp],"&gt;"&amp;$D26,Datos_Origen[Cteqp],"&lt;="&amp;$E26,Datos_Origen[Criticidad],F$24)=0,"",COUNTIFS(Datos_Origen[Cteqp],"&gt;"&amp;$D26,Datos_Origen[Cteqp],"&lt;="&amp;$E26,Datos_Origen[Criticidad],F$24))</f>
        <v>2</v>
      </c>
      <c r="G26" s="47">
        <f>IFERROR(F26/F$36,"")</f>
        <v>7.407407407407407E-2</v>
      </c>
      <c r="H26" s="616">
        <f>IF(SUM(G26:G28)=0,"",SUM(G26:G28))</f>
        <v>0.14814814814814814</v>
      </c>
      <c r="I26" s="46" t="str">
        <f>IF(COUNTIFS(Datos_Origen[Cteqp],"&gt;"&amp;$D26,Datos_Origen[Cteqp],"&lt;="&amp;$E26,Datos_Origen[Criticidad],I$24)=0,"",COUNTIFS(Datos_Origen[Cteqp],"&gt;"&amp;$D26,Datos_Origen[Cteqp],"&lt;="&amp;$E26,Datos_Origen[Criticidad],I$24))</f>
        <v/>
      </c>
      <c r="J26" s="47" t="str">
        <f>IFERROR(I26/I$36,"")</f>
        <v/>
      </c>
      <c r="K26" s="623">
        <f>IF(SUM(J26:J28)=0,"",SUM(J26:J28))</f>
        <v>0.15384615384615385</v>
      </c>
      <c r="L26" s="46" t="str">
        <f>IF(COUNTIFS(Datos_Origen[Cteqp],"&gt;"&amp;$D26,Datos_Origen[Cteqp],"&lt;="&amp;$E26,Datos_Origen[Criticidad],L$24)=0,"",COUNTIFS(Datos_Origen[Cteqp],"&gt;"&amp;$D26,Datos_Origen[Cteqp],"&lt;="&amp;$E26,Datos_Origen[Criticidad],L$24))</f>
        <v/>
      </c>
      <c r="M26" s="47" t="str">
        <f>IFERROR(L26/L$36,"")</f>
        <v/>
      </c>
      <c r="N26" s="623">
        <f>IF(SUM(M26:M28)=0,"",SUM(M26:M28))</f>
        <v>2.3255813953488372E-2</v>
      </c>
      <c r="O26" s="46">
        <f>IF(COUNTIFS(Datos_Origen[Cteqp],"&gt;"&amp;$D26,Datos_Origen[Cteqp],"&lt;="&amp;$E26,Datos_Origen[Criticidad],O$24)=0,"",COUNTIFS(Datos_Origen[Cteqp],"&gt;"&amp;$D26,Datos_Origen[Cteqp],"&lt;="&amp;$E26,Datos_Origen[Criticidad],O$24))</f>
        <v>2</v>
      </c>
      <c r="P26" s="47">
        <f>IFERROR(O26/O$36,"")</f>
        <v>3.5714285714285712E-2</v>
      </c>
      <c r="Q26" s="623">
        <f>IF(SUM(P26:P28)=0,"",SUM(P26:P28))</f>
        <v>0.10714285714285714</v>
      </c>
      <c r="R26" s="225"/>
      <c r="S26" s="225"/>
    </row>
    <row r="27" spans="1:19">
      <c r="A27" s="225"/>
      <c r="B27" s="615"/>
      <c r="C27" s="615"/>
      <c r="D27" s="45">
        <v>1.3</v>
      </c>
      <c r="E27" s="45">
        <f>D26</f>
        <v>1.5</v>
      </c>
      <c r="F27" s="46">
        <f>IF(COUNTIFS(Datos_Origen[Cteqp],"&gt;"&amp;$D27,Datos_Origen[Cteqp],"&lt;="&amp;$E27,Datos_Origen[Criticidad],F$24)=0,"",COUNTIFS(Datos_Origen[Cteqp],"&gt;"&amp;$D27,Datos_Origen[Cteqp],"&lt;="&amp;$E27,Datos_Origen[Criticidad],F$24))</f>
        <v>1</v>
      </c>
      <c r="G27" s="47">
        <f t="shared" ref="G27:G35" si="5">IFERROR(F27/F$36,"")</f>
        <v>3.7037037037037035E-2</v>
      </c>
      <c r="H27" s="616"/>
      <c r="I27" s="46">
        <f>IF(COUNTIFS(Datos_Origen[Cteqp],"&gt;"&amp;$D27,Datos_Origen[Cteqp],"&lt;="&amp;$E27,Datos_Origen[Criticidad],I$24)=0,"",COUNTIFS(Datos_Origen[Cteqp],"&gt;"&amp;$D27,Datos_Origen[Cteqp],"&lt;="&amp;$E27,Datos_Origen[Criticidad],I$24))</f>
        <v>1</v>
      </c>
      <c r="J27" s="47">
        <f t="shared" ref="J27:J35" si="6">IFERROR(I27/I$36,"")</f>
        <v>7.6923076923076927E-2</v>
      </c>
      <c r="K27" s="624"/>
      <c r="L27" s="46">
        <f>IF(COUNTIFS(Datos_Origen[Cteqp],"&gt;"&amp;$D27,Datos_Origen[Cteqp],"&lt;="&amp;$E27,Datos_Origen[Criticidad],L$24)=0,"",COUNTIFS(Datos_Origen[Cteqp],"&gt;"&amp;$D27,Datos_Origen[Cteqp],"&lt;="&amp;$E27,Datos_Origen[Criticidad],L$24))</f>
        <v>1</v>
      </c>
      <c r="M27" s="47">
        <f t="shared" ref="M27:M35" si="7">IFERROR(L27/L$36,"")</f>
        <v>2.3255813953488372E-2</v>
      </c>
      <c r="N27" s="624"/>
      <c r="O27" s="46">
        <f>IF(COUNTIFS(Datos_Origen[Cteqp],"&gt;"&amp;$D27,Datos_Origen[Cteqp],"&lt;="&amp;$E27,Datos_Origen[Criticidad],O$24)=0,"",COUNTIFS(Datos_Origen[Cteqp],"&gt;"&amp;$D27,Datos_Origen[Cteqp],"&lt;="&amp;$E27,Datos_Origen[Criticidad],O$24))</f>
        <v>4</v>
      </c>
      <c r="P27" s="47">
        <f t="shared" ref="P27:P35" si="8">IFERROR(O27/O$36,"")</f>
        <v>7.1428571428571425E-2</v>
      </c>
      <c r="Q27" s="624"/>
      <c r="R27" s="225"/>
      <c r="S27" s="225"/>
    </row>
    <row r="28" spans="1:19">
      <c r="A28" s="225"/>
      <c r="B28" s="615"/>
      <c r="C28" s="615"/>
      <c r="D28" s="45">
        <v>1.2</v>
      </c>
      <c r="E28" s="45">
        <f t="shared" ref="E28:E35" si="9">D27</f>
        <v>1.3</v>
      </c>
      <c r="F28" s="46">
        <f>IF(COUNTIFS(Datos_Origen[Cteqp],"&gt;"&amp;$D28,Datos_Origen[Cteqp],"&lt;="&amp;$E28,Datos_Origen[Criticidad],F$24)=0,"",COUNTIFS(Datos_Origen[Cteqp],"&gt;"&amp;$D28,Datos_Origen[Cteqp],"&lt;="&amp;$E28,Datos_Origen[Criticidad],F$24))</f>
        <v>1</v>
      </c>
      <c r="G28" s="47">
        <f t="shared" si="5"/>
        <v>3.7037037037037035E-2</v>
      </c>
      <c r="H28" s="616"/>
      <c r="I28" s="46">
        <f>IF(COUNTIFS(Datos_Origen[Cteqp],"&gt;"&amp;$D28,Datos_Origen[Cteqp],"&lt;="&amp;$E28,Datos_Origen[Criticidad],I$24)=0,"",COUNTIFS(Datos_Origen[Cteqp],"&gt;"&amp;$D28,Datos_Origen[Cteqp],"&lt;="&amp;$E28,Datos_Origen[Criticidad],I$24))</f>
        <v>1</v>
      </c>
      <c r="J28" s="47">
        <f t="shared" si="6"/>
        <v>7.6923076923076927E-2</v>
      </c>
      <c r="K28" s="625"/>
      <c r="L28" s="46" t="str">
        <f>IF(COUNTIFS(Datos_Origen[Cteqp],"&gt;"&amp;$D28,Datos_Origen[Cteqp],"&lt;="&amp;$E28,Datos_Origen[Criticidad],L$24)=0,"",COUNTIFS(Datos_Origen[Cteqp],"&gt;"&amp;$D28,Datos_Origen[Cteqp],"&lt;="&amp;$E28,Datos_Origen[Criticidad],L$24))</f>
        <v/>
      </c>
      <c r="M28" s="47" t="str">
        <f t="shared" si="7"/>
        <v/>
      </c>
      <c r="N28" s="625"/>
      <c r="O28" s="46" t="str">
        <f>IF(COUNTIFS(Datos_Origen[Cteqp],"&gt;"&amp;$D28,Datos_Origen[Cteqp],"&lt;="&amp;$E28,Datos_Origen[Criticidad],O$24)=0,"",COUNTIFS(Datos_Origen[Cteqp],"&gt;"&amp;$D28,Datos_Origen[Cteqp],"&lt;="&amp;$E28,Datos_Origen[Criticidad],O$24))</f>
        <v/>
      </c>
      <c r="P28" s="47" t="str">
        <f t="shared" si="8"/>
        <v/>
      </c>
      <c r="Q28" s="625"/>
      <c r="R28" s="225"/>
      <c r="S28" s="225"/>
    </row>
    <row r="29" spans="1:19" ht="16.2">
      <c r="A29" s="225"/>
      <c r="B29" s="615"/>
      <c r="C29" s="631" t="s">
        <v>648</v>
      </c>
      <c r="D29" s="50">
        <v>1.1000000000000001</v>
      </c>
      <c r="E29" s="50">
        <f t="shared" si="9"/>
        <v>1.2</v>
      </c>
      <c r="F29" s="51">
        <f>IF(COUNTIFS(Datos_Origen[Cteqp],"&gt;"&amp;$D29,Datos_Origen[Cteqp],"&lt;="&amp;$E29,Datos_Origen[Criticidad],F$24)=0,"",COUNTIFS(Datos_Origen[Cteqp],"&gt;"&amp;$D29,Datos_Origen[Cteqp],"&lt;="&amp;$E29,Datos_Origen[Criticidad],F$24))</f>
        <v>3</v>
      </c>
      <c r="G29" s="52">
        <f t="shared" si="5"/>
        <v>0.1111111111111111</v>
      </c>
      <c r="H29" s="617">
        <f>IF(SUM(G29:G32)=0,"",SUM(G29:G32))</f>
        <v>0.85185185185185186</v>
      </c>
      <c r="I29" s="51">
        <f>IF(COUNTIFS(Datos_Origen[Cteqp],"&gt;"&amp;$D29,Datos_Origen[Cteqp],"&lt;="&amp;$E29,Datos_Origen[Criticidad],I$24)=0,"",COUNTIFS(Datos_Origen[Cteqp],"&gt;"&amp;$D29,Datos_Origen[Cteqp],"&lt;="&amp;$E29,Datos_Origen[Criticidad],I$24))</f>
        <v>4</v>
      </c>
      <c r="J29" s="52">
        <f t="shared" si="6"/>
        <v>0.30769230769230771</v>
      </c>
      <c r="K29" s="626">
        <f>IF(SUM(J29:J32)=0,"",SUM(J29:J32))</f>
        <v>0.69230769230769229</v>
      </c>
      <c r="L29" s="51">
        <f>IF(COUNTIFS(Datos_Origen[Cteqp],"&gt;"&amp;$D29,Datos_Origen[Cteqp],"&lt;="&amp;$E29,Datos_Origen[Criticidad],L$24)=0,"",COUNTIFS(Datos_Origen[Cteqp],"&gt;"&amp;$D29,Datos_Origen[Cteqp],"&lt;="&amp;$E29,Datos_Origen[Criticidad],L$24))</f>
        <v>6</v>
      </c>
      <c r="M29" s="52">
        <f t="shared" si="7"/>
        <v>0.13953488372093023</v>
      </c>
      <c r="N29" s="626">
        <f>IF(SUM(M29:M32)=0,"",SUM(M29:M32))</f>
        <v>0.9767441860465117</v>
      </c>
      <c r="O29" s="51" t="str">
        <f>IF(COUNTIFS(Datos_Origen[Cteqp],"&gt;"&amp;$D29,Datos_Origen[Cteqp],"&lt;="&amp;$E29,Datos_Origen[Criticidad],O$24)=0,"",COUNTIFS(Datos_Origen[Cteqp],"&gt;"&amp;$D29,Datos_Origen[Cteqp],"&lt;="&amp;$E29,Datos_Origen[Criticidad],O$24))</f>
        <v/>
      </c>
      <c r="P29" s="52" t="str">
        <f t="shared" si="8"/>
        <v/>
      </c>
      <c r="Q29" s="626">
        <f>IF(SUM(P29:P32)=0,"",SUM(P29:P32))</f>
        <v>0.7142857142857143</v>
      </c>
      <c r="R29" s="225"/>
      <c r="S29" s="225"/>
    </row>
    <row r="30" spans="1:19" ht="16.2">
      <c r="A30" s="225"/>
      <c r="B30" s="615"/>
      <c r="C30" s="632"/>
      <c r="D30" s="53">
        <v>1</v>
      </c>
      <c r="E30" s="53">
        <f t="shared" si="9"/>
        <v>1.1000000000000001</v>
      </c>
      <c r="F30" s="54">
        <f>IF(COUNTIFS(Datos_Origen[Cteqp],"&gt;"&amp;$D30,Datos_Origen[Cteqp],"&lt;="&amp;$E30,Datos_Origen[Criticidad],F$24)=0,"",COUNTIFS(Datos_Origen[Cteqp],"&gt;"&amp;$D30,Datos_Origen[Cteqp],"&lt;="&amp;$E30,Datos_Origen[Criticidad],F$24))</f>
        <v>3</v>
      </c>
      <c r="G30" s="55">
        <f t="shared" si="5"/>
        <v>0.1111111111111111</v>
      </c>
      <c r="H30" s="618"/>
      <c r="I30" s="54">
        <f>IF(COUNTIFS(Datos_Origen[Cteqp],"&gt;"&amp;$D30,Datos_Origen[Cteqp],"&lt;="&amp;$E30,Datos_Origen[Criticidad],I$24)=0,"",COUNTIFS(Datos_Origen[Cteqp],"&gt;"&amp;$D30,Datos_Origen[Cteqp],"&lt;="&amp;$E30,Datos_Origen[Criticidad],I$24))</f>
        <v>3</v>
      </c>
      <c r="J30" s="55">
        <f t="shared" si="6"/>
        <v>0.23076923076923078</v>
      </c>
      <c r="K30" s="627"/>
      <c r="L30" s="54">
        <f>IF(COUNTIFS(Datos_Origen[Cteqp],"&gt;"&amp;$D30,Datos_Origen[Cteqp],"&lt;="&amp;$E30,Datos_Origen[Criticidad],L$24)=0,"",COUNTIFS(Datos_Origen[Cteqp],"&gt;"&amp;$D30,Datos_Origen[Cteqp],"&lt;="&amp;$E30,Datos_Origen[Criticidad],L$24))</f>
        <v>22</v>
      </c>
      <c r="M30" s="55">
        <f t="shared" si="7"/>
        <v>0.51162790697674421</v>
      </c>
      <c r="N30" s="627"/>
      <c r="O30" s="54">
        <f>IF(COUNTIFS(Datos_Origen[Cteqp],"&gt;"&amp;$D30,Datos_Origen[Cteqp],"&lt;="&amp;$E30,Datos_Origen[Criticidad],O$24)=0,"",COUNTIFS(Datos_Origen[Cteqp],"&gt;"&amp;$D30,Datos_Origen[Cteqp],"&lt;="&amp;$E30,Datos_Origen[Criticidad],O$24))</f>
        <v>1</v>
      </c>
      <c r="P30" s="55">
        <f t="shared" si="8"/>
        <v>1.7857142857142856E-2</v>
      </c>
      <c r="Q30" s="627"/>
      <c r="R30" s="225"/>
      <c r="S30" s="225"/>
    </row>
    <row r="31" spans="1:19" ht="16.2">
      <c r="A31" s="225"/>
      <c r="B31" s="615"/>
      <c r="C31" s="632"/>
      <c r="D31" s="53">
        <v>0.9</v>
      </c>
      <c r="E31" s="53">
        <f t="shared" si="9"/>
        <v>1</v>
      </c>
      <c r="F31" s="54">
        <f>IF(COUNTIFS(Datos_Origen[Cteqp],"&gt;"&amp;$D31,Datos_Origen[Cteqp],"&lt;="&amp;$E31,Datos_Origen[Criticidad],F$24)=0,"",COUNTIFS(Datos_Origen[Cteqp],"&gt;"&amp;$D31,Datos_Origen[Cteqp],"&lt;="&amp;$E31,Datos_Origen[Criticidad],F$24))</f>
        <v>2</v>
      </c>
      <c r="G31" s="55">
        <f t="shared" si="5"/>
        <v>7.407407407407407E-2</v>
      </c>
      <c r="H31" s="618"/>
      <c r="I31" s="54">
        <f>IF(COUNTIFS(Datos_Origen[Cteqp],"&gt;"&amp;$D31,Datos_Origen[Cteqp],"&lt;="&amp;$E31,Datos_Origen[Criticidad],I$24)=0,"",COUNTIFS(Datos_Origen[Cteqp],"&gt;"&amp;$D31,Datos_Origen[Cteqp],"&lt;="&amp;$E31,Datos_Origen[Criticidad],I$24))</f>
        <v>1</v>
      </c>
      <c r="J31" s="55">
        <f t="shared" si="6"/>
        <v>7.6923076923076927E-2</v>
      </c>
      <c r="K31" s="627"/>
      <c r="L31" s="54">
        <f>IF(COUNTIFS(Datos_Origen[Cteqp],"&gt;"&amp;$D31,Datos_Origen[Cteqp],"&lt;="&amp;$E31,Datos_Origen[Criticidad],L$24)=0,"",COUNTIFS(Datos_Origen[Cteqp],"&gt;"&amp;$D31,Datos_Origen[Cteqp],"&lt;="&amp;$E31,Datos_Origen[Criticidad],L$24))</f>
        <v>12</v>
      </c>
      <c r="M31" s="55">
        <f t="shared" si="7"/>
        <v>0.27906976744186046</v>
      </c>
      <c r="N31" s="627"/>
      <c r="O31" s="54">
        <f>IF(COUNTIFS(Datos_Origen[Cteqp],"&gt;"&amp;$D31,Datos_Origen[Cteqp],"&lt;="&amp;$E31,Datos_Origen[Criticidad],O$24)=0,"",COUNTIFS(Datos_Origen[Cteqp],"&gt;"&amp;$D31,Datos_Origen[Cteqp],"&lt;="&amp;$E31,Datos_Origen[Criticidad],O$24))</f>
        <v>14</v>
      </c>
      <c r="P31" s="55">
        <f t="shared" si="8"/>
        <v>0.25</v>
      </c>
      <c r="Q31" s="627"/>
      <c r="R31" s="225"/>
      <c r="S31" s="225"/>
    </row>
    <row r="32" spans="1:19" ht="16.2">
      <c r="A32" s="225"/>
      <c r="B32" s="615"/>
      <c r="C32" s="633"/>
      <c r="D32" s="56">
        <v>0.8</v>
      </c>
      <c r="E32" s="56">
        <f t="shared" si="9"/>
        <v>0.9</v>
      </c>
      <c r="F32" s="57">
        <f>IF(COUNTIFS(Datos_Origen[Cteqp],"&gt;"&amp;$D32,Datos_Origen[Cteqp],"&lt;="&amp;$E32,Datos_Origen[Criticidad],F$24)=0,"",COUNTIFS(Datos_Origen[Cteqp],"&gt;"&amp;$D32,Datos_Origen[Cteqp],"&lt;="&amp;$E32,Datos_Origen[Criticidad],F$24))</f>
        <v>15</v>
      </c>
      <c r="G32" s="58">
        <f t="shared" si="5"/>
        <v>0.55555555555555558</v>
      </c>
      <c r="H32" s="619"/>
      <c r="I32" s="57">
        <f>IF(COUNTIFS(Datos_Origen[Cteqp],"&gt;"&amp;$D32,Datos_Origen[Cteqp],"&lt;="&amp;$E32,Datos_Origen[Criticidad],I$24)=0,"",COUNTIFS(Datos_Origen[Cteqp],"&gt;"&amp;$D32,Datos_Origen[Cteqp],"&lt;="&amp;$E32,Datos_Origen[Criticidad],I$24))</f>
        <v>1</v>
      </c>
      <c r="J32" s="58">
        <f t="shared" si="6"/>
        <v>7.6923076923076927E-2</v>
      </c>
      <c r="K32" s="628"/>
      <c r="L32" s="57">
        <f>IF(COUNTIFS(Datos_Origen[Cteqp],"&gt;"&amp;$D32,Datos_Origen[Cteqp],"&lt;="&amp;$E32,Datos_Origen[Criticidad],L$24)=0,"",COUNTIFS(Datos_Origen[Cteqp],"&gt;"&amp;$D32,Datos_Origen[Cteqp],"&lt;="&amp;$E32,Datos_Origen[Criticidad],L$24))</f>
        <v>2</v>
      </c>
      <c r="M32" s="58">
        <f t="shared" si="7"/>
        <v>4.6511627906976744E-2</v>
      </c>
      <c r="N32" s="628"/>
      <c r="O32" s="57">
        <f>IF(COUNTIFS(Datos_Origen[Cteqp],"&gt;"&amp;$D32,Datos_Origen[Cteqp],"&lt;="&amp;$E32,Datos_Origen[Criticidad],O$24)=0,"",COUNTIFS(Datos_Origen[Cteqp],"&gt;"&amp;$D32,Datos_Origen[Cteqp],"&lt;="&amp;$E32,Datos_Origen[Criticidad],O$24))</f>
        <v>25</v>
      </c>
      <c r="P32" s="58">
        <f t="shared" si="8"/>
        <v>0.44642857142857145</v>
      </c>
      <c r="Q32" s="628"/>
      <c r="R32" s="225"/>
      <c r="S32" s="225"/>
    </row>
    <row r="33" spans="1:19">
      <c r="A33" s="225"/>
      <c r="B33" s="615"/>
      <c r="C33" s="615" t="s">
        <v>651</v>
      </c>
      <c r="D33" s="45">
        <v>0.7</v>
      </c>
      <c r="E33" s="45">
        <f t="shared" si="9"/>
        <v>0.8</v>
      </c>
      <c r="F33" s="46" t="str">
        <f>IF(COUNTIFS(Datos_Origen[Cteqp],"&gt;"&amp;$D33,Datos_Origen[Cteqp],"&lt;="&amp;$E33,Datos_Origen[Criticidad],F$24)=0,"",COUNTIFS(Datos_Origen[Cteqp],"&gt;"&amp;$D33,Datos_Origen[Cteqp],"&lt;="&amp;$E33,Datos_Origen[Criticidad],F$24))</f>
        <v/>
      </c>
      <c r="G33" s="47" t="str">
        <f t="shared" si="5"/>
        <v/>
      </c>
      <c r="H33" s="616" t="str">
        <f>IF(SUM(G33:G35)=0,"",SUM(G33:G35))</f>
        <v/>
      </c>
      <c r="I33" s="46">
        <f>IF(COUNTIFS(Datos_Origen[Cteqp],"&gt;"&amp;$D33,Datos_Origen[Cteqp],"&lt;="&amp;$E33,Datos_Origen[Criticidad],I$24)=0,"",COUNTIFS(Datos_Origen[Cteqp],"&gt;"&amp;$D33,Datos_Origen[Cteqp],"&lt;="&amp;$E33,Datos_Origen[Criticidad],I$24))</f>
        <v>2</v>
      </c>
      <c r="J33" s="47">
        <f t="shared" si="6"/>
        <v>0.15384615384615385</v>
      </c>
      <c r="K33" s="623">
        <f>IF(SUM(J33:J35)=0,"",SUM(J33:J35))</f>
        <v>0.15384615384615385</v>
      </c>
      <c r="L33" s="46" t="str">
        <f>IF(COUNTIFS(Datos_Origen[Cteqp],"&gt;"&amp;$D33,Datos_Origen[Cteqp],"&lt;="&amp;$E33,Datos_Origen[Criticidad],L$24)=0,"",COUNTIFS(Datos_Origen[Cteqp],"&gt;"&amp;$D33,Datos_Origen[Cteqp],"&lt;="&amp;$E33,Datos_Origen[Criticidad],L$24))</f>
        <v/>
      </c>
      <c r="M33" s="47" t="str">
        <f t="shared" si="7"/>
        <v/>
      </c>
      <c r="N33" s="623" t="str">
        <f>IF(SUM(M33:M35)=0,"",SUM(M33:M35))</f>
        <v/>
      </c>
      <c r="O33" s="46">
        <f>IF(COUNTIFS(Datos_Origen[Cteqp],"&gt;"&amp;$D33,Datos_Origen[Cteqp],"&lt;="&amp;$E33,Datos_Origen[Criticidad],O$24)=0,"",COUNTIFS(Datos_Origen[Cteqp],"&gt;"&amp;$D33,Datos_Origen[Cteqp],"&lt;="&amp;$E33,Datos_Origen[Criticidad],O$24))</f>
        <v>9</v>
      </c>
      <c r="P33" s="47">
        <f t="shared" si="8"/>
        <v>0.16071428571428573</v>
      </c>
      <c r="Q33" s="623">
        <f>IF(SUM(P33:P35)=0,"",SUM(P33:P35))</f>
        <v>0.17857142857142858</v>
      </c>
      <c r="R33" s="225"/>
      <c r="S33" s="225"/>
    </row>
    <row r="34" spans="1:19">
      <c r="A34" s="225"/>
      <c r="B34" s="615"/>
      <c r="C34" s="630"/>
      <c r="D34" s="45">
        <v>0.6</v>
      </c>
      <c r="E34" s="45">
        <f t="shared" si="9"/>
        <v>0.7</v>
      </c>
      <c r="F34" s="46" t="str">
        <f>IF(COUNTIFS(Datos_Origen[Cteqp],"&gt;"&amp;$D34,Datos_Origen[Cteqp],"&lt;="&amp;$E34,Datos_Origen[Criticidad],F$24)=0,"",COUNTIFS(Datos_Origen[Cteqp],"&gt;"&amp;$D34,Datos_Origen[Cteqp],"&lt;="&amp;$E34,Datos_Origen[Criticidad],F$24))</f>
        <v/>
      </c>
      <c r="G34" s="47" t="str">
        <f t="shared" si="5"/>
        <v/>
      </c>
      <c r="H34" s="616"/>
      <c r="I34" s="46" t="str">
        <f>IF(COUNTIFS(Datos_Origen[Cteqp],"&gt;"&amp;$D34,Datos_Origen[Cteqp],"&lt;="&amp;$E34,Datos_Origen[Criticidad],I$24)=0,"",COUNTIFS(Datos_Origen[Cteqp],"&gt;"&amp;$D34,Datos_Origen[Cteqp],"&lt;="&amp;$E34,Datos_Origen[Criticidad],I$24))</f>
        <v/>
      </c>
      <c r="J34" s="47" t="str">
        <f t="shared" si="6"/>
        <v/>
      </c>
      <c r="K34" s="624"/>
      <c r="L34" s="46" t="str">
        <f>IF(COUNTIFS(Datos_Origen[Cteqp],"&gt;"&amp;$D34,Datos_Origen[Cteqp],"&lt;="&amp;$E34,Datos_Origen[Criticidad],L$24)=0,"",COUNTIFS(Datos_Origen[Cteqp],"&gt;"&amp;$D34,Datos_Origen[Cteqp],"&lt;="&amp;$E34,Datos_Origen[Criticidad],L$24))</f>
        <v/>
      </c>
      <c r="M34" s="47" t="str">
        <f t="shared" si="7"/>
        <v/>
      </c>
      <c r="N34" s="624"/>
      <c r="O34" s="46">
        <f>IF(COUNTIFS(Datos_Origen[Cteqp],"&gt;"&amp;$D34,Datos_Origen[Cteqp],"&lt;="&amp;$E34,Datos_Origen[Criticidad],O$24)=0,"",COUNTIFS(Datos_Origen[Cteqp],"&gt;"&amp;$D34,Datos_Origen[Cteqp],"&lt;="&amp;$E34,Datos_Origen[Criticidad],O$24))</f>
        <v>1</v>
      </c>
      <c r="P34" s="47">
        <f t="shared" si="8"/>
        <v>1.7857142857142856E-2</v>
      </c>
      <c r="Q34" s="624"/>
      <c r="R34" s="225"/>
      <c r="S34" s="225"/>
    </row>
    <row r="35" spans="1:19">
      <c r="A35" s="225"/>
      <c r="B35" s="615"/>
      <c r="C35" s="630"/>
      <c r="D35" s="48">
        <v>0</v>
      </c>
      <c r="E35" s="45">
        <f t="shared" si="9"/>
        <v>0.6</v>
      </c>
      <c r="F35" s="46" t="str">
        <f>IF(COUNTIFS(Datos_Origen[Cteqp],"&gt;"&amp;$D35,Datos_Origen[Cteqp],"&lt;="&amp;$E35,Datos_Origen[Criticidad],F$24)=0,"",COUNTIFS(Datos_Origen[Cteqp],"&gt;"&amp;$D35,Datos_Origen[Cteqp],"&lt;="&amp;$E35,Datos_Origen[Criticidad],F$24))</f>
        <v/>
      </c>
      <c r="G35" s="47" t="str">
        <f t="shared" si="5"/>
        <v/>
      </c>
      <c r="H35" s="616"/>
      <c r="I35" s="46" t="str">
        <f>IF(COUNTIFS(Datos_Origen[Cteqp],"&gt;"&amp;$D35,Datos_Origen[Cteqp],"&lt;="&amp;$E35,Datos_Origen[Criticidad],I$24)=0,"",COUNTIFS(Datos_Origen[Cteqp],"&gt;"&amp;$D35,Datos_Origen[Cteqp],"&lt;="&amp;$E35,Datos_Origen[Criticidad],I$24))</f>
        <v/>
      </c>
      <c r="J35" s="47" t="str">
        <f t="shared" si="6"/>
        <v/>
      </c>
      <c r="K35" s="625"/>
      <c r="L35" s="46" t="str">
        <f>IF(COUNTIFS(Datos_Origen[Cteqp],"&gt;"&amp;$D35,Datos_Origen[Cteqp],"&lt;="&amp;$E35,Datos_Origen[Criticidad],L$24)=0,"",COUNTIFS(Datos_Origen[Cteqp],"&gt;"&amp;$D35,Datos_Origen[Cteqp],"&lt;="&amp;$E35,Datos_Origen[Criticidad],L$24))</f>
        <v/>
      </c>
      <c r="M35" s="47" t="str">
        <f t="shared" si="7"/>
        <v/>
      </c>
      <c r="N35" s="625"/>
      <c r="O35" s="46" t="str">
        <f>IF(COUNTIFS(Datos_Origen[Cteqp],"&gt;"&amp;$D35,Datos_Origen[Cteqp],"&lt;="&amp;$E35,Datos_Origen[Criticidad],O$24)=0,"",COUNTIFS(Datos_Origen[Cteqp],"&gt;"&amp;$D35,Datos_Origen[Cteqp],"&lt;="&amp;$E35,Datos_Origen[Criticidad],O$24))</f>
        <v/>
      </c>
      <c r="P35" s="47" t="str">
        <f t="shared" si="8"/>
        <v/>
      </c>
      <c r="Q35" s="625"/>
      <c r="R35" s="225"/>
      <c r="S35" s="225"/>
    </row>
    <row r="36" spans="1:19" ht="15.6">
      <c r="A36" s="225"/>
      <c r="F36" s="59">
        <f t="shared" ref="F36:N36" si="10">SUM(F26:F35)</f>
        <v>27</v>
      </c>
      <c r="G36" s="60">
        <f t="shared" si="10"/>
        <v>1</v>
      </c>
      <c r="H36" s="60">
        <f t="shared" si="10"/>
        <v>1</v>
      </c>
      <c r="I36" s="59">
        <f t="shared" si="10"/>
        <v>13</v>
      </c>
      <c r="J36" s="60">
        <f t="shared" si="10"/>
        <v>0.99999999999999989</v>
      </c>
      <c r="K36" s="60">
        <f t="shared" si="10"/>
        <v>1</v>
      </c>
      <c r="L36" s="59">
        <f t="shared" si="10"/>
        <v>43</v>
      </c>
      <c r="M36" s="60">
        <f t="shared" si="10"/>
        <v>1.0000000000000002</v>
      </c>
      <c r="N36" s="60">
        <f t="shared" si="10"/>
        <v>1</v>
      </c>
      <c r="O36" s="59">
        <f t="shared" ref="O36:Q36" si="11">SUM(O26:O35)</f>
        <v>56</v>
      </c>
      <c r="P36" s="60">
        <f t="shared" si="11"/>
        <v>1</v>
      </c>
      <c r="Q36" s="60">
        <f t="shared" si="11"/>
        <v>1</v>
      </c>
      <c r="R36" s="225"/>
      <c r="S36" s="225"/>
    </row>
    <row r="37" spans="1:19">
      <c r="A37" s="225"/>
      <c r="B37" s="225"/>
      <c r="C37" s="225"/>
      <c r="D37" s="225"/>
      <c r="E37" s="225"/>
      <c r="F37" s="226"/>
      <c r="G37" s="227"/>
      <c r="H37" s="227"/>
      <c r="I37" s="226"/>
      <c r="J37" s="227"/>
      <c r="K37" s="227"/>
      <c r="L37" s="226"/>
      <c r="M37" s="227"/>
      <c r="N37" s="227"/>
      <c r="O37" s="226"/>
      <c r="P37" s="227"/>
      <c r="Q37" s="227"/>
      <c r="R37" s="225"/>
      <c r="S37" s="225"/>
    </row>
    <row r="38" spans="1:19">
      <c r="A38" s="225"/>
      <c r="B38" s="225"/>
      <c r="C38" s="225"/>
      <c r="D38" s="225"/>
      <c r="E38" s="225"/>
      <c r="F38" s="225"/>
      <c r="G38" s="225"/>
      <c r="H38" s="225"/>
      <c r="I38" s="225"/>
      <c r="J38" s="225"/>
      <c r="K38" s="225"/>
      <c r="L38" s="225"/>
      <c r="M38" s="225"/>
      <c r="N38" s="225"/>
      <c r="O38" s="225"/>
      <c r="P38" s="225"/>
      <c r="Q38" s="225"/>
      <c r="R38" s="225"/>
      <c r="S38" s="225"/>
    </row>
    <row r="39" spans="1:19">
      <c r="A39" s="225"/>
      <c r="B39" s="225"/>
      <c r="C39" s="225"/>
      <c r="D39" s="225"/>
      <c r="E39" s="225"/>
      <c r="F39" s="225"/>
      <c r="G39" s="225"/>
      <c r="H39" s="225"/>
      <c r="I39" s="225"/>
      <c r="J39" s="225"/>
      <c r="K39" s="225"/>
      <c r="L39" s="225"/>
      <c r="M39" s="225"/>
      <c r="N39" s="225"/>
      <c r="O39" s="225"/>
      <c r="P39" s="225"/>
      <c r="Q39" s="225"/>
      <c r="S39" s="225"/>
    </row>
    <row r="40" spans="1:19" ht="15.6">
      <c r="A40" s="225"/>
      <c r="B40" s="620"/>
      <c r="C40" s="620"/>
      <c r="D40" s="620"/>
      <c r="E40" s="620"/>
      <c r="F40" s="620"/>
      <c r="G40" s="620"/>
      <c r="H40" s="620"/>
      <c r="I40" s="620"/>
      <c r="J40" s="620"/>
      <c r="K40" s="620"/>
      <c r="L40" s="620"/>
      <c r="M40" s="620"/>
      <c r="N40" s="620"/>
      <c r="O40" s="620"/>
      <c r="P40" s="620"/>
      <c r="Q40" s="620"/>
      <c r="S40" s="225"/>
    </row>
    <row r="41" spans="1:19">
      <c r="A41" s="225"/>
      <c r="B41" s="225"/>
      <c r="C41" s="225"/>
      <c r="D41" s="225"/>
      <c r="E41" s="225"/>
      <c r="F41" s="225"/>
      <c r="G41" s="225"/>
      <c r="H41" s="225"/>
      <c r="I41" s="225"/>
      <c r="J41" s="225"/>
      <c r="K41" s="225"/>
      <c r="L41" s="225"/>
      <c r="M41" s="225"/>
      <c r="N41" s="225"/>
      <c r="O41" s="225"/>
      <c r="P41" s="225"/>
      <c r="Q41" s="225"/>
      <c r="R41" s="225"/>
      <c r="S41" s="225"/>
    </row>
    <row r="42" spans="1:19">
      <c r="A42" s="225"/>
      <c r="B42" s="225"/>
      <c r="C42" s="634" t="s">
        <v>439</v>
      </c>
      <c r="D42" s="635" t="s">
        <v>652</v>
      </c>
      <c r="E42" s="238"/>
      <c r="F42" s="622" t="s">
        <v>653</v>
      </c>
      <c r="G42" s="622"/>
      <c r="H42" s="622"/>
      <c r="I42" s="238"/>
      <c r="J42" s="622" t="s">
        <v>654</v>
      </c>
      <c r="K42" s="622"/>
      <c r="L42" s="622"/>
      <c r="M42" s="238"/>
      <c r="N42" s="622" t="s">
        <v>23</v>
      </c>
      <c r="O42" s="622"/>
      <c r="P42" s="622"/>
      <c r="Q42" s="225"/>
      <c r="R42" s="225"/>
      <c r="S42" s="225"/>
    </row>
    <row r="43" spans="1:19">
      <c r="A43" s="225"/>
      <c r="B43" s="225"/>
      <c r="C43" s="634"/>
      <c r="D43" s="635"/>
      <c r="E43" s="238"/>
      <c r="F43" s="44" t="s">
        <v>655</v>
      </c>
      <c r="G43" s="44" t="s">
        <v>656</v>
      </c>
      <c r="H43" s="44" t="s">
        <v>657</v>
      </c>
      <c r="I43" s="238"/>
      <c r="J43" s="44" t="s">
        <v>655</v>
      </c>
      <c r="K43" s="44" t="s">
        <v>656</v>
      </c>
      <c r="L43" s="44" t="s">
        <v>657</v>
      </c>
      <c r="M43" s="238"/>
      <c r="N43" s="44" t="s">
        <v>655</v>
      </c>
      <c r="O43" s="44" t="s">
        <v>656</v>
      </c>
      <c r="P43" s="44" t="s">
        <v>657</v>
      </c>
      <c r="Q43" s="225"/>
      <c r="R43" s="225"/>
      <c r="S43" s="225"/>
    </row>
    <row r="44" spans="1:19">
      <c r="A44" s="225"/>
      <c r="B44" s="225"/>
      <c r="C44" s="44" t="s">
        <v>658</v>
      </c>
      <c r="D44" s="44">
        <f>SUM(D46:D51)</f>
        <v>139</v>
      </c>
      <c r="E44" s="238"/>
      <c r="F44" s="64">
        <f>H15</f>
        <v>9.3525179856115109E-2</v>
      </c>
      <c r="G44" s="64">
        <f>H11</f>
        <v>0.7769784172661871</v>
      </c>
      <c r="H44" s="64">
        <f>H8</f>
        <v>0.12949640287769784</v>
      </c>
      <c r="I44" s="238"/>
      <c r="J44" s="64">
        <f>K15</f>
        <v>8.6330935251798552E-2</v>
      </c>
      <c r="K44" s="64">
        <f>K11</f>
        <v>0.82014388489208634</v>
      </c>
      <c r="L44" s="64">
        <f>K8</f>
        <v>9.3525179856115109E-2</v>
      </c>
      <c r="M44" s="238"/>
      <c r="N44" s="64">
        <f>N15</f>
        <v>8.6330935251798552E-2</v>
      </c>
      <c r="O44" s="64">
        <f>N11</f>
        <v>0.82014388489208634</v>
      </c>
      <c r="P44" s="64">
        <f>N8</f>
        <v>9.3525179856115109E-2</v>
      </c>
      <c r="Q44" s="225"/>
      <c r="R44" s="225"/>
      <c r="S44" s="225"/>
    </row>
    <row r="45" spans="1:19">
      <c r="A45" s="225"/>
      <c r="B45" s="225"/>
      <c r="C45" s="609" t="s">
        <v>659</v>
      </c>
      <c r="D45" s="610"/>
      <c r="E45" s="238"/>
      <c r="F45" s="328">
        <f>IF(F15="",0,F15)+IF(F16="",0,F16)+IF(F17="",0,F17)</f>
        <v>13</v>
      </c>
      <c r="G45" s="328">
        <f>IF(F11="",0,F11)+IF(F12="",0,F12)+IF(F13="",0,F13)+IF(F14="",0,F14)</f>
        <v>108</v>
      </c>
      <c r="H45" s="328">
        <f>IF(F8="",0,F8)+IF(F9="",0,F9)+IF(F10="",0,F10)</f>
        <v>18</v>
      </c>
      <c r="I45" s="329"/>
      <c r="J45" s="328">
        <f>IF(I15="",0,I15)+IF(I16="",0,I16)+IF(I17="",0,I17)</f>
        <v>12</v>
      </c>
      <c r="K45" s="328">
        <f>IF(I11="",0,I11)+IF(I12="",0,I12)+IF(I13="",0,I13)+IF(I14="",0,I14)</f>
        <v>114</v>
      </c>
      <c r="L45" s="328">
        <f>IF(I8="",0,I8)+IF(I9="",0,I9)+IF(I10="",0,I10)</f>
        <v>13</v>
      </c>
      <c r="M45" s="329"/>
      <c r="N45" s="328">
        <f>IF(L15="",0,L15)+IF(L16="",0,L16)+IF(L17="",0,L17)</f>
        <v>12</v>
      </c>
      <c r="O45" s="328">
        <f>IF(L11="",0,L11)+IF(L12="",0,L12)+IF(L13="",0,L13)+IF(L14="",0,L14)</f>
        <v>114</v>
      </c>
      <c r="P45" s="328">
        <f>IF(L8="",0,L8)+IF(L9="",0,L9)+IF(L10="",0,L10)</f>
        <v>13</v>
      </c>
      <c r="Q45" s="225"/>
      <c r="R45" s="225"/>
      <c r="S45" s="225"/>
    </row>
    <row r="46" spans="1:19">
      <c r="A46" s="225"/>
      <c r="B46" s="225"/>
      <c r="C46" s="48" t="s">
        <v>660</v>
      </c>
      <c r="D46" s="48">
        <f>IFERROR(COUNTIFS(Datos_Origen[[#All],[Nivel]],$C46,Datos_Origen[[#All],[Ctpol1010]],"&gt;0"),"")</f>
        <v>1</v>
      </c>
      <c r="E46" s="239"/>
      <c r="F46" s="49">
        <f>IFERROR(COUNTIFS(Datos_Origen[Geqp],"&gt;0",Datos_Origen[Geqp],"&lt;80%",Datos_Origen[Nivel],$C46)/$D46,"")</f>
        <v>1</v>
      </c>
      <c r="G46" s="49">
        <f>IFERROR(COUNTIFS(Datos_Origen[Geqp],"&gt;=80%",Datos_Origen[Geqp],"&lt;=120%",Datos_Origen[Nivel],$C46)/$D46,"")</f>
        <v>0</v>
      </c>
      <c r="H46" s="49">
        <f>IFERROR(COUNTIFS(Datos_Origen[Geqp],"&gt;120%",Datos_Origen[Geqp],"&gt;120%",Datos_Origen[Nivel],$C46)/$D46,"")</f>
        <v>0</v>
      </c>
      <c r="I46" s="240"/>
      <c r="J46" s="49">
        <f>IFERROR(COUNTIFS(Datos_Origen[G+Veqp],"&gt;0",Datos_Origen[G+Veqp],"&lt;80%",Datos_Origen[Nivel],$C46)/$D46,"")</f>
        <v>0</v>
      </c>
      <c r="K46" s="49">
        <f>IFERROR(COUNTIFS(Datos_Origen[G+Veqp],"&gt;=80%",Datos_Origen[G+Veqp],"&lt;=120%",Datos_Origen[Nivel],$C46)/$D46,"")</f>
        <v>1</v>
      </c>
      <c r="L46" s="49">
        <f>IFERROR(COUNTIFS(Datos_Origen[G+Veqp],"&gt;120%",Datos_Origen[G+Veqp],"&gt;120%",Datos_Origen[Nivel],$C46)/$D46,"")</f>
        <v>0</v>
      </c>
      <c r="M46" s="257"/>
      <c r="N46" s="49">
        <f>IFERROR(COUNTIFS(Datos_Origen[Cteqp],"&gt;0",Datos_Origen[Cteqp],"&lt;80%",Datos_Origen[Nivel],$C46)/$D46,"")</f>
        <v>0</v>
      </c>
      <c r="O46" s="49">
        <f>IFERROR(COUNTIFS(Datos_Origen[Cteqp],"&gt;=80%",Datos_Origen[Cteqp],"&lt;=120%",Datos_Origen[Nivel],$C46)/$D46,"")</f>
        <v>1</v>
      </c>
      <c r="P46" s="49">
        <f>IFERROR(COUNTIFS(Datos_Origen[Cteqp],"&gt;120%",Datos_Origen[Cteqp],"&gt;120%",Datos_Origen[Nivel],$C46)/$D46,"")</f>
        <v>0</v>
      </c>
      <c r="Q46" s="225"/>
      <c r="R46" s="225"/>
      <c r="S46" s="225"/>
    </row>
    <row r="47" spans="1:19">
      <c r="A47" s="225"/>
      <c r="B47" s="225"/>
      <c r="C47" s="48" t="s">
        <v>661</v>
      </c>
      <c r="D47" s="48">
        <f>IFERROR(COUNTIFS(Datos_Origen[[#All],[Nivel]],$C47,Datos_Origen[[#All],[Ctpol1010]],"&gt;0"),"")</f>
        <v>3</v>
      </c>
      <c r="E47" s="239"/>
      <c r="F47" s="49">
        <f>IFERROR(COUNTIFS(Datos_Origen[Geqp],"&gt;0",Datos_Origen[Geqp],"&lt;80%",Datos_Origen[Nivel],$C47)/$D47,"")</f>
        <v>0.33333333333333331</v>
      </c>
      <c r="G47" s="49">
        <f>IFERROR(COUNTIFS(Datos_Origen[Geqp],"&gt;=80%",Datos_Origen[Geqp],"&lt;=120%",Datos_Origen[Nivel],$C47)/$D47,"")</f>
        <v>0.66666666666666663</v>
      </c>
      <c r="H47" s="49">
        <f>IFERROR(COUNTIFS(Datos_Origen[Geqp],"&gt;120%",Datos_Origen[Geqp],"&gt;120%",Datos_Origen[Nivel],$C47)/$D47,"")</f>
        <v>0</v>
      </c>
      <c r="I47" s="240"/>
      <c r="J47" s="49">
        <f>IFERROR(COUNTIFS(Datos_Origen[G+Veqp],"&gt;0",Datos_Origen[G+Veqp],"&lt;80%",Datos_Origen[Nivel],$C47)/$D47,"")</f>
        <v>0</v>
      </c>
      <c r="K47" s="49">
        <f>IFERROR(COUNTIFS(Datos_Origen[G+Veqp],"&gt;=80%",Datos_Origen[G+Veqp],"&lt;=120%",Datos_Origen[Nivel],$C47)/$D47,"")</f>
        <v>1</v>
      </c>
      <c r="L47" s="49">
        <f>IFERROR(COUNTIFS(Datos_Origen[G+Veqp],"&gt;120%",Datos_Origen[G+Veqp],"&gt;120%",Datos_Origen[Nivel],$C47)/$D47,"")</f>
        <v>0</v>
      </c>
      <c r="M47" s="257"/>
      <c r="N47" s="49">
        <f>IFERROR(COUNTIFS(Datos_Origen[Cteqp],"&gt;0",Datos_Origen[Cteqp],"&lt;80%",Datos_Origen[Nivel],$C47)/$D47,"")</f>
        <v>0</v>
      </c>
      <c r="O47" s="49">
        <f>IFERROR(COUNTIFS(Datos_Origen[Cteqp],"&gt;=80%",Datos_Origen[Cteqp],"&lt;=120%",Datos_Origen[Nivel],$C47)/$D47,"")</f>
        <v>1</v>
      </c>
      <c r="P47" s="49">
        <f>IFERROR(COUNTIFS(Datos_Origen[Cteqp],"&gt;120%",Datos_Origen[Cteqp],"&gt;120%",Datos_Origen[Nivel],$C47)/$D47,"")</f>
        <v>0</v>
      </c>
      <c r="Q47" s="225"/>
      <c r="R47" s="225"/>
      <c r="S47" s="225"/>
    </row>
    <row r="48" spans="1:19">
      <c r="A48" s="225"/>
      <c r="B48" s="225"/>
      <c r="C48" s="48" t="s">
        <v>662</v>
      </c>
      <c r="D48" s="48">
        <f>IFERROR(COUNTIFS(Datos_Origen[[#All],[Nivel]],$C48,Datos_Origen[[#All],[Ctpol1010]],"&gt;0"),"")</f>
        <v>20</v>
      </c>
      <c r="E48" s="239"/>
      <c r="F48" s="49">
        <f>IFERROR(COUNTIFS(Datos_Origen[Geqp],"&gt;0",Datos_Origen[Geqp],"&lt;80%",Datos_Origen[Nivel],$C48)/$D48,"")</f>
        <v>0.2</v>
      </c>
      <c r="G48" s="49">
        <f>IFERROR(COUNTIFS(Datos_Origen[Geqp],"&gt;=80%",Datos_Origen[Geqp],"&lt;=120%",Datos_Origen[Nivel],$C48)/$D48,"")</f>
        <v>0.55000000000000004</v>
      </c>
      <c r="H48" s="49">
        <f>IFERROR(COUNTIFS(Datos_Origen[Geqp],"&gt;120%",Datos_Origen[Geqp],"&gt;120%",Datos_Origen[Nivel],$C48)/$D48,"")</f>
        <v>0.25</v>
      </c>
      <c r="I48" s="240"/>
      <c r="J48" s="49">
        <f>IFERROR(COUNTIFS(Datos_Origen[G+Veqp],"&gt;0",Datos_Origen[G+Veqp],"&lt;80%",Datos_Origen[Nivel],$C48)/$D48,"")</f>
        <v>0.1</v>
      </c>
      <c r="K48" s="49">
        <f>IFERROR(COUNTIFS(Datos_Origen[G+Veqp],"&gt;=80%",Datos_Origen[G+Veqp],"&lt;=120%",Datos_Origen[Nivel],$C48)/$D48,"")</f>
        <v>0.65</v>
      </c>
      <c r="L48" s="49">
        <f>IFERROR(COUNTIFS(Datos_Origen[G+Veqp],"&gt;120%",Datos_Origen[G+Veqp],"&gt;120%",Datos_Origen[Nivel],$C48)/$D48,"")</f>
        <v>0.25</v>
      </c>
      <c r="M48" s="240"/>
      <c r="N48" s="49">
        <f>IFERROR(COUNTIFS(Datos_Origen[Cteqp],"&gt;0",Datos_Origen[Cteqp],"&lt;80%",Datos_Origen[Nivel],$C48)/$D48,"")</f>
        <v>0.1</v>
      </c>
      <c r="O48" s="49">
        <f>IFERROR(COUNTIFS(Datos_Origen[Cteqp],"&gt;=80%",Datos_Origen[Cteqp],"&lt;=120%",Datos_Origen[Nivel],$C48)/$D48,"")</f>
        <v>0.65</v>
      </c>
      <c r="P48" s="49">
        <f>IFERROR(COUNTIFS(Datos_Origen[Cteqp],"&gt;120%",Datos_Origen[Cteqp],"&gt;120%",Datos_Origen[Nivel],$C48)/$D48,"")</f>
        <v>0.25</v>
      </c>
      <c r="Q48" s="225"/>
      <c r="R48" s="225"/>
      <c r="S48" s="225"/>
    </row>
    <row r="49" spans="1:19">
      <c r="A49" s="225"/>
      <c r="B49" s="225"/>
      <c r="C49" s="48" t="s">
        <v>663</v>
      </c>
      <c r="D49" s="48">
        <f>IFERROR(COUNTIFS(Datos_Origen[[#All],[Nivel]],$C49,Datos_Origen[[#All],[Ctpol1010]],"&gt;0"),"")</f>
        <v>48</v>
      </c>
      <c r="E49" s="239"/>
      <c r="F49" s="49">
        <f>IFERROR(COUNTIFS(Datos_Origen[Geqp],"&gt;0",Datos_Origen[Geqp],"&lt;80%",Datos_Origen[Nivel],$C49)/$D49,"")</f>
        <v>0.125</v>
      </c>
      <c r="G49" s="49">
        <f>IFERROR(COUNTIFS(Datos_Origen[Geqp],"&gt;=80%",Datos_Origen[Geqp],"&lt;=120%",Datos_Origen[Nivel],$C49)/$D49,"")</f>
        <v>0.72916666666666663</v>
      </c>
      <c r="H49" s="49">
        <f>IFERROR(COUNTIFS(Datos_Origen[Geqp],"&gt;120%",Datos_Origen[Geqp],"&gt;120%",Datos_Origen[Nivel],$C49)/$D49,"")</f>
        <v>0.14583333333333334</v>
      </c>
      <c r="I49" s="240"/>
      <c r="J49" s="49">
        <f>IFERROR(COUNTIFS(Datos_Origen[G+Veqp],"&gt;0",Datos_Origen[G+Veqp],"&lt;80%",Datos_Origen[Nivel],$C49)/$D49,"")</f>
        <v>0.10416666666666667</v>
      </c>
      <c r="K49" s="49">
        <f>IFERROR(COUNTIFS(Datos_Origen[G+Veqp],"&gt;=80%",Datos_Origen[G+Veqp],"&lt;=120%",Datos_Origen[Nivel],$C49)/$D49,"")</f>
        <v>0.72916666666666663</v>
      </c>
      <c r="L49" s="49">
        <f>IFERROR(COUNTIFS(Datos_Origen[G+Veqp],"&gt;120%",Datos_Origen[G+Veqp],"&gt;120%",Datos_Origen[Nivel],$C49)/$D49,"")</f>
        <v>0.16666666666666666</v>
      </c>
      <c r="M49" s="240"/>
      <c r="N49" s="49">
        <f>IFERROR(COUNTIFS(Datos_Origen[Cteqp],"&gt;0",Datos_Origen[Cteqp],"&lt;80%",Datos_Origen[Nivel],$C49)/$D49,"")</f>
        <v>0.10416666666666667</v>
      </c>
      <c r="O49" s="49">
        <f>IFERROR(COUNTIFS(Datos_Origen[Cteqp],"&gt;=80%",Datos_Origen[Cteqp],"&lt;=120%",Datos_Origen[Nivel],$C49)/$D49,"")</f>
        <v>0.72916666666666663</v>
      </c>
      <c r="P49" s="49">
        <f>IFERROR(COUNTIFS(Datos_Origen[Cteqp],"&gt;120%",Datos_Origen[Cteqp],"&gt;120%",Datos_Origen[Nivel],$C49)/$D49,"")</f>
        <v>0.16666666666666666</v>
      </c>
      <c r="Q49" s="225"/>
      <c r="R49" s="225"/>
      <c r="S49" s="225"/>
    </row>
    <row r="50" spans="1:19">
      <c r="A50" s="225"/>
      <c r="B50" s="225"/>
      <c r="C50" s="48" t="s">
        <v>664</v>
      </c>
      <c r="D50" s="48">
        <f>IFERROR(COUNTIFS(Datos_Origen[[#All],[Nivel]],$C50,Datos_Origen[[#All],[Ctpol1010]],"&gt;0"),"")</f>
        <v>58</v>
      </c>
      <c r="E50" s="239"/>
      <c r="F50" s="49">
        <f>IFERROR(COUNTIFS(Datos_Origen[Geqp],"&gt;0",Datos_Origen[Geqp],"&lt;80%",Datos_Origen[Nivel],$C50)/$D50,"")</f>
        <v>1.7241379310344827E-2</v>
      </c>
      <c r="G50" s="49">
        <f>IFERROR(COUNTIFS(Datos_Origen[Geqp],"&gt;=80%",Datos_Origen[Geqp],"&lt;=120%",Datos_Origen[Nivel],$C50)/$D50,"")</f>
        <v>0.87931034482758619</v>
      </c>
      <c r="H50" s="49">
        <f>IFERROR(COUNTIFS(Datos_Origen[Geqp],"&gt;120%",Datos_Origen[Geqp],"&gt;120%",Datos_Origen[Nivel],$C50)/$D50,"")</f>
        <v>0.10344827586206896</v>
      </c>
      <c r="I50" s="240"/>
      <c r="J50" s="49">
        <f>IFERROR(COUNTIFS(Datos_Origen[G+Veqp],"&gt;0",Datos_Origen[G+Veqp],"&lt;80%",Datos_Origen[Nivel],$C50)/$D50,"")</f>
        <v>8.6206896551724144E-2</v>
      </c>
      <c r="K50" s="49">
        <f>IFERROR(COUNTIFS(Datos_Origen[G+Veqp],"&gt;=80%",Datos_Origen[G+Veqp],"&lt;=120%",Datos_Origen[Nivel],$C50)/$D50,"")</f>
        <v>0.91379310344827591</v>
      </c>
      <c r="L50" s="49">
        <f>IFERROR(COUNTIFS(Datos_Origen[G+Veqp],"&gt;120%",Datos_Origen[G+Veqp],"&gt;120%",Datos_Origen[Nivel],$C50)/$D50,"")</f>
        <v>0</v>
      </c>
      <c r="M50" s="240"/>
      <c r="N50" s="49">
        <f>IFERROR(COUNTIFS(Datos_Origen[Cteqp],"&gt;0",Datos_Origen[Cteqp],"&lt;80%",Datos_Origen[Nivel],$C50)/$D50,"")</f>
        <v>8.6206896551724144E-2</v>
      </c>
      <c r="O50" s="49">
        <f>IFERROR(COUNTIFS(Datos_Origen[Cteqp],"&gt;=80%",Datos_Origen[Cteqp],"&lt;=120%",Datos_Origen[Nivel],$C50)/$D50,"")</f>
        <v>0.91379310344827591</v>
      </c>
      <c r="P50" s="49">
        <f>IFERROR(COUNTIFS(Datos_Origen[Cteqp],"&gt;120%",Datos_Origen[Cteqp],"&gt;120%",Datos_Origen[Nivel],$C50)/$D50,"")</f>
        <v>0</v>
      </c>
      <c r="Q50" s="225"/>
      <c r="R50" s="225"/>
      <c r="S50" s="225"/>
    </row>
    <row r="51" spans="1:19">
      <c r="A51" s="225"/>
      <c r="B51" s="225"/>
      <c r="C51" s="48" t="s">
        <v>665</v>
      </c>
      <c r="D51" s="48">
        <f>IFERROR(COUNTIFS(Datos_Origen[[#All],[Nivel]],$C51,Datos_Origen[[#All],[Ctpol1010]],"&gt;0"),"")</f>
        <v>9</v>
      </c>
      <c r="E51" s="239"/>
      <c r="F51" s="49">
        <f>IFERROR(COUNTIFS(Datos_Origen[Geqp],"&gt;0",Datos_Origen[Geqp],"&lt;80%",Datos_Origen[Nivel],$C51)/$D51,"")</f>
        <v>0</v>
      </c>
      <c r="G51" s="49">
        <f>IFERROR(COUNTIFS(Datos_Origen[Geqp],"&gt;=80%",Datos_Origen[Geqp],"&lt;=120%",Datos_Origen[Nivel],$C51)/$D51,"")</f>
        <v>1</v>
      </c>
      <c r="H51" s="49">
        <f>IFERROR(COUNTIFS(Datos_Origen[Geqp],"&gt;120%",Datos_Origen[Geqp],"&gt;120%",Datos_Origen[Nivel],$C51)/$D51,"")</f>
        <v>0</v>
      </c>
      <c r="I51" s="240"/>
      <c r="J51" s="49">
        <f>IFERROR(COUNTIFS(Datos_Origen[G+Veqp],"&gt;0",Datos_Origen[G+Veqp],"&lt;80%",Datos_Origen[Nivel],$C51)/$D51,"")</f>
        <v>0</v>
      </c>
      <c r="K51" s="49">
        <f>IFERROR(COUNTIFS(Datos_Origen[G+Veqp],"&gt;=80%",Datos_Origen[G+Veqp],"&lt;=120%",Datos_Origen[Nivel],$C51)/$D51,"")</f>
        <v>1</v>
      </c>
      <c r="L51" s="49">
        <f>IFERROR(COUNTIFS(Datos_Origen[G+Veqp],"&gt;120%",Datos_Origen[G+Veqp],"&gt;120%",Datos_Origen[Nivel],$C51)/$D51,"")</f>
        <v>0</v>
      </c>
      <c r="M51" s="240"/>
      <c r="N51" s="49">
        <f>IFERROR(COUNTIFS(Datos_Origen[Cteqp],"&gt;0",Datos_Origen[Cteqp],"&lt;80%",Datos_Origen[Nivel],$C51)/$D51,"")</f>
        <v>0</v>
      </c>
      <c r="O51" s="49">
        <f>IFERROR(COUNTIFS(Datos_Origen[Cteqp],"&gt;=80%",Datos_Origen[Cteqp],"&lt;=120%",Datos_Origen[Nivel],$C51)/$D51,"")</f>
        <v>1</v>
      </c>
      <c r="P51" s="49">
        <f>IFERROR(COUNTIFS(Datos_Origen[Cteqp],"&gt;120%",Datos_Origen[Cteqp],"&gt;120%",Datos_Origen[Nivel],$C51)/$D51,"")</f>
        <v>0</v>
      </c>
      <c r="Q51" s="225"/>
      <c r="R51" s="225"/>
      <c r="S51" s="225"/>
    </row>
    <row r="52" spans="1:19">
      <c r="A52" s="225"/>
      <c r="B52" s="225"/>
      <c r="C52" s="225"/>
      <c r="D52" s="225"/>
      <c r="E52" s="225"/>
      <c r="F52" s="225"/>
      <c r="G52" s="225"/>
      <c r="H52" s="225"/>
      <c r="I52" s="225"/>
      <c r="J52" s="225"/>
      <c r="K52" s="225"/>
      <c r="L52" s="225"/>
      <c r="M52" s="225"/>
      <c r="N52" s="225"/>
      <c r="O52" s="225"/>
      <c r="P52" s="225"/>
      <c r="Q52" s="225"/>
      <c r="R52" s="225"/>
      <c r="S52" s="225"/>
    </row>
  </sheetData>
  <mergeCells count="48">
    <mergeCell ref="C42:C43"/>
    <mergeCell ref="D42:D43"/>
    <mergeCell ref="F42:H42"/>
    <mergeCell ref="J42:L42"/>
    <mergeCell ref="N42:P42"/>
    <mergeCell ref="C33:C35"/>
    <mergeCell ref="H33:H35"/>
    <mergeCell ref="K33:K35"/>
    <mergeCell ref="N33:N35"/>
    <mergeCell ref="F6:H6"/>
    <mergeCell ref="I6:K6"/>
    <mergeCell ref="L6:N6"/>
    <mergeCell ref="C26:C28"/>
    <mergeCell ref="H26:H28"/>
    <mergeCell ref="K26:K28"/>
    <mergeCell ref="N26:N28"/>
    <mergeCell ref="C29:C32"/>
    <mergeCell ref="K29:K32"/>
    <mergeCell ref="N29:N32"/>
    <mergeCell ref="B1:Q2"/>
    <mergeCell ref="B4:Q4"/>
    <mergeCell ref="D6:E7"/>
    <mergeCell ref="K8:K10"/>
    <mergeCell ref="C15:C17"/>
    <mergeCell ref="H15:H17"/>
    <mergeCell ref="K15:K17"/>
    <mergeCell ref="N15:N17"/>
    <mergeCell ref="N8:N10"/>
    <mergeCell ref="C11:C14"/>
    <mergeCell ref="H11:H14"/>
    <mergeCell ref="K11:K14"/>
    <mergeCell ref="N11:N14"/>
    <mergeCell ref="C45:D45"/>
    <mergeCell ref="D24:E25"/>
    <mergeCell ref="B8:B17"/>
    <mergeCell ref="C8:C10"/>
    <mergeCell ref="H8:H10"/>
    <mergeCell ref="H29:H32"/>
    <mergeCell ref="B40:Q40"/>
    <mergeCell ref="B22:Q22"/>
    <mergeCell ref="O24:Q24"/>
    <mergeCell ref="Q26:Q28"/>
    <mergeCell ref="Q29:Q32"/>
    <mergeCell ref="Q33:Q35"/>
    <mergeCell ref="F24:H24"/>
    <mergeCell ref="I24:K24"/>
    <mergeCell ref="L24:N24"/>
    <mergeCell ref="B26:B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ivelEquidadMenu">
                <anchor moveWithCells="1" sizeWithCells="1">
                  <from>
                    <xdr:col>16</xdr:col>
                    <xdr:colOff>594360</xdr:colOff>
                    <xdr:row>2</xdr:row>
                    <xdr:rowOff>0</xdr:rowOff>
                  </from>
                  <to>
                    <xdr:col>18</xdr:col>
                    <xdr:colOff>213360</xdr:colOff>
                    <xdr:row>2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0"/>
  <dimension ref="A1:N28"/>
  <sheetViews>
    <sheetView showGridLines="0" workbookViewId="0">
      <selection activeCell="D14" sqref="D14"/>
    </sheetView>
  </sheetViews>
  <sheetFormatPr baseColWidth="10" defaultColWidth="0" defaultRowHeight="13.8" zeroHeight="1"/>
  <cols>
    <col min="1" max="1" width="2.5546875" style="8" customWidth="1"/>
    <col min="2" max="2" width="15.44140625" style="8" customWidth="1"/>
    <col min="3" max="5" width="14.44140625" style="8" customWidth="1"/>
    <col min="6" max="6" width="11.44140625" style="8" customWidth="1"/>
    <col min="7" max="7" width="15.44140625" style="8" customWidth="1"/>
    <col min="8" max="8" width="14.44140625" style="8" customWidth="1"/>
    <col min="9" max="9" width="11.44140625" style="8" customWidth="1"/>
    <col min="10" max="10" width="15.44140625" style="8" customWidth="1"/>
    <col min="11" max="12" width="14.44140625" style="8" hidden="1" customWidth="1"/>
    <col min="13" max="13" width="8.5546875" style="8" hidden="1" customWidth="1"/>
    <col min="14" max="14" width="2.5546875" style="8" hidden="1" customWidth="1"/>
    <col min="15" max="16384" width="11.44140625" style="8" hidden="1"/>
  </cols>
  <sheetData>
    <row r="1" spans="2:8"/>
    <row r="2" spans="2:8"/>
    <row r="3" spans="2:8"/>
    <row r="4" spans="2:8"/>
    <row r="5" spans="2:8"/>
    <row r="6" spans="2:8">
      <c r="B6" s="636" t="s">
        <v>666</v>
      </c>
      <c r="C6" s="636"/>
      <c r="D6" s="636"/>
      <c r="E6" s="636"/>
      <c r="G6" s="636" t="s">
        <v>667</v>
      </c>
      <c r="H6" s="636"/>
    </row>
    <row r="7" spans="2:8" ht="7.5" customHeight="1"/>
    <row r="8" spans="2:8">
      <c r="B8" s="35" t="s">
        <v>259</v>
      </c>
      <c r="C8" s="36" t="s">
        <v>668</v>
      </c>
      <c r="D8" s="36" t="s">
        <v>669</v>
      </c>
      <c r="E8" s="37" t="s">
        <v>670</v>
      </c>
      <c r="G8" s="61" t="s">
        <v>668</v>
      </c>
      <c r="H8" s="62" t="s">
        <v>669</v>
      </c>
    </row>
    <row r="9" spans="2:8">
      <c r="B9" s="179" t="s">
        <v>273</v>
      </c>
      <c r="C9" s="48" t="s">
        <v>40</v>
      </c>
      <c r="D9" s="180">
        <f>VLOOKUP(PoliticaCompetitivida[[#This Row],[Estadístico]],Codigo[],2,0)</f>
        <v>7</v>
      </c>
      <c r="E9" s="181">
        <v>1.2</v>
      </c>
      <c r="G9" s="186" t="s">
        <v>38</v>
      </c>
      <c r="H9" s="187">
        <v>4</v>
      </c>
    </row>
    <row r="10" spans="2:8">
      <c r="B10" s="179" t="s">
        <v>277</v>
      </c>
      <c r="C10" s="48" t="s">
        <v>40</v>
      </c>
      <c r="D10" s="180">
        <f>VLOOKUP(PoliticaCompetitivida[[#This Row],[Estadístico]],Codigo[],2,0)</f>
        <v>7</v>
      </c>
      <c r="E10" s="181">
        <v>1.1000000000000001</v>
      </c>
      <c r="G10" s="186" t="s">
        <v>40</v>
      </c>
      <c r="H10" s="187">
        <v>7</v>
      </c>
    </row>
    <row r="11" spans="2:8">
      <c r="B11" s="179" t="s">
        <v>295</v>
      </c>
      <c r="C11" s="48" t="s">
        <v>40</v>
      </c>
      <c r="D11" s="180">
        <f>VLOOKUP(PoliticaCompetitivida[[#This Row],[Estadístico]],Codigo[],2,0)</f>
        <v>7</v>
      </c>
      <c r="E11" s="181">
        <v>1</v>
      </c>
      <c r="G11" s="188" t="s">
        <v>42</v>
      </c>
      <c r="H11" s="189">
        <v>10</v>
      </c>
    </row>
    <row r="12" spans="2:8">
      <c r="B12" s="182" t="s">
        <v>290</v>
      </c>
      <c r="C12" s="183" t="s">
        <v>40</v>
      </c>
      <c r="D12" s="184">
        <f>VLOOKUP(PoliticaCompetitivida[[#This Row],[Estadístico]],Codigo[],2,0)</f>
        <v>7</v>
      </c>
      <c r="E12" s="185">
        <v>0.9</v>
      </c>
    </row>
    <row r="13" spans="2:8">
      <c r="G13" s="63"/>
    </row>
    <row r="14" spans="2:8"/>
    <row r="15" spans="2:8">
      <c r="B15" s="636" t="s">
        <v>671</v>
      </c>
      <c r="C15" s="636"/>
      <c r="D15" s="636"/>
    </row>
    <row r="16" spans="2:8" ht="7.5" customHeight="1"/>
    <row r="17" spans="2:4">
      <c r="B17" s="35" t="s">
        <v>259</v>
      </c>
      <c r="C17" s="36" t="s">
        <v>668</v>
      </c>
      <c r="D17" s="37" t="s">
        <v>670</v>
      </c>
    </row>
    <row r="18" spans="2:4">
      <c r="B18" s="179" t="s">
        <v>273</v>
      </c>
      <c r="C18" s="48" t="s">
        <v>672</v>
      </c>
      <c r="D18" s="181">
        <v>1</v>
      </c>
    </row>
    <row r="19" spans="2:4">
      <c r="B19" s="179" t="s">
        <v>277</v>
      </c>
      <c r="C19" s="48" t="s">
        <v>672</v>
      </c>
      <c r="D19" s="181">
        <v>1</v>
      </c>
    </row>
    <row r="20" spans="2:4">
      <c r="B20" s="179" t="s">
        <v>295</v>
      </c>
      <c r="C20" s="48" t="s">
        <v>672</v>
      </c>
      <c r="D20" s="181">
        <v>1</v>
      </c>
    </row>
    <row r="21" spans="2:4">
      <c r="B21" s="182" t="s">
        <v>290</v>
      </c>
      <c r="C21" s="183" t="s">
        <v>672</v>
      </c>
      <c r="D21" s="185">
        <v>1</v>
      </c>
    </row>
    <row r="22" spans="2:4"/>
    <row r="23" spans="2:4"/>
    <row r="24" spans="2:4"/>
    <row r="25" spans="2:4"/>
    <row r="26" spans="2:4"/>
    <row r="27" spans="2:4"/>
    <row r="28" spans="2:4"/>
  </sheetData>
  <mergeCells count="3">
    <mergeCell ref="B6:E6"/>
    <mergeCell ref="G6:H6"/>
    <mergeCell ref="B15:D15"/>
  </mergeCells>
  <dataValidations count="1">
    <dataValidation type="list" allowBlank="1" showInputMessage="1" showErrorMessage="1" sqref="K9:K12 C9:C12" xr:uid="{00000000-0002-0000-1A00-000000000000}">
      <formula1>$G$9:$G$11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PoliticaMenu">
                <anchor moveWithCells="1" sizeWithCells="1">
                  <from>
                    <xdr:col>2</xdr:col>
                    <xdr:colOff>556260</xdr:colOff>
                    <xdr:row>1</xdr:row>
                    <xdr:rowOff>68580</xdr:rowOff>
                  </from>
                  <to>
                    <xdr:col>3</xdr:col>
                    <xdr:colOff>678180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2"/>
  <dimension ref="A1:AA64"/>
  <sheetViews>
    <sheetView showGridLines="0" workbookViewId="0"/>
  </sheetViews>
  <sheetFormatPr baseColWidth="10" defaultColWidth="0" defaultRowHeight="14.4" zeroHeight="1"/>
  <cols>
    <col min="1" max="1" width="1.5546875" customWidth="1"/>
    <col min="2" max="2" width="10.44140625" customWidth="1"/>
    <col min="3" max="3" width="19.5546875" customWidth="1"/>
    <col min="4" max="16" width="10.44140625" customWidth="1"/>
    <col min="17" max="18" width="11.5546875" customWidth="1"/>
    <col min="19" max="19" width="2.5546875" hidden="1" customWidth="1"/>
    <col min="20" max="27" width="0" hidden="1" customWidth="1"/>
    <col min="28" max="16384" width="11.44140625" hidden="1"/>
  </cols>
  <sheetData>
    <row r="1" spans="1:27" s="1" customFormat="1" ht="28.5" customHeight="1">
      <c r="A1" s="237"/>
      <c r="B1" s="642"/>
      <c r="C1" s="642"/>
      <c r="D1" s="642"/>
      <c r="E1" s="642"/>
      <c r="F1" s="642"/>
      <c r="G1" s="642"/>
      <c r="H1" s="642"/>
      <c r="I1" s="642"/>
      <c r="J1" s="642"/>
      <c r="K1" s="642"/>
      <c r="L1" s="642"/>
      <c r="M1" s="642"/>
      <c r="N1" s="642"/>
      <c r="O1" s="642"/>
      <c r="P1" s="642"/>
      <c r="Q1" s="642"/>
      <c r="R1" s="230"/>
    </row>
    <row r="2" spans="1:27" s="1" customFormat="1" ht="28.5" customHeight="1">
      <c r="A2" s="237"/>
      <c r="B2" s="642"/>
      <c r="C2" s="642"/>
      <c r="D2" s="642"/>
      <c r="E2" s="642"/>
      <c r="F2" s="642"/>
      <c r="G2" s="642"/>
      <c r="H2" s="642"/>
      <c r="I2" s="642"/>
      <c r="J2" s="642"/>
      <c r="K2" s="642"/>
      <c r="L2" s="642"/>
      <c r="M2" s="642"/>
      <c r="N2" s="642"/>
      <c r="O2" s="642"/>
      <c r="P2" s="642"/>
      <c r="Q2" s="642"/>
      <c r="R2" s="230"/>
    </row>
    <row r="3" spans="1:27">
      <c r="A3" s="225"/>
      <c r="B3" s="225"/>
      <c r="C3" s="225"/>
      <c r="D3" s="225"/>
      <c r="E3" s="225"/>
      <c r="F3" s="225"/>
      <c r="G3" s="225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AA3">
        <v>2</v>
      </c>
    </row>
    <row r="4" spans="1:27">
      <c r="A4" s="225"/>
      <c r="B4" s="225"/>
      <c r="C4" s="643" t="s">
        <v>673</v>
      </c>
      <c r="D4" s="644"/>
      <c r="E4" s="225"/>
      <c r="F4" s="225"/>
      <c r="G4" s="22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</row>
    <row r="5" spans="1:27">
      <c r="A5" s="225"/>
      <c r="B5" s="225"/>
      <c r="C5" s="3"/>
      <c r="D5" s="4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</row>
    <row r="6" spans="1:27">
      <c r="A6" s="225"/>
      <c r="B6" s="225"/>
      <c r="C6" s="3"/>
      <c r="D6" s="4"/>
      <c r="E6" s="225"/>
      <c r="F6" s="225"/>
      <c r="G6" s="22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</row>
    <row r="7" spans="1:27">
      <c r="A7" s="225"/>
      <c r="B7" s="225"/>
      <c r="C7" s="3"/>
      <c r="D7" s="4"/>
      <c r="E7" s="225"/>
      <c r="F7" s="225"/>
      <c r="G7" s="225"/>
      <c r="H7" s="225"/>
      <c r="I7" s="225"/>
      <c r="J7" s="225"/>
      <c r="K7" s="225"/>
      <c r="L7" s="225"/>
      <c r="M7" s="225"/>
      <c r="N7" s="225"/>
      <c r="O7" s="225"/>
      <c r="P7" s="225"/>
      <c r="Q7" s="225"/>
      <c r="R7" s="225"/>
    </row>
    <row r="8" spans="1:27">
      <c r="A8" s="225"/>
      <c r="B8" s="225"/>
      <c r="C8" s="5"/>
      <c r="D8" s="6"/>
      <c r="E8" s="225"/>
      <c r="F8" s="225"/>
      <c r="G8" s="225"/>
      <c r="H8" s="225"/>
      <c r="I8" s="225"/>
      <c r="J8" s="225"/>
      <c r="K8" s="225"/>
      <c r="L8" s="225"/>
      <c r="M8" s="225"/>
      <c r="N8" s="225"/>
      <c r="O8" s="225"/>
      <c r="P8" s="225"/>
      <c r="Q8" s="225"/>
      <c r="R8" s="225"/>
    </row>
    <row r="9" spans="1:27">
      <c r="A9" s="225"/>
      <c r="B9" s="225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</row>
    <row r="10" spans="1:27" ht="25.8">
      <c r="A10" s="225"/>
      <c r="B10" s="639"/>
      <c r="C10" s="639"/>
      <c r="D10" s="639"/>
      <c r="E10" s="639"/>
      <c r="F10" s="639"/>
      <c r="G10" s="639"/>
      <c r="H10" s="639"/>
      <c r="I10" s="639"/>
      <c r="J10" s="639"/>
      <c r="K10" s="639"/>
      <c r="L10" s="639"/>
      <c r="M10" s="639"/>
      <c r="N10" s="639"/>
      <c r="O10" s="639"/>
      <c r="P10" s="639"/>
      <c r="Q10" s="639"/>
      <c r="R10" s="231"/>
    </row>
    <row r="11" spans="1:27">
      <c r="A11" s="225"/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Q11" s="225"/>
      <c r="R11" s="225"/>
    </row>
    <row r="12" spans="1:27">
      <c r="A12" s="225"/>
      <c r="D12" s="611" t="s">
        <v>15</v>
      </c>
      <c r="E12" s="640"/>
      <c r="F12" s="622" t="s">
        <v>19</v>
      </c>
      <c r="G12" s="622"/>
      <c r="H12" s="622"/>
      <c r="I12" s="601" t="s">
        <v>21</v>
      </c>
      <c r="J12" s="601"/>
      <c r="K12" s="601"/>
      <c r="L12" s="622" t="s">
        <v>23</v>
      </c>
      <c r="M12" s="622"/>
      <c r="N12" s="622"/>
      <c r="O12" s="225"/>
      <c r="R12" s="225"/>
    </row>
    <row r="13" spans="1:27" ht="26.4">
      <c r="A13" s="225"/>
      <c r="D13" s="613"/>
      <c r="E13" s="641"/>
      <c r="F13" s="88" t="s">
        <v>644</v>
      </c>
      <c r="G13" s="38" t="s">
        <v>645</v>
      </c>
      <c r="H13" s="38" t="s">
        <v>645</v>
      </c>
      <c r="I13" s="89" t="s">
        <v>644</v>
      </c>
      <c r="J13" s="39" t="s">
        <v>645</v>
      </c>
      <c r="K13" s="39" t="s">
        <v>645</v>
      </c>
      <c r="L13" s="88" t="s">
        <v>644</v>
      </c>
      <c r="M13" s="38" t="s">
        <v>645</v>
      </c>
      <c r="N13" s="38" t="s">
        <v>645</v>
      </c>
      <c r="O13" s="225"/>
      <c r="R13" s="225"/>
    </row>
    <row r="14" spans="1:27">
      <c r="A14" s="225"/>
      <c r="B14" s="615" t="s">
        <v>674</v>
      </c>
      <c r="C14" s="615" t="s">
        <v>647</v>
      </c>
      <c r="D14" s="45">
        <v>1.5</v>
      </c>
      <c r="E14" s="45">
        <v>5</v>
      </c>
      <c r="F14" s="46" t="str">
        <f>IF(IF($AA$3=1,COUNTIFS(Datos_Origen[[#All],[GQ1 p]],"&gt;"&amp;$D14,Datos_Origen[[#All],[GQ1 p]],"&lt;="&amp;$E14),IF($AA$3=2,COUNTIFS(Datos_Origen[[#All],[GMd p]],"&gt;"&amp;$D14,Datos_Origen[[#All],[GMd p]],"&lt;="&amp;$E14),IF($AA$3=3,COUNTIFS(Datos_Origen[[#All],[GQ3 p]],"&gt;"&amp;$D14,Datos_Origen[[#All],[GQ3 p]],"&lt;="&amp;$E14),IF($AA$3=4,COUNTIFS(Datos_Origen[[#All],[Gpolp]],"&gt;"&amp;$D14,Datos_Origen[[#All],[Gpolp]],"&lt;="&amp;$E14),0))))=0,"",IF($AA$3=1,COUNTIFS(Datos_Origen[[#All],[GQ1 p]],"&gt;"&amp;$D14,Datos_Origen[[#All],[GQ1 p]],"&lt;="&amp;$E14),IF($AA$3=2,COUNTIFS(Datos_Origen[[#All],[GMd p]],"&gt;"&amp;$D14,Datos_Origen[[#All],[GMd p]],"&lt;="&amp;$E14),IF($AA$3=3,COUNTIFS(Datos_Origen[[#All],[GQ3 p]],"&gt;"&amp;$D14,Datos_Origen[[#All],[GQ3 p]],"&lt;="&amp;$E14),IF($AA$3=4,COUNTIFS(Datos_Origen[[#All],[Gpolp]],"&gt;"&amp;$D14,Datos_Origen[[#All],[Gpolp]],"&lt;="&amp;$E14),0)))))</f>
        <v/>
      </c>
      <c r="G14" s="47" t="str">
        <f>IFERROR(F14/F$24,"")</f>
        <v/>
      </c>
      <c r="H14" s="616">
        <f>IF(SUM(G14:G16)=0,"",SUM(G14:G16))</f>
        <v>2.1582733812949641E-2</v>
      </c>
      <c r="I14" s="46" t="str">
        <f>IF(IF($AA$3=1,COUNTIFS(Datos_Origen[[#All],[G+VQ1 p]],"&gt;"&amp;$D14,Datos_Origen[[#All],[G+VQ1 p]],"&lt;="&amp;$E14),IF($AA$3=2,COUNTIFS(Datos_Origen[[#All],[G+VMd p]],"&gt;"&amp;$D14,Datos_Origen[[#All],[G+VMd p]],"&lt;="&amp;$E14),IF($AA$3=3,COUNTIFS(Datos_Origen[[#All],[G+VQ3 p]],"&gt;"&amp;$D14,Datos_Origen[[#All],[G+VQ3 p]],"&lt;="&amp;$E14),IF($AA$3=4,COUNTIFS(Datos_Origen[[#All],[G+Vpolp]],"&gt;"&amp;$D14,Datos_Origen[[#All],[G+Vpolp]],"&lt;="&amp;$E14),0))))=0,"",IF($AA$3=1,COUNTIFS(Datos_Origen[[#All],[G+VQ1 p]],"&gt;"&amp;$D14,Datos_Origen[[#All],[G+VQ1 p]],"&lt;="&amp;$E14),IF($AA$3=2,COUNTIFS(Datos_Origen[[#All],[G+VMd p]],"&gt;"&amp;$D14,Datos_Origen[[#All],[G+VMd p]],"&lt;="&amp;$E14),IF($AA$3=3,COUNTIFS(Datos_Origen[[#All],[G+VQ3 p]],"&gt;"&amp;$D14,Datos_Origen[[#All],[G+VQ3 p]],"&lt;="&amp;$E14),IF($AA$3=4,COUNTIFS(Datos_Origen[[#All],[G+Vpolp]],"&gt;"&amp;$D14,Datos_Origen[[#All],[G+Vpolp]],"&lt;="&amp;$E14),0)))))</f>
        <v/>
      </c>
      <c r="J14" s="47" t="str">
        <f>IFERROR(I14/I$24,"")</f>
        <v/>
      </c>
      <c r="K14" s="616">
        <f>IF(SUM(J14:J16)=0,"",SUM(J14:J16))</f>
        <v>2.1582733812949641E-2</v>
      </c>
      <c r="L14" s="46" t="str">
        <f>IF(IF($AA$3=1,COUNTIFS(Datos_Origen[[#All],[CTQ1 p]],"&gt;"&amp;$D14,Datos_Origen[[#All],[CTQ1 p]],"&lt;="&amp;$E14),IF($AA$3=2,COUNTIFS(Datos_Origen[[#All],[CTMd p]],"&gt;"&amp;$D14,Datos_Origen[[#All],[CTMd p]],"&lt;="&amp;$E14),IF($AA$3=3,COUNTIFS(Datos_Origen[[#All],[CTQ3 p]],"&gt;"&amp;$D14,Datos_Origen[[#All],[CTQ3 p]],"&lt;="&amp;$E14),IF($AA$3=4,COUNTIFS(Datos_Origen[[#All],[Ctpolp]],"&gt;"&amp;$D14,Datos_Origen[[#All],[Ctpolp]],"&lt;="&amp;$E14),0))))=0,"",IF($AA$3=1,COUNTIFS(Datos_Origen[[#All],[CTQ1 p]],"&gt;"&amp;$D14,Datos_Origen[[#All],[CTQ1 p]],"&lt;="&amp;$E14),IF($AA$3=2,COUNTIFS(Datos_Origen[[#All],[CTMd p]],"&gt;"&amp;$D14,Datos_Origen[[#All],[CTMd p]],"&lt;="&amp;$E14),IF($AA$3=3,COUNTIFS(Datos_Origen[[#All],[CTQ3 p]],"&gt;"&amp;$D14,Datos_Origen[[#All],[CTQ3 p]],"&lt;="&amp;$E14),IF($AA$3=4,COUNTIFS(Datos_Origen[[#All],[Ctpolp]],"&gt;"&amp;$D14,Datos_Origen[[#All],[Ctpolp]],"&lt;="&amp;$E14),0)))))</f>
        <v/>
      </c>
      <c r="M14" s="47" t="str">
        <f>IFERROR(L14/L$24,"")</f>
        <v/>
      </c>
      <c r="N14" s="616">
        <f>IF(SUM(M14:M16)=0,"",SUM(M14:M16))</f>
        <v>2.1582733812949641E-2</v>
      </c>
      <c r="O14" s="228">
        <v>1</v>
      </c>
      <c r="P14" s="9"/>
      <c r="Q14" s="9"/>
      <c r="R14" s="229"/>
    </row>
    <row r="15" spans="1:27">
      <c r="A15" s="225"/>
      <c r="B15" s="615"/>
      <c r="C15" s="615"/>
      <c r="D15" s="45">
        <v>1.3</v>
      </c>
      <c r="E15" s="45">
        <f>D14</f>
        <v>1.5</v>
      </c>
      <c r="F15" s="46">
        <f>IF(IF($AA$3=1,COUNTIFS(Datos_Origen[[#All],[GQ1 p]],"&gt;"&amp;$D15,Datos_Origen[[#All],[GQ1 p]],"&lt;="&amp;$E15),IF($AA$3=2,COUNTIFS(Datos_Origen[[#All],[GMd p]],"&gt;"&amp;$D15,Datos_Origen[[#All],[GMd p]],"&lt;="&amp;$E15),IF($AA$3=3,COUNTIFS(Datos_Origen[[#All],[GQ3 p]],"&gt;"&amp;$D15,Datos_Origen[[#All],[GQ3 p]],"&lt;="&amp;$E15),IF($AA$3=4,COUNTIFS(Datos_Origen[[#All],[Gpolp]],"&gt;"&amp;$D15,Datos_Origen[[#All],[Gpolp]],"&lt;="&amp;$E15),0))))=0,"",IF($AA$3=1,COUNTIFS(Datos_Origen[[#All],[GQ1 p]],"&gt;"&amp;$D15,Datos_Origen[[#All],[GQ1 p]],"&lt;="&amp;$E15),IF($AA$3=2,COUNTIFS(Datos_Origen[[#All],[GMd p]],"&gt;"&amp;$D15,Datos_Origen[[#All],[GMd p]],"&lt;="&amp;$E15),IF($AA$3=3,COUNTIFS(Datos_Origen[[#All],[GQ3 p]],"&gt;"&amp;$D15,Datos_Origen[[#All],[GQ3 p]],"&lt;="&amp;$E15),IF($AA$3=4,COUNTIFS(Datos_Origen[[#All],[Gpolp]],"&gt;"&amp;$D15,Datos_Origen[[#All],[Gpolp]],"&lt;="&amp;$E15),0)))))</f>
        <v>3</v>
      </c>
      <c r="G15" s="47">
        <f t="shared" ref="G15:G23" si="0">IFERROR(F15/F$24,"")</f>
        <v>2.1582733812949641E-2</v>
      </c>
      <c r="H15" s="616"/>
      <c r="I15" s="46">
        <f>IF(IF($AA$3=1,COUNTIFS(Datos_Origen[[#All],[G+VQ1 p]],"&gt;"&amp;$D15,Datos_Origen[[#All],[G+VQ1 p]],"&lt;="&amp;$E15),IF($AA$3=2,COUNTIFS(Datos_Origen[[#All],[G+VMd p]],"&gt;"&amp;$D15,Datos_Origen[[#All],[G+VMd p]],"&lt;="&amp;$E15),IF($AA$3=3,COUNTIFS(Datos_Origen[[#All],[G+VQ3 p]],"&gt;"&amp;$D15,Datos_Origen[[#All],[G+VQ3 p]],"&lt;="&amp;$E15),IF($AA$3=4,COUNTIFS(Datos_Origen[[#All],[G+Vpolp]],"&gt;"&amp;$D15,Datos_Origen[[#All],[G+Vpolp]],"&lt;="&amp;$E15),0))))=0,"",IF($AA$3=1,COUNTIFS(Datos_Origen[[#All],[G+VQ1 p]],"&gt;"&amp;$D15,Datos_Origen[[#All],[G+VQ1 p]],"&lt;="&amp;$E15),IF($AA$3=2,COUNTIFS(Datos_Origen[[#All],[G+VMd p]],"&gt;"&amp;$D15,Datos_Origen[[#All],[G+VMd p]],"&lt;="&amp;$E15),IF($AA$3=3,COUNTIFS(Datos_Origen[[#All],[G+VQ3 p]],"&gt;"&amp;$D15,Datos_Origen[[#All],[G+VQ3 p]],"&lt;="&amp;$E15),IF($AA$3=4,COUNTIFS(Datos_Origen[[#All],[G+Vpolp]],"&gt;"&amp;$D15,Datos_Origen[[#All],[G+Vpolp]],"&lt;="&amp;$E15),0)))))</f>
        <v>1</v>
      </c>
      <c r="J15" s="47">
        <f t="shared" ref="J15:J23" si="1">IFERROR(I15/I$24,"")</f>
        <v>7.1942446043165471E-3</v>
      </c>
      <c r="K15" s="616"/>
      <c r="L15" s="46" t="str">
        <f>IF(IF($AA$3=1,COUNTIFS(Datos_Origen[[#All],[CTQ1 p]],"&gt;"&amp;$D15,Datos_Origen[[#All],[CTQ1 p]],"&lt;="&amp;$E15),IF($AA$3=2,COUNTIFS(Datos_Origen[[#All],[CTMd p]],"&gt;"&amp;$D15,Datos_Origen[[#All],[CTMd p]],"&lt;="&amp;$E15),IF($AA$3=3,COUNTIFS(Datos_Origen[[#All],[CTQ3 p]],"&gt;"&amp;$D15,Datos_Origen[[#All],[CTQ3 p]],"&lt;="&amp;$E15),IF($AA$3=4,COUNTIFS(Datos_Origen[[#All],[Ctpolp]],"&gt;"&amp;$D15,Datos_Origen[[#All],[Ctpolp]],"&lt;="&amp;$E15),0))))=0,"",IF($AA$3=1,COUNTIFS(Datos_Origen[[#All],[CTQ1 p]],"&gt;"&amp;$D15,Datos_Origen[[#All],[CTQ1 p]],"&lt;="&amp;$E15),IF($AA$3=2,COUNTIFS(Datos_Origen[[#All],[CTMd p]],"&gt;"&amp;$D15,Datos_Origen[[#All],[CTMd p]],"&lt;="&amp;$E15),IF($AA$3=3,COUNTIFS(Datos_Origen[[#All],[CTQ3 p]],"&gt;"&amp;$D15,Datos_Origen[[#All],[CTQ3 p]],"&lt;="&amp;$E15),IF($AA$3=4,COUNTIFS(Datos_Origen[[#All],[Ctpolp]],"&gt;"&amp;$D15,Datos_Origen[[#All],[Ctpolp]],"&lt;="&amp;$E15),0)))))</f>
        <v/>
      </c>
      <c r="M15" s="47" t="str">
        <f t="shared" ref="M15:M23" si="2">IFERROR(L15/L$24,"")</f>
        <v/>
      </c>
      <c r="N15" s="616"/>
      <c r="O15" s="228">
        <v>1</v>
      </c>
      <c r="P15" s="9"/>
      <c r="Q15" s="9"/>
      <c r="R15" s="229"/>
    </row>
    <row r="16" spans="1:27">
      <c r="A16" s="225"/>
      <c r="B16" s="615"/>
      <c r="C16" s="615"/>
      <c r="D16" s="45">
        <v>1.2</v>
      </c>
      <c r="E16" s="45">
        <f t="shared" ref="E16:E23" si="3">D15</f>
        <v>1.3</v>
      </c>
      <c r="F16" s="46" t="str">
        <f>IF(IF($AA$3=1,COUNTIFS(Datos_Origen[[#All],[GQ1 p]],"&gt;"&amp;$D16,Datos_Origen[[#All],[GQ1 p]],"&lt;="&amp;$E16),IF($AA$3=2,COUNTIFS(Datos_Origen[[#All],[GMd p]],"&gt;"&amp;$D16,Datos_Origen[[#All],[GMd p]],"&lt;="&amp;$E16),IF($AA$3=3,COUNTIFS(Datos_Origen[[#All],[GQ3 p]],"&gt;"&amp;$D16,Datos_Origen[[#All],[GQ3 p]],"&lt;="&amp;$E16),IF($AA$3=4,COUNTIFS(Datos_Origen[[#All],[Gpolp]],"&gt;"&amp;$D16,Datos_Origen[[#All],[Gpolp]],"&lt;="&amp;$E16),0))))=0,"",IF($AA$3=1,COUNTIFS(Datos_Origen[[#All],[GQ1 p]],"&gt;"&amp;$D16,Datos_Origen[[#All],[GQ1 p]],"&lt;="&amp;$E16),IF($AA$3=2,COUNTIFS(Datos_Origen[[#All],[GMd p]],"&gt;"&amp;$D16,Datos_Origen[[#All],[GMd p]],"&lt;="&amp;$E16),IF($AA$3=3,COUNTIFS(Datos_Origen[[#All],[GQ3 p]],"&gt;"&amp;$D16,Datos_Origen[[#All],[GQ3 p]],"&lt;="&amp;$E16),IF($AA$3=4,COUNTIFS(Datos_Origen[[#All],[Gpolp]],"&gt;"&amp;$D16,Datos_Origen[[#All],[Gpolp]],"&lt;="&amp;$E16),0)))))</f>
        <v/>
      </c>
      <c r="G16" s="47" t="str">
        <f t="shared" si="0"/>
        <v/>
      </c>
      <c r="H16" s="616"/>
      <c r="I16" s="46">
        <f>IF(IF($AA$3=1,COUNTIFS(Datos_Origen[[#All],[G+VQ1 p]],"&gt;"&amp;$D16,Datos_Origen[[#All],[G+VQ1 p]],"&lt;="&amp;$E16),IF($AA$3=2,COUNTIFS(Datos_Origen[[#All],[G+VMd p]],"&gt;"&amp;$D16,Datos_Origen[[#All],[G+VMd p]],"&lt;="&amp;$E16),IF($AA$3=3,COUNTIFS(Datos_Origen[[#All],[G+VQ3 p]],"&gt;"&amp;$D16,Datos_Origen[[#All],[G+VQ3 p]],"&lt;="&amp;$E16),IF($AA$3=4,COUNTIFS(Datos_Origen[[#All],[G+Vpolp]],"&gt;"&amp;$D16,Datos_Origen[[#All],[G+Vpolp]],"&lt;="&amp;$E16),0))))=0,"",IF($AA$3=1,COUNTIFS(Datos_Origen[[#All],[G+VQ1 p]],"&gt;"&amp;$D16,Datos_Origen[[#All],[G+VQ1 p]],"&lt;="&amp;$E16),IF($AA$3=2,COUNTIFS(Datos_Origen[[#All],[G+VMd p]],"&gt;"&amp;$D16,Datos_Origen[[#All],[G+VMd p]],"&lt;="&amp;$E16),IF($AA$3=3,COUNTIFS(Datos_Origen[[#All],[G+VQ3 p]],"&gt;"&amp;$D16,Datos_Origen[[#All],[G+VQ3 p]],"&lt;="&amp;$E16),IF($AA$3=4,COUNTIFS(Datos_Origen[[#All],[G+Vpolp]],"&gt;"&amp;$D16,Datos_Origen[[#All],[G+Vpolp]],"&lt;="&amp;$E16),0)))))</f>
        <v>2</v>
      </c>
      <c r="J16" s="47">
        <f t="shared" si="1"/>
        <v>1.4388489208633094E-2</v>
      </c>
      <c r="K16" s="616"/>
      <c r="L16" s="46">
        <f>IF(IF($AA$3=1,COUNTIFS(Datos_Origen[[#All],[CTQ1 p]],"&gt;"&amp;$D16,Datos_Origen[[#All],[CTQ1 p]],"&lt;="&amp;$E16),IF($AA$3=2,COUNTIFS(Datos_Origen[[#All],[CTMd p]],"&gt;"&amp;$D16,Datos_Origen[[#All],[CTMd p]],"&lt;="&amp;$E16),IF($AA$3=3,COUNTIFS(Datos_Origen[[#All],[CTQ3 p]],"&gt;"&amp;$D16,Datos_Origen[[#All],[CTQ3 p]],"&lt;="&amp;$E16),IF($AA$3=4,COUNTIFS(Datos_Origen[[#All],[Ctpolp]],"&gt;"&amp;$D16,Datos_Origen[[#All],[Ctpolp]],"&lt;="&amp;$E16),0))))=0,"",IF($AA$3=1,COUNTIFS(Datos_Origen[[#All],[CTQ1 p]],"&gt;"&amp;$D16,Datos_Origen[[#All],[CTQ1 p]],"&lt;="&amp;$E16),IF($AA$3=2,COUNTIFS(Datos_Origen[[#All],[CTMd p]],"&gt;"&amp;$D16,Datos_Origen[[#All],[CTMd p]],"&lt;="&amp;$E16),IF($AA$3=3,COUNTIFS(Datos_Origen[[#All],[CTQ3 p]],"&gt;"&amp;$D16,Datos_Origen[[#All],[CTQ3 p]],"&lt;="&amp;$E16),IF($AA$3=4,COUNTIFS(Datos_Origen[[#All],[Ctpolp]],"&gt;"&amp;$D16,Datos_Origen[[#All],[Ctpolp]],"&lt;="&amp;$E16),0)))))</f>
        <v>3</v>
      </c>
      <c r="M16" s="47">
        <f t="shared" si="2"/>
        <v>2.1582733812949641E-2</v>
      </c>
      <c r="N16" s="616"/>
      <c r="O16" s="228">
        <v>1</v>
      </c>
      <c r="P16" s="9"/>
      <c r="Q16" s="9"/>
      <c r="R16" s="229"/>
    </row>
    <row r="17" spans="1:18" ht="16.2">
      <c r="A17" s="225"/>
      <c r="B17" s="615"/>
      <c r="C17" s="631" t="s">
        <v>675</v>
      </c>
      <c r="D17" s="50">
        <v>1.1000000000000001</v>
      </c>
      <c r="E17" s="50">
        <f t="shared" si="3"/>
        <v>1.2</v>
      </c>
      <c r="F17" s="51" t="str">
        <f>IF(IF($AA$3=1,COUNTIFS(Datos_Origen[[#All],[GQ1 p]],"&gt;"&amp;$D17,Datos_Origen[[#All],[GQ1 p]],"&lt;="&amp;$E17),IF($AA$3=2,COUNTIFS(Datos_Origen[[#All],[GMd p]],"&gt;"&amp;$D17,Datos_Origen[[#All],[GMd p]],"&lt;="&amp;$E17),IF($AA$3=3,COUNTIFS(Datos_Origen[[#All],[GQ3 p]],"&gt;"&amp;$D17,Datos_Origen[[#All],[GQ3 p]],"&lt;="&amp;$E17),IF($AA$3=4,COUNTIFS(Datos_Origen[[#All],[Gpolp]],"&gt;"&amp;$D17,Datos_Origen[[#All],[Gpolp]],"&lt;="&amp;$E17),0))))=0,"",IF($AA$3=1,COUNTIFS(Datos_Origen[[#All],[GQ1 p]],"&gt;"&amp;$D17,Datos_Origen[[#All],[GQ1 p]],"&lt;="&amp;$E17),IF($AA$3=2,COUNTIFS(Datos_Origen[[#All],[GMd p]],"&gt;"&amp;$D17,Datos_Origen[[#All],[GMd p]],"&lt;="&amp;$E17),IF($AA$3=3,COUNTIFS(Datos_Origen[[#All],[GQ3 p]],"&gt;"&amp;$D17,Datos_Origen[[#All],[GQ3 p]],"&lt;="&amp;$E17),IF($AA$3=4,COUNTIFS(Datos_Origen[[#All],[Gpolp]],"&gt;"&amp;$D17,Datos_Origen[[#All],[Gpolp]],"&lt;="&amp;$E17),0)))))</f>
        <v/>
      </c>
      <c r="G17" s="52" t="str">
        <f t="shared" si="0"/>
        <v/>
      </c>
      <c r="H17" s="617">
        <f>IF(SUM(G17:G20)=0,"",SUM(G17:G20))</f>
        <v>0.41726618705035967</v>
      </c>
      <c r="I17" s="51">
        <f>IF(IF($AA$3=1,COUNTIFS(Datos_Origen[[#All],[G+VQ1 p]],"&gt;"&amp;$D17,Datos_Origen[[#All],[G+VQ1 p]],"&lt;="&amp;$E17),IF($AA$3=2,COUNTIFS(Datos_Origen[[#All],[G+VMd p]],"&gt;"&amp;$D17,Datos_Origen[[#All],[G+VMd p]],"&lt;="&amp;$E17),IF($AA$3=3,COUNTIFS(Datos_Origen[[#All],[G+VQ3 p]],"&gt;"&amp;$D17,Datos_Origen[[#All],[G+VQ3 p]],"&lt;="&amp;$E17),IF($AA$3=4,COUNTIFS(Datos_Origen[[#All],[G+Vpolp]],"&gt;"&amp;$D17,Datos_Origen[[#All],[G+Vpolp]],"&lt;="&amp;$E17),0))))=0,"",IF($AA$3=1,COUNTIFS(Datos_Origen[[#All],[G+VQ1 p]],"&gt;"&amp;$D17,Datos_Origen[[#All],[G+VQ1 p]],"&lt;="&amp;$E17),IF($AA$3=2,COUNTIFS(Datos_Origen[[#All],[G+VMd p]],"&gt;"&amp;$D17,Datos_Origen[[#All],[G+VMd p]],"&lt;="&amp;$E17),IF($AA$3=3,COUNTIFS(Datos_Origen[[#All],[G+VQ3 p]],"&gt;"&amp;$D17,Datos_Origen[[#All],[G+VQ3 p]],"&lt;="&amp;$E17),IF($AA$3=4,COUNTIFS(Datos_Origen[[#All],[G+Vpolp]],"&gt;"&amp;$D17,Datos_Origen[[#All],[G+Vpolp]],"&lt;="&amp;$E17),0)))))</f>
        <v>1</v>
      </c>
      <c r="J17" s="52">
        <f t="shared" si="1"/>
        <v>7.1942446043165471E-3</v>
      </c>
      <c r="K17" s="617">
        <f>IF(SUM(J17:J20)=0,"",SUM(J17:J20))</f>
        <v>0.43165467625899279</v>
      </c>
      <c r="L17" s="51">
        <f>IF(IF($AA$3=1,COUNTIFS(Datos_Origen[[#All],[CTQ1 p]],"&gt;"&amp;$D17,Datos_Origen[[#All],[CTQ1 p]],"&lt;="&amp;$E17),IF($AA$3=2,COUNTIFS(Datos_Origen[[#All],[CTMd p]],"&gt;"&amp;$D17,Datos_Origen[[#All],[CTMd p]],"&lt;="&amp;$E17),IF($AA$3=3,COUNTIFS(Datos_Origen[[#All],[CTQ3 p]],"&gt;"&amp;$D17,Datos_Origen[[#All],[CTQ3 p]],"&lt;="&amp;$E17),IF($AA$3=4,COUNTIFS(Datos_Origen[[#All],[Ctpolp]],"&gt;"&amp;$D17,Datos_Origen[[#All],[Ctpolp]],"&lt;="&amp;$E17),0))))=0,"",IF($AA$3=1,COUNTIFS(Datos_Origen[[#All],[CTQ1 p]],"&gt;"&amp;$D17,Datos_Origen[[#All],[CTQ1 p]],"&lt;="&amp;$E17),IF($AA$3=2,COUNTIFS(Datos_Origen[[#All],[CTMd p]],"&gt;"&amp;$D17,Datos_Origen[[#All],[CTMd p]],"&lt;="&amp;$E17),IF($AA$3=3,COUNTIFS(Datos_Origen[[#All],[CTQ3 p]],"&gt;"&amp;$D17,Datos_Origen[[#All],[CTQ3 p]],"&lt;="&amp;$E17),IF($AA$3=4,COUNTIFS(Datos_Origen[[#All],[Ctpolp]],"&gt;"&amp;$D17,Datos_Origen[[#All],[Ctpolp]],"&lt;="&amp;$E17),0)))))</f>
        <v>1</v>
      </c>
      <c r="M17" s="52">
        <f t="shared" si="2"/>
        <v>7.1942446043165471E-3</v>
      </c>
      <c r="N17" s="617">
        <f>IF(SUM(M17:M20)=0,"",SUM(M17:M20))</f>
        <v>0.35251798561151082</v>
      </c>
      <c r="O17" s="228">
        <v>1</v>
      </c>
      <c r="P17" s="9"/>
      <c r="Q17" s="9"/>
      <c r="R17" s="229"/>
    </row>
    <row r="18" spans="1:18" ht="16.2">
      <c r="A18" s="225"/>
      <c r="B18" s="615"/>
      <c r="C18" s="632"/>
      <c r="D18" s="53">
        <v>1</v>
      </c>
      <c r="E18" s="53">
        <f t="shared" si="3"/>
        <v>1.1000000000000001</v>
      </c>
      <c r="F18" s="54">
        <f>IF(IF($AA$3=1,COUNTIFS(Datos_Origen[[#All],[GQ1 p]],"&gt;"&amp;$D18,Datos_Origen[[#All],[GQ1 p]],"&lt;="&amp;$E18),IF($AA$3=2,COUNTIFS(Datos_Origen[[#All],[GMd p]],"&gt;"&amp;$D18,Datos_Origen[[#All],[GMd p]],"&lt;="&amp;$E18),IF($AA$3=3,COUNTIFS(Datos_Origen[[#All],[GQ3 p]],"&gt;"&amp;$D18,Datos_Origen[[#All],[GQ3 p]],"&lt;="&amp;$E18),IF($AA$3=4,COUNTIFS(Datos_Origen[[#All],[Gpolp]],"&gt;"&amp;$D18,Datos_Origen[[#All],[Gpolp]],"&lt;="&amp;$E18),0))))=0,"",IF($AA$3=1,COUNTIFS(Datos_Origen[[#All],[GQ1 p]],"&gt;"&amp;$D18,Datos_Origen[[#All],[GQ1 p]],"&lt;="&amp;$E18),IF($AA$3=2,COUNTIFS(Datos_Origen[[#All],[GMd p]],"&gt;"&amp;$D18,Datos_Origen[[#All],[GMd p]],"&lt;="&amp;$E18),IF($AA$3=3,COUNTIFS(Datos_Origen[[#All],[GQ3 p]],"&gt;"&amp;$D18,Datos_Origen[[#All],[GQ3 p]],"&lt;="&amp;$E18),IF($AA$3=4,COUNTIFS(Datos_Origen[[#All],[Gpolp]],"&gt;"&amp;$D18,Datos_Origen[[#All],[Gpolp]],"&lt;="&amp;$E18),0)))))</f>
        <v>7</v>
      </c>
      <c r="G18" s="55">
        <f t="shared" si="0"/>
        <v>5.0359712230215826E-2</v>
      </c>
      <c r="H18" s="618"/>
      <c r="I18" s="54">
        <f>IF(IF($AA$3=1,COUNTIFS(Datos_Origen[[#All],[G+VQ1 p]],"&gt;"&amp;$D18,Datos_Origen[[#All],[G+VQ1 p]],"&lt;="&amp;$E18),IF($AA$3=2,COUNTIFS(Datos_Origen[[#All],[G+VMd p]],"&gt;"&amp;$D18,Datos_Origen[[#All],[G+VMd p]],"&lt;="&amp;$E18),IF($AA$3=3,COUNTIFS(Datos_Origen[[#All],[G+VQ3 p]],"&gt;"&amp;$D18,Datos_Origen[[#All],[G+VQ3 p]],"&lt;="&amp;$E18),IF($AA$3=4,COUNTIFS(Datos_Origen[[#All],[G+Vpolp]],"&gt;"&amp;$D18,Datos_Origen[[#All],[G+Vpolp]],"&lt;="&amp;$E18),0))))=0,"",IF($AA$3=1,COUNTIFS(Datos_Origen[[#All],[G+VQ1 p]],"&gt;"&amp;$D18,Datos_Origen[[#All],[G+VQ1 p]],"&lt;="&amp;$E18),IF($AA$3=2,COUNTIFS(Datos_Origen[[#All],[G+VMd p]],"&gt;"&amp;$D18,Datos_Origen[[#All],[G+VMd p]],"&lt;="&amp;$E18),IF($AA$3=3,COUNTIFS(Datos_Origen[[#All],[G+VQ3 p]],"&gt;"&amp;$D18,Datos_Origen[[#All],[G+VQ3 p]],"&lt;="&amp;$E18),IF($AA$3=4,COUNTIFS(Datos_Origen[[#All],[G+Vpolp]],"&gt;"&amp;$D18,Datos_Origen[[#All],[G+Vpolp]],"&lt;="&amp;$E18),0)))))</f>
        <v>7</v>
      </c>
      <c r="J18" s="55">
        <f t="shared" si="1"/>
        <v>5.0359712230215826E-2</v>
      </c>
      <c r="K18" s="618"/>
      <c r="L18" s="54" t="str">
        <f>IF(IF($AA$3=1,COUNTIFS(Datos_Origen[[#All],[CTQ1 p]],"&gt;"&amp;$D18,Datos_Origen[[#All],[CTQ1 p]],"&lt;="&amp;$E18),IF($AA$3=2,COUNTIFS(Datos_Origen[[#All],[CTMd p]],"&gt;"&amp;$D18,Datos_Origen[[#All],[CTMd p]],"&lt;="&amp;$E18),IF($AA$3=3,COUNTIFS(Datos_Origen[[#All],[CTQ3 p]],"&gt;"&amp;$D18,Datos_Origen[[#All],[CTQ3 p]],"&lt;="&amp;$E18),IF($AA$3=4,COUNTIFS(Datos_Origen[[#All],[Ctpolp]],"&gt;"&amp;$D18,Datos_Origen[[#All],[Ctpolp]],"&lt;="&amp;$E18),0))))=0,"",IF($AA$3=1,COUNTIFS(Datos_Origen[[#All],[CTQ1 p]],"&gt;"&amp;$D18,Datos_Origen[[#All],[CTQ1 p]],"&lt;="&amp;$E18),IF($AA$3=2,COUNTIFS(Datos_Origen[[#All],[CTMd p]],"&gt;"&amp;$D18,Datos_Origen[[#All],[CTMd p]],"&lt;="&amp;$E18),IF($AA$3=3,COUNTIFS(Datos_Origen[[#All],[CTQ3 p]],"&gt;"&amp;$D18,Datos_Origen[[#All],[CTQ3 p]],"&lt;="&amp;$E18),IF($AA$3=4,COUNTIFS(Datos_Origen[[#All],[Ctpolp]],"&gt;"&amp;$D18,Datos_Origen[[#All],[Ctpolp]],"&lt;="&amp;$E18),0)))))</f>
        <v/>
      </c>
      <c r="M18" s="55" t="str">
        <f t="shared" si="2"/>
        <v/>
      </c>
      <c r="N18" s="618"/>
      <c r="O18" s="228">
        <v>1</v>
      </c>
      <c r="P18" s="9"/>
      <c r="Q18" s="9"/>
      <c r="R18" s="228"/>
    </row>
    <row r="19" spans="1:18" ht="16.2">
      <c r="A19" s="225"/>
      <c r="B19" s="615"/>
      <c r="C19" s="632"/>
      <c r="D19" s="53">
        <v>0.9</v>
      </c>
      <c r="E19" s="53">
        <f t="shared" si="3"/>
        <v>1</v>
      </c>
      <c r="F19" s="54">
        <f>IF(IF($AA$3=1,COUNTIFS(Datos_Origen[[#All],[GQ1 p]],"&gt;"&amp;$D19,Datos_Origen[[#All],[GQ1 p]],"&lt;="&amp;$E19),IF($AA$3=2,COUNTIFS(Datos_Origen[[#All],[GMd p]],"&gt;"&amp;$D19,Datos_Origen[[#All],[GMd p]],"&lt;="&amp;$E19),IF($AA$3=3,COUNTIFS(Datos_Origen[[#All],[GQ3 p]],"&gt;"&amp;$D19,Datos_Origen[[#All],[GQ3 p]],"&lt;="&amp;$E19),IF($AA$3=4,COUNTIFS(Datos_Origen[[#All],[Gpolp]],"&gt;"&amp;$D19,Datos_Origen[[#All],[Gpolp]],"&lt;="&amp;$E19),0))))=0,"",IF($AA$3=1,COUNTIFS(Datos_Origen[[#All],[GQ1 p]],"&gt;"&amp;$D19,Datos_Origen[[#All],[GQ1 p]],"&lt;="&amp;$E19),IF($AA$3=2,COUNTIFS(Datos_Origen[[#All],[GMd p]],"&gt;"&amp;$D19,Datos_Origen[[#All],[GMd p]],"&lt;="&amp;$E19),IF($AA$3=3,COUNTIFS(Datos_Origen[[#All],[GQ3 p]],"&gt;"&amp;$D19,Datos_Origen[[#All],[GQ3 p]],"&lt;="&amp;$E19),IF($AA$3=4,COUNTIFS(Datos_Origen[[#All],[Gpolp]],"&gt;"&amp;$D19,Datos_Origen[[#All],[Gpolp]],"&lt;="&amp;$E19),0)))))</f>
        <v>25</v>
      </c>
      <c r="G19" s="55">
        <f t="shared" si="0"/>
        <v>0.17985611510791366</v>
      </c>
      <c r="H19" s="618"/>
      <c r="I19" s="54">
        <f>IF(IF($AA$3=1,COUNTIFS(Datos_Origen[[#All],[G+VQ1 p]],"&gt;"&amp;$D19,Datos_Origen[[#All],[G+VQ1 p]],"&lt;="&amp;$E19),IF($AA$3=2,COUNTIFS(Datos_Origen[[#All],[G+VMd p]],"&gt;"&amp;$D19,Datos_Origen[[#All],[G+VMd p]],"&lt;="&amp;$E19),IF($AA$3=3,COUNTIFS(Datos_Origen[[#All],[G+VQ3 p]],"&gt;"&amp;$D19,Datos_Origen[[#All],[G+VQ3 p]],"&lt;="&amp;$E19),IF($AA$3=4,COUNTIFS(Datos_Origen[[#All],[G+Vpolp]],"&gt;"&amp;$D19,Datos_Origen[[#All],[G+Vpolp]],"&lt;="&amp;$E19),0))))=0,"",IF($AA$3=1,COUNTIFS(Datos_Origen[[#All],[G+VQ1 p]],"&gt;"&amp;$D19,Datos_Origen[[#All],[G+VQ1 p]],"&lt;="&amp;$E19),IF($AA$3=2,COUNTIFS(Datos_Origen[[#All],[G+VMd p]],"&gt;"&amp;$D19,Datos_Origen[[#All],[G+VMd p]],"&lt;="&amp;$E19),IF($AA$3=3,COUNTIFS(Datos_Origen[[#All],[G+VQ3 p]],"&gt;"&amp;$D19,Datos_Origen[[#All],[G+VQ3 p]],"&lt;="&amp;$E19),IF($AA$3=4,COUNTIFS(Datos_Origen[[#All],[G+Vpolp]],"&gt;"&amp;$D19,Datos_Origen[[#All],[G+Vpolp]],"&lt;="&amp;$E19),0)))))</f>
        <v>22</v>
      </c>
      <c r="J19" s="55">
        <f t="shared" si="1"/>
        <v>0.15827338129496402</v>
      </c>
      <c r="K19" s="618"/>
      <c r="L19" s="54">
        <f>IF(IF($AA$3=1,COUNTIFS(Datos_Origen[[#All],[CTQ1 p]],"&gt;"&amp;$D19,Datos_Origen[[#All],[CTQ1 p]],"&lt;="&amp;$E19),IF($AA$3=2,COUNTIFS(Datos_Origen[[#All],[CTMd p]],"&gt;"&amp;$D19,Datos_Origen[[#All],[CTMd p]],"&lt;="&amp;$E19),IF($AA$3=3,COUNTIFS(Datos_Origen[[#All],[CTQ3 p]],"&gt;"&amp;$D19,Datos_Origen[[#All],[CTQ3 p]],"&lt;="&amp;$E19),IF($AA$3=4,COUNTIFS(Datos_Origen[[#All],[Ctpolp]],"&gt;"&amp;$D19,Datos_Origen[[#All],[Ctpolp]],"&lt;="&amp;$E19),0))))=0,"",IF($AA$3=1,COUNTIFS(Datos_Origen[[#All],[CTQ1 p]],"&gt;"&amp;$D19,Datos_Origen[[#All],[CTQ1 p]],"&lt;="&amp;$E19),IF($AA$3=2,COUNTIFS(Datos_Origen[[#All],[CTMd p]],"&gt;"&amp;$D19,Datos_Origen[[#All],[CTMd p]],"&lt;="&amp;$E19),IF($AA$3=3,COUNTIFS(Datos_Origen[[#All],[CTQ3 p]],"&gt;"&amp;$D19,Datos_Origen[[#All],[CTQ3 p]],"&lt;="&amp;$E19),IF($AA$3=4,COUNTIFS(Datos_Origen[[#All],[Ctpolp]],"&gt;"&amp;$D19,Datos_Origen[[#All],[Ctpolp]],"&lt;="&amp;$E19),0)))))</f>
        <v>19</v>
      </c>
      <c r="M19" s="55">
        <f t="shared" si="2"/>
        <v>0.1366906474820144</v>
      </c>
      <c r="N19" s="618"/>
      <c r="O19" s="228">
        <v>1</v>
      </c>
      <c r="P19" s="9"/>
      <c r="Q19" s="9" t="s">
        <v>649</v>
      </c>
      <c r="R19" s="228" t="s">
        <v>650</v>
      </c>
    </row>
    <row r="20" spans="1:18" ht="16.2">
      <c r="A20" s="225"/>
      <c r="B20" s="615"/>
      <c r="C20" s="633"/>
      <c r="D20" s="56">
        <v>0.8</v>
      </c>
      <c r="E20" s="56">
        <f t="shared" si="3"/>
        <v>0.9</v>
      </c>
      <c r="F20" s="57">
        <f>IF(IF($AA$3=1,COUNTIFS(Datos_Origen[[#All],[GQ1 p]],"&gt;"&amp;$D20,Datos_Origen[[#All],[GQ1 p]],"&lt;="&amp;$E20),IF($AA$3=2,COUNTIFS(Datos_Origen[[#All],[GMd p]],"&gt;"&amp;$D20,Datos_Origen[[#All],[GMd p]],"&lt;="&amp;$E20),IF($AA$3=3,COUNTIFS(Datos_Origen[[#All],[GQ3 p]],"&gt;"&amp;$D20,Datos_Origen[[#All],[GQ3 p]],"&lt;="&amp;$E20),IF($AA$3=4,COUNTIFS(Datos_Origen[[#All],[Gpolp]],"&gt;"&amp;$D20,Datos_Origen[[#All],[Gpolp]],"&lt;="&amp;$E20),0))))=0,"",IF($AA$3=1,COUNTIFS(Datos_Origen[[#All],[GQ1 p]],"&gt;"&amp;$D20,Datos_Origen[[#All],[GQ1 p]],"&lt;="&amp;$E20),IF($AA$3=2,COUNTIFS(Datos_Origen[[#All],[GMd p]],"&gt;"&amp;$D20,Datos_Origen[[#All],[GMd p]],"&lt;="&amp;$E20),IF($AA$3=3,COUNTIFS(Datos_Origen[[#All],[GQ3 p]],"&gt;"&amp;$D20,Datos_Origen[[#All],[GQ3 p]],"&lt;="&amp;$E20),IF($AA$3=4,COUNTIFS(Datos_Origen[[#All],[Gpolp]],"&gt;"&amp;$D20,Datos_Origen[[#All],[Gpolp]],"&lt;="&amp;$E20),0)))))</f>
        <v>26</v>
      </c>
      <c r="G20" s="58">
        <f t="shared" si="0"/>
        <v>0.18705035971223022</v>
      </c>
      <c r="H20" s="619"/>
      <c r="I20" s="57">
        <f>IF(IF($AA$3=1,COUNTIFS(Datos_Origen[[#All],[G+VQ1 p]],"&gt;"&amp;$D20,Datos_Origen[[#All],[G+VQ1 p]],"&lt;="&amp;$E20),IF($AA$3=2,COUNTIFS(Datos_Origen[[#All],[G+VMd p]],"&gt;"&amp;$D20,Datos_Origen[[#All],[G+VMd p]],"&lt;="&amp;$E20),IF($AA$3=3,COUNTIFS(Datos_Origen[[#All],[G+VQ3 p]],"&gt;"&amp;$D20,Datos_Origen[[#All],[G+VQ3 p]],"&lt;="&amp;$E20),IF($AA$3=4,COUNTIFS(Datos_Origen[[#All],[G+Vpolp]],"&gt;"&amp;$D20,Datos_Origen[[#All],[G+Vpolp]],"&lt;="&amp;$E20),0))))=0,"",IF($AA$3=1,COUNTIFS(Datos_Origen[[#All],[G+VQ1 p]],"&gt;"&amp;$D20,Datos_Origen[[#All],[G+VQ1 p]],"&lt;="&amp;$E20),IF($AA$3=2,COUNTIFS(Datos_Origen[[#All],[G+VMd p]],"&gt;"&amp;$D20,Datos_Origen[[#All],[G+VMd p]],"&lt;="&amp;$E20),IF($AA$3=3,COUNTIFS(Datos_Origen[[#All],[G+VQ3 p]],"&gt;"&amp;$D20,Datos_Origen[[#All],[G+VQ3 p]],"&lt;="&amp;$E20),IF($AA$3=4,COUNTIFS(Datos_Origen[[#All],[G+Vpolp]],"&gt;"&amp;$D20,Datos_Origen[[#All],[G+Vpolp]],"&lt;="&amp;$E20),0)))))</f>
        <v>30</v>
      </c>
      <c r="J20" s="58">
        <f t="shared" si="1"/>
        <v>0.21582733812949639</v>
      </c>
      <c r="K20" s="619"/>
      <c r="L20" s="57">
        <f>IF(IF($AA$3=1,COUNTIFS(Datos_Origen[[#All],[CTQ1 p]],"&gt;"&amp;$D20,Datos_Origen[[#All],[CTQ1 p]],"&lt;="&amp;$E20),IF($AA$3=2,COUNTIFS(Datos_Origen[[#All],[CTMd p]],"&gt;"&amp;$D20,Datos_Origen[[#All],[CTMd p]],"&lt;="&amp;$E20),IF($AA$3=3,COUNTIFS(Datos_Origen[[#All],[CTQ3 p]],"&gt;"&amp;$D20,Datos_Origen[[#All],[CTQ3 p]],"&lt;="&amp;$E20),IF($AA$3=4,COUNTIFS(Datos_Origen[[#All],[Ctpolp]],"&gt;"&amp;$D20,Datos_Origen[[#All],[Ctpolp]],"&lt;="&amp;$E20),0))))=0,"",IF($AA$3=1,COUNTIFS(Datos_Origen[[#All],[CTQ1 p]],"&gt;"&amp;$D20,Datos_Origen[[#All],[CTQ1 p]],"&lt;="&amp;$E20),IF($AA$3=2,COUNTIFS(Datos_Origen[[#All],[CTMd p]],"&gt;"&amp;$D20,Datos_Origen[[#All],[CTMd p]],"&lt;="&amp;$E20),IF($AA$3=3,COUNTIFS(Datos_Origen[[#All],[CTQ3 p]],"&gt;"&amp;$D20,Datos_Origen[[#All],[CTQ3 p]],"&lt;="&amp;$E20),IF($AA$3=4,COUNTIFS(Datos_Origen[[#All],[Ctpolp]],"&gt;"&amp;$D20,Datos_Origen[[#All],[Ctpolp]],"&lt;="&amp;$E20),0)))))</f>
        <v>29</v>
      </c>
      <c r="M20" s="58">
        <f t="shared" si="2"/>
        <v>0.20863309352517986</v>
      </c>
      <c r="N20" s="619"/>
      <c r="O20" s="228">
        <v>1</v>
      </c>
      <c r="P20" s="9"/>
      <c r="Q20" s="9">
        <v>0</v>
      </c>
      <c r="R20" s="228">
        <v>0</v>
      </c>
    </row>
    <row r="21" spans="1:18">
      <c r="A21" s="225"/>
      <c r="B21" s="615"/>
      <c r="C21" s="615" t="s">
        <v>651</v>
      </c>
      <c r="D21" s="45">
        <v>0.7</v>
      </c>
      <c r="E21" s="45">
        <f t="shared" si="3"/>
        <v>0.8</v>
      </c>
      <c r="F21" s="46">
        <f>IF(IF($AA$3=1,COUNTIFS(Datos_Origen[[#All],[GQ1 p]],"&gt;"&amp;$D21,Datos_Origen[[#All],[GQ1 p]],"&lt;="&amp;$E21),IF($AA$3=2,COUNTIFS(Datos_Origen[[#All],[GMd p]],"&gt;"&amp;$D21,Datos_Origen[[#All],[GMd p]],"&lt;="&amp;$E21),IF($AA$3=3,COUNTIFS(Datos_Origen[[#All],[GQ3 p]],"&gt;"&amp;$D21,Datos_Origen[[#All],[GQ3 p]],"&lt;="&amp;$E21),IF($AA$3=4,COUNTIFS(Datos_Origen[[#All],[Gpolp]],"&gt;"&amp;$D21,Datos_Origen[[#All],[Gpolp]],"&lt;="&amp;$E21),0))))=0,"",IF($AA$3=1,COUNTIFS(Datos_Origen[[#All],[GQ1 p]],"&gt;"&amp;$D21,Datos_Origen[[#All],[GQ1 p]],"&lt;="&amp;$E21),IF($AA$3=2,COUNTIFS(Datos_Origen[[#All],[GMd p]],"&gt;"&amp;$D21,Datos_Origen[[#All],[GMd p]],"&lt;="&amp;$E21),IF($AA$3=3,COUNTIFS(Datos_Origen[[#All],[GQ3 p]],"&gt;"&amp;$D21,Datos_Origen[[#All],[GQ3 p]],"&lt;="&amp;$E21),IF($AA$3=4,COUNTIFS(Datos_Origen[[#All],[Gpolp]],"&gt;"&amp;$D21,Datos_Origen[[#All],[Gpolp]],"&lt;="&amp;$E21),0)))))</f>
        <v>23</v>
      </c>
      <c r="G21" s="47">
        <f t="shared" si="0"/>
        <v>0.16546762589928057</v>
      </c>
      <c r="H21" s="616">
        <f>IF(SUM(G21:G23)=0,"",SUM(G21:G23))</f>
        <v>0.56115107913669071</v>
      </c>
      <c r="I21" s="46">
        <f>IF(IF($AA$3=1,COUNTIFS(Datos_Origen[[#All],[G+VQ1 p]],"&gt;"&amp;$D21,Datos_Origen[[#All],[G+VQ1 p]],"&lt;="&amp;$E21),IF($AA$3=2,COUNTIFS(Datos_Origen[[#All],[G+VMd p]],"&gt;"&amp;$D21,Datos_Origen[[#All],[G+VMd p]],"&lt;="&amp;$E21),IF($AA$3=3,COUNTIFS(Datos_Origen[[#All],[G+VQ3 p]],"&gt;"&amp;$D21,Datos_Origen[[#All],[G+VQ3 p]],"&lt;="&amp;$E21),IF($AA$3=4,COUNTIFS(Datos_Origen[[#All],[G+Vpolp]],"&gt;"&amp;$D21,Datos_Origen[[#All],[G+Vpolp]],"&lt;="&amp;$E21),0))))=0,"",IF($AA$3=1,COUNTIFS(Datos_Origen[[#All],[G+VQ1 p]],"&gt;"&amp;$D21,Datos_Origen[[#All],[G+VQ1 p]],"&lt;="&amp;$E21),IF($AA$3=2,COUNTIFS(Datos_Origen[[#All],[G+VMd p]],"&gt;"&amp;$D21,Datos_Origen[[#All],[G+VMd p]],"&lt;="&amp;$E21),IF($AA$3=3,COUNTIFS(Datos_Origen[[#All],[G+VQ3 p]],"&gt;"&amp;$D21,Datos_Origen[[#All],[G+VQ3 p]],"&lt;="&amp;$E21),IF($AA$3=4,COUNTIFS(Datos_Origen[[#All],[G+Vpolp]],"&gt;"&amp;$D21,Datos_Origen[[#All],[G+Vpolp]],"&lt;="&amp;$E21),0)))))</f>
        <v>22</v>
      </c>
      <c r="J21" s="47">
        <f t="shared" si="1"/>
        <v>0.15827338129496402</v>
      </c>
      <c r="K21" s="616">
        <f>IF(SUM(J21:J23)=0,"",SUM(J21:J23))</f>
        <v>0.54676258992805749</v>
      </c>
      <c r="L21" s="46">
        <f>IF(IF($AA$3=1,COUNTIFS(Datos_Origen[[#All],[CTQ1 p]],"&gt;"&amp;$D21,Datos_Origen[[#All],[CTQ1 p]],"&lt;="&amp;$E21),IF($AA$3=2,COUNTIFS(Datos_Origen[[#All],[CTMd p]],"&gt;"&amp;$D21,Datos_Origen[[#All],[CTMd p]],"&lt;="&amp;$E21),IF($AA$3=3,COUNTIFS(Datos_Origen[[#All],[CTQ3 p]],"&gt;"&amp;$D21,Datos_Origen[[#All],[CTQ3 p]],"&lt;="&amp;$E21),IF($AA$3=4,COUNTIFS(Datos_Origen[[#All],[Ctpolp]],"&gt;"&amp;$D21,Datos_Origen[[#All],[Ctpolp]],"&lt;="&amp;$E21),0))))=0,"",IF($AA$3=1,COUNTIFS(Datos_Origen[[#All],[CTQ1 p]],"&gt;"&amp;$D21,Datos_Origen[[#All],[CTQ1 p]],"&lt;="&amp;$E21),IF($AA$3=2,COUNTIFS(Datos_Origen[[#All],[CTMd p]],"&gt;"&amp;$D21,Datos_Origen[[#All],[CTMd p]],"&lt;="&amp;$E21),IF($AA$3=3,COUNTIFS(Datos_Origen[[#All],[CTQ3 p]],"&gt;"&amp;$D21,Datos_Origen[[#All],[CTQ3 p]],"&lt;="&amp;$E21),IF($AA$3=4,COUNTIFS(Datos_Origen[[#All],[Ctpolp]],"&gt;"&amp;$D21,Datos_Origen[[#All],[Ctpolp]],"&lt;="&amp;$E21),0)))))</f>
        <v>22</v>
      </c>
      <c r="M21" s="47">
        <f t="shared" si="2"/>
        <v>0.15827338129496402</v>
      </c>
      <c r="N21" s="616">
        <f>IF(SUM(M21:M23)=0,"",SUM(M21:M23))</f>
        <v>0.62589928057553956</v>
      </c>
      <c r="O21" s="228">
        <v>1</v>
      </c>
      <c r="P21" s="9"/>
      <c r="Q21" s="9">
        <f>COS(Q23)*(-1)</f>
        <v>-0.44692807508588517</v>
      </c>
      <c r="R21" s="228">
        <f>SIN(Q23)</f>
        <v>0.89456989425087707</v>
      </c>
    </row>
    <row r="22" spans="1:18">
      <c r="A22" s="225"/>
      <c r="B22" s="615"/>
      <c r="C22" s="630"/>
      <c r="D22" s="45">
        <v>0.6</v>
      </c>
      <c r="E22" s="45">
        <f t="shared" si="3"/>
        <v>0.7</v>
      </c>
      <c r="F22" s="46">
        <f>IF(IF($AA$3=1,COUNTIFS(Datos_Origen[[#All],[GQ1 p]],"&gt;"&amp;$D22,Datos_Origen[[#All],[GQ1 p]],"&lt;="&amp;$E22),IF($AA$3=2,COUNTIFS(Datos_Origen[[#All],[GMd p]],"&gt;"&amp;$D22,Datos_Origen[[#All],[GMd p]],"&lt;="&amp;$E22),IF($AA$3=3,COUNTIFS(Datos_Origen[[#All],[GQ3 p]],"&gt;"&amp;$D22,Datos_Origen[[#All],[GQ3 p]],"&lt;="&amp;$E22),IF($AA$3=4,COUNTIFS(Datos_Origen[[#All],[Gpolp]],"&gt;"&amp;$D22,Datos_Origen[[#All],[Gpolp]],"&lt;="&amp;$E22),0))))=0,"",IF($AA$3=1,COUNTIFS(Datos_Origen[[#All],[GQ1 p]],"&gt;"&amp;$D22,Datos_Origen[[#All],[GQ1 p]],"&lt;="&amp;$E22),IF($AA$3=2,COUNTIFS(Datos_Origen[[#All],[GMd p]],"&gt;"&amp;$D22,Datos_Origen[[#All],[GMd p]],"&lt;="&amp;$E22),IF($AA$3=3,COUNTIFS(Datos_Origen[[#All],[GQ3 p]],"&gt;"&amp;$D22,Datos_Origen[[#All],[GQ3 p]],"&lt;="&amp;$E22),IF($AA$3=4,COUNTIFS(Datos_Origen[[#All],[Gpolp]],"&gt;"&amp;$D22,Datos_Origen[[#All],[Gpolp]],"&lt;="&amp;$E22),0)))))</f>
        <v>28</v>
      </c>
      <c r="G22" s="47">
        <f t="shared" si="0"/>
        <v>0.20143884892086331</v>
      </c>
      <c r="H22" s="616"/>
      <c r="I22" s="46">
        <f>IF(IF($AA$3=1,COUNTIFS(Datos_Origen[[#All],[G+VQ1 p]],"&gt;"&amp;$D22,Datos_Origen[[#All],[G+VQ1 p]],"&lt;="&amp;$E22),IF($AA$3=2,COUNTIFS(Datos_Origen[[#All],[G+VMd p]],"&gt;"&amp;$D22,Datos_Origen[[#All],[G+VMd p]],"&lt;="&amp;$E22),IF($AA$3=3,COUNTIFS(Datos_Origen[[#All],[G+VQ3 p]],"&gt;"&amp;$D22,Datos_Origen[[#All],[G+VQ3 p]],"&lt;="&amp;$E22),IF($AA$3=4,COUNTIFS(Datos_Origen[[#All],[G+Vpolp]],"&gt;"&amp;$D22,Datos_Origen[[#All],[G+Vpolp]],"&lt;="&amp;$E22),0))))=0,"",IF($AA$3=1,COUNTIFS(Datos_Origen[[#All],[G+VQ1 p]],"&gt;"&amp;$D22,Datos_Origen[[#All],[G+VQ1 p]],"&lt;="&amp;$E22),IF($AA$3=2,COUNTIFS(Datos_Origen[[#All],[G+VMd p]],"&gt;"&amp;$D22,Datos_Origen[[#All],[G+VMd p]],"&lt;="&amp;$E22),IF($AA$3=3,COUNTIFS(Datos_Origen[[#All],[G+VQ3 p]],"&gt;"&amp;$D22,Datos_Origen[[#All],[G+VQ3 p]],"&lt;="&amp;$E22),IF($AA$3=4,COUNTIFS(Datos_Origen[[#All],[G+Vpolp]],"&gt;"&amp;$D22,Datos_Origen[[#All],[G+Vpolp]],"&lt;="&amp;$E22),0)))))</f>
        <v>29</v>
      </c>
      <c r="J22" s="47">
        <f t="shared" si="1"/>
        <v>0.20863309352517986</v>
      </c>
      <c r="K22" s="616"/>
      <c r="L22" s="46">
        <f>IF(IF($AA$3=1,COUNTIFS(Datos_Origen[[#All],[CTQ1 p]],"&gt;"&amp;$D22,Datos_Origen[[#All],[CTQ1 p]],"&lt;="&amp;$E22),IF($AA$3=2,COUNTIFS(Datos_Origen[[#All],[CTMd p]],"&gt;"&amp;$D22,Datos_Origen[[#All],[CTMd p]],"&lt;="&amp;$E22),IF($AA$3=3,COUNTIFS(Datos_Origen[[#All],[CTQ3 p]],"&gt;"&amp;$D22,Datos_Origen[[#All],[CTQ3 p]],"&lt;="&amp;$E22),IF($AA$3=4,COUNTIFS(Datos_Origen[[#All],[Ctpolp]],"&gt;"&amp;$D22,Datos_Origen[[#All],[Ctpolp]],"&lt;="&amp;$E22),0))))=0,"",IF($AA$3=1,COUNTIFS(Datos_Origen[[#All],[CTQ1 p]],"&gt;"&amp;$D22,Datos_Origen[[#All],[CTQ1 p]],"&lt;="&amp;$E22),IF($AA$3=2,COUNTIFS(Datos_Origen[[#All],[CTMd p]],"&gt;"&amp;$D22,Datos_Origen[[#All],[CTMd p]],"&lt;="&amp;$E22),IF($AA$3=3,COUNTIFS(Datos_Origen[[#All],[CTQ3 p]],"&gt;"&amp;$D22,Datos_Origen[[#All],[CTQ3 p]],"&lt;="&amp;$E22),IF($AA$3=4,COUNTIFS(Datos_Origen[[#All],[Ctpolp]],"&gt;"&amp;$D22,Datos_Origen[[#All],[Ctpolp]],"&lt;="&amp;$E22),0)))))</f>
        <v>38</v>
      </c>
      <c r="M22" s="47">
        <f t="shared" si="2"/>
        <v>0.2733812949640288</v>
      </c>
      <c r="N22" s="616"/>
      <c r="O22" s="228">
        <v>1</v>
      </c>
      <c r="P22" s="9"/>
      <c r="Q22" s="9"/>
      <c r="R22" s="228"/>
    </row>
    <row r="23" spans="1:18">
      <c r="A23" s="225"/>
      <c r="B23" s="615"/>
      <c r="C23" s="630"/>
      <c r="D23" s="48">
        <v>0</v>
      </c>
      <c r="E23" s="45">
        <f t="shared" si="3"/>
        <v>0.6</v>
      </c>
      <c r="F23" s="46">
        <f>IF(IF($AA$3=1,COUNTIFS(Datos_Origen[[#All],[GQ1 p]],"&gt;"&amp;$D23,Datos_Origen[[#All],[GQ1 p]],"&lt;="&amp;$E23),IF($AA$3=2,COUNTIFS(Datos_Origen[[#All],[GMd p]],"&gt;"&amp;$D23,Datos_Origen[[#All],[GMd p]],"&lt;="&amp;$E23),IF($AA$3=3,COUNTIFS(Datos_Origen[[#All],[GQ3 p]],"&gt;"&amp;$D23,Datos_Origen[[#All],[GQ3 p]],"&lt;="&amp;$E23),IF($AA$3=4,COUNTIFS(Datos_Origen[[#All],[Gpolp]],"&gt;"&amp;$D23,Datos_Origen[[#All],[Gpolp]],"&lt;="&amp;$E23),0))))=0,"",IF($AA$3=1,COUNTIFS(Datos_Origen[[#All],[GQ1 p]],"&gt;"&amp;$D23,Datos_Origen[[#All],[GQ1 p]],"&lt;="&amp;$E23),IF($AA$3=2,COUNTIFS(Datos_Origen[[#All],[GMd p]],"&gt;"&amp;$D23,Datos_Origen[[#All],[GMd p]],"&lt;="&amp;$E23),IF($AA$3=3,COUNTIFS(Datos_Origen[[#All],[GQ3 p]],"&gt;"&amp;$D23,Datos_Origen[[#All],[GQ3 p]],"&lt;="&amp;$E23),IF($AA$3=4,COUNTIFS(Datos_Origen[[#All],[Gpolp]],"&gt;"&amp;$D23,Datos_Origen[[#All],[Gpolp]],"&lt;="&amp;$E23),0)))))</f>
        <v>27</v>
      </c>
      <c r="G23" s="47">
        <f t="shared" si="0"/>
        <v>0.19424460431654678</v>
      </c>
      <c r="H23" s="616"/>
      <c r="I23" s="46">
        <f>IF(IF($AA$3=1,COUNTIFS(Datos_Origen[[#All],[G+VQ1 p]],"&gt;"&amp;$D23,Datos_Origen[[#All],[G+VQ1 p]],"&lt;="&amp;$E23),IF($AA$3=2,COUNTIFS(Datos_Origen[[#All],[G+VMd p]],"&gt;"&amp;$D23,Datos_Origen[[#All],[G+VMd p]],"&lt;="&amp;$E23),IF($AA$3=3,COUNTIFS(Datos_Origen[[#All],[G+VQ3 p]],"&gt;"&amp;$D23,Datos_Origen[[#All],[G+VQ3 p]],"&lt;="&amp;$E23),IF($AA$3=4,COUNTIFS(Datos_Origen[[#All],[G+Vpolp]],"&gt;"&amp;$D23,Datos_Origen[[#All],[G+Vpolp]],"&lt;="&amp;$E23),0))))=0,"",IF($AA$3=1,COUNTIFS(Datos_Origen[[#All],[G+VQ1 p]],"&gt;"&amp;$D23,Datos_Origen[[#All],[G+VQ1 p]],"&lt;="&amp;$E23),IF($AA$3=2,COUNTIFS(Datos_Origen[[#All],[G+VMd p]],"&gt;"&amp;$D23,Datos_Origen[[#All],[G+VMd p]],"&lt;="&amp;$E23),IF($AA$3=3,COUNTIFS(Datos_Origen[[#All],[G+VQ3 p]],"&gt;"&amp;$D23,Datos_Origen[[#All],[G+VQ3 p]],"&lt;="&amp;$E23),IF($AA$3=4,COUNTIFS(Datos_Origen[[#All],[G+Vpolp]],"&gt;"&amp;$D23,Datos_Origen[[#All],[G+Vpolp]],"&lt;="&amp;$E23),0)))))</f>
        <v>25</v>
      </c>
      <c r="J23" s="47">
        <f t="shared" si="1"/>
        <v>0.17985611510791366</v>
      </c>
      <c r="K23" s="616"/>
      <c r="L23" s="46">
        <f>IF(IF($AA$3=1,COUNTIFS(Datos_Origen[[#All],[CTQ1 p]],"&gt;"&amp;$D23,Datos_Origen[[#All],[CTQ1 p]],"&lt;="&amp;$E23),IF($AA$3=2,COUNTIFS(Datos_Origen[[#All],[CTMd p]],"&gt;"&amp;$D23,Datos_Origen[[#All],[CTMd p]],"&lt;="&amp;$E23),IF($AA$3=3,COUNTIFS(Datos_Origen[[#All],[CTQ3 p]],"&gt;"&amp;$D23,Datos_Origen[[#All],[CTQ3 p]],"&lt;="&amp;$E23),IF($AA$3=4,COUNTIFS(Datos_Origen[[#All],[Ctpolp]],"&gt;"&amp;$D23,Datos_Origen[[#All],[Ctpolp]],"&lt;="&amp;$E23),0))))=0,"",IF($AA$3=1,COUNTIFS(Datos_Origen[[#All],[CTQ1 p]],"&gt;"&amp;$D23,Datos_Origen[[#All],[CTQ1 p]],"&lt;="&amp;$E23),IF($AA$3=2,COUNTIFS(Datos_Origen[[#All],[CTMd p]],"&gt;"&amp;$D23,Datos_Origen[[#All],[CTMd p]],"&lt;="&amp;$E23),IF($AA$3=3,COUNTIFS(Datos_Origen[[#All],[CTQ3 p]],"&gt;"&amp;$D23,Datos_Origen[[#All],[CTQ3 p]],"&lt;="&amp;$E23),IF($AA$3=4,COUNTIFS(Datos_Origen[[#All],[Ctpolp]],"&gt;"&amp;$D23,Datos_Origen[[#All],[Ctpolp]],"&lt;="&amp;$E23),0)))))</f>
        <v>27</v>
      </c>
      <c r="M23" s="47">
        <f t="shared" si="2"/>
        <v>0.19424460431654678</v>
      </c>
      <c r="N23" s="616"/>
      <c r="O23" s="228">
        <v>1</v>
      </c>
      <c r="P23" s="9"/>
      <c r="Q23" s="9">
        <f>N17*PI()</f>
        <v>1.1074679138553949</v>
      </c>
      <c r="R23" s="228"/>
    </row>
    <row r="24" spans="1:18" ht="15.6">
      <c r="A24" s="225"/>
      <c r="F24" s="59">
        <f t="shared" ref="F24:N24" si="4">SUM(F14:F23)</f>
        <v>139</v>
      </c>
      <c r="G24" s="60">
        <f t="shared" si="4"/>
        <v>1</v>
      </c>
      <c r="H24" s="65">
        <f t="shared" si="4"/>
        <v>1</v>
      </c>
      <c r="I24" s="59">
        <f t="shared" si="4"/>
        <v>139</v>
      </c>
      <c r="J24" s="60">
        <f t="shared" si="4"/>
        <v>1</v>
      </c>
      <c r="K24" s="65">
        <f t="shared" si="4"/>
        <v>0.99999999999999989</v>
      </c>
      <c r="L24" s="59">
        <f t="shared" si="4"/>
        <v>139</v>
      </c>
      <c r="M24" s="60">
        <f t="shared" si="4"/>
        <v>1</v>
      </c>
      <c r="N24" s="65">
        <f t="shared" si="4"/>
        <v>1</v>
      </c>
      <c r="O24" s="228">
        <v>10</v>
      </c>
      <c r="P24" s="9"/>
      <c r="Q24" s="9"/>
      <c r="R24" s="228"/>
    </row>
    <row r="25" spans="1:18">
      <c r="A25" s="225"/>
      <c r="B25" s="225"/>
      <c r="C25" s="225"/>
      <c r="D25" s="225"/>
      <c r="E25" s="225"/>
      <c r="F25" s="225"/>
      <c r="G25" s="225"/>
      <c r="H25" s="225"/>
      <c r="I25" s="225"/>
      <c r="J25" s="225"/>
      <c r="K25" s="225"/>
      <c r="L25" s="225"/>
      <c r="M25" s="225"/>
      <c r="N25" s="225"/>
      <c r="O25" s="225"/>
      <c r="P25" s="225"/>
      <c r="Q25" s="225"/>
      <c r="R25" s="225"/>
    </row>
    <row r="26" spans="1:18">
      <c r="A26" s="225"/>
      <c r="B26" s="225"/>
      <c r="C26" s="225"/>
      <c r="D26" s="225"/>
      <c r="E26" s="225"/>
      <c r="F26" s="225"/>
      <c r="G26" s="225"/>
      <c r="H26" s="225"/>
      <c r="I26" s="225"/>
      <c r="J26" s="225"/>
      <c r="K26" s="225"/>
      <c r="L26" s="225"/>
      <c r="M26" s="225"/>
      <c r="N26" s="225"/>
      <c r="O26" s="225"/>
      <c r="P26" s="225"/>
      <c r="Q26" s="225"/>
      <c r="R26" s="225"/>
    </row>
    <row r="27" spans="1:18" ht="25.8">
      <c r="A27" s="225"/>
      <c r="B27" s="639"/>
      <c r="C27" s="639"/>
      <c r="D27" s="639"/>
      <c r="E27" s="639"/>
      <c r="F27" s="639"/>
      <c r="G27" s="639"/>
      <c r="H27" s="639"/>
      <c r="I27" s="639"/>
      <c r="J27" s="639"/>
      <c r="K27" s="639"/>
      <c r="L27" s="639"/>
      <c r="M27" s="639"/>
      <c r="N27" s="639"/>
      <c r="O27" s="639"/>
      <c r="P27" s="639"/>
      <c r="Q27" s="639"/>
      <c r="R27" s="231"/>
    </row>
    <row r="28" spans="1:18">
      <c r="A28" s="225"/>
      <c r="B28" s="225"/>
      <c r="C28" s="225"/>
      <c r="D28" s="225"/>
      <c r="E28" s="225"/>
      <c r="F28" s="225"/>
      <c r="G28" s="225"/>
      <c r="H28" s="225"/>
      <c r="I28" s="225"/>
      <c r="J28" s="225"/>
      <c r="K28" s="225"/>
      <c r="L28" s="225"/>
      <c r="M28" s="225"/>
      <c r="N28" s="225"/>
      <c r="O28" s="225"/>
      <c r="P28" s="225"/>
      <c r="Q28" s="225"/>
      <c r="R28" s="225"/>
    </row>
    <row r="29" spans="1:18">
      <c r="A29" s="225"/>
      <c r="D29" s="611" t="s">
        <v>15</v>
      </c>
      <c r="E29" s="640"/>
      <c r="F29" s="622" t="s">
        <v>273</v>
      </c>
      <c r="G29" s="622"/>
      <c r="H29" s="622"/>
      <c r="I29" s="601" t="s">
        <v>277</v>
      </c>
      <c r="J29" s="601"/>
      <c r="K29" s="601"/>
      <c r="L29" s="622" t="s">
        <v>295</v>
      </c>
      <c r="M29" s="622"/>
      <c r="N29" s="622"/>
      <c r="O29" s="601" t="s">
        <v>290</v>
      </c>
      <c r="P29" s="601"/>
      <c r="Q29" s="601"/>
      <c r="R29" s="232"/>
    </row>
    <row r="30" spans="1:18" ht="26.4">
      <c r="A30" s="225"/>
      <c r="D30" s="613"/>
      <c r="E30" s="641"/>
      <c r="F30" s="88" t="s">
        <v>644</v>
      </c>
      <c r="G30" s="38" t="s">
        <v>645</v>
      </c>
      <c r="H30" s="38" t="s">
        <v>645</v>
      </c>
      <c r="I30" s="89" t="s">
        <v>644</v>
      </c>
      <c r="J30" s="39" t="s">
        <v>645</v>
      </c>
      <c r="K30" s="39" t="s">
        <v>645</v>
      </c>
      <c r="L30" s="88" t="s">
        <v>644</v>
      </c>
      <c r="M30" s="38" t="s">
        <v>645</v>
      </c>
      <c r="N30" s="38" t="s">
        <v>645</v>
      </c>
      <c r="O30" s="89" t="s">
        <v>644</v>
      </c>
      <c r="P30" s="39" t="s">
        <v>645</v>
      </c>
      <c r="Q30" s="39" t="s">
        <v>645</v>
      </c>
      <c r="R30" s="233"/>
    </row>
    <row r="31" spans="1:18">
      <c r="A31" s="225"/>
      <c r="B31" s="615" t="s">
        <v>674</v>
      </c>
      <c r="C31" s="615" t="s">
        <v>647</v>
      </c>
      <c r="D31" s="45">
        <v>1.5</v>
      </c>
      <c r="E31" s="45">
        <v>10</v>
      </c>
      <c r="F31" s="46" t="str">
        <f>IF(IF($AA$3=1,COUNTIFS(Datos_Origen[CTQ1 p],"&gt;"&amp;$D31,Datos_Origen[CTQ1 p],"&lt;="&amp;$E31,Datos_Origen[Criticidad],F$29),IF($AA$3=2,COUNTIFS(Datos_Origen[CTMd p],"&gt;"&amp;$D31,Datos_Origen[CTMd p],"&lt;="&amp;$E31,Datos_Origen[Criticidad],F$29),IF($AA$3=3,COUNTIFS(Datos_Origen[CTQ3 p],"&gt;"&amp;$D31,Datos_Origen[CTQ3 p],"&lt;="&amp;$E31,Datos_Origen[Criticidad],F$29),IF($AA$3=4,COUNTIFS(Datos_Origen[Ctpolp],"&gt;"&amp;$D31,Datos_Origen[Ctpolp],"&lt;="&amp;$E31,Datos_Origen[Criticidad],F$29),0))))=0,"",IF($AA$3=1,COUNTIFS(Datos_Origen[CTQ1 p],"&gt;"&amp;$D31,Datos_Origen[CTQ1 p],"&lt;="&amp;$E31,Datos_Origen[Criticidad],F$29),IF($AA$3=2,COUNTIFS(Datos_Origen[CTMd p],"&gt;"&amp;$D31,Datos_Origen[CTMd p],"&lt;="&amp;$E31,Datos_Origen[Criticidad],F$29),IF($AA$3=3,COUNTIFS(Datos_Origen[CTQ3 p],"&gt;"&amp;$D31,Datos_Origen[CTQ3 p],"&lt;="&amp;$E31,Datos_Origen[Criticidad],F$29),IF($AA$3=4,COUNTIFS(Datos_Origen[Ctpolp],"&gt;"&amp;$D31,Datos_Origen[Ctpolp],"&lt;="&amp;$E31,Datos_Origen[Criticidad],F$29),0)))))</f>
        <v/>
      </c>
      <c r="G31" s="47" t="str">
        <f>IFERROR(F31/F$41,"")</f>
        <v/>
      </c>
      <c r="H31" s="616">
        <f>IF(SUM(G31:G33)=0,"",SUM(G31:G33))</f>
        <v>3.7037037037037035E-2</v>
      </c>
      <c r="I31" s="46" t="str">
        <f>IF(IF($AA$3=1,COUNTIFS(Datos_Origen[CTQ1 p],"&gt;"&amp;$D31,Datos_Origen[CTQ1 p],"&lt;="&amp;$E31,Datos_Origen[Criticidad],I$29),IF($AA$3=2,COUNTIFS(Datos_Origen[CTMd p],"&gt;"&amp;$D31,Datos_Origen[CTMd p],"&lt;="&amp;$E31,Datos_Origen[Criticidad],I$29),IF($AA$3=3,COUNTIFS(Datos_Origen[CTQ3 p],"&gt;"&amp;$D31,Datos_Origen[CTQ3 p],"&lt;="&amp;$E31,Datos_Origen[Criticidad],I$29),IF($AA$3=4,COUNTIFS(Datos_Origen[Ctpolp],"&gt;"&amp;$D31,Datos_Origen[Ctpolp],"&lt;="&amp;$E31,Datos_Origen[Criticidad],I$29),0))))=0,"",IF($AA$3=1,COUNTIFS(Datos_Origen[CTQ1 p],"&gt;"&amp;$D31,Datos_Origen[CTQ1 p],"&lt;="&amp;$E31,Datos_Origen[Criticidad],I$29),IF($AA$3=2,COUNTIFS(Datos_Origen[CTMd p],"&gt;"&amp;$D31,Datos_Origen[CTMd p],"&lt;="&amp;$E31,Datos_Origen[Criticidad],I$29),IF($AA$3=3,COUNTIFS(Datos_Origen[CTQ3 p],"&gt;"&amp;$D31,Datos_Origen[CTQ3 p],"&lt;="&amp;$E31,Datos_Origen[Criticidad],I$29),IF($AA$3=4,COUNTIFS(Datos_Origen[Ctpolp],"&gt;"&amp;$D31,Datos_Origen[Ctpolp],"&lt;="&amp;$E31,Datos_Origen[Criticidad],I$29),0)))))</f>
        <v/>
      </c>
      <c r="J31" s="47" t="str">
        <f>IFERROR(I31/I$41,"")</f>
        <v/>
      </c>
      <c r="K31" s="616" t="str">
        <f>IF(SUM(J31:J33)=0,"",SUM(J31:J33))</f>
        <v/>
      </c>
      <c r="L31" s="46" t="str">
        <f>IF(IF($AA$3=1,COUNTIFS(Datos_Origen[CTQ1 p],"&gt;"&amp;$D31,Datos_Origen[CTQ1 p],"&lt;="&amp;$E31,Datos_Origen[Criticidad],L$29),IF($AA$3=2,COUNTIFS(Datos_Origen[CTMd p],"&gt;"&amp;$D31,Datos_Origen[CTMd p],"&lt;="&amp;$E31,Datos_Origen[Criticidad],L$29),IF($AA$3=3,COUNTIFS(Datos_Origen[CTQ3 p],"&gt;"&amp;$D31,Datos_Origen[CTQ3 p],"&lt;="&amp;$E31,Datos_Origen[Criticidad],L$29),IF($AA$3=4,COUNTIFS(Datos_Origen[Ctpolp],"&gt;"&amp;$D31,Datos_Origen[Ctpolp],"&lt;="&amp;$E31,Datos_Origen[Criticidad],L$29),0))))=0,"",IF($AA$3=1,COUNTIFS(Datos_Origen[CTQ1 p],"&gt;"&amp;$D31,Datos_Origen[CTQ1 p],"&lt;="&amp;$E31,Datos_Origen[Criticidad],L$29),IF($AA$3=2,COUNTIFS(Datos_Origen[CTMd p],"&gt;"&amp;$D31,Datos_Origen[CTMd p],"&lt;="&amp;$E31,Datos_Origen[Criticidad],L$29),IF($AA$3=3,COUNTIFS(Datos_Origen[CTQ3 p],"&gt;"&amp;$D31,Datos_Origen[CTQ3 p],"&lt;="&amp;$E31,Datos_Origen[Criticidad],L$29),IF($AA$3=4,COUNTIFS(Datos_Origen[Ctpolp],"&gt;"&amp;$D31,Datos_Origen[Ctpolp],"&lt;="&amp;$E31,Datos_Origen[Criticidad],L$29),0)))))</f>
        <v/>
      </c>
      <c r="M31" s="47" t="str">
        <f>IFERROR(L31/L$41,"")</f>
        <v/>
      </c>
      <c r="N31" s="616" t="str">
        <f>IF(SUM(M31:M33)=0,"",SUM(M31:M33))</f>
        <v/>
      </c>
      <c r="O31" s="46" t="str">
        <f>IF(IF($AA$3=1,COUNTIFS(Datos_Origen[CTQ1 p],"&gt;"&amp;$D31,Datos_Origen[CTQ1 p],"&lt;="&amp;$E31,Datos_Origen[Criticidad],O$29),IF($AA$3=2,COUNTIFS(Datos_Origen[CTMd p],"&gt;"&amp;$D31,Datos_Origen[CTMd p],"&lt;="&amp;$E31,Datos_Origen[Criticidad],O$29),IF($AA$3=3,COUNTIFS(Datos_Origen[CTQ3 p],"&gt;"&amp;$D31,Datos_Origen[CTQ3 p],"&lt;="&amp;$E31,Datos_Origen[Criticidad],O$29),IF($AA$3=4,COUNTIFS(Datos_Origen[Ctpolp],"&gt;"&amp;$D31,Datos_Origen[Ctpolp],"&lt;="&amp;$E31,Datos_Origen[Criticidad],O$29),0))))=0,"",IF($AA$3=1,COUNTIFS(Datos_Origen[CTQ1 p],"&gt;"&amp;$D31,Datos_Origen[CTQ1 p],"&lt;="&amp;$E31,Datos_Origen[Criticidad],O$29),IF($AA$3=2,COUNTIFS(Datos_Origen[CTMd p],"&gt;"&amp;$D31,Datos_Origen[CTMd p],"&lt;="&amp;$E31,Datos_Origen[Criticidad],O$29),IF($AA$3=3,COUNTIFS(Datos_Origen[CTQ3 p],"&gt;"&amp;$D31,Datos_Origen[CTQ3 p],"&lt;="&amp;$E31,Datos_Origen[Criticidad],O$29),IF($AA$3=4,COUNTIFS(Datos_Origen[Ctpolp],"&gt;"&amp;$D31,Datos_Origen[Ctpolp],"&lt;="&amp;$E31,Datos_Origen[Criticidad],O$29),0)))))</f>
        <v/>
      </c>
      <c r="P31" s="47" t="str">
        <f>IFERROR(O31/O$41,"")</f>
        <v/>
      </c>
      <c r="Q31" s="616">
        <f>IF(SUM(P31:P33)=0,"",SUM(P31:P33))</f>
        <v>3.5714285714285712E-2</v>
      </c>
      <c r="R31" s="234"/>
    </row>
    <row r="32" spans="1:18">
      <c r="A32" s="225"/>
      <c r="B32" s="615"/>
      <c r="C32" s="615"/>
      <c r="D32" s="45">
        <v>1.3</v>
      </c>
      <c r="E32" s="45">
        <f>D31</f>
        <v>1.5</v>
      </c>
      <c r="F32" s="46" t="str">
        <f>IF(IF($AA$3=1,COUNTIFS(Datos_Origen[CTQ1 p],"&gt;"&amp;$D32,Datos_Origen[CTQ1 p],"&lt;="&amp;$E32,Datos_Origen[Criticidad],F$29),IF($AA$3=2,COUNTIFS(Datos_Origen[CTMd p],"&gt;"&amp;$D32,Datos_Origen[CTMd p],"&lt;="&amp;$E32,Datos_Origen[Criticidad],F$29),IF($AA$3=3,COUNTIFS(Datos_Origen[CTQ3 p],"&gt;"&amp;$D32,Datos_Origen[CTQ3 p],"&lt;="&amp;$E32,Datos_Origen[Criticidad],F$29),IF($AA$3=4,COUNTIFS(Datos_Origen[Ctpolp],"&gt;"&amp;$D32,Datos_Origen[Ctpolp],"&lt;="&amp;$E32,Datos_Origen[Criticidad],F$29),0))))=0,"",IF($AA$3=1,COUNTIFS(Datos_Origen[CTQ1 p],"&gt;"&amp;$D32,Datos_Origen[CTQ1 p],"&lt;="&amp;$E32,Datos_Origen[Criticidad],F$29),IF($AA$3=2,COUNTIFS(Datos_Origen[CTMd p],"&gt;"&amp;$D32,Datos_Origen[CTMd p],"&lt;="&amp;$E32,Datos_Origen[Criticidad],F$29),IF($AA$3=3,COUNTIFS(Datos_Origen[CTQ3 p],"&gt;"&amp;$D32,Datos_Origen[CTQ3 p],"&lt;="&amp;$E32,Datos_Origen[Criticidad],F$29),IF($AA$3=4,COUNTIFS(Datos_Origen[Ctpolp],"&gt;"&amp;$D32,Datos_Origen[Ctpolp],"&lt;="&amp;$E32,Datos_Origen[Criticidad],F$29),0)))))</f>
        <v/>
      </c>
      <c r="G32" s="47" t="str">
        <f t="shared" ref="G32:G40" si="5">IFERROR(F32/F$41,"")</f>
        <v/>
      </c>
      <c r="H32" s="616"/>
      <c r="I32" s="46" t="str">
        <f>IF(IF($AA$3=1,COUNTIFS(Datos_Origen[CTQ1 p],"&gt;"&amp;$D32,Datos_Origen[CTQ1 p],"&lt;="&amp;$E32,Datos_Origen[Criticidad],I$29),IF($AA$3=2,COUNTIFS(Datos_Origen[CTMd p],"&gt;"&amp;$D32,Datos_Origen[CTMd p],"&lt;="&amp;$E32,Datos_Origen[Criticidad],I$29),IF($AA$3=3,COUNTIFS(Datos_Origen[CTQ3 p],"&gt;"&amp;$D32,Datos_Origen[CTQ3 p],"&lt;="&amp;$E32,Datos_Origen[Criticidad],I$29),IF($AA$3=4,COUNTIFS(Datos_Origen[Ctpolp],"&gt;"&amp;$D32,Datos_Origen[Ctpolp],"&lt;="&amp;$E32,Datos_Origen[Criticidad],I$29),0))))=0,"",IF($AA$3=1,COUNTIFS(Datos_Origen[CTQ1 p],"&gt;"&amp;$D32,Datos_Origen[CTQ1 p],"&lt;="&amp;$E32,Datos_Origen[Criticidad],I$29),IF($AA$3=2,COUNTIFS(Datos_Origen[CTMd p],"&gt;"&amp;$D32,Datos_Origen[CTMd p],"&lt;="&amp;$E32,Datos_Origen[Criticidad],I$29),IF($AA$3=3,COUNTIFS(Datos_Origen[CTQ3 p],"&gt;"&amp;$D32,Datos_Origen[CTQ3 p],"&lt;="&amp;$E32,Datos_Origen[Criticidad],I$29),IF($AA$3=4,COUNTIFS(Datos_Origen[Ctpolp],"&gt;"&amp;$D32,Datos_Origen[Ctpolp],"&lt;="&amp;$E32,Datos_Origen[Criticidad],I$29),0)))))</f>
        <v/>
      </c>
      <c r="J32" s="47" t="str">
        <f t="shared" ref="J32:J40" si="6">IFERROR(I32/I$41,"")</f>
        <v/>
      </c>
      <c r="K32" s="616"/>
      <c r="L32" s="46" t="str">
        <f>IF(IF($AA$3=1,COUNTIFS(Datos_Origen[CTQ1 p],"&gt;"&amp;$D32,Datos_Origen[CTQ1 p],"&lt;="&amp;$E32,Datos_Origen[Criticidad],L$29),IF($AA$3=2,COUNTIFS(Datos_Origen[CTMd p],"&gt;"&amp;$D32,Datos_Origen[CTMd p],"&lt;="&amp;$E32,Datos_Origen[Criticidad],L$29),IF($AA$3=3,COUNTIFS(Datos_Origen[CTQ3 p],"&gt;"&amp;$D32,Datos_Origen[CTQ3 p],"&lt;="&amp;$E32,Datos_Origen[Criticidad],L$29),IF($AA$3=4,COUNTIFS(Datos_Origen[Ctpolp],"&gt;"&amp;$D32,Datos_Origen[Ctpolp],"&lt;="&amp;$E32,Datos_Origen[Criticidad],L$29),0))))=0,"",IF($AA$3=1,COUNTIFS(Datos_Origen[CTQ1 p],"&gt;"&amp;$D32,Datos_Origen[CTQ1 p],"&lt;="&amp;$E32,Datos_Origen[Criticidad],L$29),IF($AA$3=2,COUNTIFS(Datos_Origen[CTMd p],"&gt;"&amp;$D32,Datos_Origen[CTMd p],"&lt;="&amp;$E32,Datos_Origen[Criticidad],L$29),IF($AA$3=3,COUNTIFS(Datos_Origen[CTQ3 p],"&gt;"&amp;$D32,Datos_Origen[CTQ3 p],"&lt;="&amp;$E32,Datos_Origen[Criticidad],L$29),IF($AA$3=4,COUNTIFS(Datos_Origen[Ctpolp],"&gt;"&amp;$D32,Datos_Origen[Ctpolp],"&lt;="&amp;$E32,Datos_Origen[Criticidad],L$29),0)))))</f>
        <v/>
      </c>
      <c r="M32" s="47" t="str">
        <f t="shared" ref="M32:M40" si="7">IFERROR(L32/L$41,"")</f>
        <v/>
      </c>
      <c r="N32" s="616"/>
      <c r="O32" s="46" t="str">
        <f>IF(IF($AA$3=1,COUNTIFS(Datos_Origen[CTQ1 p],"&gt;"&amp;$D32,Datos_Origen[CTQ1 p],"&lt;="&amp;$E32,Datos_Origen[Criticidad],O$29),IF($AA$3=2,COUNTIFS(Datos_Origen[CTMd p],"&gt;"&amp;$D32,Datos_Origen[CTMd p],"&lt;="&amp;$E32,Datos_Origen[Criticidad],O$29),IF($AA$3=3,COUNTIFS(Datos_Origen[CTQ3 p],"&gt;"&amp;$D32,Datos_Origen[CTQ3 p],"&lt;="&amp;$E32,Datos_Origen[Criticidad],O$29),IF($AA$3=4,COUNTIFS(Datos_Origen[Ctpolp],"&gt;"&amp;$D32,Datos_Origen[Ctpolp],"&lt;="&amp;$E32,Datos_Origen[Criticidad],O$29),0))))=0,"",IF($AA$3=1,COUNTIFS(Datos_Origen[CTQ1 p],"&gt;"&amp;$D32,Datos_Origen[CTQ1 p],"&lt;="&amp;$E32,Datos_Origen[Criticidad],O$29),IF($AA$3=2,COUNTIFS(Datos_Origen[CTMd p],"&gt;"&amp;$D32,Datos_Origen[CTMd p],"&lt;="&amp;$E32,Datos_Origen[Criticidad],O$29),IF($AA$3=3,COUNTIFS(Datos_Origen[CTQ3 p],"&gt;"&amp;$D32,Datos_Origen[CTQ3 p],"&lt;="&amp;$E32,Datos_Origen[Criticidad],O$29),IF($AA$3=4,COUNTIFS(Datos_Origen[Ctpolp],"&gt;"&amp;$D32,Datos_Origen[Ctpolp],"&lt;="&amp;$E32,Datos_Origen[Criticidad],O$29),0)))))</f>
        <v/>
      </c>
      <c r="P32" s="47" t="str">
        <f t="shared" ref="P32:P40" si="8">IFERROR(O32/O$41,"")</f>
        <v/>
      </c>
      <c r="Q32" s="616"/>
      <c r="R32" s="234"/>
    </row>
    <row r="33" spans="1:18">
      <c r="A33" s="225"/>
      <c r="B33" s="615"/>
      <c r="C33" s="615"/>
      <c r="D33" s="45">
        <v>1.2</v>
      </c>
      <c r="E33" s="45">
        <f t="shared" ref="E33:E40" si="9">D32</f>
        <v>1.3</v>
      </c>
      <c r="F33" s="46">
        <f>IF(IF($AA$3=1,COUNTIFS(Datos_Origen[CTQ1 p],"&gt;"&amp;$D33,Datos_Origen[CTQ1 p],"&lt;="&amp;$E33,Datos_Origen[Criticidad],F$29),IF($AA$3=2,COUNTIFS(Datos_Origen[CTMd p],"&gt;"&amp;$D33,Datos_Origen[CTMd p],"&lt;="&amp;$E33,Datos_Origen[Criticidad],F$29),IF($AA$3=3,COUNTIFS(Datos_Origen[CTQ3 p],"&gt;"&amp;$D33,Datos_Origen[CTQ3 p],"&lt;="&amp;$E33,Datos_Origen[Criticidad],F$29),IF($AA$3=4,COUNTIFS(Datos_Origen[Ctpolp],"&gt;"&amp;$D33,Datos_Origen[Ctpolp],"&lt;="&amp;$E33,Datos_Origen[Criticidad],F$29),0))))=0,"",IF($AA$3=1,COUNTIFS(Datos_Origen[CTQ1 p],"&gt;"&amp;$D33,Datos_Origen[CTQ1 p],"&lt;="&amp;$E33,Datos_Origen[Criticidad],F$29),IF($AA$3=2,COUNTIFS(Datos_Origen[CTMd p],"&gt;"&amp;$D33,Datos_Origen[CTMd p],"&lt;="&amp;$E33,Datos_Origen[Criticidad],F$29),IF($AA$3=3,COUNTIFS(Datos_Origen[CTQ3 p],"&gt;"&amp;$D33,Datos_Origen[CTQ3 p],"&lt;="&amp;$E33,Datos_Origen[Criticidad],F$29),IF($AA$3=4,COUNTIFS(Datos_Origen[Ctpolp],"&gt;"&amp;$D33,Datos_Origen[Ctpolp],"&lt;="&amp;$E33,Datos_Origen[Criticidad],F$29),0)))))</f>
        <v>1</v>
      </c>
      <c r="G33" s="47">
        <f t="shared" si="5"/>
        <v>3.7037037037037035E-2</v>
      </c>
      <c r="H33" s="616"/>
      <c r="I33" s="46" t="str">
        <f>IF(IF($AA$3=1,COUNTIFS(Datos_Origen[CTQ1 p],"&gt;"&amp;$D33,Datos_Origen[CTQ1 p],"&lt;="&amp;$E33,Datos_Origen[Criticidad],I$29),IF($AA$3=2,COUNTIFS(Datos_Origen[CTMd p],"&gt;"&amp;$D33,Datos_Origen[CTMd p],"&lt;="&amp;$E33,Datos_Origen[Criticidad],I$29),IF($AA$3=3,COUNTIFS(Datos_Origen[CTQ3 p],"&gt;"&amp;$D33,Datos_Origen[CTQ3 p],"&lt;="&amp;$E33,Datos_Origen[Criticidad],I$29),IF($AA$3=4,COUNTIFS(Datos_Origen[Ctpolp],"&gt;"&amp;$D33,Datos_Origen[Ctpolp],"&lt;="&amp;$E33,Datos_Origen[Criticidad],I$29),0))))=0,"",IF($AA$3=1,COUNTIFS(Datos_Origen[CTQ1 p],"&gt;"&amp;$D33,Datos_Origen[CTQ1 p],"&lt;="&amp;$E33,Datos_Origen[Criticidad],I$29),IF($AA$3=2,COUNTIFS(Datos_Origen[CTMd p],"&gt;"&amp;$D33,Datos_Origen[CTMd p],"&lt;="&amp;$E33,Datos_Origen[Criticidad],I$29),IF($AA$3=3,COUNTIFS(Datos_Origen[CTQ3 p],"&gt;"&amp;$D33,Datos_Origen[CTQ3 p],"&lt;="&amp;$E33,Datos_Origen[Criticidad],I$29),IF($AA$3=4,COUNTIFS(Datos_Origen[Ctpolp],"&gt;"&amp;$D33,Datos_Origen[Ctpolp],"&lt;="&amp;$E33,Datos_Origen[Criticidad],I$29),0)))))</f>
        <v/>
      </c>
      <c r="J33" s="47" t="str">
        <f t="shared" si="6"/>
        <v/>
      </c>
      <c r="K33" s="616"/>
      <c r="L33" s="46" t="str">
        <f>IF(IF($AA$3=1,COUNTIFS(Datos_Origen[CTQ1 p],"&gt;"&amp;$D33,Datos_Origen[CTQ1 p],"&lt;="&amp;$E33,Datos_Origen[Criticidad],L$29),IF($AA$3=2,COUNTIFS(Datos_Origen[CTMd p],"&gt;"&amp;$D33,Datos_Origen[CTMd p],"&lt;="&amp;$E33,Datos_Origen[Criticidad],L$29),IF($AA$3=3,COUNTIFS(Datos_Origen[CTQ3 p],"&gt;"&amp;$D33,Datos_Origen[CTQ3 p],"&lt;="&amp;$E33,Datos_Origen[Criticidad],L$29),IF($AA$3=4,COUNTIFS(Datos_Origen[Ctpolp],"&gt;"&amp;$D33,Datos_Origen[Ctpolp],"&lt;="&amp;$E33,Datos_Origen[Criticidad],L$29),0))))=0,"",IF($AA$3=1,COUNTIFS(Datos_Origen[CTQ1 p],"&gt;"&amp;$D33,Datos_Origen[CTQ1 p],"&lt;="&amp;$E33,Datos_Origen[Criticidad],L$29),IF($AA$3=2,COUNTIFS(Datos_Origen[CTMd p],"&gt;"&amp;$D33,Datos_Origen[CTMd p],"&lt;="&amp;$E33,Datos_Origen[Criticidad],L$29),IF($AA$3=3,COUNTIFS(Datos_Origen[CTQ3 p],"&gt;"&amp;$D33,Datos_Origen[CTQ3 p],"&lt;="&amp;$E33,Datos_Origen[Criticidad],L$29),IF($AA$3=4,COUNTIFS(Datos_Origen[Ctpolp],"&gt;"&amp;$D33,Datos_Origen[Ctpolp],"&lt;="&amp;$E33,Datos_Origen[Criticidad],L$29),0)))))</f>
        <v/>
      </c>
      <c r="M33" s="47" t="str">
        <f t="shared" si="7"/>
        <v/>
      </c>
      <c r="N33" s="616"/>
      <c r="O33" s="46">
        <f>IF(IF($AA$3=1,COUNTIFS(Datos_Origen[CTQ1 p],"&gt;"&amp;$D33,Datos_Origen[CTQ1 p],"&lt;="&amp;$E33,Datos_Origen[Criticidad],O$29),IF($AA$3=2,COUNTIFS(Datos_Origen[CTMd p],"&gt;"&amp;$D33,Datos_Origen[CTMd p],"&lt;="&amp;$E33,Datos_Origen[Criticidad],O$29),IF($AA$3=3,COUNTIFS(Datos_Origen[CTQ3 p],"&gt;"&amp;$D33,Datos_Origen[CTQ3 p],"&lt;="&amp;$E33,Datos_Origen[Criticidad],O$29),IF($AA$3=4,COUNTIFS(Datos_Origen[Ctpolp],"&gt;"&amp;$D33,Datos_Origen[Ctpolp],"&lt;="&amp;$E33,Datos_Origen[Criticidad],O$29),0))))=0,"",IF($AA$3=1,COUNTIFS(Datos_Origen[CTQ1 p],"&gt;"&amp;$D33,Datos_Origen[CTQ1 p],"&lt;="&amp;$E33,Datos_Origen[Criticidad],O$29),IF($AA$3=2,COUNTIFS(Datos_Origen[CTMd p],"&gt;"&amp;$D33,Datos_Origen[CTMd p],"&lt;="&amp;$E33,Datos_Origen[Criticidad],O$29),IF($AA$3=3,COUNTIFS(Datos_Origen[CTQ3 p],"&gt;"&amp;$D33,Datos_Origen[CTQ3 p],"&lt;="&amp;$E33,Datos_Origen[Criticidad],O$29),IF($AA$3=4,COUNTIFS(Datos_Origen[Ctpolp],"&gt;"&amp;$D33,Datos_Origen[Ctpolp],"&lt;="&amp;$E33,Datos_Origen[Criticidad],O$29),0)))))</f>
        <v>2</v>
      </c>
      <c r="P33" s="47">
        <f t="shared" si="8"/>
        <v>3.5714285714285712E-2</v>
      </c>
      <c r="Q33" s="616"/>
      <c r="R33" s="234"/>
    </row>
    <row r="34" spans="1:18" ht="16.2">
      <c r="A34" s="225"/>
      <c r="B34" s="615"/>
      <c r="C34" s="631" t="s">
        <v>675</v>
      </c>
      <c r="D34" s="50">
        <v>1.1000000000000001</v>
      </c>
      <c r="E34" s="50">
        <f t="shared" si="9"/>
        <v>1.2</v>
      </c>
      <c r="F34" s="51">
        <f>IF(IF($AA$3=1,COUNTIFS(Datos_Origen[CTQ1 p],"&gt;"&amp;$D34,Datos_Origen[CTQ1 p],"&lt;="&amp;$E34,Datos_Origen[Criticidad],F$29),IF($AA$3=2,COUNTIFS(Datos_Origen[CTMd p],"&gt;"&amp;$D34,Datos_Origen[CTMd p],"&lt;="&amp;$E34,Datos_Origen[Criticidad],F$29),IF($AA$3=3,COUNTIFS(Datos_Origen[CTQ3 p],"&gt;"&amp;$D34,Datos_Origen[CTQ3 p],"&lt;="&amp;$E34,Datos_Origen[Criticidad],F$29),IF($AA$3=4,COUNTIFS(Datos_Origen[Ctpolp],"&gt;"&amp;$D34,Datos_Origen[Ctpolp],"&lt;="&amp;$E34,Datos_Origen[Criticidad],F$29),0))))=0,"",IF($AA$3=1,COUNTIFS(Datos_Origen[CTQ1 p],"&gt;"&amp;$D34,Datos_Origen[CTQ1 p],"&lt;="&amp;$E34,Datos_Origen[Criticidad],F$29),IF($AA$3=2,COUNTIFS(Datos_Origen[CTMd p],"&gt;"&amp;$D34,Datos_Origen[CTMd p],"&lt;="&amp;$E34,Datos_Origen[Criticidad],F$29),IF($AA$3=3,COUNTIFS(Datos_Origen[CTQ3 p],"&gt;"&amp;$D34,Datos_Origen[CTQ3 p],"&lt;="&amp;$E34,Datos_Origen[Criticidad],F$29),IF($AA$3=4,COUNTIFS(Datos_Origen[Ctpolp],"&gt;"&amp;$D34,Datos_Origen[Ctpolp],"&lt;="&amp;$E34,Datos_Origen[Criticidad],F$29),0)))))</f>
        <v>1</v>
      </c>
      <c r="G34" s="52">
        <f t="shared" si="5"/>
        <v>3.7037037037037035E-2</v>
      </c>
      <c r="H34" s="617">
        <f>IF(SUM(G34:G37)=0,"",SUM(G34:G37))</f>
        <v>0.18518518518518517</v>
      </c>
      <c r="I34" s="51" t="str">
        <f>IF(IF($AA$3=1,COUNTIFS(Datos_Origen[CTQ1 p],"&gt;"&amp;$D34,Datos_Origen[CTQ1 p],"&lt;="&amp;$E34,Datos_Origen[Criticidad],I$29),IF($AA$3=2,COUNTIFS(Datos_Origen[CTMd p],"&gt;"&amp;$D34,Datos_Origen[CTMd p],"&lt;="&amp;$E34,Datos_Origen[Criticidad],I$29),IF($AA$3=3,COUNTIFS(Datos_Origen[CTQ3 p],"&gt;"&amp;$D34,Datos_Origen[CTQ3 p],"&lt;="&amp;$E34,Datos_Origen[Criticidad],I$29),IF($AA$3=4,COUNTIFS(Datos_Origen[Ctpolp],"&gt;"&amp;$D34,Datos_Origen[Ctpolp],"&lt;="&amp;$E34,Datos_Origen[Criticidad],I$29),0))))=0,"",IF($AA$3=1,COUNTIFS(Datos_Origen[CTQ1 p],"&gt;"&amp;$D34,Datos_Origen[CTQ1 p],"&lt;="&amp;$E34,Datos_Origen[Criticidad],I$29),IF($AA$3=2,COUNTIFS(Datos_Origen[CTMd p],"&gt;"&amp;$D34,Datos_Origen[CTMd p],"&lt;="&amp;$E34,Datos_Origen[Criticidad],I$29),IF($AA$3=3,COUNTIFS(Datos_Origen[CTQ3 p],"&gt;"&amp;$D34,Datos_Origen[CTQ3 p],"&lt;="&amp;$E34,Datos_Origen[Criticidad],I$29),IF($AA$3=4,COUNTIFS(Datos_Origen[Ctpolp],"&gt;"&amp;$D34,Datos_Origen[Ctpolp],"&lt;="&amp;$E34,Datos_Origen[Criticidad],I$29),0)))))</f>
        <v/>
      </c>
      <c r="J34" s="52" t="str">
        <f t="shared" si="6"/>
        <v/>
      </c>
      <c r="K34" s="617">
        <f>IF(SUM(J34:J37)=0,"",SUM(J34:J37))</f>
        <v>7.6923076923076927E-2</v>
      </c>
      <c r="L34" s="51" t="str">
        <f>IF(IF($AA$3=1,COUNTIFS(Datos_Origen[CTQ1 p],"&gt;"&amp;$D34,Datos_Origen[CTQ1 p],"&lt;="&amp;$E34,Datos_Origen[Criticidad],L$29),IF($AA$3=2,COUNTIFS(Datos_Origen[CTMd p],"&gt;"&amp;$D34,Datos_Origen[CTMd p],"&lt;="&amp;$E34,Datos_Origen[Criticidad],L$29),IF($AA$3=3,COUNTIFS(Datos_Origen[CTQ3 p],"&gt;"&amp;$D34,Datos_Origen[CTQ3 p],"&lt;="&amp;$E34,Datos_Origen[Criticidad],L$29),IF($AA$3=4,COUNTIFS(Datos_Origen[Ctpolp],"&gt;"&amp;$D34,Datos_Origen[Ctpolp],"&lt;="&amp;$E34,Datos_Origen[Criticidad],L$29),0))))=0,"",IF($AA$3=1,COUNTIFS(Datos_Origen[CTQ1 p],"&gt;"&amp;$D34,Datos_Origen[CTQ1 p],"&lt;="&amp;$E34,Datos_Origen[Criticidad],L$29),IF($AA$3=2,COUNTIFS(Datos_Origen[CTMd p],"&gt;"&amp;$D34,Datos_Origen[CTMd p],"&lt;="&amp;$E34,Datos_Origen[Criticidad],L$29),IF($AA$3=3,COUNTIFS(Datos_Origen[CTQ3 p],"&gt;"&amp;$D34,Datos_Origen[CTQ3 p],"&lt;="&amp;$E34,Datos_Origen[Criticidad],L$29),IF($AA$3=4,COUNTIFS(Datos_Origen[Ctpolp],"&gt;"&amp;$D34,Datos_Origen[Ctpolp],"&lt;="&amp;$E34,Datos_Origen[Criticidad],L$29),0)))))</f>
        <v/>
      </c>
      <c r="M34" s="52" t="str">
        <f t="shared" si="7"/>
        <v/>
      </c>
      <c r="N34" s="617">
        <f>IF(SUM(M34:M37)=0,"",SUM(M34:M37))</f>
        <v>0.62790697674418605</v>
      </c>
      <c r="O34" s="51" t="str">
        <f>IF(IF($AA$3=1,COUNTIFS(Datos_Origen[CTQ1 p],"&gt;"&amp;$D34,Datos_Origen[CTQ1 p],"&lt;="&amp;$E34,Datos_Origen[Criticidad],O$29),IF($AA$3=2,COUNTIFS(Datos_Origen[CTMd p],"&gt;"&amp;$D34,Datos_Origen[CTMd p],"&lt;="&amp;$E34,Datos_Origen[Criticidad],O$29),IF($AA$3=3,COUNTIFS(Datos_Origen[CTQ3 p],"&gt;"&amp;$D34,Datos_Origen[CTQ3 p],"&lt;="&amp;$E34,Datos_Origen[Criticidad],O$29),IF($AA$3=4,COUNTIFS(Datos_Origen[Ctpolp],"&gt;"&amp;$D34,Datos_Origen[Ctpolp],"&lt;="&amp;$E34,Datos_Origen[Criticidad],O$29),0))))=0,"",IF($AA$3=1,COUNTIFS(Datos_Origen[CTQ1 p],"&gt;"&amp;$D34,Datos_Origen[CTQ1 p],"&lt;="&amp;$E34,Datos_Origen[Criticidad],O$29),IF($AA$3=2,COUNTIFS(Datos_Origen[CTMd p],"&gt;"&amp;$D34,Datos_Origen[CTMd p],"&lt;="&amp;$E34,Datos_Origen[Criticidad],O$29),IF($AA$3=3,COUNTIFS(Datos_Origen[CTQ3 p],"&gt;"&amp;$D34,Datos_Origen[CTQ3 p],"&lt;="&amp;$E34,Datos_Origen[Criticidad],O$29),IF($AA$3=4,COUNTIFS(Datos_Origen[Ctpolp],"&gt;"&amp;$D34,Datos_Origen[Ctpolp],"&lt;="&amp;$E34,Datos_Origen[Criticidad],O$29),0)))))</f>
        <v/>
      </c>
      <c r="P34" s="52" t="str">
        <f t="shared" si="8"/>
        <v/>
      </c>
      <c r="Q34" s="617">
        <f>IF(SUM(P34:P37)=0,"",SUM(P34:P37))</f>
        <v>0.2857142857142857</v>
      </c>
      <c r="R34" s="235"/>
    </row>
    <row r="35" spans="1:18" ht="16.2">
      <c r="A35" s="225"/>
      <c r="B35" s="615"/>
      <c r="C35" s="632"/>
      <c r="D35" s="53">
        <v>1</v>
      </c>
      <c r="E35" s="53">
        <f t="shared" si="9"/>
        <v>1.1000000000000001</v>
      </c>
      <c r="F35" s="54" t="str">
        <f>IF(IF($AA$3=1,COUNTIFS(Datos_Origen[CTQ1 p],"&gt;"&amp;$D35,Datos_Origen[CTQ1 p],"&lt;="&amp;$E35,Datos_Origen[Criticidad],F$29),IF($AA$3=2,COUNTIFS(Datos_Origen[CTMd p],"&gt;"&amp;$D35,Datos_Origen[CTMd p],"&lt;="&amp;$E35,Datos_Origen[Criticidad],F$29),IF($AA$3=3,COUNTIFS(Datos_Origen[CTQ3 p],"&gt;"&amp;$D35,Datos_Origen[CTQ3 p],"&lt;="&amp;$E35,Datos_Origen[Criticidad],F$29),IF($AA$3=4,COUNTIFS(Datos_Origen[Ctpolp],"&gt;"&amp;$D35,Datos_Origen[Ctpolp],"&lt;="&amp;$E35,Datos_Origen[Criticidad],F$29),0))))=0,"",IF($AA$3=1,COUNTIFS(Datos_Origen[CTQ1 p],"&gt;"&amp;$D35,Datos_Origen[CTQ1 p],"&lt;="&amp;$E35,Datos_Origen[Criticidad],F$29),IF($AA$3=2,COUNTIFS(Datos_Origen[CTMd p],"&gt;"&amp;$D35,Datos_Origen[CTMd p],"&lt;="&amp;$E35,Datos_Origen[Criticidad],F$29),IF($AA$3=3,COUNTIFS(Datos_Origen[CTQ3 p],"&gt;"&amp;$D35,Datos_Origen[CTQ3 p],"&lt;="&amp;$E35,Datos_Origen[Criticidad],F$29),IF($AA$3=4,COUNTIFS(Datos_Origen[Ctpolp],"&gt;"&amp;$D35,Datos_Origen[Ctpolp],"&lt;="&amp;$E35,Datos_Origen[Criticidad],F$29),0)))))</f>
        <v/>
      </c>
      <c r="G35" s="55" t="str">
        <f t="shared" si="5"/>
        <v/>
      </c>
      <c r="H35" s="618"/>
      <c r="I35" s="54" t="str">
        <f>IF(IF($AA$3=1,COUNTIFS(Datos_Origen[CTQ1 p],"&gt;"&amp;$D35,Datos_Origen[CTQ1 p],"&lt;="&amp;$E35,Datos_Origen[Criticidad],I$29),IF($AA$3=2,COUNTIFS(Datos_Origen[CTMd p],"&gt;"&amp;$D35,Datos_Origen[CTMd p],"&lt;="&amp;$E35,Datos_Origen[Criticidad],I$29),IF($AA$3=3,COUNTIFS(Datos_Origen[CTQ3 p],"&gt;"&amp;$D35,Datos_Origen[CTQ3 p],"&lt;="&amp;$E35,Datos_Origen[Criticidad],I$29),IF($AA$3=4,COUNTIFS(Datos_Origen[Ctpolp],"&gt;"&amp;$D35,Datos_Origen[Ctpolp],"&lt;="&amp;$E35,Datos_Origen[Criticidad],I$29),0))))=0,"",IF($AA$3=1,COUNTIFS(Datos_Origen[CTQ1 p],"&gt;"&amp;$D35,Datos_Origen[CTQ1 p],"&lt;="&amp;$E35,Datos_Origen[Criticidad],I$29),IF($AA$3=2,COUNTIFS(Datos_Origen[CTMd p],"&gt;"&amp;$D35,Datos_Origen[CTMd p],"&lt;="&amp;$E35,Datos_Origen[Criticidad],I$29),IF($AA$3=3,COUNTIFS(Datos_Origen[CTQ3 p],"&gt;"&amp;$D35,Datos_Origen[CTQ3 p],"&lt;="&amp;$E35,Datos_Origen[Criticidad],I$29),IF($AA$3=4,COUNTIFS(Datos_Origen[Ctpolp],"&gt;"&amp;$D35,Datos_Origen[Ctpolp],"&lt;="&amp;$E35,Datos_Origen[Criticidad],I$29),0)))))</f>
        <v/>
      </c>
      <c r="J35" s="55" t="str">
        <f t="shared" si="6"/>
        <v/>
      </c>
      <c r="K35" s="618"/>
      <c r="L35" s="54" t="str">
        <f>IF(IF($AA$3=1,COUNTIFS(Datos_Origen[CTQ1 p],"&gt;"&amp;$D35,Datos_Origen[CTQ1 p],"&lt;="&amp;$E35,Datos_Origen[Criticidad],L$29),IF($AA$3=2,COUNTIFS(Datos_Origen[CTMd p],"&gt;"&amp;$D35,Datos_Origen[CTMd p],"&lt;="&amp;$E35,Datos_Origen[Criticidad],L$29),IF($AA$3=3,COUNTIFS(Datos_Origen[CTQ3 p],"&gt;"&amp;$D35,Datos_Origen[CTQ3 p],"&lt;="&amp;$E35,Datos_Origen[Criticidad],L$29),IF($AA$3=4,COUNTIFS(Datos_Origen[Ctpolp],"&gt;"&amp;$D35,Datos_Origen[Ctpolp],"&lt;="&amp;$E35,Datos_Origen[Criticidad],L$29),0))))=0,"",IF($AA$3=1,COUNTIFS(Datos_Origen[CTQ1 p],"&gt;"&amp;$D35,Datos_Origen[CTQ1 p],"&lt;="&amp;$E35,Datos_Origen[Criticidad],L$29),IF($AA$3=2,COUNTIFS(Datos_Origen[CTMd p],"&gt;"&amp;$D35,Datos_Origen[CTMd p],"&lt;="&amp;$E35,Datos_Origen[Criticidad],L$29),IF($AA$3=3,COUNTIFS(Datos_Origen[CTQ3 p],"&gt;"&amp;$D35,Datos_Origen[CTQ3 p],"&lt;="&amp;$E35,Datos_Origen[Criticidad],L$29),IF($AA$3=4,COUNTIFS(Datos_Origen[Ctpolp],"&gt;"&amp;$D35,Datos_Origen[Ctpolp],"&lt;="&amp;$E35,Datos_Origen[Criticidad],L$29),0)))))</f>
        <v/>
      </c>
      <c r="M35" s="55" t="str">
        <f t="shared" si="7"/>
        <v/>
      </c>
      <c r="N35" s="618"/>
      <c r="O35" s="54" t="str">
        <f>IF(IF($AA$3=1,COUNTIFS(Datos_Origen[CTQ1 p],"&gt;"&amp;$D35,Datos_Origen[CTQ1 p],"&lt;="&amp;$E35,Datos_Origen[Criticidad],O$29),IF($AA$3=2,COUNTIFS(Datos_Origen[CTMd p],"&gt;"&amp;$D35,Datos_Origen[CTMd p],"&lt;="&amp;$E35,Datos_Origen[Criticidad],O$29),IF($AA$3=3,COUNTIFS(Datos_Origen[CTQ3 p],"&gt;"&amp;$D35,Datos_Origen[CTQ3 p],"&lt;="&amp;$E35,Datos_Origen[Criticidad],O$29),IF($AA$3=4,COUNTIFS(Datos_Origen[Ctpolp],"&gt;"&amp;$D35,Datos_Origen[Ctpolp],"&lt;="&amp;$E35,Datos_Origen[Criticidad],O$29),0))))=0,"",IF($AA$3=1,COUNTIFS(Datos_Origen[CTQ1 p],"&gt;"&amp;$D35,Datos_Origen[CTQ1 p],"&lt;="&amp;$E35,Datos_Origen[Criticidad],O$29),IF($AA$3=2,COUNTIFS(Datos_Origen[CTMd p],"&gt;"&amp;$D35,Datos_Origen[CTMd p],"&lt;="&amp;$E35,Datos_Origen[Criticidad],O$29),IF($AA$3=3,COUNTIFS(Datos_Origen[CTQ3 p],"&gt;"&amp;$D35,Datos_Origen[CTQ3 p],"&lt;="&amp;$E35,Datos_Origen[Criticidad],O$29),IF($AA$3=4,COUNTIFS(Datos_Origen[Ctpolp],"&gt;"&amp;$D35,Datos_Origen[Ctpolp],"&lt;="&amp;$E35,Datos_Origen[Criticidad],O$29),0)))))</f>
        <v/>
      </c>
      <c r="P35" s="55" t="str">
        <f t="shared" si="8"/>
        <v/>
      </c>
      <c r="Q35" s="618"/>
      <c r="R35" s="235"/>
    </row>
    <row r="36" spans="1:18" ht="16.2">
      <c r="A36" s="225"/>
      <c r="B36" s="615"/>
      <c r="C36" s="632"/>
      <c r="D36" s="53">
        <v>0.9</v>
      </c>
      <c r="E36" s="53">
        <f t="shared" si="9"/>
        <v>1</v>
      </c>
      <c r="F36" s="54">
        <f>IF(IF($AA$3=1,COUNTIFS(Datos_Origen[CTQ1 p],"&gt;"&amp;$D36,Datos_Origen[CTQ1 p],"&lt;="&amp;$E36,Datos_Origen[Criticidad],F$29),IF($AA$3=2,COUNTIFS(Datos_Origen[CTMd p],"&gt;"&amp;$D36,Datos_Origen[CTMd p],"&lt;="&amp;$E36,Datos_Origen[Criticidad],F$29),IF($AA$3=3,COUNTIFS(Datos_Origen[CTQ3 p],"&gt;"&amp;$D36,Datos_Origen[CTQ3 p],"&lt;="&amp;$E36,Datos_Origen[Criticidad],F$29),IF($AA$3=4,COUNTIFS(Datos_Origen[Ctpolp],"&gt;"&amp;$D36,Datos_Origen[Ctpolp],"&lt;="&amp;$E36,Datos_Origen[Criticidad],F$29),0))))=0,"",IF($AA$3=1,COUNTIFS(Datos_Origen[CTQ1 p],"&gt;"&amp;$D36,Datos_Origen[CTQ1 p],"&lt;="&amp;$E36,Datos_Origen[Criticidad],F$29),IF($AA$3=2,COUNTIFS(Datos_Origen[CTMd p],"&gt;"&amp;$D36,Datos_Origen[CTMd p],"&lt;="&amp;$E36,Datos_Origen[Criticidad],F$29),IF($AA$3=3,COUNTIFS(Datos_Origen[CTQ3 p],"&gt;"&amp;$D36,Datos_Origen[CTQ3 p],"&lt;="&amp;$E36,Datos_Origen[Criticidad],F$29),IF($AA$3=4,COUNTIFS(Datos_Origen[Ctpolp],"&gt;"&amp;$D36,Datos_Origen[Ctpolp],"&lt;="&amp;$E36,Datos_Origen[Criticidad],F$29),0)))))</f>
        <v>1</v>
      </c>
      <c r="G36" s="55">
        <f t="shared" si="5"/>
        <v>3.7037037037037035E-2</v>
      </c>
      <c r="H36" s="618"/>
      <c r="I36" s="54" t="str">
        <f>IF(IF($AA$3=1,COUNTIFS(Datos_Origen[CTQ1 p],"&gt;"&amp;$D36,Datos_Origen[CTQ1 p],"&lt;="&amp;$E36,Datos_Origen[Criticidad],I$29),IF($AA$3=2,COUNTIFS(Datos_Origen[CTMd p],"&gt;"&amp;$D36,Datos_Origen[CTMd p],"&lt;="&amp;$E36,Datos_Origen[Criticidad],I$29),IF($AA$3=3,COUNTIFS(Datos_Origen[CTQ3 p],"&gt;"&amp;$D36,Datos_Origen[CTQ3 p],"&lt;="&amp;$E36,Datos_Origen[Criticidad],I$29),IF($AA$3=4,COUNTIFS(Datos_Origen[Ctpolp],"&gt;"&amp;$D36,Datos_Origen[Ctpolp],"&lt;="&amp;$E36,Datos_Origen[Criticidad],I$29),0))))=0,"",IF($AA$3=1,COUNTIFS(Datos_Origen[CTQ1 p],"&gt;"&amp;$D36,Datos_Origen[CTQ1 p],"&lt;="&amp;$E36,Datos_Origen[Criticidad],I$29),IF($AA$3=2,COUNTIFS(Datos_Origen[CTMd p],"&gt;"&amp;$D36,Datos_Origen[CTMd p],"&lt;="&amp;$E36,Datos_Origen[Criticidad],I$29),IF($AA$3=3,COUNTIFS(Datos_Origen[CTQ3 p],"&gt;"&amp;$D36,Datos_Origen[CTQ3 p],"&lt;="&amp;$E36,Datos_Origen[Criticidad],I$29),IF($AA$3=4,COUNTIFS(Datos_Origen[Ctpolp],"&gt;"&amp;$D36,Datos_Origen[Ctpolp],"&lt;="&amp;$E36,Datos_Origen[Criticidad],I$29),0)))))</f>
        <v/>
      </c>
      <c r="J36" s="55" t="str">
        <f t="shared" si="6"/>
        <v/>
      </c>
      <c r="K36" s="618"/>
      <c r="L36" s="54">
        <f>IF(IF($AA$3=1,COUNTIFS(Datos_Origen[CTQ1 p],"&gt;"&amp;$D36,Datos_Origen[CTQ1 p],"&lt;="&amp;$E36,Datos_Origen[Criticidad],L$29),IF($AA$3=2,COUNTIFS(Datos_Origen[CTMd p],"&gt;"&amp;$D36,Datos_Origen[CTMd p],"&lt;="&amp;$E36,Datos_Origen[Criticidad],L$29),IF($AA$3=3,COUNTIFS(Datos_Origen[CTQ3 p],"&gt;"&amp;$D36,Datos_Origen[CTQ3 p],"&lt;="&amp;$E36,Datos_Origen[Criticidad],L$29),IF($AA$3=4,COUNTIFS(Datos_Origen[Ctpolp],"&gt;"&amp;$D36,Datos_Origen[Ctpolp],"&lt;="&amp;$E36,Datos_Origen[Criticidad],L$29),0))))=0,"",IF($AA$3=1,COUNTIFS(Datos_Origen[CTQ1 p],"&gt;"&amp;$D36,Datos_Origen[CTQ1 p],"&lt;="&amp;$E36,Datos_Origen[Criticidad],L$29),IF($AA$3=2,COUNTIFS(Datos_Origen[CTMd p],"&gt;"&amp;$D36,Datos_Origen[CTMd p],"&lt;="&amp;$E36,Datos_Origen[Criticidad],L$29),IF($AA$3=3,COUNTIFS(Datos_Origen[CTQ3 p],"&gt;"&amp;$D36,Datos_Origen[CTQ3 p],"&lt;="&amp;$E36,Datos_Origen[Criticidad],L$29),IF($AA$3=4,COUNTIFS(Datos_Origen[Ctpolp],"&gt;"&amp;$D36,Datos_Origen[Ctpolp],"&lt;="&amp;$E36,Datos_Origen[Criticidad],L$29),0)))))</f>
        <v>16</v>
      </c>
      <c r="M36" s="55">
        <f t="shared" si="7"/>
        <v>0.37209302325581395</v>
      </c>
      <c r="N36" s="618"/>
      <c r="O36" s="54">
        <f>IF(IF($AA$3=1,COUNTIFS(Datos_Origen[CTQ1 p],"&gt;"&amp;$D36,Datos_Origen[CTQ1 p],"&lt;="&amp;$E36,Datos_Origen[Criticidad],O$29),IF($AA$3=2,COUNTIFS(Datos_Origen[CTMd p],"&gt;"&amp;$D36,Datos_Origen[CTMd p],"&lt;="&amp;$E36,Datos_Origen[Criticidad],O$29),IF($AA$3=3,COUNTIFS(Datos_Origen[CTQ3 p],"&gt;"&amp;$D36,Datos_Origen[CTQ3 p],"&lt;="&amp;$E36,Datos_Origen[Criticidad],O$29),IF($AA$3=4,COUNTIFS(Datos_Origen[Ctpolp],"&gt;"&amp;$D36,Datos_Origen[Ctpolp],"&lt;="&amp;$E36,Datos_Origen[Criticidad],O$29),0))))=0,"",IF($AA$3=1,COUNTIFS(Datos_Origen[CTQ1 p],"&gt;"&amp;$D36,Datos_Origen[CTQ1 p],"&lt;="&amp;$E36,Datos_Origen[Criticidad],O$29),IF($AA$3=2,COUNTIFS(Datos_Origen[CTMd p],"&gt;"&amp;$D36,Datos_Origen[CTMd p],"&lt;="&amp;$E36,Datos_Origen[Criticidad],O$29),IF($AA$3=3,COUNTIFS(Datos_Origen[CTQ3 p],"&gt;"&amp;$D36,Datos_Origen[CTQ3 p],"&lt;="&amp;$E36,Datos_Origen[Criticidad],O$29),IF($AA$3=4,COUNTIFS(Datos_Origen[Ctpolp],"&gt;"&amp;$D36,Datos_Origen[Ctpolp],"&lt;="&amp;$E36,Datos_Origen[Criticidad],O$29),0)))))</f>
        <v>2</v>
      </c>
      <c r="P36" s="55">
        <f t="shared" si="8"/>
        <v>3.5714285714285712E-2</v>
      </c>
      <c r="Q36" s="618"/>
      <c r="R36" s="235"/>
    </row>
    <row r="37" spans="1:18" ht="16.2">
      <c r="A37" s="225"/>
      <c r="B37" s="615"/>
      <c r="C37" s="633"/>
      <c r="D37" s="56">
        <v>0.8</v>
      </c>
      <c r="E37" s="56">
        <f t="shared" si="9"/>
        <v>0.9</v>
      </c>
      <c r="F37" s="57">
        <f>IF(IF($AA$3=1,COUNTIFS(Datos_Origen[CTQ1 p],"&gt;"&amp;$D37,Datos_Origen[CTQ1 p],"&lt;="&amp;$E37,Datos_Origen[Criticidad],F$29),IF($AA$3=2,COUNTIFS(Datos_Origen[CTMd p],"&gt;"&amp;$D37,Datos_Origen[CTMd p],"&lt;="&amp;$E37,Datos_Origen[Criticidad],F$29),IF($AA$3=3,COUNTIFS(Datos_Origen[CTQ3 p],"&gt;"&amp;$D37,Datos_Origen[CTQ3 p],"&lt;="&amp;$E37,Datos_Origen[Criticidad],F$29),IF($AA$3=4,COUNTIFS(Datos_Origen[Ctpolp],"&gt;"&amp;$D37,Datos_Origen[Ctpolp],"&lt;="&amp;$E37,Datos_Origen[Criticidad],F$29),0))))=0,"",IF($AA$3=1,COUNTIFS(Datos_Origen[CTQ1 p],"&gt;"&amp;$D37,Datos_Origen[CTQ1 p],"&lt;="&amp;$E37,Datos_Origen[Criticidad],F$29),IF($AA$3=2,COUNTIFS(Datos_Origen[CTMd p],"&gt;"&amp;$D37,Datos_Origen[CTMd p],"&lt;="&amp;$E37,Datos_Origen[Criticidad],F$29),IF($AA$3=3,COUNTIFS(Datos_Origen[CTQ3 p],"&gt;"&amp;$D37,Datos_Origen[CTQ3 p],"&lt;="&amp;$E37,Datos_Origen[Criticidad],F$29),IF($AA$3=4,COUNTIFS(Datos_Origen[Ctpolp],"&gt;"&amp;$D37,Datos_Origen[Ctpolp],"&lt;="&amp;$E37,Datos_Origen[Criticidad],F$29),0)))))</f>
        <v>3</v>
      </c>
      <c r="G37" s="58">
        <f t="shared" si="5"/>
        <v>0.1111111111111111</v>
      </c>
      <c r="H37" s="619"/>
      <c r="I37" s="57">
        <f>IF(IF($AA$3=1,COUNTIFS(Datos_Origen[CTQ1 p],"&gt;"&amp;$D37,Datos_Origen[CTQ1 p],"&lt;="&amp;$E37,Datos_Origen[Criticidad],I$29),IF($AA$3=2,COUNTIFS(Datos_Origen[CTMd p],"&gt;"&amp;$D37,Datos_Origen[CTMd p],"&lt;="&amp;$E37,Datos_Origen[Criticidad],I$29),IF($AA$3=3,COUNTIFS(Datos_Origen[CTQ3 p],"&gt;"&amp;$D37,Datos_Origen[CTQ3 p],"&lt;="&amp;$E37,Datos_Origen[Criticidad],I$29),IF($AA$3=4,COUNTIFS(Datos_Origen[Ctpolp],"&gt;"&amp;$D37,Datos_Origen[Ctpolp],"&lt;="&amp;$E37,Datos_Origen[Criticidad],I$29),0))))=0,"",IF($AA$3=1,COUNTIFS(Datos_Origen[CTQ1 p],"&gt;"&amp;$D37,Datos_Origen[CTQ1 p],"&lt;="&amp;$E37,Datos_Origen[Criticidad],I$29),IF($AA$3=2,COUNTIFS(Datos_Origen[CTMd p],"&gt;"&amp;$D37,Datos_Origen[CTMd p],"&lt;="&amp;$E37,Datos_Origen[Criticidad],I$29),IF($AA$3=3,COUNTIFS(Datos_Origen[CTQ3 p],"&gt;"&amp;$D37,Datos_Origen[CTQ3 p],"&lt;="&amp;$E37,Datos_Origen[Criticidad],I$29),IF($AA$3=4,COUNTIFS(Datos_Origen[Ctpolp],"&gt;"&amp;$D37,Datos_Origen[Ctpolp],"&lt;="&amp;$E37,Datos_Origen[Criticidad],I$29),0)))))</f>
        <v>1</v>
      </c>
      <c r="J37" s="58">
        <f t="shared" si="6"/>
        <v>7.6923076923076927E-2</v>
      </c>
      <c r="K37" s="619"/>
      <c r="L37" s="57">
        <f>IF(IF($AA$3=1,COUNTIFS(Datos_Origen[CTQ1 p],"&gt;"&amp;$D37,Datos_Origen[CTQ1 p],"&lt;="&amp;$E37,Datos_Origen[Criticidad],L$29),IF($AA$3=2,COUNTIFS(Datos_Origen[CTMd p],"&gt;"&amp;$D37,Datos_Origen[CTMd p],"&lt;="&amp;$E37,Datos_Origen[Criticidad],L$29),IF($AA$3=3,COUNTIFS(Datos_Origen[CTQ3 p],"&gt;"&amp;$D37,Datos_Origen[CTQ3 p],"&lt;="&amp;$E37,Datos_Origen[Criticidad],L$29),IF($AA$3=4,COUNTIFS(Datos_Origen[Ctpolp],"&gt;"&amp;$D37,Datos_Origen[Ctpolp],"&lt;="&amp;$E37,Datos_Origen[Criticidad],L$29),0))))=0,"",IF($AA$3=1,COUNTIFS(Datos_Origen[CTQ1 p],"&gt;"&amp;$D37,Datos_Origen[CTQ1 p],"&lt;="&amp;$E37,Datos_Origen[Criticidad],L$29),IF($AA$3=2,COUNTIFS(Datos_Origen[CTMd p],"&gt;"&amp;$D37,Datos_Origen[CTMd p],"&lt;="&amp;$E37,Datos_Origen[Criticidad],L$29),IF($AA$3=3,COUNTIFS(Datos_Origen[CTQ3 p],"&gt;"&amp;$D37,Datos_Origen[CTQ3 p],"&lt;="&amp;$E37,Datos_Origen[Criticidad],L$29),IF($AA$3=4,COUNTIFS(Datos_Origen[Ctpolp],"&gt;"&amp;$D37,Datos_Origen[Ctpolp],"&lt;="&amp;$E37,Datos_Origen[Criticidad],L$29),0)))))</f>
        <v>11</v>
      </c>
      <c r="M37" s="58">
        <f t="shared" si="7"/>
        <v>0.2558139534883721</v>
      </c>
      <c r="N37" s="619"/>
      <c r="O37" s="57">
        <f>IF(IF($AA$3=1,COUNTIFS(Datos_Origen[CTQ1 p],"&gt;"&amp;$D37,Datos_Origen[CTQ1 p],"&lt;="&amp;$E37,Datos_Origen[Criticidad],O$29),IF($AA$3=2,COUNTIFS(Datos_Origen[CTMd p],"&gt;"&amp;$D37,Datos_Origen[CTMd p],"&lt;="&amp;$E37,Datos_Origen[Criticidad],O$29),IF($AA$3=3,COUNTIFS(Datos_Origen[CTQ3 p],"&gt;"&amp;$D37,Datos_Origen[CTQ3 p],"&lt;="&amp;$E37,Datos_Origen[Criticidad],O$29),IF($AA$3=4,COUNTIFS(Datos_Origen[Ctpolp],"&gt;"&amp;$D37,Datos_Origen[Ctpolp],"&lt;="&amp;$E37,Datos_Origen[Criticidad],O$29),0))))=0,"",IF($AA$3=1,COUNTIFS(Datos_Origen[CTQ1 p],"&gt;"&amp;$D37,Datos_Origen[CTQ1 p],"&lt;="&amp;$E37,Datos_Origen[Criticidad],O$29),IF($AA$3=2,COUNTIFS(Datos_Origen[CTMd p],"&gt;"&amp;$D37,Datos_Origen[CTMd p],"&lt;="&amp;$E37,Datos_Origen[Criticidad],O$29),IF($AA$3=3,COUNTIFS(Datos_Origen[CTQ3 p],"&gt;"&amp;$D37,Datos_Origen[CTQ3 p],"&lt;="&amp;$E37,Datos_Origen[Criticidad],O$29),IF($AA$3=4,COUNTIFS(Datos_Origen[Ctpolp],"&gt;"&amp;$D37,Datos_Origen[Ctpolp],"&lt;="&amp;$E37,Datos_Origen[Criticidad],O$29),0)))))</f>
        <v>14</v>
      </c>
      <c r="P37" s="58">
        <f t="shared" si="8"/>
        <v>0.25</v>
      </c>
      <c r="Q37" s="619"/>
      <c r="R37" s="235"/>
    </row>
    <row r="38" spans="1:18">
      <c r="A38" s="225"/>
      <c r="B38" s="615"/>
      <c r="C38" s="615" t="s">
        <v>651</v>
      </c>
      <c r="D38" s="45">
        <v>0.7</v>
      </c>
      <c r="E38" s="45">
        <f t="shared" si="9"/>
        <v>0.8</v>
      </c>
      <c r="F38" s="46">
        <f>IF(IF($AA$3=1,COUNTIFS(Datos_Origen[CTQ1 p],"&gt;"&amp;$D38,Datos_Origen[CTQ1 p],"&lt;="&amp;$E38,Datos_Origen[Criticidad],F$29),IF($AA$3=2,COUNTIFS(Datos_Origen[CTMd p],"&gt;"&amp;$D38,Datos_Origen[CTMd p],"&lt;="&amp;$E38,Datos_Origen[Criticidad],F$29),IF($AA$3=3,COUNTIFS(Datos_Origen[CTQ3 p],"&gt;"&amp;$D38,Datos_Origen[CTQ3 p],"&lt;="&amp;$E38,Datos_Origen[Criticidad],F$29),IF($AA$3=4,COUNTIFS(Datos_Origen[Ctpolp],"&gt;"&amp;$D38,Datos_Origen[Ctpolp],"&lt;="&amp;$E38,Datos_Origen[Criticidad],F$29),0))))=0,"",IF($AA$3=1,COUNTIFS(Datos_Origen[CTQ1 p],"&gt;"&amp;$D38,Datos_Origen[CTQ1 p],"&lt;="&amp;$E38,Datos_Origen[Criticidad],F$29),IF($AA$3=2,COUNTIFS(Datos_Origen[CTMd p],"&gt;"&amp;$D38,Datos_Origen[CTMd p],"&lt;="&amp;$E38,Datos_Origen[Criticidad],F$29),IF($AA$3=3,COUNTIFS(Datos_Origen[CTQ3 p],"&gt;"&amp;$D38,Datos_Origen[CTQ3 p],"&lt;="&amp;$E38,Datos_Origen[Criticidad],F$29),IF($AA$3=4,COUNTIFS(Datos_Origen[Ctpolp],"&gt;"&amp;$D38,Datos_Origen[Ctpolp],"&lt;="&amp;$E38,Datos_Origen[Criticidad],F$29),0)))))</f>
        <v>4</v>
      </c>
      <c r="G38" s="47">
        <f t="shared" si="5"/>
        <v>0.14814814814814814</v>
      </c>
      <c r="H38" s="616">
        <f>IF(SUM(G38:G40)=0,"",SUM(G38:G40))</f>
        <v>0.77777777777777768</v>
      </c>
      <c r="I38" s="46">
        <f>IF(IF($AA$3=1,COUNTIFS(Datos_Origen[CTQ1 p],"&gt;"&amp;$D38,Datos_Origen[CTQ1 p],"&lt;="&amp;$E38,Datos_Origen[Criticidad],I$29),IF($AA$3=2,COUNTIFS(Datos_Origen[CTMd p],"&gt;"&amp;$D38,Datos_Origen[CTMd p],"&lt;="&amp;$E38,Datos_Origen[Criticidad],I$29),IF($AA$3=3,COUNTIFS(Datos_Origen[CTQ3 p],"&gt;"&amp;$D38,Datos_Origen[CTQ3 p],"&lt;="&amp;$E38,Datos_Origen[Criticidad],I$29),IF($AA$3=4,COUNTIFS(Datos_Origen[Ctpolp],"&gt;"&amp;$D38,Datos_Origen[Ctpolp],"&lt;="&amp;$E38,Datos_Origen[Criticidad],I$29),0))))=0,"",IF($AA$3=1,COUNTIFS(Datos_Origen[CTQ1 p],"&gt;"&amp;$D38,Datos_Origen[CTQ1 p],"&lt;="&amp;$E38,Datos_Origen[Criticidad],I$29),IF($AA$3=2,COUNTIFS(Datos_Origen[CTMd p],"&gt;"&amp;$D38,Datos_Origen[CTMd p],"&lt;="&amp;$E38,Datos_Origen[Criticidad],I$29),IF($AA$3=3,COUNTIFS(Datos_Origen[CTQ3 p],"&gt;"&amp;$D38,Datos_Origen[CTQ3 p],"&lt;="&amp;$E38,Datos_Origen[Criticidad],I$29),IF($AA$3=4,COUNTIFS(Datos_Origen[Ctpolp],"&gt;"&amp;$D38,Datos_Origen[Ctpolp],"&lt;="&amp;$E38,Datos_Origen[Criticidad],I$29),0)))))</f>
        <v>5</v>
      </c>
      <c r="J38" s="47">
        <f t="shared" si="6"/>
        <v>0.38461538461538464</v>
      </c>
      <c r="K38" s="616">
        <f>IF(SUM(J38:J40)=0,"",SUM(J38:J40))</f>
        <v>0.92307692307692313</v>
      </c>
      <c r="L38" s="46">
        <f>IF(IF($AA$3=1,COUNTIFS(Datos_Origen[CTQ1 p],"&gt;"&amp;$D38,Datos_Origen[CTQ1 p],"&lt;="&amp;$E38,Datos_Origen[Criticidad],L$29),IF($AA$3=2,COUNTIFS(Datos_Origen[CTMd p],"&gt;"&amp;$D38,Datos_Origen[CTMd p],"&lt;="&amp;$E38,Datos_Origen[Criticidad],L$29),IF($AA$3=3,COUNTIFS(Datos_Origen[CTQ3 p],"&gt;"&amp;$D38,Datos_Origen[CTQ3 p],"&lt;="&amp;$E38,Datos_Origen[Criticidad],L$29),IF($AA$3=4,COUNTIFS(Datos_Origen[Ctpolp],"&gt;"&amp;$D38,Datos_Origen[Ctpolp],"&lt;="&amp;$E38,Datos_Origen[Criticidad],L$29),0))))=0,"",IF($AA$3=1,COUNTIFS(Datos_Origen[CTQ1 p],"&gt;"&amp;$D38,Datos_Origen[CTQ1 p],"&lt;="&amp;$E38,Datos_Origen[Criticidad],L$29),IF($AA$3=2,COUNTIFS(Datos_Origen[CTMd p],"&gt;"&amp;$D38,Datos_Origen[CTMd p],"&lt;="&amp;$E38,Datos_Origen[Criticidad],L$29),IF($AA$3=3,COUNTIFS(Datos_Origen[CTQ3 p],"&gt;"&amp;$D38,Datos_Origen[CTQ3 p],"&lt;="&amp;$E38,Datos_Origen[Criticidad],L$29),IF($AA$3=4,COUNTIFS(Datos_Origen[Ctpolp],"&gt;"&amp;$D38,Datos_Origen[Ctpolp],"&lt;="&amp;$E38,Datos_Origen[Criticidad],L$29),0)))))</f>
        <v>1</v>
      </c>
      <c r="M38" s="47">
        <f t="shared" si="7"/>
        <v>2.3255813953488372E-2</v>
      </c>
      <c r="N38" s="616">
        <f>IF(SUM(M38:M40)=0,"",SUM(M38:M40))</f>
        <v>0.37209302325581395</v>
      </c>
      <c r="O38" s="46">
        <f>IF(IF($AA$3=1,COUNTIFS(Datos_Origen[CTQ1 p],"&gt;"&amp;$D38,Datos_Origen[CTQ1 p],"&lt;="&amp;$E38,Datos_Origen[Criticidad],O$29),IF($AA$3=2,COUNTIFS(Datos_Origen[CTMd p],"&gt;"&amp;$D38,Datos_Origen[CTMd p],"&lt;="&amp;$E38,Datos_Origen[Criticidad],O$29),IF($AA$3=3,COUNTIFS(Datos_Origen[CTQ3 p],"&gt;"&amp;$D38,Datos_Origen[CTQ3 p],"&lt;="&amp;$E38,Datos_Origen[Criticidad],O$29),IF($AA$3=4,COUNTIFS(Datos_Origen[Ctpolp],"&gt;"&amp;$D38,Datos_Origen[Ctpolp],"&lt;="&amp;$E38,Datos_Origen[Criticidad],O$29),0))))=0,"",IF($AA$3=1,COUNTIFS(Datos_Origen[CTQ1 p],"&gt;"&amp;$D38,Datos_Origen[CTQ1 p],"&lt;="&amp;$E38,Datos_Origen[Criticidad],O$29),IF($AA$3=2,COUNTIFS(Datos_Origen[CTMd p],"&gt;"&amp;$D38,Datos_Origen[CTMd p],"&lt;="&amp;$E38,Datos_Origen[Criticidad],O$29),IF($AA$3=3,COUNTIFS(Datos_Origen[CTQ3 p],"&gt;"&amp;$D38,Datos_Origen[CTQ3 p],"&lt;="&amp;$E38,Datos_Origen[Criticidad],O$29),IF($AA$3=4,COUNTIFS(Datos_Origen[Ctpolp],"&gt;"&amp;$D38,Datos_Origen[Ctpolp],"&lt;="&amp;$E38,Datos_Origen[Criticidad],O$29),0)))))</f>
        <v>12</v>
      </c>
      <c r="P38" s="47">
        <f t="shared" si="8"/>
        <v>0.21428571428571427</v>
      </c>
      <c r="Q38" s="616">
        <f>IF(SUM(P38:P40)=0,"",SUM(P38:P40))</f>
        <v>0.6785714285714286</v>
      </c>
      <c r="R38" s="234"/>
    </row>
    <row r="39" spans="1:18">
      <c r="A39" s="225"/>
      <c r="B39" s="615"/>
      <c r="C39" s="630"/>
      <c r="D39" s="45">
        <v>0.6</v>
      </c>
      <c r="E39" s="45">
        <f t="shared" si="9"/>
        <v>0.7</v>
      </c>
      <c r="F39" s="46">
        <f>IF(IF($AA$3=1,COUNTIFS(Datos_Origen[CTQ1 p],"&gt;"&amp;$D39,Datos_Origen[CTQ1 p],"&lt;="&amp;$E39,Datos_Origen[Criticidad],F$29),IF($AA$3=2,COUNTIFS(Datos_Origen[CTMd p],"&gt;"&amp;$D39,Datos_Origen[CTMd p],"&lt;="&amp;$E39,Datos_Origen[Criticidad],F$29),IF($AA$3=3,COUNTIFS(Datos_Origen[CTQ3 p],"&gt;"&amp;$D39,Datos_Origen[CTQ3 p],"&lt;="&amp;$E39,Datos_Origen[Criticidad],F$29),IF($AA$3=4,COUNTIFS(Datos_Origen[Ctpolp],"&gt;"&amp;$D39,Datos_Origen[Ctpolp],"&lt;="&amp;$E39,Datos_Origen[Criticidad],F$29),0))))=0,"",IF($AA$3=1,COUNTIFS(Datos_Origen[CTQ1 p],"&gt;"&amp;$D39,Datos_Origen[CTQ1 p],"&lt;="&amp;$E39,Datos_Origen[Criticidad],F$29),IF($AA$3=2,COUNTIFS(Datos_Origen[CTMd p],"&gt;"&amp;$D39,Datos_Origen[CTMd p],"&lt;="&amp;$E39,Datos_Origen[Criticidad],F$29),IF($AA$3=3,COUNTIFS(Datos_Origen[CTQ3 p],"&gt;"&amp;$D39,Datos_Origen[CTQ3 p],"&lt;="&amp;$E39,Datos_Origen[Criticidad],F$29),IF($AA$3=4,COUNTIFS(Datos_Origen[Ctpolp],"&gt;"&amp;$D39,Datos_Origen[Ctpolp],"&lt;="&amp;$E39,Datos_Origen[Criticidad],F$29),0)))))</f>
        <v>3</v>
      </c>
      <c r="G39" s="47">
        <f t="shared" si="5"/>
        <v>0.1111111111111111</v>
      </c>
      <c r="H39" s="616"/>
      <c r="I39" s="46">
        <f>IF(IF($AA$3=1,COUNTIFS(Datos_Origen[CTQ1 p],"&gt;"&amp;$D39,Datos_Origen[CTQ1 p],"&lt;="&amp;$E39,Datos_Origen[Criticidad],I$29),IF($AA$3=2,COUNTIFS(Datos_Origen[CTMd p],"&gt;"&amp;$D39,Datos_Origen[CTMd p],"&lt;="&amp;$E39,Datos_Origen[Criticidad],I$29),IF($AA$3=3,COUNTIFS(Datos_Origen[CTQ3 p],"&gt;"&amp;$D39,Datos_Origen[CTQ3 p],"&lt;="&amp;$E39,Datos_Origen[Criticidad],I$29),IF($AA$3=4,COUNTIFS(Datos_Origen[Ctpolp],"&gt;"&amp;$D39,Datos_Origen[Ctpolp],"&lt;="&amp;$E39,Datos_Origen[Criticidad],I$29),0))))=0,"",IF($AA$3=1,COUNTIFS(Datos_Origen[CTQ1 p],"&gt;"&amp;$D39,Datos_Origen[CTQ1 p],"&lt;="&amp;$E39,Datos_Origen[Criticidad],I$29),IF($AA$3=2,COUNTIFS(Datos_Origen[CTMd p],"&gt;"&amp;$D39,Datos_Origen[CTMd p],"&lt;="&amp;$E39,Datos_Origen[Criticidad],I$29),IF($AA$3=3,COUNTIFS(Datos_Origen[CTQ3 p],"&gt;"&amp;$D39,Datos_Origen[CTQ3 p],"&lt;="&amp;$E39,Datos_Origen[Criticidad],I$29),IF($AA$3=4,COUNTIFS(Datos_Origen[Ctpolp],"&gt;"&amp;$D39,Datos_Origen[Ctpolp],"&lt;="&amp;$E39,Datos_Origen[Criticidad],I$29),0)))))</f>
        <v>3</v>
      </c>
      <c r="J39" s="47">
        <f t="shared" si="6"/>
        <v>0.23076923076923078</v>
      </c>
      <c r="K39" s="616"/>
      <c r="L39" s="46">
        <f>IF(IF($AA$3=1,COUNTIFS(Datos_Origen[CTQ1 p],"&gt;"&amp;$D39,Datos_Origen[CTQ1 p],"&lt;="&amp;$E39,Datos_Origen[Criticidad],L$29),IF($AA$3=2,COUNTIFS(Datos_Origen[CTMd p],"&gt;"&amp;$D39,Datos_Origen[CTMd p],"&lt;="&amp;$E39,Datos_Origen[Criticidad],L$29),IF($AA$3=3,COUNTIFS(Datos_Origen[CTQ3 p],"&gt;"&amp;$D39,Datos_Origen[CTQ3 p],"&lt;="&amp;$E39,Datos_Origen[Criticidad],L$29),IF($AA$3=4,COUNTIFS(Datos_Origen[Ctpolp],"&gt;"&amp;$D39,Datos_Origen[Ctpolp],"&lt;="&amp;$E39,Datos_Origen[Criticidad],L$29),0))))=0,"",IF($AA$3=1,COUNTIFS(Datos_Origen[CTQ1 p],"&gt;"&amp;$D39,Datos_Origen[CTQ1 p],"&lt;="&amp;$E39,Datos_Origen[Criticidad],L$29),IF($AA$3=2,COUNTIFS(Datos_Origen[CTMd p],"&gt;"&amp;$D39,Datos_Origen[CTMd p],"&lt;="&amp;$E39,Datos_Origen[Criticidad],L$29),IF($AA$3=3,COUNTIFS(Datos_Origen[CTQ3 p],"&gt;"&amp;$D39,Datos_Origen[CTQ3 p],"&lt;="&amp;$E39,Datos_Origen[Criticidad],L$29),IF($AA$3=4,COUNTIFS(Datos_Origen[Ctpolp],"&gt;"&amp;$D39,Datos_Origen[Ctpolp],"&lt;="&amp;$E39,Datos_Origen[Criticidad],L$29),0)))))</f>
        <v>13</v>
      </c>
      <c r="M39" s="47">
        <f t="shared" si="7"/>
        <v>0.30232558139534882</v>
      </c>
      <c r="N39" s="616"/>
      <c r="O39" s="46">
        <f>IF(IF($AA$3=1,COUNTIFS(Datos_Origen[CTQ1 p],"&gt;"&amp;$D39,Datos_Origen[CTQ1 p],"&lt;="&amp;$E39,Datos_Origen[Criticidad],O$29),IF($AA$3=2,COUNTIFS(Datos_Origen[CTMd p],"&gt;"&amp;$D39,Datos_Origen[CTMd p],"&lt;="&amp;$E39,Datos_Origen[Criticidad],O$29),IF($AA$3=3,COUNTIFS(Datos_Origen[CTQ3 p],"&gt;"&amp;$D39,Datos_Origen[CTQ3 p],"&lt;="&amp;$E39,Datos_Origen[Criticidad],O$29),IF($AA$3=4,COUNTIFS(Datos_Origen[Ctpolp],"&gt;"&amp;$D39,Datos_Origen[Ctpolp],"&lt;="&amp;$E39,Datos_Origen[Criticidad],O$29),0))))=0,"",IF($AA$3=1,COUNTIFS(Datos_Origen[CTQ1 p],"&gt;"&amp;$D39,Datos_Origen[CTQ1 p],"&lt;="&amp;$E39,Datos_Origen[Criticidad],O$29),IF($AA$3=2,COUNTIFS(Datos_Origen[CTMd p],"&gt;"&amp;$D39,Datos_Origen[CTMd p],"&lt;="&amp;$E39,Datos_Origen[Criticidad],O$29),IF($AA$3=3,COUNTIFS(Datos_Origen[CTQ3 p],"&gt;"&amp;$D39,Datos_Origen[CTQ3 p],"&lt;="&amp;$E39,Datos_Origen[Criticidad],O$29),IF($AA$3=4,COUNTIFS(Datos_Origen[Ctpolp],"&gt;"&amp;$D39,Datos_Origen[Ctpolp],"&lt;="&amp;$E39,Datos_Origen[Criticidad],O$29),0)))))</f>
        <v>19</v>
      </c>
      <c r="P39" s="47">
        <f t="shared" si="8"/>
        <v>0.3392857142857143</v>
      </c>
      <c r="Q39" s="616"/>
      <c r="R39" s="234"/>
    </row>
    <row r="40" spans="1:18">
      <c r="A40" s="225"/>
      <c r="B40" s="615"/>
      <c r="C40" s="630"/>
      <c r="D40" s="48">
        <v>0</v>
      </c>
      <c r="E40" s="45">
        <f t="shared" si="9"/>
        <v>0.6</v>
      </c>
      <c r="F40" s="46">
        <f>IF(IF($AA$3=1,COUNTIFS(Datos_Origen[CTQ1 p],"&gt;"&amp;$D40,Datos_Origen[CTQ1 p],"&lt;="&amp;$E40,Datos_Origen[Criticidad],F$29),IF($AA$3=2,COUNTIFS(Datos_Origen[CTMd p],"&gt;"&amp;$D40,Datos_Origen[CTMd p],"&lt;="&amp;$E40,Datos_Origen[Criticidad],F$29),IF($AA$3=3,COUNTIFS(Datos_Origen[CTQ3 p],"&gt;"&amp;$D40,Datos_Origen[CTQ3 p],"&lt;="&amp;$E40,Datos_Origen[Criticidad],F$29),IF($AA$3=4,COUNTIFS(Datos_Origen[Ctpolp],"&gt;"&amp;$D40,Datos_Origen[Ctpolp],"&lt;="&amp;$E40,Datos_Origen[Criticidad],F$29),0))))=0,"",IF($AA$3=1,COUNTIFS(Datos_Origen[CTQ1 p],"&gt;"&amp;$D40,Datos_Origen[CTQ1 p],"&lt;="&amp;$E40,Datos_Origen[Criticidad],F$29),IF($AA$3=2,COUNTIFS(Datos_Origen[CTMd p],"&gt;"&amp;$D40,Datos_Origen[CTMd p],"&lt;="&amp;$E40,Datos_Origen[Criticidad],F$29),IF($AA$3=3,COUNTIFS(Datos_Origen[CTQ3 p],"&gt;"&amp;$D40,Datos_Origen[CTQ3 p],"&lt;="&amp;$E40,Datos_Origen[Criticidad],F$29),IF($AA$3=4,COUNTIFS(Datos_Origen[Ctpolp],"&gt;"&amp;$D40,Datos_Origen[Ctpolp],"&lt;="&amp;$E40,Datos_Origen[Criticidad],F$29),0)))))</f>
        <v>14</v>
      </c>
      <c r="G40" s="47">
        <f t="shared" si="5"/>
        <v>0.51851851851851849</v>
      </c>
      <c r="H40" s="616"/>
      <c r="I40" s="46">
        <f>IF(IF($AA$3=1,COUNTIFS(Datos_Origen[CTQ1 p],"&gt;"&amp;$D40,Datos_Origen[CTQ1 p],"&lt;="&amp;$E40,Datos_Origen[Criticidad],I$29),IF($AA$3=2,COUNTIFS(Datos_Origen[CTMd p],"&gt;"&amp;$D40,Datos_Origen[CTMd p],"&lt;="&amp;$E40,Datos_Origen[Criticidad],I$29),IF($AA$3=3,COUNTIFS(Datos_Origen[CTQ3 p],"&gt;"&amp;$D40,Datos_Origen[CTQ3 p],"&lt;="&amp;$E40,Datos_Origen[Criticidad],I$29),IF($AA$3=4,COUNTIFS(Datos_Origen[Ctpolp],"&gt;"&amp;$D40,Datos_Origen[Ctpolp],"&lt;="&amp;$E40,Datos_Origen[Criticidad],I$29),0))))=0,"",IF($AA$3=1,COUNTIFS(Datos_Origen[CTQ1 p],"&gt;"&amp;$D40,Datos_Origen[CTQ1 p],"&lt;="&amp;$E40,Datos_Origen[Criticidad],I$29),IF($AA$3=2,COUNTIFS(Datos_Origen[CTMd p],"&gt;"&amp;$D40,Datos_Origen[CTMd p],"&lt;="&amp;$E40,Datos_Origen[Criticidad],I$29),IF($AA$3=3,COUNTIFS(Datos_Origen[CTQ3 p],"&gt;"&amp;$D40,Datos_Origen[CTQ3 p],"&lt;="&amp;$E40,Datos_Origen[Criticidad],I$29),IF($AA$3=4,COUNTIFS(Datos_Origen[Ctpolp],"&gt;"&amp;$D40,Datos_Origen[Ctpolp],"&lt;="&amp;$E40,Datos_Origen[Criticidad],I$29),0)))))</f>
        <v>4</v>
      </c>
      <c r="J40" s="47">
        <f t="shared" si="6"/>
        <v>0.30769230769230771</v>
      </c>
      <c r="K40" s="616"/>
      <c r="L40" s="46">
        <f>IF(IF($AA$3=1,COUNTIFS(Datos_Origen[CTQ1 p],"&gt;"&amp;$D40,Datos_Origen[CTQ1 p],"&lt;="&amp;$E40,Datos_Origen[Criticidad],L$29),IF($AA$3=2,COUNTIFS(Datos_Origen[CTMd p],"&gt;"&amp;$D40,Datos_Origen[CTMd p],"&lt;="&amp;$E40,Datos_Origen[Criticidad],L$29),IF($AA$3=3,COUNTIFS(Datos_Origen[CTQ3 p],"&gt;"&amp;$D40,Datos_Origen[CTQ3 p],"&lt;="&amp;$E40,Datos_Origen[Criticidad],L$29),IF($AA$3=4,COUNTIFS(Datos_Origen[Ctpolp],"&gt;"&amp;$D40,Datos_Origen[Ctpolp],"&lt;="&amp;$E40,Datos_Origen[Criticidad],L$29),0))))=0,"",IF($AA$3=1,COUNTIFS(Datos_Origen[CTQ1 p],"&gt;"&amp;$D40,Datos_Origen[CTQ1 p],"&lt;="&amp;$E40,Datos_Origen[Criticidad],L$29),IF($AA$3=2,COUNTIFS(Datos_Origen[CTMd p],"&gt;"&amp;$D40,Datos_Origen[CTMd p],"&lt;="&amp;$E40,Datos_Origen[Criticidad],L$29),IF($AA$3=3,COUNTIFS(Datos_Origen[CTQ3 p],"&gt;"&amp;$D40,Datos_Origen[CTQ3 p],"&lt;="&amp;$E40,Datos_Origen[Criticidad],L$29),IF($AA$3=4,COUNTIFS(Datos_Origen[Ctpolp],"&gt;"&amp;$D40,Datos_Origen[Ctpolp],"&lt;="&amp;$E40,Datos_Origen[Criticidad],L$29),0)))))</f>
        <v>2</v>
      </c>
      <c r="M40" s="47">
        <f t="shared" si="7"/>
        <v>4.6511627906976744E-2</v>
      </c>
      <c r="N40" s="616"/>
      <c r="O40" s="46">
        <f>IF(IF($AA$3=1,COUNTIFS(Datos_Origen[CTQ1 p],"&gt;"&amp;$D40,Datos_Origen[CTQ1 p],"&lt;="&amp;$E40,Datos_Origen[Criticidad],O$29),IF($AA$3=2,COUNTIFS(Datos_Origen[CTMd p],"&gt;"&amp;$D40,Datos_Origen[CTMd p],"&lt;="&amp;$E40,Datos_Origen[Criticidad],O$29),IF($AA$3=3,COUNTIFS(Datos_Origen[CTQ3 p],"&gt;"&amp;$D40,Datos_Origen[CTQ3 p],"&lt;="&amp;$E40,Datos_Origen[Criticidad],O$29),IF($AA$3=4,COUNTIFS(Datos_Origen[Ctpolp],"&gt;"&amp;$D40,Datos_Origen[Ctpolp],"&lt;="&amp;$E40,Datos_Origen[Criticidad],O$29),0))))=0,"",IF($AA$3=1,COUNTIFS(Datos_Origen[CTQ1 p],"&gt;"&amp;$D40,Datos_Origen[CTQ1 p],"&lt;="&amp;$E40,Datos_Origen[Criticidad],O$29),IF($AA$3=2,COUNTIFS(Datos_Origen[CTMd p],"&gt;"&amp;$D40,Datos_Origen[CTMd p],"&lt;="&amp;$E40,Datos_Origen[Criticidad],O$29),IF($AA$3=3,COUNTIFS(Datos_Origen[CTQ3 p],"&gt;"&amp;$D40,Datos_Origen[CTQ3 p],"&lt;="&amp;$E40,Datos_Origen[Criticidad],O$29),IF($AA$3=4,COUNTIFS(Datos_Origen[Ctpolp],"&gt;"&amp;$D40,Datos_Origen[Ctpolp],"&lt;="&amp;$E40,Datos_Origen[Criticidad],O$29),0)))))</f>
        <v>7</v>
      </c>
      <c r="P40" s="47">
        <f t="shared" si="8"/>
        <v>0.125</v>
      </c>
      <c r="Q40" s="616"/>
      <c r="R40" s="234"/>
    </row>
    <row r="41" spans="1:18" ht="15.6">
      <c r="A41" s="225"/>
      <c r="D41" s="13"/>
      <c r="E41" s="13"/>
      <c r="F41" s="59">
        <f t="shared" ref="F41:N41" si="10">SUM(F31:F40)</f>
        <v>27</v>
      </c>
      <c r="G41" s="60">
        <f t="shared" si="10"/>
        <v>1</v>
      </c>
      <c r="H41" s="65">
        <f t="shared" si="10"/>
        <v>0.99999999999999989</v>
      </c>
      <c r="I41" s="59">
        <f t="shared" si="10"/>
        <v>13</v>
      </c>
      <c r="J41" s="60">
        <f t="shared" si="10"/>
        <v>1</v>
      </c>
      <c r="K41" s="65">
        <f t="shared" si="10"/>
        <v>1</v>
      </c>
      <c r="L41" s="59">
        <f t="shared" si="10"/>
        <v>43</v>
      </c>
      <c r="M41" s="60">
        <f t="shared" si="10"/>
        <v>1</v>
      </c>
      <c r="N41" s="65">
        <f t="shared" si="10"/>
        <v>1</v>
      </c>
      <c r="O41" s="59">
        <f t="shared" ref="O41:Q41" si="11">SUM(O31:O40)</f>
        <v>56</v>
      </c>
      <c r="P41" s="60">
        <f t="shared" si="11"/>
        <v>1</v>
      </c>
      <c r="Q41" s="65">
        <f t="shared" si="11"/>
        <v>1</v>
      </c>
      <c r="R41" s="236"/>
    </row>
    <row r="42" spans="1:18">
      <c r="A42" s="225"/>
      <c r="B42" s="225"/>
      <c r="C42" s="225"/>
      <c r="D42" s="225"/>
      <c r="E42" s="225"/>
      <c r="F42" s="225"/>
      <c r="G42" s="225"/>
      <c r="H42" s="225"/>
      <c r="I42" s="225"/>
      <c r="J42" s="225"/>
      <c r="K42" s="225"/>
      <c r="L42" s="225"/>
      <c r="M42" s="225"/>
      <c r="N42" s="225"/>
      <c r="O42" s="225"/>
      <c r="P42" s="225"/>
      <c r="Q42" s="225"/>
      <c r="R42" s="225"/>
    </row>
    <row r="43" spans="1:18">
      <c r="A43" s="225"/>
      <c r="B43" s="225"/>
      <c r="C43" s="225"/>
      <c r="D43" s="225"/>
      <c r="E43" s="225"/>
      <c r="F43" s="225"/>
      <c r="G43" s="225"/>
      <c r="H43" s="225"/>
      <c r="I43" s="225"/>
      <c r="J43" s="225"/>
      <c r="K43" s="225"/>
      <c r="L43" s="225"/>
      <c r="M43" s="225"/>
      <c r="N43" s="225"/>
      <c r="O43" s="225"/>
      <c r="P43" s="225"/>
      <c r="Q43" s="225"/>
      <c r="R43" s="225"/>
    </row>
    <row r="44" spans="1:18" ht="25.8">
      <c r="A44" s="225"/>
      <c r="B44" s="639"/>
      <c r="C44" s="639"/>
      <c r="D44" s="639"/>
      <c r="E44" s="639"/>
      <c r="F44" s="639"/>
      <c r="G44" s="639"/>
      <c r="H44" s="639"/>
      <c r="I44" s="639"/>
      <c r="J44" s="639"/>
      <c r="K44" s="639"/>
      <c r="L44" s="639"/>
      <c r="M44" s="639"/>
      <c r="N44" s="639"/>
      <c r="O44" s="639"/>
      <c r="P44" s="639"/>
      <c r="Q44" s="639"/>
      <c r="R44" s="231"/>
    </row>
    <row r="45" spans="1:18">
      <c r="A45" s="225"/>
      <c r="B45" s="225"/>
      <c r="C45" s="225"/>
      <c r="D45" s="225"/>
      <c r="E45" s="225"/>
      <c r="F45" s="225"/>
      <c r="G45" s="225"/>
      <c r="H45" s="225"/>
      <c r="I45" s="225"/>
      <c r="J45" s="225"/>
      <c r="K45" s="225"/>
      <c r="L45" s="225"/>
      <c r="M45" s="225"/>
      <c r="N45" s="225"/>
      <c r="O45" s="225"/>
      <c r="P45" s="225"/>
      <c r="Q45" s="225"/>
      <c r="R45" s="225"/>
    </row>
    <row r="46" spans="1:18">
      <c r="A46" s="225"/>
      <c r="B46" s="225"/>
      <c r="C46" s="634" t="s">
        <v>439</v>
      </c>
      <c r="D46" s="635" t="s">
        <v>652</v>
      </c>
      <c r="E46" s="238"/>
      <c r="F46" s="645" t="s">
        <v>653</v>
      </c>
      <c r="G46" s="645"/>
      <c r="H46" s="645"/>
      <c r="I46" s="238"/>
      <c r="J46" s="645" t="s">
        <v>654</v>
      </c>
      <c r="K46" s="645"/>
      <c r="L46" s="645"/>
      <c r="M46" s="238"/>
      <c r="N46" s="645" t="s">
        <v>23</v>
      </c>
      <c r="O46" s="645"/>
      <c r="P46" s="645"/>
      <c r="Q46" s="225"/>
      <c r="R46" s="225"/>
    </row>
    <row r="47" spans="1:18">
      <c r="A47" s="225"/>
      <c r="B47" s="225"/>
      <c r="C47" s="634"/>
      <c r="D47" s="635"/>
      <c r="E47" s="238"/>
      <c r="F47" s="91" t="s">
        <v>655</v>
      </c>
      <c r="G47" s="91" t="s">
        <v>656</v>
      </c>
      <c r="H47" s="91" t="s">
        <v>657</v>
      </c>
      <c r="I47" s="238"/>
      <c r="J47" s="91" t="s">
        <v>655</v>
      </c>
      <c r="K47" s="91" t="s">
        <v>656</v>
      </c>
      <c r="L47" s="91" t="s">
        <v>657</v>
      </c>
      <c r="M47" s="238"/>
      <c r="N47" s="91" t="s">
        <v>655</v>
      </c>
      <c r="O47" s="91" t="s">
        <v>656</v>
      </c>
      <c r="P47" s="91" t="s">
        <v>657</v>
      </c>
      <c r="Q47" s="225"/>
      <c r="R47" s="225"/>
    </row>
    <row r="48" spans="1:18">
      <c r="A48" s="225"/>
      <c r="B48" s="225"/>
      <c r="C48" s="44" t="s">
        <v>658</v>
      </c>
      <c r="D48" s="44">
        <f>SUM(D50:D55)</f>
        <v>139</v>
      </c>
      <c r="E48" s="238"/>
      <c r="F48" s="92">
        <f>H21</f>
        <v>0.56115107913669071</v>
      </c>
      <c r="G48" s="92">
        <f>H17</f>
        <v>0.41726618705035967</v>
      </c>
      <c r="H48" s="92">
        <f>H14</f>
        <v>2.1582733812949641E-2</v>
      </c>
      <c r="I48" s="238"/>
      <c r="J48" s="92">
        <f>K21</f>
        <v>0.54676258992805749</v>
      </c>
      <c r="K48" s="92">
        <f>K17</f>
        <v>0.43165467625899279</v>
      </c>
      <c r="L48" s="92">
        <f>K14</f>
        <v>2.1582733812949641E-2</v>
      </c>
      <c r="M48" s="238"/>
      <c r="N48" s="92">
        <f>N21</f>
        <v>0.62589928057553956</v>
      </c>
      <c r="O48" s="92">
        <f>N17</f>
        <v>0.35251798561151082</v>
      </c>
      <c r="P48" s="92">
        <f>N14</f>
        <v>2.1582733812949641E-2</v>
      </c>
      <c r="Q48" s="225"/>
      <c r="R48" s="225"/>
    </row>
    <row r="49" spans="1:21">
      <c r="A49" s="225"/>
      <c r="B49" s="225"/>
      <c r="C49" s="637" t="s">
        <v>659</v>
      </c>
      <c r="D49" s="638"/>
      <c r="E49" s="238"/>
      <c r="F49" s="330">
        <f>IF(F21="",0,F21)+IF(F22="",0,F22)+IF(F23="",0,F23)</f>
        <v>78</v>
      </c>
      <c r="G49" s="330">
        <f>IF(F17="",0,F17)+IF(F18="",0,F18)+IF(F19="",0,F19)+IF(F20="",0,F20)</f>
        <v>58</v>
      </c>
      <c r="H49" s="330">
        <f>IF(F14="",0,F14)+IF(F15="",0,F15)+IF(F16="",0,F16)</f>
        <v>3</v>
      </c>
      <c r="I49" s="329"/>
      <c r="J49" s="330">
        <f>IF(I21="",0,I21)+IF(I22="",0,I22)+IF(I23="",0,I23)</f>
        <v>76</v>
      </c>
      <c r="K49" s="330">
        <f>IF(I17="",0,I17)+IF(I18="",0,I18)+IF(I19="",0,I19)+IF(I20="",0,I20)</f>
        <v>60</v>
      </c>
      <c r="L49" s="330">
        <f>IF(I14="",0,I14)+IF(I15="",0,I15)+IF(I16="",0,I16)</f>
        <v>3</v>
      </c>
      <c r="M49" s="329"/>
      <c r="N49" s="330">
        <f>IF(L21="",0,L21)+IF(L22="",0,L22)+IF(L23="",0,L23)</f>
        <v>87</v>
      </c>
      <c r="O49" s="330">
        <f>IF(L17="",0,L17)+IF(L18="",0,L18)+IF(L19="",0,L19)+IF(L20="",0,L20)</f>
        <v>49</v>
      </c>
      <c r="P49" s="330">
        <f>IF(L14="",0,L14)+IF(L15="",0,L15)+IF(L16="",0,L16)</f>
        <v>3</v>
      </c>
      <c r="Q49" s="225"/>
      <c r="R49" s="225"/>
    </row>
    <row r="50" spans="1:21">
      <c r="A50" s="225"/>
      <c r="B50" s="225"/>
      <c r="C50" s="48" t="s">
        <v>660</v>
      </c>
      <c r="D50" s="48">
        <f>IFERROR(COUNTIFS(Datos_Origen[[#All],[Nivel]],$C50,Datos_Origen[[#All],[Ctpol1010]],"&gt;0"),"")</f>
        <v>1</v>
      </c>
      <c r="E50" s="239"/>
      <c r="F50" s="90">
        <f>IFERROR((IF($AA$3=1,COUNTIFS(Datos_Origen[GQ1 p],"&gt;0",Datos_Origen[GQ1 p],"&lt;80%",Datos_Origen[Nivel],$C50),IF($AA$3=2,COUNTIFS(Datos_Origen[GMd p],"&gt;0",Datos_Origen[GMd p],"&lt;80%",Datos_Origen[Nivel],$C50),IF($AA$3=3,COUNTIFS(Datos_Origen[GQ3 p],"&gt;0",Datos_Origen[GQ3 p],"&lt;80%",Datos_Origen[Nivel],$C50),IF($AA$3=4,COUNTIFS(Datos_Origen[Gpolp],"&gt;0",Datos_Origen[Gpolp],"&lt;80%",Datos_Origen[Nivel],$C50),0)))))/$D50,"")</f>
        <v>1</v>
      </c>
      <c r="G50" s="90">
        <f>IFERROR((IF($AA$3=1,COUNTIFS(Datos_Origen[GQ1 p],"&gt;=80%",Datos_Origen[GQ1 p],"&lt;=120%",Datos_Origen[Nivel],$C50),IF($AA$3=2,COUNTIFS(Datos_Origen[GMd p],"&gt;=80%",Datos_Origen[GMd p],"&lt;=120%",Datos_Origen[Nivel],$C50),IF($AA$3=3,COUNTIFS(Datos_Origen[GQ3 p],"&gt;=80%",Datos_Origen[GQ3 p],"&lt;=120%",Datos_Origen[Nivel],$C50),IF($AA$3=4,COUNTIFS(Datos_Origen[Gpolp],"&gt;=80%",Datos_Origen[Gpolp],"&lt;=120%",Datos_Origen[Nivel],$C50),0)))))/$D50,"")</f>
        <v>0</v>
      </c>
      <c r="H50" s="90">
        <f>IFERROR((IF($AA$3=1,COUNTIFS(Datos_Origen[GQ1 p],"&gt;120%",Datos_Origen[GQ1 p],"&gt;120%",Datos_Origen[Nivel],$C50),IF($AA$3=2,COUNTIFS(Datos_Origen[GMd p],"&gt;120%",Datos_Origen[GMd p],"&gt;120%",Datos_Origen[Nivel],$C50),IF($AA$3=3,COUNTIFS(Datos_Origen[GQ3 p],"&gt;120%",Datos_Origen[GQ3 p],"&gt;120%",Datos_Origen[Nivel],$C50),IF($AA$3=4,COUNTIFS(Datos_Origen[Gpolp],"&gt;120%",Datos_Origen[Gpolp],"&gt;120%",Datos_Origen[Nivel],$C50),0)))))/$D50,"")</f>
        <v>0</v>
      </c>
      <c r="I50" s="240"/>
      <c r="J50" s="90">
        <f>IFERROR((IF($AA$3=1,COUNTIFS(Datos_Origen[G+VQ1 p],"&gt;0",Datos_Origen[G+VQ1 p],"&lt;80%",Datos_Origen[Nivel],$C50),IF($AA$3=2,COUNTIFS(Datos_Origen[G+VMd p],"&gt;0",Datos_Origen[G+VMd p],"&lt;80%",Datos_Origen[Nivel],$C50),IF($AA$3=3,COUNTIFS(Datos_Origen[G+VQ3 p],"&gt;0",Datos_Origen[G+VQ3 p],"&lt;80%",Datos_Origen[Nivel],$C50),IF($AA$3=4,COUNTIFS(Datos_Origen[G+Vpolp],"&gt;0",Datos_Origen[G+Vpolp],"&lt;80%",Datos_Origen[Nivel],$C50),0)))))/$D50,"")</f>
        <v>0</v>
      </c>
      <c r="K50" s="90">
        <f>IFERROR((IF($AA$3=1,COUNTIFS(Datos_Origen[G+VQ1 p],"&gt;=80%",Datos_Origen[G+VQ1 p],"&lt;=120%",Datos_Origen[Nivel],$C50),IF($AA$3=2,COUNTIFS(Datos_Origen[G+VMd p],"&gt;=80%",Datos_Origen[G+VMd p],"&lt;=120%",Datos_Origen[Nivel],$C50),IF($AA$3=3,COUNTIFS(Datos_Origen[G+VQ3 p],"&gt;=80%",Datos_Origen[G+VQ3 p],"&lt;=120%",Datos_Origen[Nivel],$C50),IF($AA$3=4,COUNTIFS(Datos_Origen[G+Vpolp],"&gt;=80%",Datos_Origen[G+Vpolp],"&lt;=120%",Datos_Origen[Nivel],$C50),0)))))/$D50,"")</f>
        <v>1</v>
      </c>
      <c r="L50" s="90">
        <f>IFERROR((IF($AA$3=1,COUNTIFS(Datos_Origen[G+VQ1 p],"&gt;120%",Datos_Origen[G+VQ1 p],"&gt;120%",Datos_Origen[Nivel],$C50),IF($AA$3=2,COUNTIFS(Datos_Origen[G+VMd p],"&gt;120%",Datos_Origen[G+VMd p],"&gt;120%",Datos_Origen[Nivel],$C50),IF($AA$3=3,COUNTIFS(Datos_Origen[G+VQ3 p],"&gt;120%",Datos_Origen[G+VQ3 p],"&gt;120%",Datos_Origen[Nivel],$C50),IF($AA$3=4,COUNTIFS(Datos_Origen[G+Vpolp],"&gt;120%",Datos_Origen[G+Vpolp],"&gt;120%",Datos_Origen[Nivel],$C50),0)))))/$D50,"")</f>
        <v>0</v>
      </c>
      <c r="M50" s="240"/>
      <c r="N50" s="90">
        <f>IFERROR((IF($AA$3=1,COUNTIFS(Datos_Origen[CTQ1 p],"&gt;0",Datos_Origen[CTQ1 p],"&lt;80%",Datos_Origen[Nivel],$C50),IF($AA$3=2,COUNTIFS(Datos_Origen[CTMd p],"&gt;0",Datos_Origen[CTMd p],"&lt;80%",Datos_Origen[Nivel],$C50),IF($AA$3=3,COUNTIFS(Datos_Origen[CTQ3 p],"&gt;0",Datos_Origen[CTQ3 p],"&lt;80%",Datos_Origen[Nivel],$C50),IF($AA$3=4,COUNTIFS(Datos_Origen[Ctpolp],"&gt;0",Datos_Origen[Ctpolp],"&lt;80%",Datos_Origen[Nivel],$C50),0)))))/$D50,"")</f>
        <v>0</v>
      </c>
      <c r="O50" s="90">
        <f>IFERROR((IF($AA$3=1,COUNTIFS(Datos_Origen[CTQ1 p],"&gt;=80%",Datos_Origen[CTQ1 p],"&lt;=120%",Datos_Origen[Nivel],$C50),IF($AA$3=2,COUNTIFS(Datos_Origen[CTMd p],"&gt;=80%",Datos_Origen[CTMd p],"&lt;=120%",Datos_Origen[Nivel],$C50),IF($AA$3=3,COUNTIFS(Datos_Origen[CTQ3 p],"&gt;=80%",Datos_Origen[CTQ3 p],"&lt;=120%",Datos_Origen[Nivel],$C50),IF($AA$3=4,COUNTIFS(Datos_Origen[Ctpolp],"&gt;=80%",Datos_Origen[Ctpolp],"&lt;=120%",Datos_Origen[Nivel],$C50),0)))))/$D50,"")</f>
        <v>1</v>
      </c>
      <c r="P50" s="90">
        <f>IFERROR((IF($AA$3=1,COUNTIFS(Datos_Origen[CTQ1 p],"&gt;120%",Datos_Origen[CTQ1 p],"&gt;120%",Datos_Origen[Nivel],$C50),IF($AA$3=2,COUNTIFS(Datos_Origen[CTMd p],"&gt;120%",Datos_Origen[CTMd p],"&gt;120%",Datos_Origen[Nivel],$C50),IF($AA$3=3,COUNTIFS(Datos_Origen[CTQ3 p],"&gt;120%",Datos_Origen[CTQ3 p],"&gt;120%",Datos_Origen[Nivel],$C50),IF($AA$3=4,COUNTIFS(Datos_Origen[Ctpolp],"&gt;120%",Datos_Origen[Ctpolp],"&gt;120%",Datos_Origen[Nivel],$C50),0)))))/$D50,"")</f>
        <v>0</v>
      </c>
      <c r="Q50" s="225"/>
      <c r="R50" s="225"/>
      <c r="S50" s="7"/>
      <c r="T50" s="7"/>
      <c r="U50" s="7"/>
    </row>
    <row r="51" spans="1:21">
      <c r="A51" s="225"/>
      <c r="B51" s="225"/>
      <c r="C51" s="48" t="s">
        <v>661</v>
      </c>
      <c r="D51" s="48">
        <f>IFERROR(COUNTIFS(Datos_Origen[[#All],[Nivel]],$C51,Datos_Origen[[#All],[Ctpol1010]],"&gt;0"),"")</f>
        <v>3</v>
      </c>
      <c r="E51" s="239"/>
      <c r="F51" s="49">
        <f>IFERROR((IF($AA$3=1,COUNTIFS(Datos_Origen[GQ1 p],"&gt;0",Datos_Origen[GQ1 p],"&lt;80%",Datos_Origen[Nivel],$C51),IF($AA$3=2,COUNTIFS(Datos_Origen[GMd p],"&gt;0",Datos_Origen[GMd p],"&lt;80%",Datos_Origen[Nivel],$C51),IF($AA$3=3,COUNTIFS(Datos_Origen[GQ3 p],"&gt;0",Datos_Origen[GQ3 p],"&lt;80%",Datos_Origen[Nivel],$C51),IF($AA$3=4,COUNTIFS(Datos_Origen[Gpolp],"&gt;0",Datos_Origen[Gpolp],"&lt;80%",Datos_Origen[Nivel],$C51),0)))))/$D51,"")</f>
        <v>1</v>
      </c>
      <c r="G51" s="49">
        <f>IFERROR((IF($AA$3=1,COUNTIFS(Datos_Origen[GQ1 p],"&gt;=80%",Datos_Origen[GQ1 p],"&lt;=120%",Datos_Origen[Nivel],$C51),IF($AA$3=2,COUNTIFS(Datos_Origen[GMd p],"&gt;=80%",Datos_Origen[GMd p],"&lt;=120%",Datos_Origen[Nivel],$C51),IF($AA$3=3,COUNTIFS(Datos_Origen[GQ3 p],"&gt;=80%",Datos_Origen[GQ3 p],"&lt;=120%",Datos_Origen[Nivel],$C51),IF($AA$3=4,COUNTIFS(Datos_Origen[Gpolp],"&gt;=80%",Datos_Origen[Gpolp],"&lt;=120%",Datos_Origen[Nivel],$C51),0)))))/$D51,"")</f>
        <v>0</v>
      </c>
      <c r="H51" s="49">
        <f>IFERROR((IF($AA$3=1,COUNTIFS(Datos_Origen[GQ1 p],"&gt;120%",Datos_Origen[GQ1 p],"&gt;120%",Datos_Origen[Nivel],$C51),IF($AA$3=2,COUNTIFS(Datos_Origen[GMd p],"&gt;120%",Datos_Origen[GMd p],"&gt;120%",Datos_Origen[Nivel],$C51),IF($AA$3=3,COUNTIFS(Datos_Origen[GQ3 p],"&gt;120%",Datos_Origen[GQ3 p],"&gt;120%",Datos_Origen[Nivel],$C51),IF($AA$3=4,COUNTIFS(Datos_Origen[Gpolp],"&gt;120%",Datos_Origen[Gpolp],"&gt;120%",Datos_Origen[Nivel],$C51),0)))))/$D51,"")</f>
        <v>0</v>
      </c>
      <c r="I51" s="240"/>
      <c r="J51" s="49">
        <f>IFERROR((IF($AA$3=1,COUNTIFS(Datos_Origen[G+VQ1 p],"&gt;0",Datos_Origen[G+VQ1 p],"&lt;80%",Datos_Origen[Nivel],$C51),IF($AA$3=2,COUNTIFS(Datos_Origen[G+VMd p],"&gt;0",Datos_Origen[G+VMd p],"&lt;80%",Datos_Origen[Nivel],$C51),IF($AA$3=3,COUNTIFS(Datos_Origen[G+VQ3 p],"&gt;0",Datos_Origen[G+VQ3 p],"&lt;80%",Datos_Origen[Nivel],$C51),IF($AA$3=4,COUNTIFS(Datos_Origen[G+Vpolp],"&gt;0",Datos_Origen[G+Vpolp],"&lt;80%",Datos_Origen[Nivel],$C51),0)))))/$D51,"")</f>
        <v>0.66666666666666663</v>
      </c>
      <c r="K51" s="49">
        <f>IFERROR((IF($AA$3=1,COUNTIFS(Datos_Origen[G+VQ1 p],"&gt;=80%",Datos_Origen[G+VQ1 p],"&lt;=120%",Datos_Origen[Nivel],$C51),IF($AA$3=2,COUNTIFS(Datos_Origen[G+VMd p],"&gt;=80%",Datos_Origen[G+VMd p],"&lt;=120%",Datos_Origen[Nivel],$C51),IF($AA$3=3,COUNTIFS(Datos_Origen[G+VQ3 p],"&gt;=80%",Datos_Origen[G+VQ3 p],"&lt;=120%",Datos_Origen[Nivel],$C51),IF($AA$3=4,COUNTIFS(Datos_Origen[G+Vpolp],"&gt;=80%",Datos_Origen[G+Vpolp],"&lt;=120%",Datos_Origen[Nivel],$C51),0)))))/$D51,"")</f>
        <v>0.33333333333333331</v>
      </c>
      <c r="L51" s="49">
        <f>IFERROR((IF($AA$3=1,COUNTIFS(Datos_Origen[G+VQ1 p],"&gt;120%",Datos_Origen[G+VQ1 p],"&gt;120%",Datos_Origen[Nivel],$C51),IF($AA$3=2,COUNTIFS(Datos_Origen[G+VMd p],"&gt;120%",Datos_Origen[G+VMd p],"&gt;120%",Datos_Origen[Nivel],$C51),IF($AA$3=3,COUNTIFS(Datos_Origen[G+VQ3 p],"&gt;120%",Datos_Origen[G+VQ3 p],"&gt;120%",Datos_Origen[Nivel],$C51),IF($AA$3=4,COUNTIFS(Datos_Origen[G+Vpolp],"&gt;120%",Datos_Origen[G+Vpolp],"&gt;120%",Datos_Origen[Nivel],$C51),0)))))/$D51,"")</f>
        <v>0</v>
      </c>
      <c r="M51" s="240"/>
      <c r="N51" s="49">
        <f>IFERROR((IF($AA$3=1,COUNTIFS(Datos_Origen[CTQ1 p],"&gt;0",Datos_Origen[CTQ1 p],"&lt;80%",Datos_Origen[Nivel],$C51),IF($AA$3=2,COUNTIFS(Datos_Origen[CTMd p],"&gt;0",Datos_Origen[CTMd p],"&lt;80%",Datos_Origen[Nivel],$C51),IF($AA$3=3,COUNTIFS(Datos_Origen[CTQ3 p],"&gt;0",Datos_Origen[CTQ3 p],"&lt;80%",Datos_Origen[Nivel],$C51),IF($AA$3=4,COUNTIFS(Datos_Origen[Ctpolp],"&gt;0",Datos_Origen[Ctpolp],"&lt;80%",Datos_Origen[Nivel],$C51),0)))))/$D51,"")</f>
        <v>0.66666666666666663</v>
      </c>
      <c r="O51" s="49">
        <f>IFERROR((IF($AA$3=1,COUNTIFS(Datos_Origen[CTQ1 p],"&gt;=80%",Datos_Origen[CTQ1 p],"&lt;=120%",Datos_Origen[Nivel],$C51),IF($AA$3=2,COUNTIFS(Datos_Origen[CTMd p],"&gt;=80%",Datos_Origen[CTMd p],"&lt;=120%",Datos_Origen[Nivel],$C51),IF($AA$3=3,COUNTIFS(Datos_Origen[CTQ3 p],"&gt;=80%",Datos_Origen[CTQ3 p],"&lt;=120%",Datos_Origen[Nivel],$C51),IF($AA$3=4,COUNTIFS(Datos_Origen[Ctpolp],"&gt;=80%",Datos_Origen[Ctpolp],"&lt;=120%",Datos_Origen[Nivel],$C51),0)))))/$D51,"")</f>
        <v>0.33333333333333331</v>
      </c>
      <c r="P51" s="49">
        <f>IFERROR((IF($AA$3=1,COUNTIFS(Datos_Origen[CTQ1 p],"&gt;120%",Datos_Origen[CTQ1 p],"&gt;120%",Datos_Origen[Nivel],$C51),IF($AA$3=2,COUNTIFS(Datos_Origen[CTMd p],"&gt;120%",Datos_Origen[CTMd p],"&gt;120%",Datos_Origen[Nivel],$C51),IF($AA$3=3,COUNTIFS(Datos_Origen[CTQ3 p],"&gt;120%",Datos_Origen[CTQ3 p],"&gt;120%",Datos_Origen[Nivel],$C51),IF($AA$3=4,COUNTIFS(Datos_Origen[Ctpolp],"&gt;120%",Datos_Origen[Ctpolp],"&gt;120%",Datos_Origen[Nivel],$C51),0)))))/$D51,"")</f>
        <v>0</v>
      </c>
      <c r="Q51" s="225"/>
      <c r="R51" s="225"/>
      <c r="S51" s="7"/>
      <c r="T51" s="7"/>
      <c r="U51" s="7"/>
    </row>
    <row r="52" spans="1:21">
      <c r="A52" s="225"/>
      <c r="B52" s="225"/>
      <c r="C52" s="48" t="s">
        <v>662</v>
      </c>
      <c r="D52" s="48">
        <f>IFERROR(COUNTIFS(Datos_Origen[[#All],[Nivel]],$C52,Datos_Origen[[#All],[Ctpol1010]],"&gt;0"),"")</f>
        <v>20</v>
      </c>
      <c r="E52" s="239"/>
      <c r="F52" s="49">
        <f>IFERROR((IF($AA$3=1,COUNTIFS(Datos_Origen[GQ1 p],"&gt;0",Datos_Origen[GQ1 p],"&lt;80%",Datos_Origen[Nivel],$C52),IF($AA$3=2,COUNTIFS(Datos_Origen[GMd p],"&gt;0",Datos_Origen[GMd p],"&lt;80%",Datos_Origen[Nivel],$C52),IF($AA$3=3,COUNTIFS(Datos_Origen[GQ3 p],"&gt;0",Datos_Origen[GQ3 p],"&lt;80%",Datos_Origen[Nivel],$C52),IF($AA$3=4,COUNTIFS(Datos_Origen[Gpolp],"&gt;0",Datos_Origen[Gpolp],"&lt;80%",Datos_Origen[Nivel],$C52),0)))))/$D52,"")</f>
        <v>0.75</v>
      </c>
      <c r="G52" s="49">
        <f>IFERROR((IF($AA$3=1,COUNTIFS(Datos_Origen[GQ1 p],"&gt;=80%",Datos_Origen[GQ1 p],"&lt;=120%",Datos_Origen[Nivel],$C52),IF($AA$3=2,COUNTIFS(Datos_Origen[GMd p],"&gt;=80%",Datos_Origen[GMd p],"&lt;=120%",Datos_Origen[Nivel],$C52),IF($AA$3=3,COUNTIFS(Datos_Origen[GQ3 p],"&gt;=80%",Datos_Origen[GQ3 p],"&lt;=120%",Datos_Origen[Nivel],$C52),IF($AA$3=4,COUNTIFS(Datos_Origen[Gpolp],"&gt;=80%",Datos_Origen[Gpolp],"&lt;=120%",Datos_Origen[Nivel],$C52),0)))))/$D52,"")</f>
        <v>0.25</v>
      </c>
      <c r="H52" s="49">
        <f>IFERROR((IF($AA$3=1,COUNTIFS(Datos_Origen[GQ1 p],"&gt;120%",Datos_Origen[GQ1 p],"&gt;120%",Datos_Origen[Nivel],$C52),IF($AA$3=2,COUNTIFS(Datos_Origen[GMd p],"&gt;120%",Datos_Origen[GMd p],"&gt;120%",Datos_Origen[Nivel],$C52),IF($AA$3=3,COUNTIFS(Datos_Origen[GQ3 p],"&gt;120%",Datos_Origen[GQ3 p],"&gt;120%",Datos_Origen[Nivel],$C52),IF($AA$3=4,COUNTIFS(Datos_Origen[Gpolp],"&gt;120%",Datos_Origen[Gpolp],"&gt;120%",Datos_Origen[Nivel],$C52),0)))))/$D52,"")</f>
        <v>0</v>
      </c>
      <c r="I52" s="240"/>
      <c r="J52" s="49">
        <f>IFERROR((IF($AA$3=1,COUNTIFS(Datos_Origen[G+VQ1 p],"&gt;0",Datos_Origen[G+VQ1 p],"&lt;80%",Datos_Origen[Nivel],$C52),IF($AA$3=2,COUNTIFS(Datos_Origen[G+VMd p],"&gt;0",Datos_Origen[G+VMd p],"&lt;80%",Datos_Origen[Nivel],$C52),IF($AA$3=3,COUNTIFS(Datos_Origen[G+VQ3 p],"&gt;0",Datos_Origen[G+VQ3 p],"&lt;80%",Datos_Origen[Nivel],$C52),IF($AA$3=4,COUNTIFS(Datos_Origen[G+Vpolp],"&gt;0",Datos_Origen[G+Vpolp],"&lt;80%",Datos_Origen[Nivel],$C52),0)))))/$D52,"")</f>
        <v>0.85</v>
      </c>
      <c r="K52" s="49">
        <f>IFERROR((IF($AA$3=1,COUNTIFS(Datos_Origen[G+VQ1 p],"&gt;=80%",Datos_Origen[G+VQ1 p],"&lt;=120%",Datos_Origen[Nivel],$C52),IF($AA$3=2,COUNTIFS(Datos_Origen[G+VMd p],"&gt;=80%",Datos_Origen[G+VMd p],"&lt;=120%",Datos_Origen[Nivel],$C52),IF($AA$3=3,COUNTIFS(Datos_Origen[G+VQ3 p],"&gt;=80%",Datos_Origen[G+VQ3 p],"&lt;=120%",Datos_Origen[Nivel],$C52),IF($AA$3=4,COUNTIFS(Datos_Origen[G+Vpolp],"&gt;=80%",Datos_Origen[G+Vpolp],"&lt;=120%",Datos_Origen[Nivel],$C52),0)))))/$D52,"")</f>
        <v>0.15</v>
      </c>
      <c r="L52" s="49">
        <f>IFERROR((IF($AA$3=1,COUNTIFS(Datos_Origen[G+VQ1 p],"&gt;120%",Datos_Origen[G+VQ1 p],"&gt;120%",Datos_Origen[Nivel],$C52),IF($AA$3=2,COUNTIFS(Datos_Origen[G+VMd p],"&gt;120%",Datos_Origen[G+VMd p],"&gt;120%",Datos_Origen[Nivel],$C52),IF($AA$3=3,COUNTIFS(Datos_Origen[G+VQ3 p],"&gt;120%",Datos_Origen[G+VQ3 p],"&gt;120%",Datos_Origen[Nivel],$C52),IF($AA$3=4,COUNTIFS(Datos_Origen[G+Vpolp],"&gt;120%",Datos_Origen[G+Vpolp],"&gt;120%",Datos_Origen[Nivel],$C52),0)))))/$D52,"")</f>
        <v>0</v>
      </c>
      <c r="M52" s="240"/>
      <c r="N52" s="49">
        <f>IFERROR((IF($AA$3=1,COUNTIFS(Datos_Origen[CTQ1 p],"&gt;0",Datos_Origen[CTQ1 p],"&lt;80%",Datos_Origen[Nivel],$C52),IF($AA$3=2,COUNTIFS(Datos_Origen[CTMd p],"&gt;0",Datos_Origen[CTMd p],"&lt;80%",Datos_Origen[Nivel],$C52),IF($AA$3=3,COUNTIFS(Datos_Origen[CTQ3 p],"&gt;0",Datos_Origen[CTQ3 p],"&lt;80%",Datos_Origen[Nivel],$C52),IF($AA$3=4,COUNTIFS(Datos_Origen[Ctpolp],"&gt;0",Datos_Origen[Ctpolp],"&lt;80%",Datos_Origen[Nivel],$C52),0)))))/$D52,"")</f>
        <v>0.85</v>
      </c>
      <c r="O52" s="49">
        <f>IFERROR((IF($AA$3=1,COUNTIFS(Datos_Origen[CTQ1 p],"&gt;=80%",Datos_Origen[CTQ1 p],"&lt;=120%",Datos_Origen[Nivel],$C52),IF($AA$3=2,COUNTIFS(Datos_Origen[CTMd p],"&gt;=80%",Datos_Origen[CTMd p],"&lt;=120%",Datos_Origen[Nivel],$C52),IF($AA$3=3,COUNTIFS(Datos_Origen[CTQ3 p],"&gt;=80%",Datos_Origen[CTQ3 p],"&lt;=120%",Datos_Origen[Nivel],$C52),IF($AA$3=4,COUNTIFS(Datos_Origen[Ctpolp],"&gt;=80%",Datos_Origen[Ctpolp],"&lt;=120%",Datos_Origen[Nivel],$C52),0)))))/$D52,"")</f>
        <v>0.15</v>
      </c>
      <c r="P52" s="49">
        <f>IFERROR((IF($AA$3=1,COUNTIFS(Datos_Origen[CTQ1 p],"&gt;120%",Datos_Origen[CTQ1 p],"&gt;120%",Datos_Origen[Nivel],$C52),IF($AA$3=2,COUNTIFS(Datos_Origen[CTMd p],"&gt;120%",Datos_Origen[CTMd p],"&gt;120%",Datos_Origen[Nivel],$C52),IF($AA$3=3,COUNTIFS(Datos_Origen[CTQ3 p],"&gt;120%",Datos_Origen[CTQ3 p],"&gt;120%",Datos_Origen[Nivel],$C52),IF($AA$3=4,COUNTIFS(Datos_Origen[Ctpolp],"&gt;120%",Datos_Origen[Ctpolp],"&gt;120%",Datos_Origen[Nivel],$C52),0)))))/$D52,"")</f>
        <v>0</v>
      </c>
      <c r="Q52" s="225"/>
      <c r="R52" s="225"/>
      <c r="S52" s="7"/>
      <c r="T52" s="7"/>
      <c r="U52" s="7"/>
    </row>
    <row r="53" spans="1:21">
      <c r="A53" s="225"/>
      <c r="B53" s="225"/>
      <c r="C53" s="48" t="s">
        <v>663</v>
      </c>
      <c r="D53" s="48">
        <f>IFERROR(COUNTIFS(Datos_Origen[[#All],[Nivel]],$C53,Datos_Origen[[#All],[Ctpol1010]],"&gt;0"),"")</f>
        <v>48</v>
      </c>
      <c r="E53" s="239"/>
      <c r="F53" s="49">
        <f>IFERROR((IF($AA$3=1,COUNTIFS(Datos_Origen[GQ1 p],"&gt;0",Datos_Origen[GQ1 p],"&lt;80%",Datos_Origen[Nivel],$C53),IF($AA$3=2,COUNTIFS(Datos_Origen[GMd p],"&gt;0",Datos_Origen[GMd p],"&lt;80%",Datos_Origen[Nivel],$C53),IF($AA$3=3,COUNTIFS(Datos_Origen[GQ3 p],"&gt;0",Datos_Origen[GQ3 p],"&lt;80%",Datos_Origen[Nivel],$C53),IF($AA$3=4,COUNTIFS(Datos_Origen[Gpolp],"&gt;0",Datos_Origen[Gpolp],"&lt;80%",Datos_Origen[Nivel],$C53),0)))))/$D53,"")</f>
        <v>0.85416666666666663</v>
      </c>
      <c r="G53" s="49">
        <f>IFERROR((IF($AA$3=1,COUNTIFS(Datos_Origen[GQ1 p],"&gt;=80%",Datos_Origen[GQ1 p],"&lt;=120%",Datos_Origen[Nivel],$C53),IF($AA$3=2,COUNTIFS(Datos_Origen[GMd p],"&gt;=80%",Datos_Origen[GMd p],"&lt;=120%",Datos_Origen[Nivel],$C53),IF($AA$3=3,COUNTIFS(Datos_Origen[GQ3 p],"&gt;=80%",Datos_Origen[GQ3 p],"&lt;=120%",Datos_Origen[Nivel],$C53),IF($AA$3=4,COUNTIFS(Datos_Origen[Gpolp],"&gt;=80%",Datos_Origen[Gpolp],"&lt;=120%",Datos_Origen[Nivel],$C53),0)))))/$D53,"")</f>
        <v>8.3333333333333329E-2</v>
      </c>
      <c r="H53" s="49">
        <f>IFERROR((IF($AA$3=1,COUNTIFS(Datos_Origen[GQ1 p],"&gt;120%",Datos_Origen[GQ1 p],"&gt;120%",Datos_Origen[Nivel],$C53),IF($AA$3=2,COUNTIFS(Datos_Origen[GMd p],"&gt;120%",Datos_Origen[GMd p],"&gt;120%",Datos_Origen[Nivel],$C53),IF($AA$3=3,COUNTIFS(Datos_Origen[GQ3 p],"&gt;120%",Datos_Origen[GQ3 p],"&gt;120%",Datos_Origen[Nivel],$C53),IF($AA$3=4,COUNTIFS(Datos_Origen[Gpolp],"&gt;120%",Datos_Origen[Gpolp],"&gt;120%",Datos_Origen[Nivel],$C53),0)))))/$D53,"")</f>
        <v>6.25E-2</v>
      </c>
      <c r="I53" s="240"/>
      <c r="J53" s="49">
        <f>IFERROR((IF($AA$3=1,COUNTIFS(Datos_Origen[G+VQ1 p],"&gt;0",Datos_Origen[G+VQ1 p],"&lt;80%",Datos_Origen[Nivel],$C53),IF($AA$3=2,COUNTIFS(Datos_Origen[G+VMd p],"&gt;0",Datos_Origen[G+VMd p],"&lt;80%",Datos_Origen[Nivel],$C53),IF($AA$3=3,COUNTIFS(Datos_Origen[G+VQ3 p],"&gt;0",Datos_Origen[G+VQ3 p],"&lt;80%",Datos_Origen[Nivel],$C53),IF($AA$3=4,COUNTIFS(Datos_Origen[G+Vpolp],"&gt;0",Datos_Origen[G+Vpolp],"&lt;80%",Datos_Origen[Nivel],$C53),0)))))/$D53,"")</f>
        <v>0.8125</v>
      </c>
      <c r="K53" s="49">
        <f>IFERROR((IF($AA$3=1,COUNTIFS(Datos_Origen[G+VQ1 p],"&gt;=80%",Datos_Origen[G+VQ1 p],"&lt;=120%",Datos_Origen[Nivel],$C53),IF($AA$3=2,COUNTIFS(Datos_Origen[G+VMd p],"&gt;=80%",Datos_Origen[G+VMd p],"&lt;=120%",Datos_Origen[Nivel],$C53),IF($AA$3=3,COUNTIFS(Datos_Origen[G+VQ3 p],"&gt;=80%",Datos_Origen[G+VQ3 p],"&lt;=120%",Datos_Origen[Nivel],$C53),IF($AA$3=4,COUNTIFS(Datos_Origen[G+Vpolp],"&gt;=80%",Datos_Origen[G+Vpolp],"&lt;=120%",Datos_Origen[Nivel],$C53),0)))))/$D53,"")</f>
        <v>0.125</v>
      </c>
      <c r="L53" s="49">
        <f>IFERROR((IF($AA$3=1,COUNTIFS(Datos_Origen[G+VQ1 p],"&gt;120%",Datos_Origen[G+VQ1 p],"&gt;120%",Datos_Origen[Nivel],$C53),IF($AA$3=2,COUNTIFS(Datos_Origen[G+VMd p],"&gt;120%",Datos_Origen[G+VMd p],"&gt;120%",Datos_Origen[Nivel],$C53),IF($AA$3=3,COUNTIFS(Datos_Origen[G+VQ3 p],"&gt;120%",Datos_Origen[G+VQ3 p],"&gt;120%",Datos_Origen[Nivel],$C53),IF($AA$3=4,COUNTIFS(Datos_Origen[G+Vpolp],"&gt;120%",Datos_Origen[G+Vpolp],"&gt;120%",Datos_Origen[Nivel],$C53),0)))))/$D53,"")</f>
        <v>6.25E-2</v>
      </c>
      <c r="M53" s="240"/>
      <c r="N53" s="49">
        <f>IFERROR((IF($AA$3=1,COUNTIFS(Datos_Origen[CTQ1 p],"&gt;0",Datos_Origen[CTQ1 p],"&lt;80%",Datos_Origen[Nivel],$C53),IF($AA$3=2,COUNTIFS(Datos_Origen[CTMd p],"&gt;0",Datos_Origen[CTMd p],"&lt;80%",Datos_Origen[Nivel],$C53),IF($AA$3=3,COUNTIFS(Datos_Origen[CTQ3 p],"&gt;0",Datos_Origen[CTQ3 p],"&lt;80%",Datos_Origen[Nivel],$C53),IF($AA$3=4,COUNTIFS(Datos_Origen[Ctpolp],"&gt;0",Datos_Origen[Ctpolp],"&lt;80%",Datos_Origen[Nivel],$C53),0)))))/$D53,"")</f>
        <v>0.8125</v>
      </c>
      <c r="O53" s="49">
        <f>IFERROR((IF($AA$3=1,COUNTIFS(Datos_Origen[CTQ1 p],"&gt;=80%",Datos_Origen[CTQ1 p],"&lt;=120%",Datos_Origen[Nivel],$C53),IF($AA$3=2,COUNTIFS(Datos_Origen[CTMd p],"&gt;=80%",Datos_Origen[CTMd p],"&lt;=120%",Datos_Origen[Nivel],$C53),IF($AA$3=3,COUNTIFS(Datos_Origen[CTQ3 p],"&gt;=80%",Datos_Origen[CTQ3 p],"&lt;=120%",Datos_Origen[Nivel],$C53),IF($AA$3=4,COUNTIFS(Datos_Origen[Ctpolp],"&gt;=80%",Datos_Origen[Ctpolp],"&lt;=120%",Datos_Origen[Nivel],$C53),0)))))/$D53,"")</f>
        <v>0.125</v>
      </c>
      <c r="P53" s="49">
        <f>IFERROR((IF($AA$3=1,COUNTIFS(Datos_Origen[CTQ1 p],"&gt;120%",Datos_Origen[CTQ1 p],"&gt;120%",Datos_Origen[Nivel],$C53),IF($AA$3=2,COUNTIFS(Datos_Origen[CTMd p],"&gt;120%",Datos_Origen[CTMd p],"&gt;120%",Datos_Origen[Nivel],$C53),IF($AA$3=3,COUNTIFS(Datos_Origen[CTQ3 p],"&gt;120%",Datos_Origen[CTQ3 p],"&gt;120%",Datos_Origen[Nivel],$C53),IF($AA$3=4,COUNTIFS(Datos_Origen[Ctpolp],"&gt;120%",Datos_Origen[Ctpolp],"&gt;120%",Datos_Origen[Nivel],$C53),0)))))/$D53,"")</f>
        <v>6.25E-2</v>
      </c>
      <c r="Q53" s="225"/>
      <c r="R53" s="225"/>
      <c r="S53" s="7"/>
      <c r="T53" s="7"/>
      <c r="U53" s="7"/>
    </row>
    <row r="54" spans="1:21">
      <c r="A54" s="225"/>
      <c r="B54" s="225"/>
      <c r="C54" s="48" t="s">
        <v>664</v>
      </c>
      <c r="D54" s="48">
        <f>IFERROR(COUNTIFS(Datos_Origen[[#All],[Nivel]],$C54,Datos_Origen[[#All],[Ctpol1010]],"&gt;0"),"")</f>
        <v>58</v>
      </c>
      <c r="E54" s="239"/>
      <c r="F54" s="49">
        <f>IFERROR((IF($AA$3=1,COUNTIFS(Datos_Origen[GQ1 p],"&gt;0",Datos_Origen[GQ1 p],"&lt;80%",Datos_Origen[Nivel],$C54),IF($AA$3=2,COUNTIFS(Datos_Origen[GMd p],"&gt;0",Datos_Origen[GMd p],"&lt;80%",Datos_Origen[Nivel],$C54),IF($AA$3=3,COUNTIFS(Datos_Origen[GQ3 p],"&gt;0",Datos_Origen[GQ3 p],"&lt;80%",Datos_Origen[Nivel],$C54),IF($AA$3=4,COUNTIFS(Datos_Origen[Gpolp],"&gt;0",Datos_Origen[Gpolp],"&lt;80%",Datos_Origen[Nivel],$C54),0)))))/$D54,"")</f>
        <v>0.31034482758620691</v>
      </c>
      <c r="G54" s="49">
        <f>IFERROR((IF($AA$3=1,COUNTIFS(Datos_Origen[GQ1 p],"&gt;=80%",Datos_Origen[GQ1 p],"&lt;=120%",Datos_Origen[Nivel],$C54),IF($AA$3=2,COUNTIFS(Datos_Origen[GMd p],"&gt;=80%",Datos_Origen[GMd p],"&lt;=120%",Datos_Origen[Nivel],$C54),IF($AA$3=3,COUNTIFS(Datos_Origen[GQ3 p],"&gt;=80%",Datos_Origen[GQ3 p],"&lt;=120%",Datos_Origen[Nivel],$C54),IF($AA$3=4,COUNTIFS(Datos_Origen[Gpolp],"&gt;=80%",Datos_Origen[Gpolp],"&lt;=120%",Datos_Origen[Nivel],$C54),0)))))/$D54,"")</f>
        <v>0.68965517241379315</v>
      </c>
      <c r="H54" s="49">
        <f>IFERROR((IF($AA$3=1,COUNTIFS(Datos_Origen[GQ1 p],"&gt;120%",Datos_Origen[GQ1 p],"&gt;120%",Datos_Origen[Nivel],$C54),IF($AA$3=2,COUNTIFS(Datos_Origen[GMd p],"&gt;120%",Datos_Origen[GMd p],"&gt;120%",Datos_Origen[Nivel],$C54),IF($AA$3=3,COUNTIFS(Datos_Origen[GQ3 p],"&gt;120%",Datos_Origen[GQ3 p],"&gt;120%",Datos_Origen[Nivel],$C54),IF($AA$3=4,COUNTIFS(Datos_Origen[Gpolp],"&gt;120%",Datos_Origen[Gpolp],"&gt;120%",Datos_Origen[Nivel],$C54),0)))))/$D54,"")</f>
        <v>0</v>
      </c>
      <c r="I54" s="240"/>
      <c r="J54" s="49">
        <f>IFERROR((IF($AA$3=1,COUNTIFS(Datos_Origen[G+VQ1 p],"&gt;0",Datos_Origen[G+VQ1 p],"&lt;80%",Datos_Origen[Nivel],$C54),IF($AA$3=2,COUNTIFS(Datos_Origen[G+VMd p],"&gt;0",Datos_Origen[G+VMd p],"&lt;80%",Datos_Origen[Nivel],$C54),IF($AA$3=3,COUNTIFS(Datos_Origen[G+VQ3 p],"&gt;0",Datos_Origen[G+VQ3 p],"&lt;80%",Datos_Origen[Nivel],$C54),IF($AA$3=4,COUNTIFS(Datos_Origen[G+Vpolp],"&gt;0",Datos_Origen[G+Vpolp],"&lt;80%",Datos_Origen[Nivel],$C54),0)))))/$D54,"")</f>
        <v>0.31034482758620691</v>
      </c>
      <c r="K54" s="49">
        <f>IFERROR((IF($AA$3=1,COUNTIFS(Datos_Origen[G+VQ1 p],"&gt;=80%",Datos_Origen[G+VQ1 p],"&lt;=120%",Datos_Origen[Nivel],$C54),IF($AA$3=2,COUNTIFS(Datos_Origen[G+VMd p],"&gt;=80%",Datos_Origen[G+VMd p],"&lt;=120%",Datos_Origen[Nivel],$C54),IF($AA$3=3,COUNTIFS(Datos_Origen[G+VQ3 p],"&gt;=80%",Datos_Origen[G+VQ3 p],"&lt;=120%",Datos_Origen[Nivel],$C54),IF($AA$3=4,COUNTIFS(Datos_Origen[G+Vpolp],"&gt;=80%",Datos_Origen[G+Vpolp],"&lt;=120%",Datos_Origen[Nivel],$C54),0)))))/$D54,"")</f>
        <v>0.68965517241379315</v>
      </c>
      <c r="L54" s="49">
        <f>IFERROR((IF($AA$3=1,COUNTIFS(Datos_Origen[G+VQ1 p],"&gt;120%",Datos_Origen[G+VQ1 p],"&gt;120%",Datos_Origen[Nivel],$C54),IF($AA$3=2,COUNTIFS(Datos_Origen[G+VMd p],"&gt;120%",Datos_Origen[G+VMd p],"&gt;120%",Datos_Origen[Nivel],$C54),IF($AA$3=3,COUNTIFS(Datos_Origen[G+VQ3 p],"&gt;120%",Datos_Origen[G+VQ3 p],"&gt;120%",Datos_Origen[Nivel],$C54),IF($AA$3=4,COUNTIFS(Datos_Origen[G+Vpolp],"&gt;120%",Datos_Origen[G+Vpolp],"&gt;120%",Datos_Origen[Nivel],$C54),0)))))/$D54,"")</f>
        <v>0</v>
      </c>
      <c r="M54" s="240"/>
      <c r="N54" s="49">
        <f>IFERROR((IF($AA$3=1,COUNTIFS(Datos_Origen[CTQ1 p],"&gt;0",Datos_Origen[CTQ1 p],"&lt;80%",Datos_Origen[Nivel],$C54),IF($AA$3=2,COUNTIFS(Datos_Origen[CTMd p],"&gt;0",Datos_Origen[CTMd p],"&lt;80%",Datos_Origen[Nivel],$C54),IF($AA$3=3,COUNTIFS(Datos_Origen[CTQ3 p],"&gt;0",Datos_Origen[CTQ3 p],"&lt;80%",Datos_Origen[Nivel],$C54),IF($AA$3=4,COUNTIFS(Datos_Origen[Ctpolp],"&gt;0",Datos_Origen[Ctpolp],"&lt;80%",Datos_Origen[Nivel],$C54),0)))))/$D54,"")</f>
        <v>0.5</v>
      </c>
      <c r="O54" s="49">
        <f>IFERROR((IF($AA$3=1,COUNTIFS(Datos_Origen[CTQ1 p],"&gt;=80%",Datos_Origen[CTQ1 p],"&lt;=120%",Datos_Origen[Nivel],$C54),IF($AA$3=2,COUNTIFS(Datos_Origen[CTMd p],"&gt;=80%",Datos_Origen[CTMd p],"&lt;=120%",Datos_Origen[Nivel],$C54),IF($AA$3=3,COUNTIFS(Datos_Origen[CTQ3 p],"&gt;=80%",Datos_Origen[CTQ3 p],"&lt;=120%",Datos_Origen[Nivel],$C54),IF($AA$3=4,COUNTIFS(Datos_Origen[Ctpolp],"&gt;=80%",Datos_Origen[Ctpolp],"&lt;=120%",Datos_Origen[Nivel],$C54),0)))))/$D54,"")</f>
        <v>0.5</v>
      </c>
      <c r="P54" s="49">
        <f>IFERROR((IF($AA$3=1,COUNTIFS(Datos_Origen[CTQ1 p],"&gt;120%",Datos_Origen[CTQ1 p],"&gt;120%",Datos_Origen[Nivel],$C54),IF($AA$3=2,COUNTIFS(Datos_Origen[CTMd p],"&gt;120%",Datos_Origen[CTMd p],"&gt;120%",Datos_Origen[Nivel],$C54),IF($AA$3=3,COUNTIFS(Datos_Origen[CTQ3 p],"&gt;120%",Datos_Origen[CTQ3 p],"&gt;120%",Datos_Origen[Nivel],$C54),IF($AA$3=4,COUNTIFS(Datos_Origen[Ctpolp],"&gt;120%",Datos_Origen[Ctpolp],"&gt;120%",Datos_Origen[Nivel],$C54),0)))))/$D54,"")</f>
        <v>0</v>
      </c>
      <c r="Q54" s="225"/>
      <c r="R54" s="225"/>
      <c r="S54" s="7"/>
      <c r="T54" s="7"/>
      <c r="U54" s="7"/>
    </row>
    <row r="55" spans="1:21">
      <c r="A55" s="225"/>
      <c r="B55" s="225"/>
      <c r="C55" s="48" t="s">
        <v>665</v>
      </c>
      <c r="D55" s="48">
        <f>IFERROR(COUNTIFS(Datos_Origen[[#All],[Nivel]],$C55,Datos_Origen[[#All],[Ctpol1010]],"&gt;0"),"")</f>
        <v>9</v>
      </c>
      <c r="E55" s="239"/>
      <c r="F55" s="49">
        <f>IFERROR((IF($AA$3=1,COUNTIFS(Datos_Origen[GQ1 p],"&gt;0",Datos_Origen[GQ1 p],"&lt;80%",Datos_Origen[Nivel],$C55),IF($AA$3=2,COUNTIFS(Datos_Origen[GMd p],"&gt;0",Datos_Origen[GMd p],"&lt;80%",Datos_Origen[Nivel],$C55),IF($AA$3=3,COUNTIFS(Datos_Origen[GQ3 p],"&gt;0",Datos_Origen[GQ3 p],"&lt;80%",Datos_Origen[Nivel],$C55),IF($AA$3=4,COUNTIFS(Datos_Origen[Gpolp],"&gt;0",Datos_Origen[Gpolp],"&lt;80%",Datos_Origen[Nivel],$C55),0)))))/$D55,"")</f>
        <v>0</v>
      </c>
      <c r="G55" s="49">
        <f>IFERROR((IF($AA$3=1,COUNTIFS(Datos_Origen[GQ1 p],"&gt;=80%",Datos_Origen[GQ1 p],"&lt;=120%",Datos_Origen[Nivel],$C55),IF($AA$3=2,COUNTIFS(Datos_Origen[GMd p],"&gt;=80%",Datos_Origen[GMd p],"&lt;=120%",Datos_Origen[Nivel],$C55),IF($AA$3=3,COUNTIFS(Datos_Origen[GQ3 p],"&gt;=80%",Datos_Origen[GQ3 p],"&lt;=120%",Datos_Origen[Nivel],$C55),IF($AA$3=4,COUNTIFS(Datos_Origen[Gpolp],"&gt;=80%",Datos_Origen[Gpolp],"&lt;=120%",Datos_Origen[Nivel],$C55),0)))))/$D55,"")</f>
        <v>1</v>
      </c>
      <c r="H55" s="49">
        <f>IFERROR((IF($AA$3=1,COUNTIFS(Datos_Origen[GQ1 p],"&gt;120%",Datos_Origen[GQ1 p],"&gt;120%",Datos_Origen[Nivel],$C55),IF($AA$3=2,COUNTIFS(Datos_Origen[GMd p],"&gt;120%",Datos_Origen[GMd p],"&gt;120%",Datos_Origen[Nivel],$C55),IF($AA$3=3,COUNTIFS(Datos_Origen[GQ3 p],"&gt;120%",Datos_Origen[GQ3 p],"&gt;120%",Datos_Origen[Nivel],$C55),IF($AA$3=4,COUNTIFS(Datos_Origen[Gpolp],"&gt;120%",Datos_Origen[Gpolp],"&gt;120%",Datos_Origen[Nivel],$C55),0)))))/$D55,"")</f>
        <v>0</v>
      </c>
      <c r="I55" s="240"/>
      <c r="J55" s="49">
        <f>IFERROR((IF($AA$3=1,COUNTIFS(Datos_Origen[G+VQ1 p],"&gt;0",Datos_Origen[G+VQ1 p],"&lt;80%",Datos_Origen[Nivel],$C55),IF($AA$3=2,COUNTIFS(Datos_Origen[G+VMd p],"&gt;0",Datos_Origen[G+VMd p],"&lt;80%",Datos_Origen[Nivel],$C55),IF($AA$3=3,COUNTIFS(Datos_Origen[G+VQ3 p],"&gt;0",Datos_Origen[G+VQ3 p],"&lt;80%",Datos_Origen[Nivel],$C55),IF($AA$3=4,COUNTIFS(Datos_Origen[G+Vpolp],"&gt;0",Datos_Origen[G+Vpolp],"&lt;80%",Datos_Origen[Nivel],$C55),0)))))/$D55,"")</f>
        <v>0</v>
      </c>
      <c r="K55" s="49">
        <f>IFERROR((IF($AA$3=1,COUNTIFS(Datos_Origen[G+VQ1 p],"&gt;=80%",Datos_Origen[G+VQ1 p],"&lt;=120%",Datos_Origen[Nivel],$C55),IF($AA$3=2,COUNTIFS(Datos_Origen[G+VMd p],"&gt;=80%",Datos_Origen[G+VMd p],"&lt;=120%",Datos_Origen[Nivel],$C55),IF($AA$3=3,COUNTIFS(Datos_Origen[G+VQ3 p],"&gt;=80%",Datos_Origen[G+VQ3 p],"&lt;=120%",Datos_Origen[Nivel],$C55),IF($AA$3=4,COUNTIFS(Datos_Origen[G+Vpolp],"&gt;=80%",Datos_Origen[G+Vpolp],"&lt;=120%",Datos_Origen[Nivel],$C55),0)))))/$D55,"")</f>
        <v>1</v>
      </c>
      <c r="L55" s="49">
        <f>IFERROR((IF($AA$3=1,COUNTIFS(Datos_Origen[G+VQ1 p],"&gt;120%",Datos_Origen[G+VQ1 p],"&gt;120%",Datos_Origen[Nivel],$C55),IF($AA$3=2,COUNTIFS(Datos_Origen[G+VMd p],"&gt;120%",Datos_Origen[G+VMd p],"&gt;120%",Datos_Origen[Nivel],$C55),IF($AA$3=3,COUNTIFS(Datos_Origen[G+VQ3 p],"&gt;120%",Datos_Origen[G+VQ3 p],"&gt;120%",Datos_Origen[Nivel],$C55),IF($AA$3=4,COUNTIFS(Datos_Origen[G+Vpolp],"&gt;120%",Datos_Origen[G+Vpolp],"&gt;120%",Datos_Origen[Nivel],$C55),0)))))/$D55,"")</f>
        <v>0</v>
      </c>
      <c r="M55" s="240"/>
      <c r="N55" s="49">
        <f>IFERROR((IF($AA$3=1,COUNTIFS(Datos_Origen[CTQ1 p],"&gt;0",Datos_Origen[CTQ1 p],"&lt;80%",Datos_Origen[Nivel],$C55),IF($AA$3=2,COUNTIFS(Datos_Origen[CTMd p],"&gt;0",Datos_Origen[CTMd p],"&lt;80%",Datos_Origen[Nivel],$C55),IF($AA$3=3,COUNTIFS(Datos_Origen[CTQ3 p],"&gt;0",Datos_Origen[CTQ3 p],"&lt;80%",Datos_Origen[Nivel],$C55),IF($AA$3=4,COUNTIFS(Datos_Origen[Ctpolp],"&gt;0",Datos_Origen[Ctpolp],"&lt;80%",Datos_Origen[Nivel],$C55),0)))))/$D55,"")</f>
        <v>0</v>
      </c>
      <c r="O55" s="49">
        <f>IFERROR((IF($AA$3=1,COUNTIFS(Datos_Origen[CTQ1 p],"&gt;=80%",Datos_Origen[CTQ1 p],"&lt;=120%",Datos_Origen[Nivel],$C55),IF($AA$3=2,COUNTIFS(Datos_Origen[CTMd p],"&gt;=80%",Datos_Origen[CTMd p],"&lt;=120%",Datos_Origen[Nivel],$C55),IF($AA$3=3,COUNTIFS(Datos_Origen[CTQ3 p],"&gt;=80%",Datos_Origen[CTQ3 p],"&lt;=120%",Datos_Origen[Nivel],$C55),IF($AA$3=4,COUNTIFS(Datos_Origen[Ctpolp],"&gt;=80%",Datos_Origen[Ctpolp],"&lt;=120%",Datos_Origen[Nivel],$C55),0)))))/$D55,"")</f>
        <v>1</v>
      </c>
      <c r="P55" s="49">
        <f>IFERROR((IF($AA$3=1,COUNTIFS(Datos_Origen[CTQ1 p],"&gt;120%",Datos_Origen[CTQ1 p],"&gt;120%",Datos_Origen[Nivel],$C55),IF($AA$3=2,COUNTIFS(Datos_Origen[CTMd p],"&gt;120%",Datos_Origen[CTMd p],"&gt;120%",Datos_Origen[Nivel],$C55),IF($AA$3=3,COUNTIFS(Datos_Origen[CTQ3 p],"&gt;120%",Datos_Origen[CTQ3 p],"&gt;120%",Datos_Origen[Nivel],$C55),IF($AA$3=4,COUNTIFS(Datos_Origen[Ctpolp],"&gt;120%",Datos_Origen[Ctpolp],"&gt;120%",Datos_Origen[Nivel],$C55),0)))))/$D55,"")</f>
        <v>0</v>
      </c>
      <c r="Q55" s="225"/>
      <c r="R55" s="225"/>
      <c r="S55" s="7"/>
      <c r="T55" s="7"/>
      <c r="U55" s="7"/>
    </row>
    <row r="56" spans="1:21">
      <c r="A56" s="225"/>
      <c r="B56" s="225"/>
      <c r="E56" s="225"/>
      <c r="I56" s="225"/>
      <c r="M56" s="225"/>
      <c r="Q56" s="225"/>
      <c r="R56" s="225"/>
    </row>
    <row r="57" spans="1:21" ht="15" customHeight="1">
      <c r="A57" s="225"/>
      <c r="B57" s="225"/>
      <c r="C57" s="635" t="s">
        <v>676</v>
      </c>
      <c r="D57" s="635" t="s">
        <v>652</v>
      </c>
      <c r="E57" s="238"/>
      <c r="F57" s="622" t="s">
        <v>653</v>
      </c>
      <c r="G57" s="622"/>
      <c r="H57" s="622"/>
      <c r="I57" s="238"/>
      <c r="J57" s="622" t="s">
        <v>654</v>
      </c>
      <c r="K57" s="622"/>
      <c r="L57" s="622"/>
      <c r="M57" s="238"/>
      <c r="N57" s="622" t="s">
        <v>23</v>
      </c>
      <c r="O57" s="622"/>
      <c r="P57" s="622"/>
      <c r="Q57" s="225"/>
      <c r="R57" s="225"/>
    </row>
    <row r="58" spans="1:21">
      <c r="A58" s="225"/>
      <c r="B58" s="225"/>
      <c r="C58" s="635"/>
      <c r="D58" s="635"/>
      <c r="E58" s="238"/>
      <c r="F58" s="44" t="s">
        <v>655</v>
      </c>
      <c r="G58" s="44" t="s">
        <v>656</v>
      </c>
      <c r="H58" s="44" t="s">
        <v>657</v>
      </c>
      <c r="I58" s="238"/>
      <c r="J58" s="44" t="s">
        <v>655</v>
      </c>
      <c r="K58" s="44" t="s">
        <v>656</v>
      </c>
      <c r="L58" s="44" t="s">
        <v>657</v>
      </c>
      <c r="M58" s="238"/>
      <c r="N58" s="44" t="s">
        <v>655</v>
      </c>
      <c r="O58" s="44" t="s">
        <v>656</v>
      </c>
      <c r="P58" s="44" t="s">
        <v>657</v>
      </c>
      <c r="Q58" s="225"/>
      <c r="R58" s="225"/>
    </row>
    <row r="59" spans="1:21">
      <c r="A59" s="225"/>
      <c r="B59" s="225"/>
      <c r="C59" s="44" t="s">
        <v>658</v>
      </c>
      <c r="D59" s="44">
        <f>SUM(D61:D63)</f>
        <v>0</v>
      </c>
      <c r="E59" s="238"/>
      <c r="F59" s="64">
        <f>F48</f>
        <v>0.56115107913669071</v>
      </c>
      <c r="G59" s="64">
        <f>G48</f>
        <v>0.41726618705035967</v>
      </c>
      <c r="H59" s="64">
        <f>H48</f>
        <v>2.1582733812949641E-2</v>
      </c>
      <c r="I59" s="238"/>
      <c r="J59" s="64">
        <f>J48</f>
        <v>0.54676258992805749</v>
      </c>
      <c r="K59" s="64">
        <f>K48</f>
        <v>0.43165467625899279</v>
      </c>
      <c r="L59" s="64">
        <f>L48</f>
        <v>2.1582733812949641E-2</v>
      </c>
      <c r="M59" s="238"/>
      <c r="N59" s="64">
        <f>N48</f>
        <v>0.62589928057553956</v>
      </c>
      <c r="O59" s="64">
        <f>O48</f>
        <v>0.35251798561151082</v>
      </c>
      <c r="P59" s="64">
        <f>P48</f>
        <v>2.1582733812949641E-2</v>
      </c>
      <c r="Q59" s="225"/>
      <c r="R59" s="225"/>
    </row>
    <row r="60" spans="1:21">
      <c r="A60" s="225"/>
      <c r="B60" s="225"/>
      <c r="C60" s="609" t="s">
        <v>659</v>
      </c>
      <c r="D60" s="610"/>
      <c r="E60" s="238"/>
      <c r="F60" s="330">
        <f>F49</f>
        <v>78</v>
      </c>
      <c r="G60" s="330">
        <f t="shared" ref="G60:H60" si="12">G49</f>
        <v>58</v>
      </c>
      <c r="H60" s="330">
        <f t="shared" si="12"/>
        <v>3</v>
      </c>
      <c r="I60" s="329"/>
      <c r="J60" s="330">
        <f t="shared" ref="J60:L60" si="13">J49</f>
        <v>76</v>
      </c>
      <c r="K60" s="330">
        <f t="shared" si="13"/>
        <v>60</v>
      </c>
      <c r="L60" s="330">
        <f t="shared" si="13"/>
        <v>3</v>
      </c>
      <c r="M60" s="329"/>
      <c r="N60" s="330">
        <f t="shared" ref="N60:P60" si="14">N49</f>
        <v>87</v>
      </c>
      <c r="O60" s="330">
        <f t="shared" si="14"/>
        <v>49</v>
      </c>
      <c r="P60" s="330">
        <f t="shared" si="14"/>
        <v>3</v>
      </c>
      <c r="Q60" s="225"/>
      <c r="R60" s="225"/>
    </row>
    <row r="61" spans="1:21">
      <c r="A61" s="225"/>
      <c r="B61" s="225"/>
      <c r="C61" s="48" t="s">
        <v>677</v>
      </c>
      <c r="D61" s="48">
        <f>IFERROR(COUNTIFS(Datos_Origen[[#All],[Área Específica]],$C61,Datos_Origen[[#All],[Ctpol1010]],"&gt;0"),"")</f>
        <v>0</v>
      </c>
      <c r="E61" s="239"/>
      <c r="F61" s="49" t="str">
        <f>IFERROR((IF($AA$3=1,COUNTIFS(Datos_Origen[GQ1 p],"&gt;0",Datos_Origen[GQ1 p],"&lt;80%",Datos_Origen[Área Específica],$C61),IF($AA$3=2,COUNTIFS(Datos_Origen[GMd p],"&gt;0",Datos_Origen[GMd p],"&lt;80%",Datos_Origen[Área Específica],$C61),IF($AA$3=3,COUNTIFS(Datos_Origen[GQ3 p],"&gt;0",Datos_Origen[GQ3 p],"&lt;80%",Datos_Origen[Área Específica],$C61),IF($AA$3=4,COUNTIFS(Datos_Origen[Gpolp],"&gt;0",Datos_Origen[Gpolp],"&lt;80%",Datos_Origen[Área Específica],$C61),0)))))/$D61,"")</f>
        <v/>
      </c>
      <c r="G61" s="49" t="str">
        <f>IFERROR((IF($AA$3=1,COUNTIFS(Datos_Origen[GQ1 p],"&gt;=80%",Datos_Origen[GQ1 p],"&lt;=120%",Datos_Origen[Área Específica],$C61),IF($AA$3=2,COUNTIFS(Datos_Origen[GMd p],"&gt;=80%",Datos_Origen[GMd p],"&lt;=120%",Datos_Origen[Área Específica],$C61),IF($AA$3=3,COUNTIFS(Datos_Origen[GQ3 p],"&gt;=80%",Datos_Origen[GQ3 p],"&lt;=120%",Datos_Origen[Área Específica],$C61),IF($AA$3=4,COUNTIFS(Datos_Origen[Gpolp],"&gt;=80%",Datos_Origen[Gpolp],"&lt;=120%",Datos_Origen[Área Específica],$C61),0)))))/$D61,"")</f>
        <v/>
      </c>
      <c r="H61" s="49" t="str">
        <f>IFERROR((IF($AA$3=1,COUNTIFS(Datos_Origen[GQ1 p],"&gt;120%",Datos_Origen[GQ1 p],"&gt;120%",Datos_Origen[Área Específica],$C61),IF($AA$3=2,COUNTIFS(Datos_Origen[GMd p],"&gt;120%",Datos_Origen[GMd p],"&gt;120%",Datos_Origen[Área Específica],$C61),IF($AA$3=3,COUNTIFS(Datos_Origen[GQ3 p],"&gt;120%",Datos_Origen[GQ3 p],"&gt;120%",Datos_Origen[Área Específica],$C61),IF($AA$3=4,COUNTIFS(Datos_Origen[Gpolp],"&gt;120%",Datos_Origen[Gpolp],"&gt;120%",Datos_Origen[Área Específica],$C61),0)))))/$D61,"")</f>
        <v/>
      </c>
      <c r="I61" s="240"/>
      <c r="J61" s="49" t="str">
        <f>IFERROR((IF($AA$3=1,COUNTIFS(Datos_Origen[G+VQ1 p],"&gt;0",Datos_Origen[G+VQ1 p],"&lt;80%",Datos_Origen[Área Específica],$C61),IF($AA$3=2,COUNTIFS(Datos_Origen[G+VMd p],"&gt;0",Datos_Origen[G+VMd p],"&lt;80%",Datos_Origen[Área Específica],$C61),IF($AA$3=3,COUNTIFS(Datos_Origen[G+VQ3 p],"&gt;0",Datos_Origen[G+VQ3 p],"&lt;80%",Datos_Origen[Área Específica],$C61),IF($AA$3=4,COUNTIFS(Datos_Origen[G+Vpolp],"&gt;0",Datos_Origen[G+Vpolp],"&lt;80%",Datos_Origen[Área Específica],$C61),0)))))/$D61,"")</f>
        <v/>
      </c>
      <c r="K61" s="49" t="str">
        <f>IFERROR((IF($AA$3=1,COUNTIFS(Datos_Origen[G+VQ1 p],"&gt;=80%",Datos_Origen[G+VQ1 p],"&lt;=120%",Datos_Origen[Área Específica],$C61),IF($AA$3=2,COUNTIFS(Datos_Origen[G+VMd p],"&gt;=80%",Datos_Origen[G+VMd p],"&lt;=120%",Datos_Origen[Área Específica],$C61),IF($AA$3=3,COUNTIFS(Datos_Origen[G+VQ3 p],"&gt;=80%",Datos_Origen[G+VQ3 p],"&lt;=120%",Datos_Origen[Área Específica],$C61),IF($AA$3=4,COUNTIFS(Datos_Origen[G+Vpolp],"&gt;=80%",Datos_Origen[G+Vpolp],"&lt;=120%",Datos_Origen[Área Específica],$C61),0)))))/$D61,"")</f>
        <v/>
      </c>
      <c r="L61" s="49" t="str">
        <f>IFERROR((IF($AA$3=1,COUNTIFS(Datos_Origen[G+VQ1 p],"&gt;120%",Datos_Origen[G+VQ1 p],"&gt;120%",Datos_Origen[Área Específica],$C61),IF($AA$3=2,COUNTIFS(Datos_Origen[G+VMd p],"&gt;120%",Datos_Origen[G+VMd p],"&gt;120%",Datos_Origen[Área Específica],$C61),IF($AA$3=3,COUNTIFS(Datos_Origen[G+VQ3 p],"&gt;120%",Datos_Origen[G+VQ3 p],"&gt;120%",Datos_Origen[Área Específica],$C61),IF($AA$3=4,COUNTIFS(Datos_Origen[G+Vpolp],"&gt;120%",Datos_Origen[G+Vpolp],"&gt;120%",Datos_Origen[Área Específica],$C61),0)))))/$D61,"")</f>
        <v/>
      </c>
      <c r="M61" s="240"/>
      <c r="N61" s="49" t="str">
        <f>IFERROR((IF($AA$3=1,COUNTIFS(Datos_Origen[CTQ1 p],"&gt;0",Datos_Origen[CTQ1 p],"&lt;80%",Datos_Origen[Área Específica],$C61),IF($AA$3=2,COUNTIFS(Datos_Origen[CTMd p],"&gt;0",Datos_Origen[CTMd p],"&lt;80%",Datos_Origen[Área Específica],$C61),IF($AA$3=3,COUNTIFS(Datos_Origen[CTQ3 p],"&gt;0",Datos_Origen[CTQ3 p],"&lt;80%",Datos_Origen[Área Específica],$C61),IF($AA$3=4,COUNTIFS(Datos_Origen[Ctpolp],"&gt;0",Datos_Origen[Ctpolp],"&lt;80%",Datos_Origen[Área Específica],$C61),0)))))/$D61,"")</f>
        <v/>
      </c>
      <c r="O61" s="49" t="str">
        <f>IFERROR((IF($AA$3=1,COUNTIFS(Datos_Origen[CTQ1 p],"&gt;=80%",Datos_Origen[CTQ1 p],"&lt;=120%",Datos_Origen[Área Específica],$C61),IF($AA$3=2,COUNTIFS(Datos_Origen[CTMd p],"&gt;=80%",Datos_Origen[CTMd p],"&lt;=120%",Datos_Origen[Área Específica],$C61),IF($AA$3=3,COUNTIFS(Datos_Origen[CTQ3 p],"&gt;=80%",Datos_Origen[CTQ3 p],"&lt;=120%",Datos_Origen[Área Específica],$C61),IF($AA$3=4,COUNTIFS(Datos_Origen[Ctpolp],"&gt;=80%",Datos_Origen[Ctpolp],"&lt;=120%",Datos_Origen[Área Específica],$C61),0)))))/$D61,"")</f>
        <v/>
      </c>
      <c r="P61" s="49" t="str">
        <f>IFERROR((IF($AA$3=1,COUNTIFS(Datos_Origen[CTQ1 p],"&gt;120%",Datos_Origen[CTQ1 p],"&gt;120%",Datos_Origen[Área Específica],$C61),IF($AA$3=2,COUNTIFS(Datos_Origen[CTMd p],"&gt;120%",Datos_Origen[CTMd p],"&gt;120%",Datos_Origen[Área Específica],$C61),IF($AA$3=3,COUNTIFS(Datos_Origen[CTQ3 p],"&gt;120%",Datos_Origen[CTQ3 p],"&gt;120%",Datos_Origen[Área Específica],$C61),IF($AA$3=4,COUNTIFS(Datos_Origen[Ctpolp],"&gt;120%",Datos_Origen[Ctpolp],"&gt;120%",Datos_Origen[Área Específica],$C61),0)))))/$D61,"")</f>
        <v/>
      </c>
      <c r="Q61" s="225"/>
      <c r="R61" s="225"/>
    </row>
    <row r="62" spans="1:21">
      <c r="A62" s="225"/>
      <c r="B62" s="225"/>
      <c r="C62" s="48" t="s">
        <v>665</v>
      </c>
      <c r="D62" s="48">
        <f>IFERROR(COUNTIFS(Datos_Origen[[#All],[Área Específica]],$C62,Datos_Origen[[#All],[Ctpol1010]],"&gt;0"),"")</f>
        <v>0</v>
      </c>
      <c r="E62" s="239"/>
      <c r="F62" s="49" t="str">
        <f>IFERROR((IF($AA$3=1,COUNTIFS(Datos_Origen[GQ1 p],"&gt;0",Datos_Origen[GQ1 p],"&lt;80%",Datos_Origen[Área Específica],$C62),IF($AA$3=2,COUNTIFS(Datos_Origen[GMd p],"&gt;0",Datos_Origen[GMd p],"&lt;80%",Datos_Origen[Área Específica],$C62),IF($AA$3=3,COUNTIFS(Datos_Origen[GQ3 p],"&gt;0",Datos_Origen[GQ3 p],"&lt;80%",Datos_Origen[Área Específica],$C62),IF($AA$3=4,COUNTIFS(Datos_Origen[Gpolp],"&gt;0",Datos_Origen[Gpolp],"&lt;80%",Datos_Origen[Área Específica],$C62),0)))))/$D62,"")</f>
        <v/>
      </c>
      <c r="G62" s="49" t="str">
        <f>IFERROR((IF($AA$3=1,COUNTIFS(Datos_Origen[GQ1 p],"&gt;=80%",Datos_Origen[GQ1 p],"&lt;=120%",Datos_Origen[Área Específica],$C62),IF($AA$3=2,COUNTIFS(Datos_Origen[GMd p],"&gt;=80%",Datos_Origen[GMd p],"&lt;=120%",Datos_Origen[Área Específica],$C62),IF($AA$3=3,COUNTIFS(Datos_Origen[GQ3 p],"&gt;=80%",Datos_Origen[GQ3 p],"&lt;=120%",Datos_Origen[Área Específica],$C62),IF($AA$3=4,COUNTIFS(Datos_Origen[Gpolp],"&gt;=80%",Datos_Origen[Gpolp],"&lt;=120%",Datos_Origen[Área Específica],$C62),0)))))/$D62,"")</f>
        <v/>
      </c>
      <c r="H62" s="49" t="str">
        <f>IFERROR((IF($AA$3=1,COUNTIFS(Datos_Origen[GQ1 p],"&gt;120%",Datos_Origen[GQ1 p],"&gt;120%",Datos_Origen[Área Específica],$C62),IF($AA$3=2,COUNTIFS(Datos_Origen[GMd p],"&gt;120%",Datos_Origen[GMd p],"&gt;120%",Datos_Origen[Área Específica],$C62),IF($AA$3=3,COUNTIFS(Datos_Origen[GQ3 p],"&gt;120%",Datos_Origen[GQ3 p],"&gt;120%",Datos_Origen[Área Específica],$C62),IF($AA$3=4,COUNTIFS(Datos_Origen[Gpolp],"&gt;120%",Datos_Origen[Gpolp],"&gt;120%",Datos_Origen[Área Específica],$C62),0)))))/$D62,"")</f>
        <v/>
      </c>
      <c r="I62" s="240"/>
      <c r="J62" s="49" t="str">
        <f>IFERROR((IF($AA$3=1,COUNTIFS(Datos_Origen[G+VQ1 p],"&gt;0",Datos_Origen[G+VQ1 p],"&lt;80%",Datos_Origen[Área Específica],$C62),IF($AA$3=2,COUNTIFS(Datos_Origen[G+VMd p],"&gt;0",Datos_Origen[G+VMd p],"&lt;80%",Datos_Origen[Área Específica],$C62),IF($AA$3=3,COUNTIFS(Datos_Origen[G+VQ3 p],"&gt;0",Datos_Origen[G+VQ3 p],"&lt;80%",Datos_Origen[Área Específica],$C62),IF($AA$3=4,COUNTIFS(Datos_Origen[G+Vpolp],"&gt;0",Datos_Origen[G+Vpolp],"&lt;80%",Datos_Origen[Área Específica],$C62),0)))))/$D62,"")</f>
        <v/>
      </c>
      <c r="K62" s="49" t="str">
        <f>IFERROR((IF($AA$3=1,COUNTIFS(Datos_Origen[G+VQ1 p],"&gt;=80%",Datos_Origen[G+VQ1 p],"&lt;=120%",Datos_Origen[Área Específica],$C62),IF($AA$3=2,COUNTIFS(Datos_Origen[G+VMd p],"&gt;=80%",Datos_Origen[G+VMd p],"&lt;=120%",Datos_Origen[Área Específica],$C62),IF($AA$3=3,COUNTIFS(Datos_Origen[G+VQ3 p],"&gt;=80%",Datos_Origen[G+VQ3 p],"&lt;=120%",Datos_Origen[Área Específica],$C62),IF($AA$3=4,COUNTIFS(Datos_Origen[G+Vpolp],"&gt;=80%",Datos_Origen[G+Vpolp],"&lt;=120%",Datos_Origen[Área Específica],$C62),0)))))/$D62,"")</f>
        <v/>
      </c>
      <c r="L62" s="49" t="str">
        <f>IFERROR((IF($AA$3=1,COUNTIFS(Datos_Origen[G+VQ1 p],"&gt;120%",Datos_Origen[G+VQ1 p],"&gt;120%",Datos_Origen[Área Específica],$C62),IF($AA$3=2,COUNTIFS(Datos_Origen[G+VMd p],"&gt;120%",Datos_Origen[G+VMd p],"&gt;120%",Datos_Origen[Área Específica],$C62),IF($AA$3=3,COUNTIFS(Datos_Origen[G+VQ3 p],"&gt;120%",Datos_Origen[G+VQ3 p],"&gt;120%",Datos_Origen[Área Específica],$C62),IF($AA$3=4,COUNTIFS(Datos_Origen[G+Vpolp],"&gt;120%",Datos_Origen[G+Vpolp],"&gt;120%",Datos_Origen[Área Específica],$C62),0)))))/$D62,"")</f>
        <v/>
      </c>
      <c r="M62" s="240"/>
      <c r="N62" s="49" t="str">
        <f>IFERROR((IF($AA$3=1,COUNTIFS(Datos_Origen[CTQ1 p],"&gt;0",Datos_Origen[CTQ1 p],"&lt;80%",Datos_Origen[Área Específica],$C62),IF($AA$3=2,COUNTIFS(Datos_Origen[CTMd p],"&gt;0",Datos_Origen[CTMd p],"&lt;80%",Datos_Origen[Área Específica],$C62),IF($AA$3=3,COUNTIFS(Datos_Origen[CTQ3 p],"&gt;0",Datos_Origen[CTQ3 p],"&lt;80%",Datos_Origen[Área Específica],$C62),IF($AA$3=4,COUNTIFS(Datos_Origen[Ctpolp],"&gt;0",Datos_Origen[Ctpolp],"&lt;80%",Datos_Origen[Área Específica],$C62),0)))))/$D62,"")</f>
        <v/>
      </c>
      <c r="O62" s="49" t="str">
        <f>IFERROR((IF($AA$3=1,COUNTIFS(Datos_Origen[CTQ1 p],"&gt;=80%",Datos_Origen[CTQ1 p],"&lt;=120%",Datos_Origen[Área Específica],$C62),IF($AA$3=2,COUNTIFS(Datos_Origen[CTMd p],"&gt;=80%",Datos_Origen[CTMd p],"&lt;=120%",Datos_Origen[Área Específica],$C62),IF($AA$3=3,COUNTIFS(Datos_Origen[CTQ3 p],"&gt;=80%",Datos_Origen[CTQ3 p],"&lt;=120%",Datos_Origen[Área Específica],$C62),IF($AA$3=4,COUNTIFS(Datos_Origen[Ctpolp],"&gt;=80%",Datos_Origen[Ctpolp],"&lt;=120%",Datos_Origen[Área Específica],$C62),0)))))/$D62,"")</f>
        <v/>
      </c>
      <c r="P62" s="49" t="str">
        <f>IFERROR((IF($AA$3=1,COUNTIFS(Datos_Origen[CTQ1 p],"&gt;120%",Datos_Origen[CTQ1 p],"&gt;120%",Datos_Origen[Área Específica],$C62),IF($AA$3=2,COUNTIFS(Datos_Origen[CTMd p],"&gt;120%",Datos_Origen[CTMd p],"&gt;120%",Datos_Origen[Área Específica],$C62),IF($AA$3=3,COUNTIFS(Datos_Origen[CTQ3 p],"&gt;120%",Datos_Origen[CTQ3 p],"&gt;120%",Datos_Origen[Área Específica],$C62),IF($AA$3=4,COUNTIFS(Datos_Origen[Ctpolp],"&gt;120%",Datos_Origen[Ctpolp],"&gt;120%",Datos_Origen[Área Específica],$C62),0)))))/$D62,"")</f>
        <v/>
      </c>
      <c r="Q62" s="225"/>
      <c r="R62" s="225"/>
    </row>
    <row r="63" spans="1:21">
      <c r="A63" s="225"/>
      <c r="B63" s="225"/>
      <c r="C63" s="48" t="s">
        <v>678</v>
      </c>
      <c r="D63" s="48">
        <f>IFERROR(COUNTIFS(Datos_Origen[[#All],[Área Específica]],$C63,Datos_Origen[[#All],[Ctpol1010]],"&gt;0"),"")</f>
        <v>0</v>
      </c>
      <c r="E63" s="239"/>
      <c r="F63" s="49" t="str">
        <f>IFERROR((IF($AA$3=1,COUNTIFS(Datos_Origen[GQ1 p],"&gt;0",Datos_Origen[GQ1 p],"&lt;80%",Datos_Origen[Área Específica],$C63),IF($AA$3=2,COUNTIFS(Datos_Origen[GMd p],"&gt;0",Datos_Origen[GMd p],"&lt;80%",Datos_Origen[Área Específica],$C63),IF($AA$3=3,COUNTIFS(Datos_Origen[GQ3 p],"&gt;0",Datos_Origen[GQ3 p],"&lt;80%",Datos_Origen[Área Específica],$C63),IF($AA$3=4,COUNTIFS(Datos_Origen[Gpolp],"&gt;0",Datos_Origen[Gpolp],"&lt;80%",Datos_Origen[Área Específica],$C63),0)))))/$D63,"")</f>
        <v/>
      </c>
      <c r="G63" s="49" t="str">
        <f>IFERROR((IF($AA$3=1,COUNTIFS(Datos_Origen[GQ1 p],"&gt;=80%",Datos_Origen[GQ1 p],"&lt;=120%",Datos_Origen[Área Específica],$C63),IF($AA$3=2,COUNTIFS(Datos_Origen[GMd p],"&gt;=80%",Datos_Origen[GMd p],"&lt;=120%",Datos_Origen[Área Específica],$C63),IF($AA$3=3,COUNTIFS(Datos_Origen[GQ3 p],"&gt;=80%",Datos_Origen[GQ3 p],"&lt;=120%",Datos_Origen[Área Específica],$C63),IF($AA$3=4,COUNTIFS(Datos_Origen[Gpolp],"&gt;=80%",Datos_Origen[Gpolp],"&lt;=120%",Datos_Origen[Área Específica],$C63),0)))))/$D63,"")</f>
        <v/>
      </c>
      <c r="H63" s="49" t="str">
        <f>IFERROR((IF($AA$3=1,COUNTIFS(Datos_Origen[GQ1 p],"&gt;120%",Datos_Origen[GQ1 p],"&gt;120%",Datos_Origen[Área Específica],$C63),IF($AA$3=2,COUNTIFS(Datos_Origen[GMd p],"&gt;120%",Datos_Origen[GMd p],"&gt;120%",Datos_Origen[Área Específica],$C63),IF($AA$3=3,COUNTIFS(Datos_Origen[GQ3 p],"&gt;120%",Datos_Origen[GQ3 p],"&gt;120%",Datos_Origen[Área Específica],$C63),IF($AA$3=4,COUNTIFS(Datos_Origen[Gpolp],"&gt;120%",Datos_Origen[Gpolp],"&gt;120%",Datos_Origen[Área Específica],$C63),0)))))/$D63,"")</f>
        <v/>
      </c>
      <c r="I63" s="240"/>
      <c r="J63" s="49" t="str">
        <f>IFERROR((IF($AA$3=1,COUNTIFS(Datos_Origen[G+VQ1 p],"&gt;0",Datos_Origen[G+VQ1 p],"&lt;80%",Datos_Origen[Área Específica],$C63),IF($AA$3=2,COUNTIFS(Datos_Origen[G+VMd p],"&gt;0",Datos_Origen[G+VMd p],"&lt;80%",Datos_Origen[Área Específica],$C63),IF($AA$3=3,COUNTIFS(Datos_Origen[G+VQ3 p],"&gt;0",Datos_Origen[G+VQ3 p],"&lt;80%",Datos_Origen[Área Específica],$C63),IF($AA$3=4,COUNTIFS(Datos_Origen[G+Vpolp],"&gt;0",Datos_Origen[G+Vpolp],"&lt;80%",Datos_Origen[Área Específica],$C63),0)))))/$D63,"")</f>
        <v/>
      </c>
      <c r="K63" s="49" t="str">
        <f>IFERROR((IF($AA$3=1,COUNTIFS(Datos_Origen[G+VQ1 p],"&gt;=80%",Datos_Origen[G+VQ1 p],"&lt;=120%",Datos_Origen[Área Específica],$C63),IF($AA$3=2,COUNTIFS(Datos_Origen[G+VMd p],"&gt;=80%",Datos_Origen[G+VMd p],"&lt;=120%",Datos_Origen[Área Específica],$C63),IF($AA$3=3,COUNTIFS(Datos_Origen[G+VQ3 p],"&gt;=80%",Datos_Origen[G+VQ3 p],"&lt;=120%",Datos_Origen[Área Específica],$C63),IF($AA$3=4,COUNTIFS(Datos_Origen[G+Vpolp],"&gt;=80%",Datos_Origen[G+Vpolp],"&lt;=120%",Datos_Origen[Área Específica],$C63),0)))))/$D63,"")</f>
        <v/>
      </c>
      <c r="L63" s="49" t="str">
        <f>IFERROR((IF($AA$3=1,COUNTIFS(Datos_Origen[G+VQ1 p],"&gt;120%",Datos_Origen[G+VQ1 p],"&gt;120%",Datos_Origen[Área Específica],$C63),IF($AA$3=2,COUNTIFS(Datos_Origen[G+VMd p],"&gt;120%",Datos_Origen[G+VMd p],"&gt;120%",Datos_Origen[Área Específica],$C63),IF($AA$3=3,COUNTIFS(Datos_Origen[G+VQ3 p],"&gt;120%",Datos_Origen[G+VQ3 p],"&gt;120%",Datos_Origen[Área Específica],$C63),IF($AA$3=4,COUNTIFS(Datos_Origen[G+Vpolp],"&gt;120%",Datos_Origen[G+Vpolp],"&gt;120%",Datos_Origen[Área Específica],$C63),0)))))/$D63,"")</f>
        <v/>
      </c>
      <c r="M63" s="240"/>
      <c r="N63" s="49" t="str">
        <f>IFERROR((IF($AA$3=1,COUNTIFS(Datos_Origen[CTQ1 p],"&gt;0",Datos_Origen[CTQ1 p],"&lt;80%",Datos_Origen[Área Específica],$C63),IF($AA$3=2,COUNTIFS(Datos_Origen[CTMd p],"&gt;0",Datos_Origen[CTMd p],"&lt;80%",Datos_Origen[Área Específica],$C63),IF($AA$3=3,COUNTIFS(Datos_Origen[CTQ3 p],"&gt;0",Datos_Origen[CTQ3 p],"&lt;80%",Datos_Origen[Área Específica],$C63),IF($AA$3=4,COUNTIFS(Datos_Origen[Ctpolp],"&gt;0",Datos_Origen[Ctpolp],"&lt;80%",Datos_Origen[Área Específica],$C63),0)))))/$D63,"")</f>
        <v/>
      </c>
      <c r="O63" s="49" t="str">
        <f>IFERROR((IF($AA$3=1,COUNTIFS(Datos_Origen[CTQ1 p],"&gt;=80%",Datos_Origen[CTQ1 p],"&lt;=120%",Datos_Origen[Área Específica],$C63),IF($AA$3=2,COUNTIFS(Datos_Origen[CTMd p],"&gt;=80%",Datos_Origen[CTMd p],"&lt;=120%",Datos_Origen[Área Específica],$C63),IF($AA$3=3,COUNTIFS(Datos_Origen[CTQ3 p],"&gt;=80%",Datos_Origen[CTQ3 p],"&lt;=120%",Datos_Origen[Área Específica],$C63),IF($AA$3=4,COUNTIFS(Datos_Origen[Ctpolp],"&gt;=80%",Datos_Origen[Ctpolp],"&lt;=120%",Datos_Origen[Área Específica],$C63),0)))))/$D63,"")</f>
        <v/>
      </c>
      <c r="P63" s="49" t="str">
        <f>IFERROR((IF($AA$3=1,COUNTIFS(Datos_Origen[CTQ1 p],"&gt;120%",Datos_Origen[CTQ1 p],"&gt;120%",Datos_Origen[Área Específica],$C63),IF($AA$3=2,COUNTIFS(Datos_Origen[CTMd p],"&gt;120%",Datos_Origen[CTMd p],"&gt;120%",Datos_Origen[Área Específica],$C63),IF($AA$3=3,COUNTIFS(Datos_Origen[CTQ3 p],"&gt;120%",Datos_Origen[CTQ3 p],"&gt;120%",Datos_Origen[Área Específica],$C63),IF($AA$3=4,COUNTIFS(Datos_Origen[Ctpolp],"&gt;120%",Datos_Origen[Ctpolp],"&gt;120%",Datos_Origen[Área Específica],$C63),0)))))/$D63,"")</f>
        <v/>
      </c>
      <c r="Q63" s="225"/>
      <c r="R63" s="225"/>
    </row>
    <row r="64" spans="1:21">
      <c r="A64" s="225"/>
      <c r="B64" s="225"/>
      <c r="C64" s="225"/>
      <c r="D64" s="225"/>
      <c r="E64" s="225"/>
      <c r="F64" s="225"/>
      <c r="G64" s="225"/>
      <c r="H64" s="225"/>
      <c r="I64" s="225"/>
      <c r="J64" s="225"/>
      <c r="K64" s="225"/>
      <c r="L64" s="225"/>
      <c r="M64" s="225"/>
      <c r="N64" s="225"/>
      <c r="O64" s="225"/>
      <c r="P64" s="225"/>
      <c r="Q64" s="225"/>
      <c r="R64" s="225"/>
    </row>
  </sheetData>
  <mergeCells count="55">
    <mergeCell ref="C57:C58"/>
    <mergeCell ref="D57:D58"/>
    <mergeCell ref="F57:H57"/>
    <mergeCell ref="J57:L57"/>
    <mergeCell ref="N57:P57"/>
    <mergeCell ref="C46:C47"/>
    <mergeCell ref="D46:D47"/>
    <mergeCell ref="F46:H46"/>
    <mergeCell ref="J46:L46"/>
    <mergeCell ref="N46:P46"/>
    <mergeCell ref="H31:H33"/>
    <mergeCell ref="K31:K33"/>
    <mergeCell ref="N38:N40"/>
    <mergeCell ref="Q38:Q40"/>
    <mergeCell ref="B44:Q44"/>
    <mergeCell ref="B31:B40"/>
    <mergeCell ref="C38:C40"/>
    <mergeCell ref="H38:H40"/>
    <mergeCell ref="K38:K40"/>
    <mergeCell ref="N31:N33"/>
    <mergeCell ref="Q31:Q33"/>
    <mergeCell ref="C34:C37"/>
    <mergeCell ref="H34:H37"/>
    <mergeCell ref="B1:Q2"/>
    <mergeCell ref="B10:Q10"/>
    <mergeCell ref="C4:D4"/>
    <mergeCell ref="D12:E13"/>
    <mergeCell ref="B14:B23"/>
    <mergeCell ref="C14:C16"/>
    <mergeCell ref="H14:H16"/>
    <mergeCell ref="K14:K16"/>
    <mergeCell ref="N14:N16"/>
    <mergeCell ref="C17:C20"/>
    <mergeCell ref="H17:H20"/>
    <mergeCell ref="K17:K20"/>
    <mergeCell ref="N17:N20"/>
    <mergeCell ref="C21:C23"/>
    <mergeCell ref="H21:H23"/>
    <mergeCell ref="K21:K23"/>
    <mergeCell ref="C60:D60"/>
    <mergeCell ref="C49:D49"/>
    <mergeCell ref="F12:H12"/>
    <mergeCell ref="I12:K12"/>
    <mergeCell ref="L12:N12"/>
    <mergeCell ref="N21:N23"/>
    <mergeCell ref="B27:Q27"/>
    <mergeCell ref="F29:H29"/>
    <mergeCell ref="I29:K29"/>
    <mergeCell ref="L29:N29"/>
    <mergeCell ref="O29:Q29"/>
    <mergeCell ref="D29:E30"/>
    <mergeCell ref="K34:K37"/>
    <mergeCell ref="N34:N37"/>
    <mergeCell ref="Q34:Q37"/>
    <mergeCell ref="C31:C3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NivelCompetitividadMenu">
                <anchor moveWithCells="1" sizeWithCells="1">
                  <from>
                    <xdr:col>16</xdr:col>
                    <xdr:colOff>213360</xdr:colOff>
                    <xdr:row>0</xdr:row>
                    <xdr:rowOff>259080</xdr:rowOff>
                  </from>
                  <to>
                    <xdr:col>17</xdr:col>
                    <xdr:colOff>495300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Option Button 5">
              <controlPr defaultSize="0" autoFill="0" autoLine="0" autoPict="0">
                <anchor moveWithCells="1">
                  <from>
                    <xdr:col>2</xdr:col>
                    <xdr:colOff>487680</xdr:colOff>
                    <xdr:row>3</xdr:row>
                    <xdr:rowOff>106680</xdr:rowOff>
                  </from>
                  <to>
                    <xdr:col>3</xdr:col>
                    <xdr:colOff>22860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Option Button 6">
              <controlPr defaultSize="0" autoFill="0" autoLine="0" autoPict="0">
                <anchor moveWithCells="1">
                  <from>
                    <xdr:col>2</xdr:col>
                    <xdr:colOff>487680</xdr:colOff>
                    <xdr:row>4</xdr:row>
                    <xdr:rowOff>99060</xdr:rowOff>
                  </from>
                  <to>
                    <xdr:col>3</xdr:col>
                    <xdr:colOff>685800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Option Button 7">
              <controlPr defaultSize="0" autoFill="0" autoLine="0" autoPict="0">
                <anchor moveWithCells="1">
                  <from>
                    <xdr:col>2</xdr:col>
                    <xdr:colOff>487680</xdr:colOff>
                    <xdr:row>5</xdr:row>
                    <xdr:rowOff>99060</xdr:rowOff>
                  </from>
                  <to>
                    <xdr:col>3</xdr:col>
                    <xdr:colOff>685800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8" name="Option Button 8">
              <controlPr defaultSize="0" autoFill="0" autoLine="0" autoPict="0">
                <anchor moveWithCells="1">
                  <from>
                    <xdr:col>2</xdr:col>
                    <xdr:colOff>487680</xdr:colOff>
                    <xdr:row>6</xdr:row>
                    <xdr:rowOff>99060</xdr:rowOff>
                  </from>
                  <to>
                    <xdr:col>3</xdr:col>
                    <xdr:colOff>685800</xdr:colOff>
                    <xdr:row>8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Q239"/>
  <sheetViews>
    <sheetView showGridLines="0" workbookViewId="0">
      <selection activeCell="H6" sqref="H6:I6"/>
    </sheetView>
  </sheetViews>
  <sheetFormatPr baseColWidth="10" defaultColWidth="0" defaultRowHeight="13.8"/>
  <cols>
    <col min="1" max="1" width="1.5546875" style="10" customWidth="1"/>
    <col min="2" max="2" width="8.44140625" style="16" customWidth="1"/>
    <col min="3" max="3" width="42.5546875" style="16" customWidth="1"/>
    <col min="4" max="4" width="14.6640625" style="272" bestFit="1" customWidth="1"/>
    <col min="5" max="5" width="12.5546875" style="272" hidden="1" customWidth="1"/>
    <col min="6" max="6" width="12.5546875" style="16" hidden="1" customWidth="1"/>
    <col min="7" max="7" width="8.44140625" style="274" hidden="1" customWidth="1"/>
    <col min="8" max="9" width="11" style="16" bestFit="1" customWidth="1"/>
    <col min="10" max="10" width="8.21875" style="274" bestFit="1" customWidth="1"/>
    <col min="11" max="11" width="14" style="16" bestFit="1" customWidth="1"/>
    <col min="12" max="12" width="14.88671875" style="16" bestFit="1" customWidth="1"/>
    <col min="13" max="13" width="8.21875" style="274" bestFit="1" customWidth="1"/>
    <col min="14" max="15" width="11.21875" style="16" bestFit="1" customWidth="1"/>
    <col min="16" max="16" width="8.21875" style="16" bestFit="1" customWidth="1"/>
    <col min="17" max="17" width="2.5546875" style="10" customWidth="1"/>
    <col min="18" max="16384" width="11.44140625" style="10" hidden="1"/>
  </cols>
  <sheetData>
    <row r="1" spans="2:16">
      <c r="B1" s="10"/>
      <c r="C1" s="10"/>
      <c r="D1" s="20"/>
      <c r="E1" s="20"/>
      <c r="F1" s="10"/>
      <c r="G1" s="66"/>
      <c r="H1" s="10"/>
      <c r="I1" s="10"/>
      <c r="J1" s="66"/>
      <c r="K1" s="10"/>
      <c r="L1" s="10"/>
      <c r="M1" s="66"/>
      <c r="N1" s="10"/>
      <c r="O1" s="10"/>
      <c r="P1" s="10"/>
    </row>
    <row r="2" spans="2:16">
      <c r="B2" s="650"/>
      <c r="C2" s="650"/>
      <c r="D2" s="650"/>
      <c r="E2" s="650"/>
      <c r="F2" s="650"/>
      <c r="G2" s="650"/>
      <c r="H2" s="650"/>
      <c r="I2" s="650"/>
      <c r="J2" s="650"/>
      <c r="K2" s="650"/>
      <c r="L2" s="650"/>
      <c r="M2" s="650"/>
      <c r="N2" s="10"/>
      <c r="O2" s="10"/>
      <c r="P2" s="10"/>
    </row>
    <row r="3" spans="2:16">
      <c r="B3" s="650"/>
      <c r="C3" s="650"/>
      <c r="D3" s="650"/>
      <c r="E3" s="650"/>
      <c r="F3" s="650"/>
      <c r="G3" s="650"/>
      <c r="H3" s="650"/>
      <c r="I3" s="650"/>
      <c r="J3" s="650"/>
      <c r="K3" s="650"/>
      <c r="L3" s="650"/>
      <c r="M3" s="650"/>
      <c r="N3" s="10"/>
      <c r="O3" s="10"/>
      <c r="P3" s="10"/>
    </row>
    <row r="4" spans="2:16">
      <c r="B4" s="10"/>
      <c r="C4" s="10"/>
      <c r="D4" s="20"/>
      <c r="E4" s="20"/>
      <c r="F4" s="10"/>
      <c r="G4" s="66"/>
      <c r="H4" s="10"/>
      <c r="I4" s="10"/>
      <c r="J4" s="66"/>
      <c r="K4" s="10"/>
      <c r="L4" s="10"/>
      <c r="M4" s="66"/>
      <c r="N4" s="10"/>
      <c r="O4" s="10"/>
      <c r="P4" s="10"/>
    </row>
    <row r="5" spans="2:16">
      <c r="B5" s="10"/>
      <c r="C5" s="10"/>
      <c r="D5" s="20"/>
      <c r="E5" s="20"/>
      <c r="F5" s="10"/>
      <c r="G5" s="66"/>
      <c r="H5" s="10"/>
      <c r="I5" s="10"/>
      <c r="J5" s="66"/>
      <c r="K5" s="10"/>
      <c r="L5" s="10"/>
      <c r="M5" s="66"/>
      <c r="N5" s="10"/>
      <c r="O5" s="10"/>
      <c r="P5" s="10"/>
    </row>
    <row r="6" spans="2:16" s="474" customFormat="1" ht="10.199999999999999">
      <c r="D6" s="475"/>
      <c r="E6" s="476" t="s">
        <v>679</v>
      </c>
      <c r="F6" s="476" t="s">
        <v>417</v>
      </c>
      <c r="G6" s="477"/>
      <c r="H6" s="476" t="s">
        <v>255</v>
      </c>
      <c r="I6" s="476" t="s">
        <v>680</v>
      </c>
      <c r="J6" s="478"/>
      <c r="K6" s="476" t="s">
        <v>255</v>
      </c>
      <c r="L6" s="476" t="s">
        <v>680</v>
      </c>
      <c r="M6" s="478"/>
      <c r="N6" s="476" t="s">
        <v>255</v>
      </c>
      <c r="O6" s="476" t="s">
        <v>680</v>
      </c>
    </row>
    <row r="7" spans="2:16" s="11" customFormat="1" ht="36">
      <c r="B7" s="38" t="s">
        <v>257</v>
      </c>
      <c r="C7" s="38" t="s">
        <v>258</v>
      </c>
      <c r="D7" s="38" t="s">
        <v>259</v>
      </c>
      <c r="E7" s="88" t="s">
        <v>681</v>
      </c>
      <c r="F7" s="500" t="s">
        <v>682</v>
      </c>
      <c r="G7" s="499" t="s">
        <v>683</v>
      </c>
      <c r="H7" s="88" t="s">
        <v>263</v>
      </c>
      <c r="I7" s="88" t="s">
        <v>684</v>
      </c>
      <c r="J7" s="499" t="s">
        <v>265</v>
      </c>
      <c r="K7" s="88" t="s">
        <v>266</v>
      </c>
      <c r="L7" s="88" t="s">
        <v>685</v>
      </c>
      <c r="M7" s="499" t="s">
        <v>268</v>
      </c>
      <c r="N7" s="128" t="s">
        <v>269</v>
      </c>
      <c r="O7" s="128" t="s">
        <v>686</v>
      </c>
      <c r="P7" s="499" t="s">
        <v>271</v>
      </c>
    </row>
    <row r="8" spans="2:16">
      <c r="B8" s="14" t="s">
        <v>909</v>
      </c>
      <c r="C8" s="648" t="s">
        <v>910</v>
      </c>
      <c r="D8" s="11" t="s">
        <v>909</v>
      </c>
      <c r="E8" s="272" t="e">
        <v>#DIV/0!</v>
      </c>
      <c r="F8" s="272" t="e">
        <v>#N/A</v>
      </c>
      <c r="G8" s="501" t="e">
        <v>#DIV/0!</v>
      </c>
      <c r="H8" s="272" t="e">
        <v>#DIV/0!</v>
      </c>
      <c r="I8" s="272" t="e">
        <v>#N/A</v>
      </c>
      <c r="J8" s="501" t="e">
        <v>#DIV/0!</v>
      </c>
      <c r="K8" s="272" t="e">
        <v>#DIV/0!</v>
      </c>
      <c r="L8" s="272" t="e">
        <v>#N/A</v>
      </c>
      <c r="M8" s="501" t="e">
        <v>#DIV/0!</v>
      </c>
      <c r="N8" s="272" t="e">
        <v>#DIV/0!</v>
      </c>
      <c r="O8" s="272" t="e">
        <v>#N/A</v>
      </c>
      <c r="P8" s="501" t="e">
        <v>#DIV/0!</v>
      </c>
    </row>
    <row r="9" spans="2:16">
      <c r="B9" s="14">
        <v>25</v>
      </c>
      <c r="C9" s="649" t="s">
        <v>910</v>
      </c>
      <c r="D9" s="11" t="s">
        <v>909</v>
      </c>
      <c r="E9" s="272" t="e">
        <v>#DIV/0!</v>
      </c>
      <c r="F9" s="272" t="e">
        <v>#N/A</v>
      </c>
      <c r="G9" s="501" t="e">
        <v>#DIV/0!</v>
      </c>
      <c r="H9" s="272" t="e">
        <v>#DIV/0!</v>
      </c>
      <c r="I9" s="272" t="e">
        <v>#N/A</v>
      </c>
      <c r="J9" s="501" t="e">
        <v>#DIV/0!</v>
      </c>
      <c r="K9" s="272" t="e">
        <v>#DIV/0!</v>
      </c>
      <c r="L9" s="272" t="e">
        <v>#N/A</v>
      </c>
      <c r="M9" s="501" t="e">
        <v>#DIV/0!</v>
      </c>
      <c r="N9" s="272" t="e">
        <v>#DIV/0!</v>
      </c>
      <c r="O9" s="272" t="e">
        <v>#N/A</v>
      </c>
      <c r="P9" s="501" t="e">
        <v>#DIV/0!</v>
      </c>
    </row>
    <row r="10" spans="2:16">
      <c r="B10" s="14">
        <v>24</v>
      </c>
      <c r="C10" s="649" t="s">
        <v>910</v>
      </c>
      <c r="D10" s="11" t="s">
        <v>909</v>
      </c>
      <c r="E10" s="272" t="e">
        <v>#DIV/0!</v>
      </c>
      <c r="F10" s="272" t="e">
        <v>#N/A</v>
      </c>
      <c r="G10" s="501" t="e">
        <v>#DIV/0!</v>
      </c>
      <c r="H10" s="272" t="e">
        <v>#DIV/0!</v>
      </c>
      <c r="I10" s="272" t="e">
        <v>#N/A</v>
      </c>
      <c r="J10" s="501" t="e">
        <v>#DIV/0!</v>
      </c>
      <c r="K10" s="272" t="e">
        <v>#DIV/0!</v>
      </c>
      <c r="L10" s="272" t="e">
        <v>#N/A</v>
      </c>
      <c r="M10" s="501" t="e">
        <v>#DIV/0!</v>
      </c>
      <c r="N10" s="272" t="e">
        <v>#DIV/0!</v>
      </c>
      <c r="O10" s="272" t="e">
        <v>#N/A</v>
      </c>
      <c r="P10" s="501" t="e">
        <v>#DIV/0!</v>
      </c>
    </row>
    <row r="11" spans="2:16">
      <c r="B11" s="14">
        <v>23</v>
      </c>
      <c r="C11" s="649" t="s">
        <v>910</v>
      </c>
      <c r="D11" s="11" t="s">
        <v>909</v>
      </c>
      <c r="E11" s="272" t="e">
        <v>#DIV/0!</v>
      </c>
      <c r="F11" s="272" t="e">
        <v>#N/A</v>
      </c>
      <c r="G11" s="501" t="e">
        <v>#DIV/0!</v>
      </c>
      <c r="H11" s="272" t="e">
        <v>#DIV/0!</v>
      </c>
      <c r="I11" s="272" t="e">
        <v>#N/A</v>
      </c>
      <c r="J11" s="501" t="e">
        <v>#DIV/0!</v>
      </c>
      <c r="K11" s="272" t="e">
        <v>#DIV/0!</v>
      </c>
      <c r="L11" s="272" t="e">
        <v>#N/A</v>
      </c>
      <c r="M11" s="501" t="e">
        <v>#DIV/0!</v>
      </c>
      <c r="N11" s="272" t="e">
        <v>#DIV/0!</v>
      </c>
      <c r="O11" s="272" t="e">
        <v>#N/A</v>
      </c>
      <c r="P11" s="501" t="e">
        <v>#DIV/0!</v>
      </c>
    </row>
    <row r="12" spans="2:16">
      <c r="B12" s="14">
        <v>22</v>
      </c>
      <c r="C12" s="649" t="s">
        <v>910</v>
      </c>
      <c r="D12" s="11" t="s">
        <v>909</v>
      </c>
      <c r="E12" s="272" t="e">
        <v>#DIV/0!</v>
      </c>
      <c r="F12" s="272" t="e">
        <v>#N/A</v>
      </c>
      <c r="G12" s="501" t="e">
        <v>#DIV/0!</v>
      </c>
      <c r="H12" s="272" t="e">
        <v>#DIV/0!</v>
      </c>
      <c r="I12" s="272" t="e">
        <v>#N/A</v>
      </c>
      <c r="J12" s="501" t="e">
        <v>#DIV/0!</v>
      </c>
      <c r="K12" s="272" t="e">
        <v>#DIV/0!</v>
      </c>
      <c r="L12" s="272" t="e">
        <v>#N/A</v>
      </c>
      <c r="M12" s="501" t="e">
        <v>#DIV/0!</v>
      </c>
      <c r="N12" s="272" t="e">
        <v>#DIV/0!</v>
      </c>
      <c r="O12" s="272" t="e">
        <v>#N/A</v>
      </c>
      <c r="P12" s="501" t="e">
        <v>#DIV/0!</v>
      </c>
    </row>
    <row r="13" spans="2:16">
      <c r="B13" s="14">
        <v>21</v>
      </c>
      <c r="C13" s="649" t="s">
        <v>910</v>
      </c>
      <c r="D13" s="11" t="s">
        <v>909</v>
      </c>
      <c r="E13" s="272" t="e">
        <v>#DIV/0!</v>
      </c>
      <c r="F13" s="272" t="e">
        <v>#N/A</v>
      </c>
      <c r="G13" s="501" t="e">
        <v>#DIV/0!</v>
      </c>
      <c r="H13" s="272" t="e">
        <v>#DIV/0!</v>
      </c>
      <c r="I13" s="272" t="e">
        <v>#N/A</v>
      </c>
      <c r="J13" s="501" t="e">
        <v>#DIV/0!</v>
      </c>
      <c r="K13" s="272" t="e">
        <v>#DIV/0!</v>
      </c>
      <c r="L13" s="272" t="e">
        <v>#N/A</v>
      </c>
      <c r="M13" s="501" t="e">
        <v>#DIV/0!</v>
      </c>
      <c r="N13" s="272" t="e">
        <v>#DIV/0!</v>
      </c>
      <c r="O13" s="272" t="e">
        <v>#N/A</v>
      </c>
      <c r="P13" s="501" t="e">
        <v>#DIV/0!</v>
      </c>
    </row>
    <row r="14" spans="2:16">
      <c r="B14" s="14">
        <v>20</v>
      </c>
      <c r="C14" s="11" t="s">
        <v>272</v>
      </c>
      <c r="D14" s="11" t="s">
        <v>273</v>
      </c>
      <c r="E14" s="272">
        <v>23937000</v>
      </c>
      <c r="F14" s="272">
        <v>36053424.080736533</v>
      </c>
      <c r="G14" s="501">
        <v>0.66393139099344578</v>
      </c>
      <c r="H14" s="272">
        <v>28165949.790000003</v>
      </c>
      <c r="I14" s="272">
        <v>42422862.334999993</v>
      </c>
      <c r="J14" s="501">
        <v>0.66393327181891593</v>
      </c>
      <c r="K14" s="272">
        <v>49110087.455000006</v>
      </c>
      <c r="L14" s="272">
        <v>63367000</v>
      </c>
      <c r="M14" s="501">
        <v>0.77501045425852577</v>
      </c>
      <c r="N14" s="272">
        <v>49110087.455000006</v>
      </c>
      <c r="O14" s="272">
        <v>63367000</v>
      </c>
      <c r="P14" s="501">
        <v>0.77501045425852577</v>
      </c>
    </row>
    <row r="15" spans="2:16">
      <c r="B15" s="14">
        <v>19</v>
      </c>
      <c r="C15" s="11" t="s">
        <v>910</v>
      </c>
      <c r="D15" s="11" t="s">
        <v>909</v>
      </c>
      <c r="E15" s="272" t="e">
        <v>#DIV/0!</v>
      </c>
      <c r="F15" s="272" t="e">
        <v>#N/A</v>
      </c>
      <c r="G15" s="501" t="e">
        <v>#DIV/0!</v>
      </c>
      <c r="H15" s="272" t="e">
        <v>#DIV/0!</v>
      </c>
      <c r="I15" s="272" t="e">
        <v>#N/A</v>
      </c>
      <c r="J15" s="501" t="e">
        <v>#DIV/0!</v>
      </c>
      <c r="K15" s="272" t="e">
        <v>#DIV/0!</v>
      </c>
      <c r="L15" s="272" t="e">
        <v>#N/A</v>
      </c>
      <c r="M15" s="501" t="e">
        <v>#DIV/0!</v>
      </c>
      <c r="N15" s="272" t="e">
        <v>#DIV/0!</v>
      </c>
      <c r="O15" s="272" t="e">
        <v>#N/A</v>
      </c>
      <c r="P15" s="501" t="e">
        <v>#DIV/0!</v>
      </c>
    </row>
    <row r="16" spans="2:16">
      <c r="B16" s="646">
        <v>18</v>
      </c>
      <c r="C16" s="11" t="s">
        <v>274</v>
      </c>
      <c r="D16" s="11" t="s">
        <v>273</v>
      </c>
      <c r="E16" s="272">
        <v>26376000</v>
      </c>
      <c r="F16" s="272">
        <v>29793484.419263452</v>
      </c>
      <c r="G16" s="501">
        <v>0.88529423510283267</v>
      </c>
      <c r="H16" s="272">
        <v>26376000</v>
      </c>
      <c r="I16" s="272">
        <v>35057000</v>
      </c>
      <c r="J16" s="501">
        <v>0.75237470405339879</v>
      </c>
      <c r="K16" s="272">
        <v>32970000</v>
      </c>
      <c r="L16" s="272">
        <v>41651000</v>
      </c>
      <c r="M16" s="501">
        <v>0.79157763319007945</v>
      </c>
      <c r="N16" s="272">
        <v>33620000</v>
      </c>
      <c r="O16" s="272">
        <v>42301000</v>
      </c>
      <c r="P16" s="501">
        <v>0.79478026524195644</v>
      </c>
    </row>
    <row r="17" spans="2:16">
      <c r="B17" s="647">
        <v>18</v>
      </c>
      <c r="C17" s="11" t="s">
        <v>275</v>
      </c>
      <c r="D17" s="11" t="s">
        <v>273</v>
      </c>
      <c r="E17" s="272">
        <v>20846000</v>
      </c>
      <c r="F17" s="272">
        <v>29528824.362606231</v>
      </c>
      <c r="G17" s="501">
        <v>0.70595428195909793</v>
      </c>
      <c r="H17" s="272">
        <v>20846000</v>
      </c>
      <c r="I17" s="272">
        <v>34745583.333333336</v>
      </c>
      <c r="J17" s="501">
        <v>0.59996114614087637</v>
      </c>
      <c r="K17" s="272">
        <v>27851416.666666664</v>
      </c>
      <c r="L17" s="272">
        <v>41751000</v>
      </c>
      <c r="M17" s="501">
        <v>0.66708382234357655</v>
      </c>
      <c r="N17" s="272">
        <v>28401416.666666664</v>
      </c>
      <c r="O17" s="272">
        <v>42301000</v>
      </c>
      <c r="P17" s="501">
        <v>0.67141241735813961</v>
      </c>
    </row>
    <row r="18" spans="2:16">
      <c r="B18" s="14">
        <v>17</v>
      </c>
      <c r="C18" s="11" t="s">
        <v>910</v>
      </c>
      <c r="D18" s="11" t="s">
        <v>909</v>
      </c>
      <c r="E18" s="272" t="e">
        <v>#DIV/0!</v>
      </c>
      <c r="F18" s="272" t="e">
        <v>#N/A</v>
      </c>
      <c r="G18" s="501" t="e">
        <v>#DIV/0!</v>
      </c>
      <c r="H18" s="272" t="e">
        <v>#DIV/0!</v>
      </c>
      <c r="I18" s="272" t="e">
        <v>#N/A</v>
      </c>
      <c r="J18" s="501" t="e">
        <v>#DIV/0!</v>
      </c>
      <c r="K18" s="272" t="e">
        <v>#DIV/0!</v>
      </c>
      <c r="L18" s="272" t="e">
        <v>#N/A</v>
      </c>
      <c r="M18" s="501" t="e">
        <v>#DIV/0!</v>
      </c>
      <c r="N18" s="272" t="e">
        <v>#DIV/0!</v>
      </c>
      <c r="O18" s="272" t="e">
        <v>#N/A</v>
      </c>
      <c r="P18" s="501" t="e">
        <v>#DIV/0!</v>
      </c>
    </row>
    <row r="19" spans="2:16">
      <c r="B19" s="14">
        <v>16</v>
      </c>
      <c r="C19" s="11" t="s">
        <v>276</v>
      </c>
      <c r="D19" s="11" t="s">
        <v>277</v>
      </c>
      <c r="E19" s="272">
        <v>13796000</v>
      </c>
      <c r="F19" s="272">
        <v>19394805.997167137</v>
      </c>
      <c r="G19" s="501">
        <v>0.71132446501476143</v>
      </c>
      <c r="H19" s="272">
        <v>16233339.320000002</v>
      </c>
      <c r="I19" s="272">
        <v>22821221.723333333</v>
      </c>
      <c r="J19" s="501">
        <v>0.71132648009823174</v>
      </c>
      <c r="K19" s="272">
        <v>17586117.596666668</v>
      </c>
      <c r="L19" s="272">
        <v>24174000</v>
      </c>
      <c r="M19" s="501">
        <v>0.7274806650395742</v>
      </c>
      <c r="N19" s="272">
        <v>17586117.596666668</v>
      </c>
      <c r="O19" s="272">
        <v>24174000</v>
      </c>
      <c r="P19" s="501">
        <v>0.7274806650395742</v>
      </c>
    </row>
    <row r="20" spans="2:16">
      <c r="B20" s="646">
        <v>15</v>
      </c>
      <c r="C20" s="11" t="s">
        <v>278</v>
      </c>
      <c r="D20" s="11" t="s">
        <v>277</v>
      </c>
      <c r="E20" s="272">
        <v>11496000</v>
      </c>
      <c r="F20" s="272">
        <v>15530311.614730878</v>
      </c>
      <c r="G20" s="501">
        <v>0.74022983473787896</v>
      </c>
      <c r="H20" s="272">
        <v>13526998.32</v>
      </c>
      <c r="I20" s="272">
        <v>18274000</v>
      </c>
      <c r="J20" s="501">
        <v>0.74023193170624935</v>
      </c>
      <c r="K20" s="272">
        <v>13526998.32</v>
      </c>
      <c r="L20" s="272">
        <v>18274000</v>
      </c>
      <c r="M20" s="501">
        <v>0.74023193170624935</v>
      </c>
      <c r="N20" s="272">
        <v>13526998.32</v>
      </c>
      <c r="O20" s="272">
        <v>18274000</v>
      </c>
      <c r="P20" s="501">
        <v>0.74023193170624935</v>
      </c>
    </row>
    <row r="21" spans="2:16">
      <c r="B21" s="647">
        <v>15</v>
      </c>
      <c r="C21" s="11" t="s">
        <v>279</v>
      </c>
      <c r="D21" s="11" t="s">
        <v>277</v>
      </c>
      <c r="E21" s="272">
        <v>8714000</v>
      </c>
      <c r="F21" s="272">
        <v>15530311.614730878</v>
      </c>
      <c r="G21" s="501">
        <v>0.56109627521797822</v>
      </c>
      <c r="H21" s="272">
        <v>10253502.380000001</v>
      </c>
      <c r="I21" s="272">
        <v>18274000</v>
      </c>
      <c r="J21" s="501">
        <v>0.56109786472584</v>
      </c>
      <c r="K21" s="272">
        <v>10253502.380000001</v>
      </c>
      <c r="L21" s="272">
        <v>18274000</v>
      </c>
      <c r="M21" s="501">
        <v>0.56109786472584</v>
      </c>
      <c r="N21" s="272">
        <v>10253502.380000001</v>
      </c>
      <c r="O21" s="272">
        <v>18274000</v>
      </c>
      <c r="P21" s="501">
        <v>0.56109786472584</v>
      </c>
    </row>
    <row r="22" spans="2:16">
      <c r="B22" s="647">
        <v>15</v>
      </c>
      <c r="C22" s="11" t="s">
        <v>280</v>
      </c>
      <c r="D22" s="11" t="s">
        <v>273</v>
      </c>
      <c r="E22" s="272">
        <v>7900000</v>
      </c>
      <c r="F22" s="272">
        <v>16941926.345609065</v>
      </c>
      <c r="G22" s="501">
        <v>0.46629880444778865</v>
      </c>
      <c r="H22" s="272">
        <v>9295693</v>
      </c>
      <c r="I22" s="272">
        <v>19935000</v>
      </c>
      <c r="J22" s="501">
        <v>0.46630012540757459</v>
      </c>
      <c r="K22" s="272">
        <v>9295693</v>
      </c>
      <c r="L22" s="272">
        <v>19935000</v>
      </c>
      <c r="M22" s="501">
        <v>0.46630012540757459</v>
      </c>
      <c r="N22" s="272">
        <v>9295693</v>
      </c>
      <c r="O22" s="272">
        <v>19935000</v>
      </c>
      <c r="P22" s="501">
        <v>0.46630012540757459</v>
      </c>
    </row>
    <row r="23" spans="2:16">
      <c r="B23" s="647">
        <v>15</v>
      </c>
      <c r="C23" s="11" t="s">
        <v>281</v>
      </c>
      <c r="D23" s="11" t="s">
        <v>273</v>
      </c>
      <c r="E23" s="272">
        <v>11496000</v>
      </c>
      <c r="F23" s="272">
        <v>16941926.345609065</v>
      </c>
      <c r="G23" s="501">
        <v>0.6785532982192124</v>
      </c>
      <c r="H23" s="272">
        <v>13526998.32</v>
      </c>
      <c r="I23" s="272">
        <v>19935000</v>
      </c>
      <c r="J23" s="501">
        <v>0.67855522046651617</v>
      </c>
      <c r="K23" s="272">
        <v>13526998.32</v>
      </c>
      <c r="L23" s="272">
        <v>19935000</v>
      </c>
      <c r="M23" s="501">
        <v>0.67855522046651617</v>
      </c>
      <c r="N23" s="272">
        <v>13526998.32</v>
      </c>
      <c r="O23" s="272">
        <v>19935000</v>
      </c>
      <c r="P23" s="501">
        <v>0.67855522046651617</v>
      </c>
    </row>
    <row r="24" spans="2:16">
      <c r="B24" s="647">
        <v>15</v>
      </c>
      <c r="C24" s="11" t="s">
        <v>282</v>
      </c>
      <c r="D24" s="11" t="s">
        <v>277</v>
      </c>
      <c r="E24" s="272">
        <v>5358000</v>
      </c>
      <c r="F24" s="272">
        <v>12930304.249291783</v>
      </c>
      <c r="G24" s="501">
        <v>0.41437540035405335</v>
      </c>
      <c r="H24" s="272">
        <v>6304597.8600000003</v>
      </c>
      <c r="I24" s="272">
        <v>15214658</v>
      </c>
      <c r="J24" s="501">
        <v>0.41437657422204299</v>
      </c>
      <c r="K24" s="272">
        <v>9363939.8600000013</v>
      </c>
      <c r="L24" s="272">
        <v>18274000</v>
      </c>
      <c r="M24" s="501">
        <v>0.51241872934223498</v>
      </c>
      <c r="N24" s="272">
        <v>9363939.8600000013</v>
      </c>
      <c r="O24" s="272">
        <v>18274000</v>
      </c>
      <c r="P24" s="501">
        <v>0.51241872934223498</v>
      </c>
    </row>
    <row r="25" spans="2:16">
      <c r="B25" s="647">
        <v>15</v>
      </c>
      <c r="C25" s="11" t="s">
        <v>283</v>
      </c>
      <c r="D25" s="11" t="s">
        <v>273</v>
      </c>
      <c r="E25" s="272">
        <v>10000000</v>
      </c>
      <c r="F25" s="272">
        <v>16941926.345609065</v>
      </c>
      <c r="G25" s="501">
        <v>0.59025165119973244</v>
      </c>
      <c r="H25" s="272">
        <v>11766700.000000002</v>
      </c>
      <c r="I25" s="272">
        <v>19935000</v>
      </c>
      <c r="J25" s="501">
        <v>0.59025332330072744</v>
      </c>
      <c r="K25" s="272">
        <v>11766700.000000002</v>
      </c>
      <c r="L25" s="272">
        <v>19935000</v>
      </c>
      <c r="M25" s="501">
        <v>0.59025332330072744</v>
      </c>
      <c r="N25" s="272">
        <v>11766700.000000002</v>
      </c>
      <c r="O25" s="272">
        <v>19935000</v>
      </c>
      <c r="P25" s="501">
        <v>0.59025332330072744</v>
      </c>
    </row>
    <row r="26" spans="2:16">
      <c r="B26" s="647">
        <v>15</v>
      </c>
      <c r="C26" s="11" t="s">
        <v>284</v>
      </c>
      <c r="D26" s="11" t="s">
        <v>277</v>
      </c>
      <c r="E26" s="272">
        <v>5367000</v>
      </c>
      <c r="F26" s="272">
        <v>12150302.039660055</v>
      </c>
      <c r="G26" s="501">
        <v>0.44171741430636563</v>
      </c>
      <c r="H26" s="272">
        <v>6315187.8900000006</v>
      </c>
      <c r="I26" s="272">
        <v>14296855.4</v>
      </c>
      <c r="J26" s="501">
        <v>0.4468509192988519</v>
      </c>
      <c r="K26" s="272">
        <v>10292332.490000002</v>
      </c>
      <c r="L26" s="272">
        <v>18274000</v>
      </c>
      <c r="M26" s="501">
        <v>0.56322274761956881</v>
      </c>
      <c r="N26" s="272">
        <v>10292332.490000002</v>
      </c>
      <c r="O26" s="272">
        <v>18274000</v>
      </c>
      <c r="P26" s="501">
        <v>0.56322274761956881</v>
      </c>
    </row>
    <row r="27" spans="2:16">
      <c r="B27" s="646">
        <v>14</v>
      </c>
      <c r="C27" s="11" t="s">
        <v>285</v>
      </c>
      <c r="D27" s="11" t="s">
        <v>277</v>
      </c>
      <c r="E27" s="272">
        <v>7900000</v>
      </c>
      <c r="F27" s="272">
        <v>11756940.509915013</v>
      </c>
      <c r="G27" s="501">
        <v>0.67194352079417863</v>
      </c>
      <c r="H27" s="272">
        <v>9295693</v>
      </c>
      <c r="I27" s="272">
        <v>13834000</v>
      </c>
      <c r="J27" s="501">
        <v>0.67194542431690041</v>
      </c>
      <c r="K27" s="272">
        <v>9295693</v>
      </c>
      <c r="L27" s="272">
        <v>13834000</v>
      </c>
      <c r="M27" s="501">
        <v>0.67194542431690041</v>
      </c>
      <c r="N27" s="272">
        <v>9295693</v>
      </c>
      <c r="O27" s="272">
        <v>13834000</v>
      </c>
      <c r="P27" s="501">
        <v>0.67194542431690041</v>
      </c>
    </row>
    <row r="28" spans="2:16" ht="27.6">
      <c r="B28" s="647">
        <v>14</v>
      </c>
      <c r="C28" s="11" t="s">
        <v>286</v>
      </c>
      <c r="D28" s="11" t="s">
        <v>277</v>
      </c>
      <c r="E28" s="272">
        <v>7900000</v>
      </c>
      <c r="F28" s="272">
        <v>11756940.509915013</v>
      </c>
      <c r="G28" s="501">
        <v>0.67194352079417863</v>
      </c>
      <c r="H28" s="272">
        <v>9295693</v>
      </c>
      <c r="I28" s="272">
        <v>13834000</v>
      </c>
      <c r="J28" s="501">
        <v>0.67194542431690041</v>
      </c>
      <c r="K28" s="272">
        <v>9295693</v>
      </c>
      <c r="L28" s="272">
        <v>13834000</v>
      </c>
      <c r="M28" s="501">
        <v>0.67194542431690041</v>
      </c>
      <c r="N28" s="272">
        <v>9295693</v>
      </c>
      <c r="O28" s="272">
        <v>13834000</v>
      </c>
      <c r="P28" s="501">
        <v>0.67194542431690041</v>
      </c>
    </row>
    <row r="29" spans="2:16">
      <c r="B29" s="647">
        <v>14</v>
      </c>
      <c r="C29" s="11" t="s">
        <v>287</v>
      </c>
      <c r="D29" s="11" t="s">
        <v>273</v>
      </c>
      <c r="E29" s="272">
        <v>7900000</v>
      </c>
      <c r="F29" s="272">
        <v>12826062.322946174</v>
      </c>
      <c r="G29" s="501">
        <v>0.6159333863415497</v>
      </c>
      <c r="H29" s="272">
        <v>9295693</v>
      </c>
      <c r="I29" s="272">
        <v>15092000</v>
      </c>
      <c r="J29" s="501">
        <v>0.61593513119533527</v>
      </c>
      <c r="K29" s="272">
        <v>9295693</v>
      </c>
      <c r="L29" s="272">
        <v>15092000</v>
      </c>
      <c r="M29" s="501">
        <v>0.61593513119533527</v>
      </c>
      <c r="N29" s="272">
        <v>9295693</v>
      </c>
      <c r="O29" s="272">
        <v>15092000</v>
      </c>
      <c r="P29" s="501">
        <v>0.61593513119533527</v>
      </c>
    </row>
    <row r="30" spans="2:16" ht="27.6">
      <c r="B30" s="647">
        <v>14</v>
      </c>
      <c r="C30" s="11" t="s">
        <v>288</v>
      </c>
      <c r="D30" s="11" t="s">
        <v>277</v>
      </c>
      <c r="E30" s="272">
        <v>7900000</v>
      </c>
      <c r="F30" s="272">
        <v>11756940.509915013</v>
      </c>
      <c r="G30" s="501">
        <v>0.67194352079417863</v>
      </c>
      <c r="H30" s="272">
        <v>9295693</v>
      </c>
      <c r="I30" s="272">
        <v>13834000</v>
      </c>
      <c r="J30" s="501">
        <v>0.67194542431690041</v>
      </c>
      <c r="K30" s="272">
        <v>9295693</v>
      </c>
      <c r="L30" s="272">
        <v>13834000</v>
      </c>
      <c r="M30" s="501">
        <v>0.67194542431690041</v>
      </c>
      <c r="N30" s="272">
        <v>9295693</v>
      </c>
      <c r="O30" s="272">
        <v>13834000</v>
      </c>
      <c r="P30" s="501">
        <v>0.67194542431690041</v>
      </c>
    </row>
    <row r="31" spans="2:16">
      <c r="B31" s="647">
        <v>14</v>
      </c>
      <c r="C31" s="11" t="s">
        <v>289</v>
      </c>
      <c r="D31" s="11" t="s">
        <v>290</v>
      </c>
      <c r="E31" s="272">
        <v>10347000</v>
      </c>
      <c r="F31" s="272">
        <v>9619546.7422096319</v>
      </c>
      <c r="G31" s="501">
        <v>1.0756224048060783</v>
      </c>
      <c r="H31" s="272">
        <v>12175004.49</v>
      </c>
      <c r="I31" s="272">
        <v>11319000</v>
      </c>
      <c r="J31" s="501">
        <v>1.0756254518950437</v>
      </c>
      <c r="K31" s="272">
        <v>12175004.49</v>
      </c>
      <c r="L31" s="272">
        <v>11319000</v>
      </c>
      <c r="M31" s="501">
        <v>1.0756254518950437</v>
      </c>
      <c r="N31" s="272">
        <v>12175004.49</v>
      </c>
      <c r="O31" s="272">
        <v>11319000</v>
      </c>
      <c r="P31" s="501">
        <v>1.0756254518950437</v>
      </c>
    </row>
    <row r="32" spans="2:16">
      <c r="B32" s="647">
        <v>14</v>
      </c>
      <c r="C32" s="11" t="s">
        <v>291</v>
      </c>
      <c r="D32" s="11" t="s">
        <v>277</v>
      </c>
      <c r="E32" s="272">
        <v>5119000</v>
      </c>
      <c r="F32" s="272">
        <v>11756940.509915013</v>
      </c>
      <c r="G32" s="501">
        <v>0.43540239024625327</v>
      </c>
      <c r="H32" s="272">
        <v>6023373.7300000004</v>
      </c>
      <c r="I32" s="272">
        <v>13834000</v>
      </c>
      <c r="J32" s="501">
        <v>0.4354036236807865</v>
      </c>
      <c r="K32" s="272">
        <v>6023373.7300000004</v>
      </c>
      <c r="L32" s="272">
        <v>13834000</v>
      </c>
      <c r="M32" s="501">
        <v>0.4354036236807865</v>
      </c>
      <c r="N32" s="272">
        <v>6023373.7300000004</v>
      </c>
      <c r="O32" s="272">
        <v>13834000</v>
      </c>
      <c r="P32" s="501">
        <v>0.4354036236807865</v>
      </c>
    </row>
    <row r="33" spans="2:16">
      <c r="B33" s="647">
        <v>14</v>
      </c>
      <c r="C33" s="11" t="s">
        <v>292</v>
      </c>
      <c r="D33" s="11" t="s">
        <v>290</v>
      </c>
      <c r="E33" s="272">
        <v>9754000</v>
      </c>
      <c r="F33" s="272">
        <v>9619546.7422096319</v>
      </c>
      <c r="G33" s="501">
        <v>1.0139770886709663</v>
      </c>
      <c r="H33" s="272">
        <v>11477239.180000002</v>
      </c>
      <c r="I33" s="272">
        <v>11319000</v>
      </c>
      <c r="J33" s="501">
        <v>1.0139799611273081</v>
      </c>
      <c r="K33" s="272">
        <v>11477239.180000002</v>
      </c>
      <c r="L33" s="272">
        <v>11319000</v>
      </c>
      <c r="M33" s="501">
        <v>1.0139799611273081</v>
      </c>
      <c r="N33" s="272">
        <v>11477239.180000002</v>
      </c>
      <c r="O33" s="272">
        <v>11319000</v>
      </c>
      <c r="P33" s="501">
        <v>1.0139799611273081</v>
      </c>
    </row>
    <row r="34" spans="2:16">
      <c r="B34" s="647">
        <v>14</v>
      </c>
      <c r="C34" s="11" t="s">
        <v>293</v>
      </c>
      <c r="D34" s="11" t="s">
        <v>273</v>
      </c>
      <c r="E34" s="272">
        <v>7900000</v>
      </c>
      <c r="F34" s="272">
        <v>12826062.322946174</v>
      </c>
      <c r="G34" s="501">
        <v>0.6159333863415497</v>
      </c>
      <c r="H34" s="272">
        <v>9295693</v>
      </c>
      <c r="I34" s="272">
        <v>15092000</v>
      </c>
      <c r="J34" s="501">
        <v>0.61593513119533527</v>
      </c>
      <c r="K34" s="272">
        <v>9295693</v>
      </c>
      <c r="L34" s="272">
        <v>15092000</v>
      </c>
      <c r="M34" s="501">
        <v>0.61593513119533527</v>
      </c>
      <c r="N34" s="272">
        <v>9295693</v>
      </c>
      <c r="O34" s="272">
        <v>15092000</v>
      </c>
      <c r="P34" s="501">
        <v>0.61593513119533527</v>
      </c>
    </row>
    <row r="35" spans="2:16">
      <c r="B35" s="646">
        <v>13</v>
      </c>
      <c r="C35" s="11" t="s">
        <v>294</v>
      </c>
      <c r="D35" s="11" t="s">
        <v>295</v>
      </c>
      <c r="E35" s="272">
        <v>5786000</v>
      </c>
      <c r="F35" s="272">
        <v>9042492.9178470243</v>
      </c>
      <c r="G35" s="501">
        <v>0.63986779448621567</v>
      </c>
      <c r="H35" s="272">
        <v>6808212.620000001</v>
      </c>
      <c r="I35" s="272">
        <v>10640000</v>
      </c>
      <c r="J35" s="501">
        <v>0.63986960714285723</v>
      </c>
      <c r="K35" s="272">
        <v>6808212.620000001</v>
      </c>
      <c r="L35" s="272">
        <v>10640000</v>
      </c>
      <c r="M35" s="501">
        <v>0.63986960714285723</v>
      </c>
      <c r="N35" s="272">
        <v>6808212.620000001</v>
      </c>
      <c r="O35" s="272">
        <v>10640000</v>
      </c>
      <c r="P35" s="501">
        <v>0.63986960714285723</v>
      </c>
    </row>
    <row r="36" spans="2:16">
      <c r="B36" s="647">
        <v>13</v>
      </c>
      <c r="C36" s="11" t="s">
        <v>296</v>
      </c>
      <c r="D36" s="11" t="s">
        <v>295</v>
      </c>
      <c r="E36" s="272">
        <v>5119000</v>
      </c>
      <c r="F36" s="272">
        <v>9042492.9178470243</v>
      </c>
      <c r="G36" s="501">
        <v>0.56610494987468685</v>
      </c>
      <c r="H36" s="272">
        <v>6023373.7300000004</v>
      </c>
      <c r="I36" s="272">
        <v>10640000</v>
      </c>
      <c r="J36" s="501">
        <v>0.56610655357142858</v>
      </c>
      <c r="K36" s="272">
        <v>6023373.7300000004</v>
      </c>
      <c r="L36" s="272">
        <v>10640000</v>
      </c>
      <c r="M36" s="501">
        <v>0.56610655357142858</v>
      </c>
      <c r="N36" s="272">
        <v>6023373.7300000004</v>
      </c>
      <c r="O36" s="272">
        <v>10640000</v>
      </c>
      <c r="P36" s="501">
        <v>0.56610655357142858</v>
      </c>
    </row>
    <row r="37" spans="2:16">
      <c r="B37" s="647">
        <v>13</v>
      </c>
      <c r="C37" s="11" t="s">
        <v>297</v>
      </c>
      <c r="D37" s="11" t="s">
        <v>277</v>
      </c>
      <c r="E37" s="272">
        <v>6324000</v>
      </c>
      <c r="F37" s="272">
        <v>9946742.209631728</v>
      </c>
      <c r="G37" s="501">
        <v>0.6357860560492139</v>
      </c>
      <c r="H37" s="272">
        <v>7441261.080000001</v>
      </c>
      <c r="I37" s="272">
        <v>11704000</v>
      </c>
      <c r="J37" s="501">
        <v>0.63578785714285724</v>
      </c>
      <c r="K37" s="272">
        <v>7441261.080000001</v>
      </c>
      <c r="L37" s="272">
        <v>11704000</v>
      </c>
      <c r="M37" s="501">
        <v>0.63578785714285724</v>
      </c>
      <c r="N37" s="272">
        <v>7441261.080000001</v>
      </c>
      <c r="O37" s="272">
        <v>11704000</v>
      </c>
      <c r="P37" s="501">
        <v>0.63578785714285724</v>
      </c>
    </row>
    <row r="38" spans="2:16" ht="27.6">
      <c r="B38" s="647">
        <v>13</v>
      </c>
      <c r="C38" s="11" t="s">
        <v>298</v>
      </c>
      <c r="D38" s="11" t="s">
        <v>273</v>
      </c>
      <c r="E38" s="272">
        <v>7900000</v>
      </c>
      <c r="F38" s="272">
        <v>10850991.50141643</v>
      </c>
      <c r="G38" s="501">
        <v>0.72804406850459491</v>
      </c>
      <c r="H38" s="272">
        <v>9295693</v>
      </c>
      <c r="I38" s="272">
        <v>12768000</v>
      </c>
      <c r="J38" s="501">
        <v>0.72804613095238091</v>
      </c>
      <c r="K38" s="272">
        <v>9295693</v>
      </c>
      <c r="L38" s="272">
        <v>12768000</v>
      </c>
      <c r="M38" s="501">
        <v>0.72804613095238091</v>
      </c>
      <c r="N38" s="272">
        <v>9295693</v>
      </c>
      <c r="O38" s="272">
        <v>12768000</v>
      </c>
      <c r="P38" s="501">
        <v>0.72804613095238091</v>
      </c>
    </row>
    <row r="39" spans="2:16">
      <c r="B39" s="646">
        <v>12</v>
      </c>
      <c r="C39" s="11" t="s">
        <v>299</v>
      </c>
      <c r="D39" s="11" t="s">
        <v>295</v>
      </c>
      <c r="E39" s="272">
        <v>4945000</v>
      </c>
      <c r="F39" s="272">
        <v>7593484.419263456</v>
      </c>
      <c r="G39" s="501">
        <v>0.65121619100914008</v>
      </c>
      <c r="H39" s="272">
        <v>5818633.1500000004</v>
      </c>
      <c r="I39" s="272">
        <v>8935000</v>
      </c>
      <c r="J39" s="501">
        <v>0.65121803581421378</v>
      </c>
      <c r="K39" s="272">
        <v>5818633.1500000004</v>
      </c>
      <c r="L39" s="272">
        <v>8935000</v>
      </c>
      <c r="M39" s="501">
        <v>0.65121803581421378</v>
      </c>
      <c r="N39" s="272">
        <v>5818633.1500000004</v>
      </c>
      <c r="O39" s="272">
        <v>8935000</v>
      </c>
      <c r="P39" s="501">
        <v>0.65121803581421378</v>
      </c>
    </row>
    <row r="40" spans="2:16">
      <c r="B40" s="647">
        <v>12</v>
      </c>
      <c r="C40" s="11" t="s">
        <v>300</v>
      </c>
      <c r="D40" s="11" t="s">
        <v>273</v>
      </c>
      <c r="E40" s="272">
        <v>4033000</v>
      </c>
      <c r="F40" s="272">
        <v>9112181.3031161446</v>
      </c>
      <c r="G40" s="501">
        <v>0.44259435428713562</v>
      </c>
      <c r="H40" s="272">
        <v>4745510.1100000003</v>
      </c>
      <c r="I40" s="272">
        <v>10722000</v>
      </c>
      <c r="J40" s="501">
        <v>0.44259560809550452</v>
      </c>
      <c r="K40" s="272">
        <v>4745510.1100000003</v>
      </c>
      <c r="L40" s="272">
        <v>10722000</v>
      </c>
      <c r="M40" s="501">
        <v>0.44259560809550452</v>
      </c>
      <c r="N40" s="272">
        <v>4745510.1100000003</v>
      </c>
      <c r="O40" s="272">
        <v>10722000</v>
      </c>
      <c r="P40" s="501">
        <v>0.44259560809550452</v>
      </c>
    </row>
    <row r="41" spans="2:16">
      <c r="B41" s="647">
        <v>12</v>
      </c>
      <c r="C41" s="11" t="s">
        <v>301</v>
      </c>
      <c r="D41" s="11" t="s">
        <v>277</v>
      </c>
      <c r="E41" s="272">
        <v>3800000</v>
      </c>
      <c r="F41" s="272">
        <v>5453249.5750708207</v>
      </c>
      <c r="G41" s="501">
        <v>0.69683221860438138</v>
      </c>
      <c r="H41" s="272">
        <v>4471346</v>
      </c>
      <c r="I41" s="272">
        <v>6416657</v>
      </c>
      <c r="J41" s="501">
        <v>0.69683419263332913</v>
      </c>
      <c r="K41" s="272">
        <v>7883689</v>
      </c>
      <c r="L41" s="272">
        <v>9829000</v>
      </c>
      <c r="M41" s="501">
        <v>0.80208454573201748</v>
      </c>
      <c r="N41" s="272">
        <v>7883689</v>
      </c>
      <c r="O41" s="272">
        <v>9829000</v>
      </c>
      <c r="P41" s="501">
        <v>0.80208454573201748</v>
      </c>
    </row>
    <row r="42" spans="2:16">
      <c r="B42" s="647">
        <v>12</v>
      </c>
      <c r="C42" s="11" t="s">
        <v>302</v>
      </c>
      <c r="D42" s="11" t="s">
        <v>290</v>
      </c>
      <c r="E42" s="272">
        <v>4734000</v>
      </c>
      <c r="F42" s="272">
        <v>6834560.9065155806</v>
      </c>
      <c r="G42" s="501">
        <v>0.69265605570753541</v>
      </c>
      <c r="H42" s="272">
        <v>5570355.7800000003</v>
      </c>
      <c r="I42" s="272">
        <v>8042000</v>
      </c>
      <c r="J42" s="501">
        <v>0.69265801790599357</v>
      </c>
      <c r="K42" s="272">
        <v>5570355.7800000003</v>
      </c>
      <c r="L42" s="272">
        <v>8042000</v>
      </c>
      <c r="M42" s="501">
        <v>0.69265801790599357</v>
      </c>
      <c r="N42" s="272">
        <v>5570355.7800000003</v>
      </c>
      <c r="O42" s="272">
        <v>8042000</v>
      </c>
      <c r="P42" s="501">
        <v>0.69265801790599357</v>
      </c>
    </row>
    <row r="43" spans="2:16">
      <c r="B43" s="647">
        <v>12</v>
      </c>
      <c r="C43" s="11" t="s">
        <v>303</v>
      </c>
      <c r="D43" s="11" t="s">
        <v>290</v>
      </c>
      <c r="E43" s="272">
        <v>9562000</v>
      </c>
      <c r="F43" s="272">
        <v>6834560.9065155806</v>
      </c>
      <c r="G43" s="501">
        <v>1.3990657382077427</v>
      </c>
      <c r="H43" s="272">
        <v>11251318.540000001</v>
      </c>
      <c r="I43" s="272">
        <v>8042000</v>
      </c>
      <c r="J43" s="501">
        <v>1.3990697015667746</v>
      </c>
      <c r="K43" s="272">
        <v>11251318.540000001</v>
      </c>
      <c r="L43" s="272">
        <v>8042000</v>
      </c>
      <c r="M43" s="501">
        <v>1.3990697015667746</v>
      </c>
      <c r="N43" s="272">
        <v>11251318.540000001</v>
      </c>
      <c r="O43" s="272">
        <v>8042000</v>
      </c>
      <c r="P43" s="501">
        <v>1.3990697015667746</v>
      </c>
    </row>
    <row r="44" spans="2:16">
      <c r="B44" s="647">
        <v>12</v>
      </c>
      <c r="C44" s="11" t="s">
        <v>304</v>
      </c>
      <c r="D44" s="11" t="s">
        <v>290</v>
      </c>
      <c r="E44" s="272">
        <v>4610000</v>
      </c>
      <c r="F44" s="272">
        <v>6834560.9065155806</v>
      </c>
      <c r="G44" s="501">
        <v>0.67451297355550033</v>
      </c>
      <c r="H44" s="272">
        <v>5424448.7000000002</v>
      </c>
      <c r="I44" s="272">
        <v>8042000</v>
      </c>
      <c r="J44" s="501">
        <v>0.67451488435712514</v>
      </c>
      <c r="K44" s="272">
        <v>5424448.7000000002</v>
      </c>
      <c r="L44" s="272">
        <v>8042000</v>
      </c>
      <c r="M44" s="501">
        <v>0.67451488435712514</v>
      </c>
      <c r="N44" s="272">
        <v>5424448.7000000002</v>
      </c>
      <c r="O44" s="272">
        <v>8042000</v>
      </c>
      <c r="P44" s="501">
        <v>0.67451488435712514</v>
      </c>
    </row>
    <row r="45" spans="2:16" ht="27.6">
      <c r="B45" s="647">
        <v>12</v>
      </c>
      <c r="C45" s="11" t="s">
        <v>305</v>
      </c>
      <c r="D45" s="11" t="s">
        <v>273</v>
      </c>
      <c r="E45" s="272">
        <v>4033000</v>
      </c>
      <c r="F45" s="272">
        <v>9112181.3031161465</v>
      </c>
      <c r="G45" s="501">
        <v>0.44259435428713556</v>
      </c>
      <c r="H45" s="272">
        <v>4745510.1100000003</v>
      </c>
      <c r="I45" s="272">
        <v>10722000</v>
      </c>
      <c r="J45" s="501">
        <v>0.44259560809550458</v>
      </c>
      <c r="K45" s="272">
        <v>4745510.1100000003</v>
      </c>
      <c r="L45" s="272">
        <v>10722000</v>
      </c>
      <c r="M45" s="501">
        <v>0.44259560809550458</v>
      </c>
      <c r="N45" s="272">
        <v>4745510.1100000003</v>
      </c>
      <c r="O45" s="272">
        <v>10722000</v>
      </c>
      <c r="P45" s="501">
        <v>0.44259560809550458</v>
      </c>
    </row>
    <row r="46" spans="2:16" ht="27.6">
      <c r="B46" s="647">
        <v>12</v>
      </c>
      <c r="C46" s="11" t="s">
        <v>306</v>
      </c>
      <c r="D46" s="11" t="s">
        <v>295</v>
      </c>
      <c r="E46" s="272">
        <v>5119000</v>
      </c>
      <c r="F46" s="272">
        <v>7593484.419263456</v>
      </c>
      <c r="G46" s="501">
        <v>0.6741305726543555</v>
      </c>
      <c r="H46" s="272">
        <v>6023373.7300000004</v>
      </c>
      <c r="I46" s="272">
        <v>8935000</v>
      </c>
      <c r="J46" s="501">
        <v>0.67413248237269174</v>
      </c>
      <c r="K46" s="272">
        <v>6023373.7300000004</v>
      </c>
      <c r="L46" s="272">
        <v>8935000</v>
      </c>
      <c r="M46" s="501">
        <v>0.67413248237269174</v>
      </c>
      <c r="N46" s="272">
        <v>6023373.7300000004</v>
      </c>
      <c r="O46" s="272">
        <v>8935000</v>
      </c>
      <c r="P46" s="501">
        <v>0.67413248237269174</v>
      </c>
    </row>
    <row r="47" spans="2:16">
      <c r="B47" s="647">
        <v>12</v>
      </c>
      <c r="C47" s="11" t="s">
        <v>307</v>
      </c>
      <c r="D47" s="11" t="s">
        <v>273</v>
      </c>
      <c r="E47" s="272">
        <v>5260000</v>
      </c>
      <c r="F47" s="272">
        <v>5612171.3881019829</v>
      </c>
      <c r="G47" s="501">
        <v>0.93724863983152762</v>
      </c>
      <c r="H47" s="272">
        <v>6189284.2000000002</v>
      </c>
      <c r="I47" s="272">
        <v>6603655</v>
      </c>
      <c r="J47" s="501">
        <v>0.93725129492682469</v>
      </c>
      <c r="K47" s="272">
        <v>10307629.200000001</v>
      </c>
      <c r="L47" s="272">
        <v>10722000</v>
      </c>
      <c r="M47" s="501">
        <v>0.9613532176832682</v>
      </c>
      <c r="N47" s="272">
        <v>10307629.200000001</v>
      </c>
      <c r="O47" s="272">
        <v>10722000</v>
      </c>
      <c r="P47" s="501">
        <v>0.9613532176832682</v>
      </c>
    </row>
    <row r="48" spans="2:16">
      <c r="B48" s="647">
        <v>12</v>
      </c>
      <c r="C48" s="11" t="s">
        <v>308</v>
      </c>
      <c r="D48" s="11" t="s">
        <v>273</v>
      </c>
      <c r="E48" s="272">
        <v>5400000</v>
      </c>
      <c r="F48" s="272">
        <v>9112181.3031161465</v>
      </c>
      <c r="G48" s="501">
        <v>0.59261331841074427</v>
      </c>
      <c r="H48" s="272">
        <v>6354018.0000000009</v>
      </c>
      <c r="I48" s="272">
        <v>10722000</v>
      </c>
      <c r="J48" s="501">
        <v>0.5926149972020146</v>
      </c>
      <c r="K48" s="272">
        <v>6354018.0000000009</v>
      </c>
      <c r="L48" s="272">
        <v>10722000</v>
      </c>
      <c r="M48" s="501">
        <v>0.5926149972020146</v>
      </c>
      <c r="N48" s="272">
        <v>6354018.0000000009</v>
      </c>
      <c r="O48" s="272">
        <v>10722000</v>
      </c>
      <c r="P48" s="501">
        <v>0.5926149972020146</v>
      </c>
    </row>
    <row r="49" spans="2:16">
      <c r="B49" s="647">
        <v>12</v>
      </c>
      <c r="C49" s="11" t="s">
        <v>309</v>
      </c>
      <c r="D49" s="11" t="s">
        <v>290</v>
      </c>
      <c r="E49" s="272">
        <v>4807000</v>
      </c>
      <c r="F49" s="272">
        <v>6834560.9065155806</v>
      </c>
      <c r="G49" s="501">
        <v>0.7033370637486529</v>
      </c>
      <c r="H49" s="272">
        <v>5656252.6900000004</v>
      </c>
      <c r="I49" s="272">
        <v>8042000</v>
      </c>
      <c r="J49" s="501">
        <v>0.70333905620492421</v>
      </c>
      <c r="K49" s="272">
        <v>5656252.6900000004</v>
      </c>
      <c r="L49" s="272">
        <v>8042000</v>
      </c>
      <c r="M49" s="501">
        <v>0.70333905620492421</v>
      </c>
      <c r="N49" s="272">
        <v>5656252.6900000004</v>
      </c>
      <c r="O49" s="272">
        <v>8042000</v>
      </c>
      <c r="P49" s="501">
        <v>0.70333905620492421</v>
      </c>
    </row>
    <row r="50" spans="2:16">
      <c r="B50" s="646">
        <v>11</v>
      </c>
      <c r="C50" s="11" t="s">
        <v>310</v>
      </c>
      <c r="D50" s="11" t="s">
        <v>295</v>
      </c>
      <c r="E50" s="272">
        <v>5576000</v>
      </c>
      <c r="F50" s="272">
        <v>6342492.9178470252</v>
      </c>
      <c r="G50" s="501">
        <v>0.8791495823842066</v>
      </c>
      <c r="H50" s="272">
        <v>6561111.9200000009</v>
      </c>
      <c r="I50" s="272">
        <v>7463000</v>
      </c>
      <c r="J50" s="501">
        <v>0.87915207289293862</v>
      </c>
      <c r="K50" s="272">
        <v>6561111.9200000009</v>
      </c>
      <c r="L50" s="272">
        <v>7463000</v>
      </c>
      <c r="M50" s="501">
        <v>0.87915207289293862</v>
      </c>
      <c r="N50" s="272">
        <v>6561111.9200000009</v>
      </c>
      <c r="O50" s="272">
        <v>7463000</v>
      </c>
      <c r="P50" s="501">
        <v>0.87915207289293862</v>
      </c>
    </row>
    <row r="51" spans="2:16">
      <c r="B51" s="647">
        <v>11</v>
      </c>
      <c r="C51" s="11" t="s">
        <v>311</v>
      </c>
      <c r="D51" s="502" t="s">
        <v>295</v>
      </c>
      <c r="E51" s="272">
        <v>4033000</v>
      </c>
      <c r="F51" s="272">
        <v>6342492.9178470243</v>
      </c>
      <c r="G51" s="501">
        <v>0.63586984679976788</v>
      </c>
      <c r="H51" s="272">
        <v>4745510.1100000003</v>
      </c>
      <c r="I51" s="272">
        <v>7463000</v>
      </c>
      <c r="J51" s="501">
        <v>0.63587164813077857</v>
      </c>
      <c r="K51" s="272">
        <v>4745510.1100000003</v>
      </c>
      <c r="L51" s="272">
        <v>7463000</v>
      </c>
      <c r="M51" s="501">
        <v>0.63587164813077857</v>
      </c>
      <c r="N51" s="272">
        <v>4745510.1100000003</v>
      </c>
      <c r="O51" s="272">
        <v>7463000</v>
      </c>
      <c r="P51" s="501">
        <v>0.63587164813077857</v>
      </c>
    </row>
    <row r="52" spans="2:16">
      <c r="B52" s="647">
        <v>11</v>
      </c>
      <c r="C52" s="11" t="s">
        <v>312</v>
      </c>
      <c r="D52" s="11" t="s">
        <v>290</v>
      </c>
      <c r="E52" s="272">
        <v>2735000</v>
      </c>
      <c r="F52" s="272">
        <v>5708498.5835694047</v>
      </c>
      <c r="G52" s="501">
        <v>0.47911021785519331</v>
      </c>
      <c r="H52" s="272">
        <v>3218192.45</v>
      </c>
      <c r="I52" s="272">
        <v>6717000</v>
      </c>
      <c r="J52" s="501">
        <v>0.47911157510793512</v>
      </c>
      <c r="K52" s="272">
        <v>3218192.45</v>
      </c>
      <c r="L52" s="272">
        <v>6717000</v>
      </c>
      <c r="M52" s="501">
        <v>0.47911157510793512</v>
      </c>
      <c r="N52" s="272">
        <v>3218192.45</v>
      </c>
      <c r="O52" s="272">
        <v>6717000</v>
      </c>
      <c r="P52" s="501">
        <v>0.47911157510793512</v>
      </c>
    </row>
    <row r="53" spans="2:16">
      <c r="B53" s="647">
        <v>11</v>
      </c>
      <c r="C53" s="11" t="s">
        <v>313</v>
      </c>
      <c r="D53" s="11" t="s">
        <v>295</v>
      </c>
      <c r="E53" s="272">
        <v>3600000</v>
      </c>
      <c r="F53" s="272">
        <v>6342492.9178470252</v>
      </c>
      <c r="G53" s="501">
        <v>0.56760016079324671</v>
      </c>
      <c r="H53" s="272">
        <v>4236012</v>
      </c>
      <c r="I53" s="272">
        <v>7463000</v>
      </c>
      <c r="J53" s="501">
        <v>0.56760176872571355</v>
      </c>
      <c r="K53" s="272">
        <v>4236012</v>
      </c>
      <c r="L53" s="272">
        <v>7463000</v>
      </c>
      <c r="M53" s="501">
        <v>0.56760176872571355</v>
      </c>
      <c r="N53" s="272">
        <v>4236012</v>
      </c>
      <c r="O53" s="272">
        <v>7463000</v>
      </c>
      <c r="P53" s="501">
        <v>0.56760176872571355</v>
      </c>
    </row>
    <row r="54" spans="2:16">
      <c r="B54" s="647">
        <v>11</v>
      </c>
      <c r="C54" s="11" t="s">
        <v>314</v>
      </c>
      <c r="D54" s="11" t="s">
        <v>295</v>
      </c>
      <c r="E54" s="272">
        <v>4311000</v>
      </c>
      <c r="F54" s="272">
        <v>6342492.9178470252</v>
      </c>
      <c r="G54" s="501">
        <v>0.6797011925499129</v>
      </c>
      <c r="H54" s="272">
        <v>5072624.37</v>
      </c>
      <c r="I54" s="272">
        <v>7463000</v>
      </c>
      <c r="J54" s="501">
        <v>0.67970311804904193</v>
      </c>
      <c r="K54" s="272">
        <v>5072624.37</v>
      </c>
      <c r="L54" s="272">
        <v>7463000</v>
      </c>
      <c r="M54" s="501">
        <v>0.67970311804904193</v>
      </c>
      <c r="N54" s="272">
        <v>5072624.37</v>
      </c>
      <c r="O54" s="272">
        <v>7463000</v>
      </c>
      <c r="P54" s="501">
        <v>0.67970311804904193</v>
      </c>
    </row>
    <row r="55" spans="2:16">
      <c r="B55" s="647">
        <v>11</v>
      </c>
      <c r="C55" s="11" t="s">
        <v>315</v>
      </c>
      <c r="D55" s="11" t="s">
        <v>290</v>
      </c>
      <c r="E55" s="272">
        <v>6324000</v>
      </c>
      <c r="F55" s="272">
        <v>5708498.5835694047</v>
      </c>
      <c r="G55" s="501">
        <v>1.1078219443203812</v>
      </c>
      <c r="H55" s="272">
        <v>7441261.080000001</v>
      </c>
      <c r="I55" s="272">
        <v>6717000</v>
      </c>
      <c r="J55" s="501">
        <v>1.1078250826261726</v>
      </c>
      <c r="K55" s="272">
        <v>7441261.080000001</v>
      </c>
      <c r="L55" s="272">
        <v>6717000</v>
      </c>
      <c r="M55" s="501">
        <v>1.1078250826261726</v>
      </c>
      <c r="N55" s="272">
        <v>7441261.080000001</v>
      </c>
      <c r="O55" s="272">
        <v>6717000</v>
      </c>
      <c r="P55" s="501">
        <v>1.1078250826261726</v>
      </c>
    </row>
    <row r="56" spans="2:16">
      <c r="B56" s="647">
        <v>11</v>
      </c>
      <c r="C56" s="11" t="s">
        <v>316</v>
      </c>
      <c r="D56" s="11" t="s">
        <v>295</v>
      </c>
      <c r="E56" s="272">
        <v>4610000</v>
      </c>
      <c r="F56" s="272">
        <v>6342492.9178470252</v>
      </c>
      <c r="G56" s="501">
        <v>0.7268435392380187</v>
      </c>
      <c r="H56" s="272">
        <v>5424448.7000000002</v>
      </c>
      <c r="I56" s="272">
        <v>7463000</v>
      </c>
      <c r="J56" s="501">
        <v>0.72684559828487205</v>
      </c>
      <c r="K56" s="272">
        <v>5424448.7000000002</v>
      </c>
      <c r="L56" s="272">
        <v>7463000</v>
      </c>
      <c r="M56" s="501">
        <v>0.72684559828487205</v>
      </c>
      <c r="N56" s="272">
        <v>5424448.7000000002</v>
      </c>
      <c r="O56" s="272">
        <v>7463000</v>
      </c>
      <c r="P56" s="501">
        <v>0.72684559828487205</v>
      </c>
    </row>
    <row r="57" spans="2:16">
      <c r="B57" s="647">
        <v>11</v>
      </c>
      <c r="C57" s="11" t="s">
        <v>317</v>
      </c>
      <c r="D57" s="11" t="s">
        <v>273</v>
      </c>
      <c r="E57" s="272">
        <v>4033000</v>
      </c>
      <c r="F57" s="272">
        <v>7610481.5864022654</v>
      </c>
      <c r="G57" s="501">
        <v>0.52992704262051005</v>
      </c>
      <c r="H57" s="272">
        <v>4745510.1100000003</v>
      </c>
      <c r="I57" s="272">
        <v>8955000</v>
      </c>
      <c r="J57" s="501">
        <v>0.52992854383026244</v>
      </c>
      <c r="K57" s="272">
        <v>4745510.1100000003</v>
      </c>
      <c r="L57" s="272">
        <v>8955000</v>
      </c>
      <c r="M57" s="501">
        <v>0.52992854383026244</v>
      </c>
      <c r="N57" s="272">
        <v>4745510.1100000003</v>
      </c>
      <c r="O57" s="272">
        <v>8955000</v>
      </c>
      <c r="P57" s="501">
        <v>0.52992854383026244</v>
      </c>
    </row>
    <row r="58" spans="2:16">
      <c r="B58" s="647">
        <v>11</v>
      </c>
      <c r="C58" s="11" t="s">
        <v>318</v>
      </c>
      <c r="D58" s="11" t="s">
        <v>273</v>
      </c>
      <c r="E58" s="272">
        <v>7900000</v>
      </c>
      <c r="F58" s="272">
        <v>7610481.5864022654</v>
      </c>
      <c r="G58" s="501">
        <v>1.0380420621626654</v>
      </c>
      <c r="H58" s="272">
        <v>9295693</v>
      </c>
      <c r="I58" s="272">
        <v>8955000</v>
      </c>
      <c r="J58" s="501">
        <v>1.0380450027917365</v>
      </c>
      <c r="K58" s="272">
        <v>9295693</v>
      </c>
      <c r="L58" s="272">
        <v>8955000</v>
      </c>
      <c r="M58" s="501">
        <v>1.0380450027917365</v>
      </c>
      <c r="N58" s="272">
        <v>9295693</v>
      </c>
      <c r="O58" s="272">
        <v>8955000</v>
      </c>
      <c r="P58" s="501">
        <v>1.0380450027917365</v>
      </c>
    </row>
    <row r="59" spans="2:16">
      <c r="B59" s="647">
        <v>11</v>
      </c>
      <c r="C59" s="11" t="s">
        <v>319</v>
      </c>
      <c r="D59" s="11" t="s">
        <v>295</v>
      </c>
      <c r="E59" s="272">
        <v>4552000</v>
      </c>
      <c r="F59" s="272">
        <v>6342492.9178470252</v>
      </c>
      <c r="G59" s="501">
        <v>0.71769886998079413</v>
      </c>
      <c r="H59" s="272">
        <v>5356201.8400000008</v>
      </c>
      <c r="I59" s="272">
        <v>7463000</v>
      </c>
      <c r="J59" s="501">
        <v>0.71770090312206902</v>
      </c>
      <c r="K59" s="272">
        <v>5356201.8400000008</v>
      </c>
      <c r="L59" s="272">
        <v>7463000</v>
      </c>
      <c r="M59" s="501">
        <v>0.71770090312206902</v>
      </c>
      <c r="N59" s="272">
        <v>5356201.8400000008</v>
      </c>
      <c r="O59" s="272">
        <v>7463000</v>
      </c>
      <c r="P59" s="501">
        <v>0.71770090312206902</v>
      </c>
    </row>
    <row r="60" spans="2:16" ht="27.6">
      <c r="B60" s="647">
        <v>11</v>
      </c>
      <c r="C60" s="11" t="s">
        <v>320</v>
      </c>
      <c r="D60" s="11" t="s">
        <v>290</v>
      </c>
      <c r="E60" s="272">
        <v>3788000</v>
      </c>
      <c r="F60" s="272">
        <v>5708498.5835694047</v>
      </c>
      <c r="G60" s="501">
        <v>0.66357203116470653</v>
      </c>
      <c r="H60" s="272">
        <v>4457225.96</v>
      </c>
      <c r="I60" s="272">
        <v>6717000</v>
      </c>
      <c r="J60" s="501">
        <v>0.66357391097216023</v>
      </c>
      <c r="K60" s="272">
        <v>4457225.96</v>
      </c>
      <c r="L60" s="272">
        <v>6717000</v>
      </c>
      <c r="M60" s="501">
        <v>0.66357391097216023</v>
      </c>
      <c r="N60" s="272">
        <v>4457225.96</v>
      </c>
      <c r="O60" s="272">
        <v>6717000</v>
      </c>
      <c r="P60" s="501">
        <v>0.66357391097216023</v>
      </c>
    </row>
    <row r="61" spans="2:16">
      <c r="B61" s="647">
        <v>11</v>
      </c>
      <c r="C61" s="11" t="s">
        <v>321</v>
      </c>
      <c r="D61" s="11" t="s">
        <v>290</v>
      </c>
      <c r="E61" s="272">
        <v>5500000</v>
      </c>
      <c r="F61" s="272">
        <v>5708498.5835694047</v>
      </c>
      <c r="G61" s="501">
        <v>0.963475758026897</v>
      </c>
      <c r="H61" s="272">
        <v>6471685.0000000009</v>
      </c>
      <c r="I61" s="272">
        <v>6717000</v>
      </c>
      <c r="J61" s="501">
        <v>0.96347848741997932</v>
      </c>
      <c r="K61" s="272">
        <v>6471685.0000000009</v>
      </c>
      <c r="L61" s="272">
        <v>6717000</v>
      </c>
      <c r="M61" s="501">
        <v>0.96347848741997932</v>
      </c>
      <c r="N61" s="272">
        <v>6471685.0000000009</v>
      </c>
      <c r="O61" s="272">
        <v>6717000</v>
      </c>
      <c r="P61" s="501">
        <v>0.96347848741997932</v>
      </c>
    </row>
    <row r="62" spans="2:16" ht="27.6">
      <c r="B62" s="646">
        <v>10</v>
      </c>
      <c r="C62" s="11" t="s">
        <v>322</v>
      </c>
      <c r="D62" s="11" t="s">
        <v>277</v>
      </c>
      <c r="E62" s="272">
        <v>3788000</v>
      </c>
      <c r="F62" s="272">
        <v>5793484.419263456</v>
      </c>
      <c r="G62" s="501">
        <v>0.65383795413427215</v>
      </c>
      <c r="H62" s="272">
        <v>4457225.96</v>
      </c>
      <c r="I62" s="272">
        <v>6817000</v>
      </c>
      <c r="J62" s="501">
        <v>0.65383980636643679</v>
      </c>
      <c r="K62" s="272">
        <v>4457225.96</v>
      </c>
      <c r="L62" s="272">
        <v>6817000</v>
      </c>
      <c r="M62" s="501">
        <v>0.65383980636643679</v>
      </c>
      <c r="N62" s="272">
        <v>4457225.96</v>
      </c>
      <c r="O62" s="272">
        <v>6817000</v>
      </c>
      <c r="P62" s="501">
        <v>0.65383980636643679</v>
      </c>
    </row>
    <row r="63" spans="2:16">
      <c r="B63" s="647">
        <v>10</v>
      </c>
      <c r="C63" s="11" t="s">
        <v>323</v>
      </c>
      <c r="D63" s="11" t="s">
        <v>295</v>
      </c>
      <c r="E63" s="272">
        <v>2700000</v>
      </c>
      <c r="F63" s="272">
        <v>4266569.4050991498</v>
      </c>
      <c r="G63" s="501">
        <v>0.63282692572002242</v>
      </c>
      <c r="H63" s="272">
        <v>3177009.0000000005</v>
      </c>
      <c r="I63" s="272">
        <v>5020330</v>
      </c>
      <c r="J63" s="501">
        <v>0.63282871843086019</v>
      </c>
      <c r="K63" s="272">
        <v>4353679</v>
      </c>
      <c r="L63" s="272">
        <v>6197000</v>
      </c>
      <c r="M63" s="501">
        <v>0.70254623204776501</v>
      </c>
      <c r="N63" s="272">
        <v>4353679</v>
      </c>
      <c r="O63" s="272">
        <v>6197000</v>
      </c>
      <c r="P63" s="501">
        <v>0.70254623204776501</v>
      </c>
    </row>
    <row r="64" spans="2:16" ht="27.6">
      <c r="B64" s="646">
        <v>9</v>
      </c>
      <c r="C64" s="11" t="s">
        <v>324</v>
      </c>
      <c r="D64" s="11" t="s">
        <v>290</v>
      </c>
      <c r="E64" s="272">
        <v>2404000</v>
      </c>
      <c r="F64" s="272">
        <v>3890651.5580736543</v>
      </c>
      <c r="G64" s="501">
        <v>0.6178913644968691</v>
      </c>
      <c r="H64" s="272">
        <v>2828714.68</v>
      </c>
      <c r="I64" s="272">
        <v>4578000</v>
      </c>
      <c r="J64" s="501">
        <v>0.61789311489733512</v>
      </c>
      <c r="K64" s="272">
        <v>2828714.68</v>
      </c>
      <c r="L64" s="272">
        <v>4578000</v>
      </c>
      <c r="M64" s="501">
        <v>0.61789311489733512</v>
      </c>
      <c r="N64" s="272">
        <v>2828714.68</v>
      </c>
      <c r="O64" s="272">
        <v>4578000</v>
      </c>
      <c r="P64" s="501">
        <v>0.61789311489733512</v>
      </c>
    </row>
    <row r="65" spans="2:16">
      <c r="B65" s="647">
        <v>9</v>
      </c>
      <c r="C65" s="11" t="s">
        <v>325</v>
      </c>
      <c r="D65" s="11" t="s">
        <v>290</v>
      </c>
      <c r="E65" s="272">
        <v>5748000</v>
      </c>
      <c r="F65" s="272">
        <v>3890651.5580736543</v>
      </c>
      <c r="G65" s="501">
        <v>1.4773875054609</v>
      </c>
      <c r="H65" s="272">
        <v>6763499.1600000001</v>
      </c>
      <c r="I65" s="272">
        <v>4578000</v>
      </c>
      <c r="J65" s="501">
        <v>1.4773916906946265</v>
      </c>
      <c r="K65" s="272">
        <v>6763499.1600000001</v>
      </c>
      <c r="L65" s="272">
        <v>4578000</v>
      </c>
      <c r="M65" s="501">
        <v>1.4773916906946265</v>
      </c>
      <c r="N65" s="272">
        <v>6763499.1600000001</v>
      </c>
      <c r="O65" s="272">
        <v>4578000</v>
      </c>
      <c r="P65" s="501">
        <v>1.4773916906946265</v>
      </c>
    </row>
    <row r="66" spans="2:16">
      <c r="B66" s="647">
        <v>9</v>
      </c>
      <c r="C66" s="11" t="s">
        <v>326</v>
      </c>
      <c r="D66" s="11" t="s">
        <v>273</v>
      </c>
      <c r="E66" s="272">
        <v>3800000</v>
      </c>
      <c r="F66" s="272">
        <v>5187535.4107648721</v>
      </c>
      <c r="G66" s="501">
        <v>0.73252512013979909</v>
      </c>
      <c r="H66" s="272">
        <v>4471346</v>
      </c>
      <c r="I66" s="272">
        <v>6104000</v>
      </c>
      <c r="J66" s="501">
        <v>0.73252719528178245</v>
      </c>
      <c r="K66" s="272">
        <v>4471346</v>
      </c>
      <c r="L66" s="272">
        <v>6104000</v>
      </c>
      <c r="M66" s="501">
        <v>0.73252719528178245</v>
      </c>
      <c r="N66" s="272">
        <v>4471346</v>
      </c>
      <c r="O66" s="272">
        <v>6104000</v>
      </c>
      <c r="P66" s="501">
        <v>0.73252719528178245</v>
      </c>
    </row>
    <row r="67" spans="2:16" ht="27.6">
      <c r="B67" s="647">
        <v>9</v>
      </c>
      <c r="C67" s="11" t="s">
        <v>327</v>
      </c>
      <c r="D67" s="11" t="s">
        <v>290</v>
      </c>
      <c r="E67" s="272">
        <v>2404000</v>
      </c>
      <c r="F67" s="272">
        <v>3890651.5580736543</v>
      </c>
      <c r="G67" s="501">
        <v>0.6178913644968691</v>
      </c>
      <c r="H67" s="272">
        <v>2828714.68</v>
      </c>
      <c r="I67" s="272">
        <v>4578000</v>
      </c>
      <c r="J67" s="501">
        <v>0.61789311489733512</v>
      </c>
      <c r="K67" s="272">
        <v>2828714.68</v>
      </c>
      <c r="L67" s="272">
        <v>4578000</v>
      </c>
      <c r="M67" s="501">
        <v>0.61789311489733512</v>
      </c>
      <c r="N67" s="272">
        <v>2828714.68</v>
      </c>
      <c r="O67" s="272">
        <v>4578000</v>
      </c>
      <c r="P67" s="501">
        <v>0.61789311489733512</v>
      </c>
    </row>
    <row r="68" spans="2:16">
      <c r="B68" s="646">
        <v>8</v>
      </c>
      <c r="C68" s="11" t="s">
        <v>328</v>
      </c>
      <c r="D68" s="11" t="s">
        <v>290</v>
      </c>
      <c r="E68" s="272">
        <v>2404000</v>
      </c>
      <c r="F68" s="272">
        <v>3140226.628895184</v>
      </c>
      <c r="G68" s="501">
        <v>0.76554984212900323</v>
      </c>
      <c r="H68" s="272">
        <v>2828714.68</v>
      </c>
      <c r="I68" s="272">
        <v>3695000</v>
      </c>
      <c r="J68" s="501">
        <v>0.76555201082543978</v>
      </c>
      <c r="K68" s="272">
        <v>2828714.68</v>
      </c>
      <c r="L68" s="272">
        <v>3695000</v>
      </c>
      <c r="M68" s="501">
        <v>0.76555201082543978</v>
      </c>
      <c r="N68" s="272">
        <v>2828714.68</v>
      </c>
      <c r="O68" s="272">
        <v>3695000</v>
      </c>
      <c r="P68" s="501">
        <v>0.76555201082543978</v>
      </c>
    </row>
    <row r="69" spans="2:16">
      <c r="B69" s="647">
        <v>8</v>
      </c>
      <c r="C69" s="11" t="s">
        <v>329</v>
      </c>
      <c r="D69" s="11" t="s">
        <v>290</v>
      </c>
      <c r="E69" s="272">
        <v>2500000</v>
      </c>
      <c r="F69" s="272">
        <v>3140226.628895184</v>
      </c>
      <c r="G69" s="501">
        <v>0.7961208840775823</v>
      </c>
      <c r="H69" s="272">
        <v>2941675.0000000005</v>
      </c>
      <c r="I69" s="272">
        <v>3695000</v>
      </c>
      <c r="J69" s="501">
        <v>0.79612313937753731</v>
      </c>
      <c r="K69" s="272">
        <v>2941675.0000000005</v>
      </c>
      <c r="L69" s="272">
        <v>3695000</v>
      </c>
      <c r="M69" s="501">
        <v>0.79612313937753731</v>
      </c>
      <c r="N69" s="272">
        <v>2941675.0000000005</v>
      </c>
      <c r="O69" s="272">
        <v>3695000</v>
      </c>
      <c r="P69" s="501">
        <v>0.79612313937753731</v>
      </c>
    </row>
    <row r="70" spans="2:16">
      <c r="B70" s="647">
        <v>8</v>
      </c>
      <c r="C70" s="11" t="s">
        <v>330</v>
      </c>
      <c r="D70" s="11" t="s">
        <v>290</v>
      </c>
      <c r="E70" s="272">
        <v>2404000</v>
      </c>
      <c r="F70" s="272">
        <v>3140226.628895184</v>
      </c>
      <c r="G70" s="501">
        <v>0.76554984212900323</v>
      </c>
      <c r="H70" s="272">
        <v>2828714.68</v>
      </c>
      <c r="I70" s="272">
        <v>3695000</v>
      </c>
      <c r="J70" s="501">
        <v>0.76555201082543978</v>
      </c>
      <c r="K70" s="272">
        <v>2828714.68</v>
      </c>
      <c r="L70" s="272">
        <v>3695000</v>
      </c>
      <c r="M70" s="501">
        <v>0.76555201082543978</v>
      </c>
      <c r="N70" s="272">
        <v>2828714.68</v>
      </c>
      <c r="O70" s="272">
        <v>3695000</v>
      </c>
      <c r="P70" s="501">
        <v>0.76555201082543978</v>
      </c>
    </row>
    <row r="71" spans="2:16">
      <c r="B71" s="647">
        <v>8</v>
      </c>
      <c r="C71" s="11" t="s">
        <v>331</v>
      </c>
      <c r="D71" s="11" t="s">
        <v>295</v>
      </c>
      <c r="E71" s="272">
        <v>3200000</v>
      </c>
      <c r="F71" s="272">
        <v>3488668.5552407941</v>
      </c>
      <c r="G71" s="501">
        <v>0.91725537961835135</v>
      </c>
      <c r="H71" s="272">
        <v>3765344.0000000005</v>
      </c>
      <c r="I71" s="272">
        <v>4105000</v>
      </c>
      <c r="J71" s="501">
        <v>0.91725797807551779</v>
      </c>
      <c r="K71" s="272">
        <v>3765344.0000000005</v>
      </c>
      <c r="L71" s="272">
        <v>4105000</v>
      </c>
      <c r="M71" s="501">
        <v>0.91725797807551779</v>
      </c>
      <c r="N71" s="272">
        <v>3765344.0000000005</v>
      </c>
      <c r="O71" s="272">
        <v>4105000</v>
      </c>
      <c r="P71" s="501">
        <v>0.91725797807551779</v>
      </c>
    </row>
    <row r="72" spans="2:16">
      <c r="B72" s="647">
        <v>8</v>
      </c>
      <c r="C72" s="11" t="s">
        <v>332</v>
      </c>
      <c r="D72" s="11" t="s">
        <v>290</v>
      </c>
      <c r="E72" s="272">
        <v>2404000</v>
      </c>
      <c r="F72" s="272">
        <v>3140226.628895184</v>
      </c>
      <c r="G72" s="501">
        <v>0.76554984212900323</v>
      </c>
      <c r="H72" s="272">
        <v>2828714.68</v>
      </c>
      <c r="I72" s="272">
        <v>3695000</v>
      </c>
      <c r="J72" s="501">
        <v>0.76555201082543978</v>
      </c>
      <c r="K72" s="272">
        <v>2828714.68</v>
      </c>
      <c r="L72" s="272">
        <v>3695000</v>
      </c>
      <c r="M72" s="501">
        <v>0.76555201082543978</v>
      </c>
      <c r="N72" s="272">
        <v>2828714.68</v>
      </c>
      <c r="O72" s="272">
        <v>3695000</v>
      </c>
      <c r="P72" s="501">
        <v>0.76555201082543978</v>
      </c>
    </row>
    <row r="73" spans="2:16" ht="27.6">
      <c r="B73" s="647">
        <v>8</v>
      </c>
      <c r="C73" s="11" t="s">
        <v>333</v>
      </c>
      <c r="D73" s="11" t="s">
        <v>290</v>
      </c>
      <c r="E73" s="272">
        <v>2602000</v>
      </c>
      <c r="F73" s="272">
        <v>3140226.628895184</v>
      </c>
      <c r="G73" s="501">
        <v>0.82860261614794772</v>
      </c>
      <c r="H73" s="272">
        <v>3061695.3400000003</v>
      </c>
      <c r="I73" s="272">
        <v>3695000</v>
      </c>
      <c r="J73" s="501">
        <v>0.82860496346414081</v>
      </c>
      <c r="K73" s="272">
        <v>3061695.3400000003</v>
      </c>
      <c r="L73" s="272">
        <v>3695000</v>
      </c>
      <c r="M73" s="501">
        <v>0.82860496346414081</v>
      </c>
      <c r="N73" s="272">
        <v>3061695.3400000003</v>
      </c>
      <c r="O73" s="272">
        <v>3695000</v>
      </c>
      <c r="P73" s="501">
        <v>0.82860496346414081</v>
      </c>
    </row>
    <row r="74" spans="2:16">
      <c r="B74" s="647">
        <v>8</v>
      </c>
      <c r="C74" s="11" t="s">
        <v>334</v>
      </c>
      <c r="D74" s="11" t="s">
        <v>290</v>
      </c>
      <c r="E74" s="272">
        <v>2404000</v>
      </c>
      <c r="F74" s="272">
        <v>3140226.628895184</v>
      </c>
      <c r="G74" s="501">
        <v>0.76554984212900323</v>
      </c>
      <c r="H74" s="272">
        <v>2828714.68</v>
      </c>
      <c r="I74" s="272">
        <v>3695000</v>
      </c>
      <c r="J74" s="501">
        <v>0.76555201082543978</v>
      </c>
      <c r="K74" s="272">
        <v>2828714.68</v>
      </c>
      <c r="L74" s="272">
        <v>3695000</v>
      </c>
      <c r="M74" s="501">
        <v>0.76555201082543978</v>
      </c>
      <c r="N74" s="272">
        <v>2828714.68</v>
      </c>
      <c r="O74" s="272">
        <v>3695000</v>
      </c>
      <c r="P74" s="501">
        <v>0.76555201082543978</v>
      </c>
    </row>
    <row r="75" spans="2:16">
      <c r="B75" s="647">
        <v>8</v>
      </c>
      <c r="C75" s="11" t="s">
        <v>335</v>
      </c>
      <c r="D75" s="11" t="s">
        <v>290</v>
      </c>
      <c r="E75" s="272">
        <v>2404000</v>
      </c>
      <c r="F75" s="272">
        <v>3140226.628895184</v>
      </c>
      <c r="G75" s="501">
        <v>0.76554984212900323</v>
      </c>
      <c r="H75" s="272">
        <v>2828714.68</v>
      </c>
      <c r="I75" s="272">
        <v>3695000</v>
      </c>
      <c r="J75" s="501">
        <v>0.76555201082543978</v>
      </c>
      <c r="K75" s="272">
        <v>2828714.68</v>
      </c>
      <c r="L75" s="272">
        <v>3695000</v>
      </c>
      <c r="M75" s="501">
        <v>0.76555201082543978</v>
      </c>
      <c r="N75" s="272">
        <v>2828714.68</v>
      </c>
      <c r="O75" s="272">
        <v>3695000</v>
      </c>
      <c r="P75" s="501">
        <v>0.76555201082543978</v>
      </c>
    </row>
    <row r="76" spans="2:16">
      <c r="B76" s="646">
        <v>7</v>
      </c>
      <c r="C76" s="11" t="s">
        <v>336</v>
      </c>
      <c r="D76" s="11" t="s">
        <v>290</v>
      </c>
      <c r="E76" s="272">
        <v>2404000</v>
      </c>
      <c r="F76" s="272">
        <v>2507932.0113314446</v>
      </c>
      <c r="G76" s="501">
        <v>0.95855868067321814</v>
      </c>
      <c r="H76" s="272">
        <v>2828714.68</v>
      </c>
      <c r="I76" s="272">
        <v>2951000</v>
      </c>
      <c r="J76" s="501">
        <v>0.95856139613690283</v>
      </c>
      <c r="K76" s="272">
        <v>2828714.68</v>
      </c>
      <c r="L76" s="272">
        <v>2951000</v>
      </c>
      <c r="M76" s="501">
        <v>0.95856139613690283</v>
      </c>
      <c r="N76" s="272">
        <v>2828714.68</v>
      </c>
      <c r="O76" s="272">
        <v>2951000</v>
      </c>
      <c r="P76" s="501">
        <v>0.95856139613690283</v>
      </c>
    </row>
    <row r="77" spans="2:16">
      <c r="B77" s="647">
        <v>7</v>
      </c>
      <c r="C77" s="11" t="s">
        <v>337</v>
      </c>
      <c r="D77" s="11" t="s">
        <v>295</v>
      </c>
      <c r="E77" s="272">
        <v>2850000</v>
      </c>
      <c r="F77" s="272">
        <v>2786685.552407932</v>
      </c>
      <c r="G77" s="501">
        <v>1.0227203415675512</v>
      </c>
      <c r="H77" s="272">
        <v>3353509.5000000005</v>
      </c>
      <c r="I77" s="272">
        <v>3279000</v>
      </c>
      <c r="J77" s="501">
        <v>1.0227232387923149</v>
      </c>
      <c r="K77" s="272">
        <v>3353509.5000000005</v>
      </c>
      <c r="L77" s="272">
        <v>3279000</v>
      </c>
      <c r="M77" s="501">
        <v>1.0227232387923149</v>
      </c>
      <c r="N77" s="272">
        <v>3353509.5000000005</v>
      </c>
      <c r="O77" s="272">
        <v>3279000</v>
      </c>
      <c r="P77" s="501">
        <v>1.0227232387923149</v>
      </c>
    </row>
    <row r="78" spans="2:16">
      <c r="B78" s="647">
        <v>7</v>
      </c>
      <c r="C78" s="11" t="s">
        <v>338</v>
      </c>
      <c r="D78" s="11" t="s">
        <v>290</v>
      </c>
      <c r="E78" s="272">
        <v>2404000</v>
      </c>
      <c r="F78" s="272">
        <v>2507932.0113314446</v>
      </c>
      <c r="G78" s="501">
        <v>0.95855868067321814</v>
      </c>
      <c r="H78" s="272">
        <v>2828714.68</v>
      </c>
      <c r="I78" s="272">
        <v>2951000</v>
      </c>
      <c r="J78" s="501">
        <v>0.95856139613690283</v>
      </c>
      <c r="K78" s="272">
        <v>2828714.68</v>
      </c>
      <c r="L78" s="272">
        <v>2951000</v>
      </c>
      <c r="M78" s="501">
        <v>0.95856139613690283</v>
      </c>
      <c r="N78" s="272">
        <v>2828714.68</v>
      </c>
      <c r="O78" s="272">
        <v>2951000</v>
      </c>
      <c r="P78" s="501">
        <v>0.95856139613690283</v>
      </c>
    </row>
    <row r="79" spans="2:16">
      <c r="B79" s="647">
        <v>7</v>
      </c>
      <c r="C79" s="11" t="s">
        <v>339</v>
      </c>
      <c r="D79" s="11" t="s">
        <v>290</v>
      </c>
      <c r="E79" s="272">
        <v>2735000</v>
      </c>
      <c r="F79" s="272">
        <v>2507932.0113314446</v>
      </c>
      <c r="G79" s="501">
        <v>1.0905399299672429</v>
      </c>
      <c r="H79" s="272">
        <v>3218192.45</v>
      </c>
      <c r="I79" s="272">
        <v>2951000</v>
      </c>
      <c r="J79" s="501">
        <v>1.0905430193154864</v>
      </c>
      <c r="K79" s="272">
        <v>3218192.45</v>
      </c>
      <c r="L79" s="272">
        <v>2951000</v>
      </c>
      <c r="M79" s="501">
        <v>1.0905430193154864</v>
      </c>
      <c r="N79" s="272">
        <v>3218192.45</v>
      </c>
      <c r="O79" s="272">
        <v>2951000</v>
      </c>
      <c r="P79" s="501">
        <v>1.0905430193154864</v>
      </c>
    </row>
    <row r="80" spans="2:16">
      <c r="B80" s="647">
        <v>7</v>
      </c>
      <c r="C80" s="11" t="s">
        <v>340</v>
      </c>
      <c r="D80" s="11" t="s">
        <v>290</v>
      </c>
      <c r="E80" s="272">
        <v>2404000</v>
      </c>
      <c r="F80" s="272">
        <v>2507932.0113314446</v>
      </c>
      <c r="G80" s="501">
        <v>0.95855868067321814</v>
      </c>
      <c r="H80" s="272">
        <v>2828714.68</v>
      </c>
      <c r="I80" s="272">
        <v>2951000</v>
      </c>
      <c r="J80" s="501">
        <v>0.95856139613690283</v>
      </c>
      <c r="K80" s="272">
        <v>2828714.68</v>
      </c>
      <c r="L80" s="272">
        <v>2951000</v>
      </c>
      <c r="M80" s="501">
        <v>0.95856139613690283</v>
      </c>
      <c r="N80" s="272">
        <v>2828714.68</v>
      </c>
      <c r="O80" s="272">
        <v>2951000</v>
      </c>
      <c r="P80" s="501">
        <v>0.95856139613690283</v>
      </c>
    </row>
    <row r="81" spans="2:16">
      <c r="B81" s="647">
        <v>7</v>
      </c>
      <c r="C81" s="11" t="s">
        <v>341</v>
      </c>
      <c r="D81" s="11" t="s">
        <v>290</v>
      </c>
      <c r="E81" s="272">
        <v>1951000</v>
      </c>
      <c r="F81" s="272">
        <v>2507932.0113314446</v>
      </c>
      <c r="G81" s="501">
        <v>0.77793177453970408</v>
      </c>
      <c r="H81" s="272">
        <v>2295683.1700000004</v>
      </c>
      <c r="I81" s="272">
        <v>2951000</v>
      </c>
      <c r="J81" s="501">
        <v>0.7779339783124366</v>
      </c>
      <c r="K81" s="272">
        <v>2295683.1700000004</v>
      </c>
      <c r="L81" s="272">
        <v>2951000</v>
      </c>
      <c r="M81" s="501">
        <v>0.7779339783124366</v>
      </c>
      <c r="N81" s="272">
        <v>2295683.1700000004</v>
      </c>
      <c r="O81" s="272">
        <v>2951000</v>
      </c>
      <c r="P81" s="501">
        <v>0.7779339783124366</v>
      </c>
    </row>
    <row r="82" spans="2:16">
      <c r="B82" s="647">
        <v>7</v>
      </c>
      <c r="C82" s="11" t="s">
        <v>342</v>
      </c>
      <c r="D82" s="11" t="s">
        <v>290</v>
      </c>
      <c r="E82" s="272">
        <v>2156000</v>
      </c>
      <c r="F82" s="272">
        <v>2507932.0113314446</v>
      </c>
      <c r="G82" s="501">
        <v>0.85967242742573147</v>
      </c>
      <c r="H82" s="272">
        <v>2536900.52</v>
      </c>
      <c r="I82" s="272">
        <v>2951000</v>
      </c>
      <c r="J82" s="501">
        <v>0.859674862758387</v>
      </c>
      <c r="K82" s="272">
        <v>2536900.52</v>
      </c>
      <c r="L82" s="272">
        <v>2951000</v>
      </c>
      <c r="M82" s="501">
        <v>0.859674862758387</v>
      </c>
      <c r="N82" s="272">
        <v>2536900.52</v>
      </c>
      <c r="O82" s="272">
        <v>2951000</v>
      </c>
      <c r="P82" s="501">
        <v>0.859674862758387</v>
      </c>
    </row>
    <row r="83" spans="2:16" ht="27.6">
      <c r="B83" s="647">
        <v>7</v>
      </c>
      <c r="C83" s="11" t="s">
        <v>343</v>
      </c>
      <c r="D83" s="11" t="s">
        <v>290</v>
      </c>
      <c r="E83" s="272">
        <v>2404000</v>
      </c>
      <c r="F83" s="272">
        <v>2507932.0113314446</v>
      </c>
      <c r="G83" s="501">
        <v>0.95855868067321814</v>
      </c>
      <c r="H83" s="272">
        <v>2828714.68</v>
      </c>
      <c r="I83" s="272">
        <v>2951000</v>
      </c>
      <c r="J83" s="501">
        <v>0.95856139613690283</v>
      </c>
      <c r="K83" s="272">
        <v>2828714.68</v>
      </c>
      <c r="L83" s="272">
        <v>2951000</v>
      </c>
      <c r="M83" s="501">
        <v>0.95856139613690283</v>
      </c>
      <c r="N83" s="272">
        <v>2828714.68</v>
      </c>
      <c r="O83" s="272">
        <v>2951000</v>
      </c>
      <c r="P83" s="501">
        <v>0.95856139613690283</v>
      </c>
    </row>
    <row r="84" spans="2:16">
      <c r="B84" s="647">
        <v>7</v>
      </c>
      <c r="C84" s="11" t="s">
        <v>344</v>
      </c>
      <c r="D84" s="11" t="s">
        <v>290</v>
      </c>
      <c r="E84" s="272">
        <v>2645000</v>
      </c>
      <c r="F84" s="272">
        <v>2507932.0113314446</v>
      </c>
      <c r="G84" s="501">
        <v>1.0546537896758161</v>
      </c>
      <c r="H84" s="272">
        <v>3112292.1500000004</v>
      </c>
      <c r="I84" s="272">
        <v>2951000</v>
      </c>
      <c r="J84" s="501">
        <v>1.0546567773636057</v>
      </c>
      <c r="K84" s="272">
        <v>3112292.1500000004</v>
      </c>
      <c r="L84" s="272">
        <v>2951000</v>
      </c>
      <c r="M84" s="501">
        <v>1.0546567773636057</v>
      </c>
      <c r="N84" s="272">
        <v>3112292.1500000004</v>
      </c>
      <c r="O84" s="272">
        <v>2951000</v>
      </c>
      <c r="P84" s="501">
        <v>1.0546567773636057</v>
      </c>
    </row>
    <row r="85" spans="2:16">
      <c r="B85" s="647">
        <v>7</v>
      </c>
      <c r="C85" s="11" t="s">
        <v>345</v>
      </c>
      <c r="D85" s="11" t="s">
        <v>290</v>
      </c>
      <c r="E85" s="272">
        <v>2404000</v>
      </c>
      <c r="F85" s="272">
        <v>2507932.0113314446</v>
      </c>
      <c r="G85" s="501">
        <v>0.95855868067321814</v>
      </c>
      <c r="H85" s="272">
        <v>2828714.68</v>
      </c>
      <c r="I85" s="272">
        <v>2951000</v>
      </c>
      <c r="J85" s="501">
        <v>0.95856139613690283</v>
      </c>
      <c r="K85" s="272">
        <v>2828714.68</v>
      </c>
      <c r="L85" s="272">
        <v>2951000</v>
      </c>
      <c r="M85" s="501">
        <v>0.95856139613690283</v>
      </c>
      <c r="N85" s="272">
        <v>2828714.68</v>
      </c>
      <c r="O85" s="272">
        <v>2951000</v>
      </c>
      <c r="P85" s="501">
        <v>0.95856139613690283</v>
      </c>
    </row>
    <row r="86" spans="2:16" ht="27.6">
      <c r="B86" s="647">
        <v>7</v>
      </c>
      <c r="C86" s="11" t="s">
        <v>346</v>
      </c>
      <c r="D86" s="11" t="s">
        <v>290</v>
      </c>
      <c r="E86" s="272">
        <v>2404000</v>
      </c>
      <c r="F86" s="272">
        <v>2507932.0113314446</v>
      </c>
      <c r="G86" s="501">
        <v>0.95855868067321814</v>
      </c>
      <c r="H86" s="272">
        <v>2828714.68</v>
      </c>
      <c r="I86" s="272">
        <v>2951000</v>
      </c>
      <c r="J86" s="501">
        <v>0.95856139613690283</v>
      </c>
      <c r="K86" s="272">
        <v>2828714.68</v>
      </c>
      <c r="L86" s="272">
        <v>2951000</v>
      </c>
      <c r="M86" s="501">
        <v>0.95856139613690283</v>
      </c>
      <c r="N86" s="272">
        <v>2828714.68</v>
      </c>
      <c r="O86" s="272">
        <v>2951000</v>
      </c>
      <c r="P86" s="501">
        <v>0.95856139613690283</v>
      </c>
    </row>
    <row r="87" spans="2:16">
      <c r="B87" s="647">
        <v>7</v>
      </c>
      <c r="C87" s="11" t="s">
        <v>347</v>
      </c>
      <c r="D87" s="11" t="s">
        <v>290</v>
      </c>
      <c r="E87" s="272">
        <v>2156000</v>
      </c>
      <c r="F87" s="272">
        <v>2507932.0113314446</v>
      </c>
      <c r="G87" s="501">
        <v>0.85967242742573147</v>
      </c>
      <c r="H87" s="272">
        <v>2536900.52</v>
      </c>
      <c r="I87" s="272">
        <v>2951000</v>
      </c>
      <c r="J87" s="501">
        <v>0.859674862758387</v>
      </c>
      <c r="K87" s="272">
        <v>2536900.52</v>
      </c>
      <c r="L87" s="272">
        <v>2951000</v>
      </c>
      <c r="M87" s="501">
        <v>0.859674862758387</v>
      </c>
      <c r="N87" s="272">
        <v>2536900.52</v>
      </c>
      <c r="O87" s="272">
        <v>2951000</v>
      </c>
      <c r="P87" s="501">
        <v>0.859674862758387</v>
      </c>
    </row>
    <row r="88" spans="2:16" ht="27.6">
      <c r="B88" s="647">
        <v>7</v>
      </c>
      <c r="C88" s="11" t="s">
        <v>348</v>
      </c>
      <c r="D88" s="11" t="s">
        <v>290</v>
      </c>
      <c r="E88" s="272">
        <v>2404000</v>
      </c>
      <c r="F88" s="272">
        <v>2507932.0113314446</v>
      </c>
      <c r="G88" s="501">
        <v>0.95855868067321814</v>
      </c>
      <c r="H88" s="272">
        <v>2828714.68</v>
      </c>
      <c r="I88" s="272">
        <v>2951000</v>
      </c>
      <c r="J88" s="501">
        <v>0.95856139613690283</v>
      </c>
      <c r="K88" s="272">
        <v>2828714.68</v>
      </c>
      <c r="L88" s="272">
        <v>2951000</v>
      </c>
      <c r="M88" s="501">
        <v>0.95856139613690283</v>
      </c>
      <c r="N88" s="272">
        <v>2828714.68</v>
      </c>
      <c r="O88" s="272">
        <v>2951000</v>
      </c>
      <c r="P88" s="501">
        <v>0.95856139613690283</v>
      </c>
    </row>
    <row r="89" spans="2:16">
      <c r="B89" s="647">
        <v>7</v>
      </c>
      <c r="C89" s="11" t="s">
        <v>349</v>
      </c>
      <c r="D89" s="11" t="s">
        <v>290</v>
      </c>
      <c r="E89" s="272">
        <v>2404000</v>
      </c>
      <c r="F89" s="272">
        <v>2507932.0113314446</v>
      </c>
      <c r="G89" s="501">
        <v>0.95855868067321814</v>
      </c>
      <c r="H89" s="272">
        <v>2828714.68</v>
      </c>
      <c r="I89" s="272">
        <v>2951000</v>
      </c>
      <c r="J89" s="501">
        <v>0.95856139613690283</v>
      </c>
      <c r="K89" s="272">
        <v>2828714.68</v>
      </c>
      <c r="L89" s="272">
        <v>2951000</v>
      </c>
      <c r="M89" s="501">
        <v>0.95856139613690283</v>
      </c>
      <c r="N89" s="272">
        <v>2828714.68</v>
      </c>
      <c r="O89" s="272">
        <v>2951000</v>
      </c>
      <c r="P89" s="501">
        <v>0.95856139613690283</v>
      </c>
    </row>
    <row r="90" spans="2:16">
      <c r="B90" s="646">
        <v>6</v>
      </c>
      <c r="C90" s="11" t="s">
        <v>350</v>
      </c>
      <c r="D90" s="11" t="s">
        <v>295</v>
      </c>
      <c r="E90" s="272">
        <v>2300000</v>
      </c>
      <c r="F90" s="272">
        <v>2519830.0283286115</v>
      </c>
      <c r="G90" s="501">
        <v>0.91275997751545823</v>
      </c>
      <c r="H90" s="272">
        <v>2706341.0000000005</v>
      </c>
      <c r="I90" s="272">
        <v>2965000</v>
      </c>
      <c r="J90" s="501">
        <v>0.91276256323777416</v>
      </c>
      <c r="K90" s="272">
        <v>2706341.0000000005</v>
      </c>
      <c r="L90" s="272">
        <v>2965000</v>
      </c>
      <c r="M90" s="501">
        <v>0.91276256323777416</v>
      </c>
      <c r="N90" s="272">
        <v>2706341.0000000005</v>
      </c>
      <c r="O90" s="272">
        <v>2965000</v>
      </c>
      <c r="P90" s="501">
        <v>0.91276256323777416</v>
      </c>
    </row>
    <row r="91" spans="2:16" ht="27.6">
      <c r="B91" s="647">
        <v>6</v>
      </c>
      <c r="C91" s="11" t="s">
        <v>351</v>
      </c>
      <c r="D91" s="11" t="s">
        <v>290</v>
      </c>
      <c r="E91" s="272">
        <v>1951000</v>
      </c>
      <c r="F91" s="272">
        <v>2268271.9546742206</v>
      </c>
      <c r="G91" s="501">
        <v>0.8601261396278258</v>
      </c>
      <c r="H91" s="272">
        <v>2295683.1700000004</v>
      </c>
      <c r="I91" s="272">
        <v>2669000</v>
      </c>
      <c r="J91" s="501">
        <v>0.86012857624578509</v>
      </c>
      <c r="K91" s="272">
        <v>2295683.1700000004</v>
      </c>
      <c r="L91" s="272">
        <v>2669000</v>
      </c>
      <c r="M91" s="501">
        <v>0.86012857624578509</v>
      </c>
      <c r="N91" s="272">
        <v>2295683.1700000004</v>
      </c>
      <c r="O91" s="272">
        <v>2669000</v>
      </c>
      <c r="P91" s="501">
        <v>0.86012857624578509</v>
      </c>
    </row>
    <row r="92" spans="2:16">
      <c r="B92" s="647">
        <v>6</v>
      </c>
      <c r="C92" s="11" t="s">
        <v>352</v>
      </c>
      <c r="D92" s="11" t="s">
        <v>295</v>
      </c>
      <c r="E92" s="272">
        <v>2700000</v>
      </c>
      <c r="F92" s="272">
        <v>2519830.028328612</v>
      </c>
      <c r="G92" s="501">
        <v>1.0715008431703203</v>
      </c>
      <c r="H92" s="272">
        <v>3177009.0000000005</v>
      </c>
      <c r="I92" s="272">
        <v>2965000</v>
      </c>
      <c r="J92" s="501">
        <v>1.0715038785834741</v>
      </c>
      <c r="K92" s="272">
        <v>3177009.0000000005</v>
      </c>
      <c r="L92" s="272">
        <v>2965000</v>
      </c>
      <c r="M92" s="501">
        <v>1.0715038785834741</v>
      </c>
      <c r="N92" s="272">
        <v>3177009.0000000005</v>
      </c>
      <c r="O92" s="272">
        <v>2965000</v>
      </c>
      <c r="P92" s="501">
        <v>1.0715038785834741</v>
      </c>
    </row>
    <row r="93" spans="2:16">
      <c r="B93" s="647">
        <v>6</v>
      </c>
      <c r="C93" s="11" t="s">
        <v>353</v>
      </c>
      <c r="D93" s="11" t="s">
        <v>290</v>
      </c>
      <c r="E93" s="272">
        <v>2404000</v>
      </c>
      <c r="F93" s="272">
        <v>2268271.9546742206</v>
      </c>
      <c r="G93" s="501">
        <v>1.0598376420631948</v>
      </c>
      <c r="H93" s="272">
        <v>2828714.68</v>
      </c>
      <c r="I93" s="272">
        <v>2669000</v>
      </c>
      <c r="J93" s="501">
        <v>1.0598406444361184</v>
      </c>
      <c r="K93" s="272">
        <v>2828714.68</v>
      </c>
      <c r="L93" s="272">
        <v>2669000</v>
      </c>
      <c r="M93" s="501">
        <v>1.0598406444361184</v>
      </c>
      <c r="N93" s="272">
        <v>2828714.68</v>
      </c>
      <c r="O93" s="272">
        <v>2669000</v>
      </c>
      <c r="P93" s="501">
        <v>1.0598406444361184</v>
      </c>
    </row>
    <row r="94" spans="2:16">
      <c r="B94" s="14">
        <v>5</v>
      </c>
      <c r="C94" s="11" t="s">
        <v>354</v>
      </c>
      <c r="D94" s="11" t="s">
        <v>290</v>
      </c>
      <c r="E94" s="272">
        <v>2050000</v>
      </c>
      <c r="F94" s="272">
        <v>2054107.6487252121</v>
      </c>
      <c r="G94" s="501">
        <v>0.9980002758240244</v>
      </c>
      <c r="H94" s="272">
        <v>2412173.5</v>
      </c>
      <c r="I94" s="272">
        <v>2417000</v>
      </c>
      <c r="J94" s="501">
        <v>0.99800310302027306</v>
      </c>
      <c r="K94" s="272">
        <v>2412173.5</v>
      </c>
      <c r="L94" s="272">
        <v>2417000</v>
      </c>
      <c r="M94" s="501">
        <v>0.99800310302027306</v>
      </c>
      <c r="N94" s="272">
        <v>2412173.5</v>
      </c>
      <c r="O94" s="272">
        <v>2417000</v>
      </c>
      <c r="P94" s="501">
        <v>0.99800310302027306</v>
      </c>
    </row>
    <row r="95" spans="2:16">
      <c r="B95" s="646">
        <v>4</v>
      </c>
      <c r="C95" s="11" t="s">
        <v>355</v>
      </c>
      <c r="D95" s="11" t="s">
        <v>290</v>
      </c>
      <c r="E95" s="272">
        <v>1951000</v>
      </c>
      <c r="F95" s="272">
        <v>1873937.6770538243</v>
      </c>
      <c r="G95" s="501">
        <v>1.0411232048374905</v>
      </c>
      <c r="H95" s="272">
        <v>2295683.1700000004</v>
      </c>
      <c r="I95" s="272">
        <v>2205000</v>
      </c>
      <c r="J95" s="501">
        <v>1.0411261541950114</v>
      </c>
      <c r="K95" s="272">
        <v>2295683.1700000004</v>
      </c>
      <c r="L95" s="272">
        <v>2205000</v>
      </c>
      <c r="M95" s="501">
        <v>1.0411261541950114</v>
      </c>
      <c r="N95" s="272">
        <v>2295683.1700000004</v>
      </c>
      <c r="O95" s="272">
        <v>2205000</v>
      </c>
      <c r="P95" s="501">
        <v>1.0411261541950114</v>
      </c>
    </row>
    <row r="96" spans="2:16">
      <c r="B96" s="647">
        <v>4</v>
      </c>
      <c r="C96" s="11" t="s">
        <v>356</v>
      </c>
      <c r="D96" s="11" t="s">
        <v>290</v>
      </c>
      <c r="E96" s="272">
        <v>1951000</v>
      </c>
      <c r="F96" s="272">
        <v>1873937.6770538243</v>
      </c>
      <c r="G96" s="501">
        <v>1.0411232048374905</v>
      </c>
      <c r="H96" s="272">
        <v>2295683.1700000004</v>
      </c>
      <c r="I96" s="272">
        <v>2205000</v>
      </c>
      <c r="J96" s="501">
        <v>1.0411261541950114</v>
      </c>
      <c r="K96" s="272">
        <v>2295683.1700000004</v>
      </c>
      <c r="L96" s="272">
        <v>2205000</v>
      </c>
      <c r="M96" s="501">
        <v>1.0411261541950114</v>
      </c>
      <c r="N96" s="272">
        <v>2295683.1700000004</v>
      </c>
      <c r="O96" s="272">
        <v>2205000</v>
      </c>
      <c r="P96" s="501">
        <v>1.0411261541950114</v>
      </c>
    </row>
    <row r="97" spans="2:16">
      <c r="B97" s="14">
        <v>3</v>
      </c>
      <c r="C97" s="648" t="s">
        <v>910</v>
      </c>
      <c r="D97" s="11" t="s">
        <v>909</v>
      </c>
      <c r="E97" s="272" t="e">
        <v>#DIV/0!</v>
      </c>
      <c r="F97" s="272" t="e">
        <v>#N/A</v>
      </c>
      <c r="G97" s="501" t="e">
        <v>#DIV/0!</v>
      </c>
      <c r="H97" s="272" t="e">
        <v>#DIV/0!</v>
      </c>
      <c r="I97" s="272" t="e">
        <v>#N/A</v>
      </c>
      <c r="J97" s="501" t="e">
        <v>#DIV/0!</v>
      </c>
      <c r="K97" s="272" t="e">
        <v>#DIV/0!</v>
      </c>
      <c r="L97" s="272" t="e">
        <v>#N/A</v>
      </c>
      <c r="M97" s="501" t="e">
        <v>#DIV/0!</v>
      </c>
      <c r="N97" s="272" t="e">
        <v>#DIV/0!</v>
      </c>
      <c r="O97" s="272" t="e">
        <v>#N/A</v>
      </c>
      <c r="P97" s="501" t="e">
        <v>#DIV/0!</v>
      </c>
    </row>
    <row r="98" spans="2:16">
      <c r="B98" s="14">
        <v>2</v>
      </c>
      <c r="C98" s="649" t="s">
        <v>910</v>
      </c>
      <c r="D98" s="11" t="s">
        <v>909</v>
      </c>
      <c r="E98" s="272" t="e">
        <v>#DIV/0!</v>
      </c>
      <c r="F98" s="272" t="e">
        <v>#N/A</v>
      </c>
      <c r="G98" s="501" t="e">
        <v>#DIV/0!</v>
      </c>
      <c r="H98" s="272" t="e">
        <v>#DIV/0!</v>
      </c>
      <c r="I98" s="272" t="e">
        <v>#N/A</v>
      </c>
      <c r="J98" s="501" t="e">
        <v>#DIV/0!</v>
      </c>
      <c r="K98" s="272" t="e">
        <v>#DIV/0!</v>
      </c>
      <c r="L98" s="272" t="e">
        <v>#N/A</v>
      </c>
      <c r="M98" s="501" t="e">
        <v>#DIV/0!</v>
      </c>
      <c r="N98" s="272" t="e">
        <v>#DIV/0!</v>
      </c>
      <c r="O98" s="272" t="e">
        <v>#N/A</v>
      </c>
      <c r="P98" s="501" t="e">
        <v>#DIV/0!</v>
      </c>
    </row>
    <row r="99" spans="2:16">
      <c r="B99" s="14">
        <v>1</v>
      </c>
      <c r="C99" s="649" t="s">
        <v>910</v>
      </c>
      <c r="D99" s="11" t="s">
        <v>909</v>
      </c>
      <c r="E99" s="272" t="e">
        <v>#DIV/0!</v>
      </c>
      <c r="F99" s="272" t="e">
        <v>#N/A</v>
      </c>
      <c r="G99" s="501" t="e">
        <v>#DIV/0!</v>
      </c>
      <c r="H99" s="272" t="e">
        <v>#DIV/0!</v>
      </c>
      <c r="I99" s="272" t="e">
        <v>#N/A</v>
      </c>
      <c r="J99" s="501" t="e">
        <v>#DIV/0!</v>
      </c>
      <c r="K99" s="272" t="e">
        <v>#DIV/0!</v>
      </c>
      <c r="L99" s="272" t="e">
        <v>#N/A</v>
      </c>
      <c r="M99" s="501" t="e">
        <v>#DIV/0!</v>
      </c>
      <c r="N99" s="272" t="e">
        <v>#DIV/0!</v>
      </c>
      <c r="O99" s="272" t="e">
        <v>#N/A</v>
      </c>
      <c r="P99" s="501" t="e">
        <v>#DIV/0!</v>
      </c>
    </row>
    <row r="100" spans="2:16" ht="14.4">
      <c r="B100" s="273"/>
      <c r="C100" s="273"/>
      <c r="D100" s="273"/>
      <c r="E100" s="273"/>
      <c r="F100" s="273"/>
      <c r="G100" s="273"/>
      <c r="H100" s="273"/>
      <c r="I100" s="273"/>
      <c r="J100" s="273"/>
      <c r="K100" s="273"/>
      <c r="L100" s="273"/>
      <c r="M100" s="273"/>
      <c r="N100" s="273"/>
      <c r="O100" s="273"/>
      <c r="P100" s="273"/>
    </row>
    <row r="101" spans="2:16" ht="14.4">
      <c r="B101" s="273"/>
      <c r="C101" s="273"/>
      <c r="D101" s="273"/>
      <c r="E101" s="273"/>
      <c r="F101" s="273"/>
      <c r="G101" s="273"/>
      <c r="H101" s="273"/>
      <c r="I101" s="273"/>
      <c r="J101" s="273"/>
      <c r="K101" s="273"/>
      <c r="L101" s="273"/>
      <c r="M101" s="273"/>
      <c r="N101" s="273"/>
      <c r="O101" s="273"/>
      <c r="P101" s="273"/>
    </row>
    <row r="102" spans="2:16" ht="14.4">
      <c r="B102" s="273"/>
      <c r="C102" s="273"/>
      <c r="D102" s="273"/>
      <c r="E102" s="273"/>
      <c r="F102" s="273"/>
      <c r="G102" s="273"/>
      <c r="H102" s="273"/>
      <c r="I102" s="273"/>
      <c r="J102" s="273"/>
      <c r="K102" s="273"/>
      <c r="L102" s="273"/>
      <c r="M102" s="273"/>
      <c r="N102" s="273"/>
      <c r="O102" s="273"/>
      <c r="P102" s="273"/>
    </row>
    <row r="103" spans="2:16" ht="14.4">
      <c r="B103" s="273"/>
      <c r="C103" s="273"/>
      <c r="D103" s="273"/>
      <c r="E103" s="273"/>
      <c r="F103" s="273"/>
      <c r="G103" s="273"/>
      <c r="H103" s="273"/>
      <c r="I103" s="273"/>
      <c r="J103" s="273"/>
      <c r="K103" s="273"/>
      <c r="L103" s="273"/>
      <c r="M103" s="273"/>
      <c r="N103" s="273"/>
      <c r="O103" s="273"/>
      <c r="P103" s="273"/>
    </row>
    <row r="104" spans="2:16" ht="14.4">
      <c r="B104" s="273"/>
      <c r="C104" s="273"/>
      <c r="D104" s="273"/>
      <c r="E104" s="273"/>
      <c r="F104" s="273"/>
      <c r="G104" s="273"/>
      <c r="H104" s="273"/>
      <c r="I104" s="273"/>
      <c r="J104" s="273"/>
      <c r="K104" s="273"/>
      <c r="L104" s="273"/>
      <c r="M104" s="273"/>
      <c r="N104" s="273"/>
      <c r="O104" s="273"/>
      <c r="P104" s="273"/>
    </row>
    <row r="105" spans="2:16" ht="14.4">
      <c r="B105" s="273"/>
      <c r="C105" s="273"/>
      <c r="D105" s="273"/>
      <c r="E105" s="273"/>
      <c r="F105" s="273"/>
      <c r="G105" s="273"/>
      <c r="H105" s="273"/>
      <c r="I105" s="273"/>
      <c r="J105" s="273"/>
      <c r="K105" s="273"/>
      <c r="L105" s="273"/>
      <c r="M105" s="273"/>
      <c r="N105" s="273"/>
      <c r="O105" s="273"/>
      <c r="P105" s="273"/>
    </row>
    <row r="106" spans="2:16" ht="14.4">
      <c r="B106" s="273"/>
      <c r="C106" s="273"/>
      <c r="D106" s="273"/>
      <c r="E106" s="273"/>
      <c r="F106" s="273"/>
      <c r="G106" s="273"/>
      <c r="H106" s="273"/>
      <c r="I106" s="273"/>
      <c r="J106" s="273"/>
      <c r="K106" s="273"/>
      <c r="L106" s="273"/>
      <c r="M106" s="273"/>
      <c r="N106" s="273"/>
      <c r="O106" s="273"/>
      <c r="P106" s="273"/>
    </row>
    <row r="107" spans="2:16" ht="14.4">
      <c r="B107" s="273"/>
      <c r="C107" s="273"/>
      <c r="D107" s="273"/>
      <c r="E107" s="273"/>
      <c r="F107" s="273"/>
      <c r="G107" s="273"/>
      <c r="H107" s="273"/>
      <c r="I107" s="273"/>
      <c r="J107" s="273"/>
      <c r="K107" s="273"/>
      <c r="L107" s="273"/>
      <c r="M107" s="273"/>
      <c r="N107" s="273"/>
      <c r="O107" s="273"/>
      <c r="P107" s="273"/>
    </row>
    <row r="108" spans="2:16" ht="14.4">
      <c r="B108" s="273"/>
      <c r="C108" s="273"/>
      <c r="D108" s="273"/>
      <c r="E108" s="273"/>
      <c r="F108" s="273"/>
      <c r="G108" s="273"/>
      <c r="H108" s="273"/>
      <c r="I108" s="273"/>
      <c r="J108" s="273"/>
      <c r="K108" s="273"/>
      <c r="L108" s="273"/>
      <c r="M108" s="273"/>
      <c r="N108" s="273"/>
      <c r="O108" s="273"/>
      <c r="P108" s="273"/>
    </row>
    <row r="109" spans="2:16"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</row>
    <row r="110" spans="2:16"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</row>
    <row r="111" spans="2:16"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</row>
    <row r="112" spans="2:16"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</row>
    <row r="113" spans="2:15"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</row>
    <row r="114" spans="2:15"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</row>
    <row r="115" spans="2:15"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</row>
    <row r="116" spans="2:15"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</row>
    <row r="117" spans="2:15"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</row>
    <row r="118" spans="2:15"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</row>
    <row r="119" spans="2:15"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</row>
    <row r="120" spans="2:15"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</row>
    <row r="121" spans="2:15"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</row>
    <row r="122" spans="2:15"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</row>
    <row r="123" spans="2:15"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</row>
    <row r="124" spans="2:15"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</row>
    <row r="125" spans="2:15"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</row>
    <row r="126" spans="2:15"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</row>
    <row r="127" spans="2:15"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</row>
    <row r="128" spans="2:15"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</row>
    <row r="129" spans="2:15"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</row>
    <row r="130" spans="2:15"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</row>
    <row r="131" spans="2:15"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</row>
    <row r="132" spans="2:15"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</row>
    <row r="133" spans="2:15"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</row>
    <row r="134" spans="2:15"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</row>
    <row r="135" spans="2:15"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</row>
    <row r="136" spans="2:15"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</row>
    <row r="137" spans="2:15"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</row>
    <row r="138" spans="2:15"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</row>
    <row r="139" spans="2:15"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</row>
    <row r="140" spans="2:15"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</row>
    <row r="141" spans="2:15"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</row>
    <row r="142" spans="2:15"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</row>
    <row r="143" spans="2:15"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</row>
    <row r="144" spans="2:15"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</row>
    <row r="145" spans="2:15"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</row>
    <row r="146" spans="2:15"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</row>
    <row r="147" spans="2:15"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</row>
    <row r="148" spans="2:15"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</row>
    <row r="149" spans="2:15"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</row>
    <row r="150" spans="2:15"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</row>
    <row r="151" spans="2:15"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</row>
    <row r="152" spans="2:15"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</row>
    <row r="153" spans="2:15"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</row>
    <row r="154" spans="2:15"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</row>
    <row r="155" spans="2:15"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</row>
    <row r="156" spans="2:15"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</row>
    <row r="157" spans="2:15"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</row>
    <row r="158" spans="2:15"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</row>
    <row r="159" spans="2:15"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</row>
    <row r="160" spans="2:15"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</row>
    <row r="161" spans="2:15"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</row>
    <row r="162" spans="2:15"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</row>
    <row r="163" spans="2:15"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</row>
    <row r="164" spans="2:15"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</row>
    <row r="165" spans="2:15"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</row>
    <row r="166" spans="2:15"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</row>
    <row r="167" spans="2:15"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</row>
    <row r="168" spans="2:15"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</row>
    <row r="169" spans="2:15"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</row>
    <row r="170" spans="2:15"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</row>
    <row r="171" spans="2:15"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</row>
    <row r="172" spans="2:15"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</row>
    <row r="173" spans="2:15"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</row>
    <row r="174" spans="2:15"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</row>
    <row r="175" spans="2:15"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</row>
    <row r="176" spans="2:15"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</row>
    <row r="177" spans="4:5">
      <c r="D177" s="16"/>
      <c r="E177" s="16"/>
    </row>
    <row r="178" spans="4:5">
      <c r="D178" s="16"/>
      <c r="E178" s="16"/>
    </row>
    <row r="179" spans="4:5">
      <c r="D179" s="16"/>
      <c r="E179" s="16"/>
    </row>
    <row r="180" spans="4:5">
      <c r="D180" s="16"/>
      <c r="E180" s="16"/>
    </row>
    <row r="181" spans="4:5">
      <c r="D181" s="16"/>
      <c r="E181" s="16"/>
    </row>
    <row r="182" spans="4:5">
      <c r="D182" s="16"/>
      <c r="E182" s="16"/>
    </row>
    <row r="183" spans="4:5">
      <c r="D183" s="16"/>
      <c r="E183" s="16"/>
    </row>
    <row r="184" spans="4:5">
      <c r="D184" s="16"/>
      <c r="E184" s="16"/>
    </row>
    <row r="185" spans="4:5">
      <c r="D185" s="16"/>
      <c r="E185" s="16"/>
    </row>
    <row r="186" spans="4:5">
      <c r="D186" s="16"/>
      <c r="E186" s="16"/>
    </row>
    <row r="187" spans="4:5">
      <c r="D187" s="16"/>
      <c r="E187" s="16"/>
    </row>
    <row r="188" spans="4:5">
      <c r="D188" s="16"/>
      <c r="E188" s="16"/>
    </row>
    <row r="189" spans="4:5">
      <c r="D189" s="16"/>
      <c r="E189" s="16"/>
    </row>
    <row r="190" spans="4:5">
      <c r="D190" s="16"/>
      <c r="E190" s="16"/>
    </row>
    <row r="191" spans="4:5">
      <c r="D191" s="16"/>
      <c r="E191" s="16"/>
    </row>
    <row r="192" spans="4:5">
      <c r="D192" s="16"/>
      <c r="E192" s="16"/>
    </row>
    <row r="193" spans="4:5">
      <c r="D193" s="16"/>
      <c r="E193" s="16"/>
    </row>
    <row r="194" spans="4:5">
      <c r="D194" s="16"/>
      <c r="E194" s="16"/>
    </row>
    <row r="195" spans="4:5">
      <c r="D195" s="16"/>
      <c r="E195" s="16"/>
    </row>
    <row r="196" spans="4:5">
      <c r="D196" s="16"/>
      <c r="E196" s="16"/>
    </row>
    <row r="197" spans="4:5">
      <c r="D197" s="16"/>
      <c r="E197" s="16"/>
    </row>
    <row r="198" spans="4:5">
      <c r="D198" s="16"/>
      <c r="E198" s="16"/>
    </row>
    <row r="199" spans="4:5">
      <c r="D199" s="16"/>
      <c r="E199" s="16"/>
    </row>
    <row r="200" spans="4:5">
      <c r="D200" s="16"/>
      <c r="E200" s="16"/>
    </row>
    <row r="201" spans="4:5">
      <c r="D201" s="16"/>
      <c r="E201" s="16"/>
    </row>
    <row r="202" spans="4:5">
      <c r="D202" s="16"/>
      <c r="E202" s="16"/>
    </row>
    <row r="203" spans="4:5">
      <c r="D203" s="16"/>
      <c r="E203" s="16"/>
    </row>
    <row r="204" spans="4:5">
      <c r="D204" s="16"/>
      <c r="E204" s="16"/>
    </row>
    <row r="205" spans="4:5">
      <c r="D205" s="16"/>
      <c r="E205" s="16"/>
    </row>
    <row r="206" spans="4:5">
      <c r="D206" s="16"/>
      <c r="E206" s="16"/>
    </row>
    <row r="207" spans="4:5">
      <c r="D207" s="16"/>
      <c r="E207" s="16"/>
    </row>
    <row r="208" spans="4:5">
      <c r="D208" s="16"/>
      <c r="E208" s="16"/>
    </row>
    <row r="209" spans="4:5">
      <c r="D209" s="16"/>
      <c r="E209" s="16"/>
    </row>
    <row r="210" spans="4:5">
      <c r="D210" s="16"/>
      <c r="E210" s="16"/>
    </row>
    <row r="211" spans="4:5">
      <c r="D211" s="16"/>
      <c r="E211" s="16"/>
    </row>
    <row r="212" spans="4:5">
      <c r="D212" s="16"/>
      <c r="E212" s="16"/>
    </row>
    <row r="213" spans="4:5">
      <c r="D213" s="16"/>
      <c r="E213" s="16"/>
    </row>
    <row r="214" spans="4:5">
      <c r="D214" s="16"/>
      <c r="E214" s="16"/>
    </row>
    <row r="215" spans="4:5">
      <c r="D215" s="16"/>
      <c r="E215" s="16"/>
    </row>
    <row r="216" spans="4:5">
      <c r="D216" s="16"/>
      <c r="E216" s="16"/>
    </row>
    <row r="217" spans="4:5">
      <c r="D217" s="16"/>
      <c r="E217" s="16"/>
    </row>
    <row r="218" spans="4:5">
      <c r="D218" s="16"/>
      <c r="E218" s="16"/>
    </row>
    <row r="219" spans="4:5">
      <c r="D219" s="16"/>
      <c r="E219" s="16"/>
    </row>
    <row r="220" spans="4:5">
      <c r="D220" s="16"/>
      <c r="E220" s="16"/>
    </row>
    <row r="221" spans="4:5">
      <c r="D221" s="16"/>
      <c r="E221" s="16"/>
    </row>
    <row r="222" spans="4:5">
      <c r="D222" s="16"/>
      <c r="E222" s="16"/>
    </row>
    <row r="223" spans="4:5">
      <c r="D223" s="16"/>
      <c r="E223" s="16"/>
    </row>
    <row r="224" spans="4:5">
      <c r="D224" s="16"/>
      <c r="E224" s="16"/>
    </row>
    <row r="225" spans="4:5">
      <c r="D225" s="16"/>
      <c r="E225" s="16"/>
    </row>
    <row r="226" spans="4:5">
      <c r="D226" s="16"/>
      <c r="E226" s="16"/>
    </row>
    <row r="227" spans="4:5">
      <c r="D227" s="16"/>
      <c r="E227" s="16"/>
    </row>
    <row r="228" spans="4:5">
      <c r="D228" s="16"/>
      <c r="E228" s="16"/>
    </row>
    <row r="229" spans="4:5">
      <c r="D229" s="16"/>
      <c r="E229" s="16"/>
    </row>
    <row r="230" spans="4:5">
      <c r="D230" s="16"/>
      <c r="E230" s="16"/>
    </row>
    <row r="231" spans="4:5">
      <c r="D231" s="16"/>
      <c r="E231" s="16"/>
    </row>
    <row r="232" spans="4:5">
      <c r="D232" s="16"/>
      <c r="E232" s="16"/>
    </row>
    <row r="233" spans="4:5">
      <c r="D233" s="16"/>
      <c r="E233" s="16"/>
    </row>
    <row r="234" spans="4:5">
      <c r="D234" s="16"/>
      <c r="E234" s="16"/>
    </row>
    <row r="235" spans="4:5">
      <c r="D235" s="16"/>
      <c r="E235" s="16"/>
    </row>
    <row r="236" spans="4:5">
      <c r="D236" s="16"/>
      <c r="E236" s="16"/>
    </row>
    <row r="237" spans="4:5">
      <c r="D237" s="16"/>
      <c r="E237" s="16"/>
    </row>
    <row r="238" spans="4:5">
      <c r="D238" s="16"/>
      <c r="E238" s="16"/>
    </row>
    <row r="239" spans="4:5">
      <c r="D239" s="16"/>
      <c r="E239" s="16"/>
    </row>
  </sheetData>
  <mergeCells count="15">
    <mergeCell ref="B90:B93"/>
    <mergeCell ref="B95:B96"/>
    <mergeCell ref="C8:C13"/>
    <mergeCell ref="C97:C99"/>
    <mergeCell ref="B2:M3"/>
    <mergeCell ref="B16:B17"/>
    <mergeCell ref="B39:B49"/>
    <mergeCell ref="B50:B61"/>
    <mergeCell ref="B62:B63"/>
    <mergeCell ref="B64:B67"/>
    <mergeCell ref="B68:B75"/>
    <mergeCell ref="B76:B89"/>
    <mergeCell ref="B20:B26"/>
    <mergeCell ref="B27:B34"/>
    <mergeCell ref="B35:B38"/>
  </mergeCells>
  <conditionalFormatting pivot="1" sqref="J8:J99">
    <cfRule type="cellIs" dxfId="1839" priority="14" operator="lessThan">
      <formula>0.8</formula>
    </cfRule>
  </conditionalFormatting>
  <conditionalFormatting pivot="1" sqref="J8:J99">
    <cfRule type="cellIs" dxfId="1838" priority="13" operator="greaterThan">
      <formula>1.2</formula>
    </cfRule>
  </conditionalFormatting>
  <conditionalFormatting pivot="1" sqref="M8:M99">
    <cfRule type="cellIs" dxfId="1837" priority="12" operator="lessThan">
      <formula>0.8</formula>
    </cfRule>
  </conditionalFormatting>
  <conditionalFormatting pivot="1" sqref="M8:M99">
    <cfRule type="cellIs" dxfId="1836" priority="11" operator="greaterThan">
      <formula>1.2</formula>
    </cfRule>
  </conditionalFormatting>
  <conditionalFormatting pivot="1" sqref="P8:P99">
    <cfRule type="cellIs" dxfId="1835" priority="10" operator="lessThan">
      <formula>0.8</formula>
    </cfRule>
  </conditionalFormatting>
  <conditionalFormatting pivot="1" sqref="P8:P99">
    <cfRule type="cellIs" dxfId="1834" priority="9" operator="greaterThan">
      <formula>1.2</formula>
    </cfRule>
  </conditionalFormatting>
  <conditionalFormatting pivot="1" sqref="G8:G99">
    <cfRule type="cellIs" dxfId="1833" priority="2" operator="lessThan">
      <formula>0.8</formula>
    </cfRule>
  </conditionalFormatting>
  <conditionalFormatting pivot="1" sqref="G8:G99">
    <cfRule type="cellIs" dxfId="1832" priority="1" operator="greaterThan">
      <formula>1.2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EstructuraPoliticaMenu">
                <anchor moveWithCells="1" sizeWithCells="1">
                  <from>
                    <xdr:col>14</xdr:col>
                    <xdr:colOff>144780</xdr:colOff>
                    <xdr:row>1</xdr:row>
                    <xdr:rowOff>137160</xdr:rowOff>
                  </from>
                  <to>
                    <xdr:col>15</xdr:col>
                    <xdr:colOff>381000</xdr:colOff>
                    <xdr:row>3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3"/>
  <dimension ref="A1:R54"/>
  <sheetViews>
    <sheetView showGridLines="0" workbookViewId="0">
      <selection activeCell="N25" sqref="N25"/>
    </sheetView>
  </sheetViews>
  <sheetFormatPr baseColWidth="10" defaultColWidth="0" defaultRowHeight="13.8" zeroHeight="1"/>
  <cols>
    <col min="1" max="1" width="1.5546875" style="16" customWidth="1"/>
    <col min="2" max="2" width="17.5546875" style="16" customWidth="1"/>
    <col min="3" max="6" width="16.5546875" style="16" customWidth="1"/>
    <col min="7" max="7" width="2.44140625" style="16" customWidth="1"/>
    <col min="8" max="8" width="17.5546875" style="16" customWidth="1"/>
    <col min="9" max="12" width="16.5546875" style="16" customWidth="1"/>
    <col min="13" max="13" width="2.5546875" style="16" customWidth="1"/>
    <col min="14" max="14" width="17.5546875" style="16" customWidth="1"/>
    <col min="15" max="15" width="18.5546875" style="16" bestFit="1" customWidth="1"/>
    <col min="16" max="16" width="17.5546875" style="16" customWidth="1"/>
    <col min="17" max="17" width="2.5546875" style="16" customWidth="1"/>
    <col min="18" max="18" width="0" style="16" hidden="1" customWidth="1"/>
    <col min="19" max="16384" width="10.5546875" style="16" hidden="1"/>
  </cols>
  <sheetData>
    <row r="1" spans="2:16"/>
    <row r="2" spans="2:16">
      <c r="B2" s="652"/>
      <c r="C2" s="652"/>
      <c r="D2" s="652"/>
      <c r="E2" s="652"/>
      <c r="F2" s="652"/>
      <c r="G2" s="652"/>
      <c r="H2" s="652"/>
      <c r="I2" s="652"/>
      <c r="J2" s="652"/>
      <c r="K2" s="652"/>
      <c r="L2" s="652"/>
    </row>
    <row r="3" spans="2:16">
      <c r="B3" s="652"/>
      <c r="C3" s="652"/>
      <c r="D3" s="652"/>
      <c r="E3" s="652"/>
      <c r="F3" s="652"/>
      <c r="G3" s="652"/>
      <c r="H3" s="652"/>
      <c r="I3" s="652"/>
      <c r="J3" s="652"/>
      <c r="K3" s="652"/>
      <c r="L3" s="652"/>
    </row>
    <row r="4" spans="2:16"/>
    <row r="5" spans="2:16" ht="36" hidden="1" customHeight="1">
      <c r="B5" s="653" t="s">
        <v>687</v>
      </c>
      <c r="C5" s="653"/>
      <c r="D5" s="653"/>
      <c r="E5" s="653"/>
      <c r="F5" s="653"/>
      <c r="G5" s="68"/>
      <c r="H5" s="653" t="s">
        <v>688</v>
      </c>
      <c r="I5" s="653"/>
      <c r="J5" s="653"/>
      <c r="K5" s="653"/>
      <c r="L5" s="653"/>
    </row>
    <row r="6" spans="2:16" s="82" customFormat="1" hidden="1">
      <c r="B6" s="80" t="s">
        <v>689</v>
      </c>
      <c r="C6" s="81">
        <v>0.7</v>
      </c>
      <c r="D6" s="81">
        <v>0.8</v>
      </c>
      <c r="E6" s="81">
        <v>0.9</v>
      </c>
      <c r="F6" s="81">
        <v>1</v>
      </c>
      <c r="H6" s="80" t="s">
        <v>689</v>
      </c>
      <c r="I6" s="81">
        <v>0.7</v>
      </c>
      <c r="J6" s="81">
        <v>0.8</v>
      </c>
      <c r="K6" s="81">
        <v>0.9</v>
      </c>
      <c r="L6" s="81">
        <v>1</v>
      </c>
      <c r="N6" s="204" t="s">
        <v>690</v>
      </c>
      <c r="O6" s="203">
        <v>1</v>
      </c>
    </row>
    <row r="7" spans="2:16" hidden="1">
      <c r="B7" s="71">
        <f>IFERROR(O8,"")</f>
        <v>183538890.81833333</v>
      </c>
      <c r="C7" s="70">
        <v>40010161.460000008</v>
      </c>
      <c r="D7" s="70">
        <v>67773207.473333329</v>
      </c>
      <c r="E7" s="70">
        <v>105500019.05333336</v>
      </c>
      <c r="F7" s="70">
        <v>145033719.05333334</v>
      </c>
      <c r="H7" s="71">
        <f>IFERROR(P8,"")</f>
        <v>36182197.981031634</v>
      </c>
      <c r="I7" s="70">
        <v>6846628.2016997123</v>
      </c>
      <c r="J7" s="70">
        <v>10888417.55184136</v>
      </c>
      <c r="K7" s="70">
        <v>22356634.824091125</v>
      </c>
      <c r="L7" s="70">
        <v>29210739.085564196</v>
      </c>
    </row>
    <row r="8" spans="2:16" s="82" customFormat="1" hidden="1">
      <c r="B8" s="80" t="s">
        <v>277</v>
      </c>
      <c r="C8" s="81">
        <v>0.7</v>
      </c>
      <c r="D8" s="81">
        <v>0.8</v>
      </c>
      <c r="E8" s="81">
        <v>0.9</v>
      </c>
      <c r="F8" s="81">
        <v>1</v>
      </c>
      <c r="H8" s="80" t="s">
        <v>277</v>
      </c>
      <c r="I8" s="81">
        <v>0.7</v>
      </c>
      <c r="J8" s="81">
        <v>0.8</v>
      </c>
      <c r="K8" s="81">
        <v>0.9</v>
      </c>
      <c r="L8" s="81">
        <v>1</v>
      </c>
      <c r="N8" s="79" t="s">
        <v>273</v>
      </c>
      <c r="O8" s="83">
        <f>IFERROR(SUMIFS(Datos_Origen[Nivelación CT],Datos_Origen[Criticidad],$N8,Datos_Origen[Básico],"&gt;0"),"")</f>
        <v>183538890.81833333</v>
      </c>
      <c r="P8" s="83">
        <f>IFERROR(SUMIFS(Datos_Origen[Nivelación Costo Laboral],Datos_Origen[Criticidad],$N8,Datos_Origen[Básico],"&gt;0"),"")</f>
        <v>36182197.981031634</v>
      </c>
    </row>
    <row r="9" spans="2:16" hidden="1">
      <c r="B9" s="71">
        <f>IFERROR(O9,"")</f>
        <v>87441148.093333334</v>
      </c>
      <c r="C9" s="70">
        <v>12044032.009999994</v>
      </c>
      <c r="D9" s="70">
        <v>27113348.703333326</v>
      </c>
      <c r="E9" s="70">
        <v>45642659.703333333</v>
      </c>
      <c r="F9" s="70">
        <v>64581259.703333333</v>
      </c>
      <c r="H9" s="71">
        <f>IFERROR(P9,"")</f>
        <v>20903466.803041752</v>
      </c>
      <c r="I9" s="70">
        <v>867789.63728045241</v>
      </c>
      <c r="J9" s="70">
        <v>4921486.3828328587</v>
      </c>
      <c r="K9" s="70">
        <v>7725128.0168271931</v>
      </c>
      <c r="L9" s="70">
        <v>14606503.531841356</v>
      </c>
      <c r="N9" s="79" t="s">
        <v>277</v>
      </c>
      <c r="O9" s="83">
        <f>IFERROR(SUMIFS(Datos_Origen[Nivelación CT],Datos_Origen[Criticidad],$N9,Datos_Origen[Básico],"&gt;0"),"")</f>
        <v>87441148.093333334</v>
      </c>
      <c r="P9" s="83">
        <f>IFERROR(SUMIFS(Datos_Origen[Nivelación Costo Laboral],Datos_Origen[Criticidad],$N9,Datos_Origen[Básico],"&gt;0"),"")</f>
        <v>20903466.803041752</v>
      </c>
    </row>
    <row r="10" spans="2:16" s="82" customFormat="1" hidden="1">
      <c r="B10" s="80" t="s">
        <v>295</v>
      </c>
      <c r="C10" s="81">
        <v>0.7</v>
      </c>
      <c r="D10" s="81">
        <v>0.8</v>
      </c>
      <c r="E10" s="81">
        <v>0.9</v>
      </c>
      <c r="F10" s="81">
        <v>1</v>
      </c>
      <c r="H10" s="80" t="s">
        <v>295</v>
      </c>
      <c r="I10" s="81">
        <v>0.7</v>
      </c>
      <c r="J10" s="81">
        <v>0.8</v>
      </c>
      <c r="K10" s="81">
        <v>0.9</v>
      </c>
      <c r="L10" s="81">
        <v>1</v>
      </c>
      <c r="N10" s="79" t="s">
        <v>295</v>
      </c>
      <c r="O10" s="83">
        <f>IFERROR(SUMIFS(Datos_Origen[Nivelación CT],Datos_Origen[Criticidad],$N10,Datos_Origen[Básico],"&gt;0"),"")</f>
        <v>58699178.169999987</v>
      </c>
      <c r="P10" s="83">
        <f>IFERROR(SUMIFS(Datos_Origen[Nivelación Costo Laboral],Datos_Origen[Criticidad],$N10,Datos_Origen[Básico],"&gt;0"),"")</f>
        <v>9570165.7939943317</v>
      </c>
    </row>
    <row r="11" spans="2:16" hidden="1">
      <c r="B11" s="71">
        <f>IFERROR(O10,"")</f>
        <v>58699178.169999987</v>
      </c>
      <c r="C11" s="70">
        <v>3726297.7299999958</v>
      </c>
      <c r="D11" s="70">
        <v>14576070.089999994</v>
      </c>
      <c r="E11" s="70">
        <v>26689970.09</v>
      </c>
      <c r="F11" s="70">
        <v>40631327.170000002</v>
      </c>
      <c r="H11" s="71">
        <f>IFERROR(P10,"")</f>
        <v>9570165.7939943317</v>
      </c>
      <c r="I11" s="70">
        <v>635640.36413597723</v>
      </c>
      <c r="J11" s="70">
        <v>2373445.2260056646</v>
      </c>
      <c r="K11" s="70">
        <v>4259924.7217563726</v>
      </c>
      <c r="L11" s="70">
        <v>6524851.380396598</v>
      </c>
      <c r="N11" s="79" t="s">
        <v>290</v>
      </c>
      <c r="O11" s="83">
        <f>IFERROR(SUMIFS(Datos_Origen[Nivelación CT],Datos_Origen[Criticidad],$N11,Datos_Origen[Básico],"&gt;0"),"")</f>
        <v>47626614.359999999</v>
      </c>
      <c r="P11" s="83">
        <f>IFERROR(SUMIFS(Datos_Origen[Nivelación Costo Laboral],Datos_Origen[Criticidad],$N11,Datos_Origen[Básico],"&gt;0"),"")</f>
        <v>7343211.0873654364</v>
      </c>
    </row>
    <row r="12" spans="2:16" s="82" customFormat="1" hidden="1">
      <c r="B12" s="80" t="s">
        <v>290</v>
      </c>
      <c r="C12" s="81">
        <v>0.7</v>
      </c>
      <c r="D12" s="81">
        <v>0.8</v>
      </c>
      <c r="E12" s="81">
        <v>0.9</v>
      </c>
      <c r="F12" s="81">
        <v>1</v>
      </c>
      <c r="H12" s="80" t="s">
        <v>290</v>
      </c>
      <c r="I12" s="81">
        <v>0.7</v>
      </c>
      <c r="J12" s="81">
        <v>0.8</v>
      </c>
      <c r="K12" s="81">
        <v>0.9</v>
      </c>
      <c r="L12" s="81">
        <v>1</v>
      </c>
    </row>
    <row r="13" spans="2:16" hidden="1">
      <c r="B13" s="73">
        <f>IFERROR(O11,"")</f>
        <v>47626614.359999999</v>
      </c>
      <c r="C13" s="70">
        <v>2134322.8699999992</v>
      </c>
      <c r="D13" s="70">
        <v>6846665.6999999983</v>
      </c>
      <c r="E13" s="70">
        <v>16025565.389999997</v>
      </c>
      <c r="F13" s="70">
        <v>27145180.139999997</v>
      </c>
      <c r="H13" s="73">
        <f>IFERROR(P11,"")</f>
        <v>7343211.0873654364</v>
      </c>
      <c r="I13" s="70">
        <v>328024.00798866811</v>
      </c>
      <c r="J13" s="70">
        <v>1061271.6138243619</v>
      </c>
      <c r="K13" s="70">
        <v>2496316.9959773356</v>
      </c>
      <c r="L13" s="70">
        <v>4216845.7084419243</v>
      </c>
    </row>
    <row r="14" spans="2:16" s="82" customFormat="1" hidden="1">
      <c r="B14" s="201" t="s">
        <v>691</v>
      </c>
      <c r="C14" s="202"/>
      <c r="D14" s="190"/>
      <c r="E14" s="190"/>
      <c r="F14" s="190"/>
      <c r="H14" s="201" t="s">
        <v>691</v>
      </c>
      <c r="I14" s="190"/>
      <c r="J14" s="190"/>
      <c r="K14" s="190"/>
      <c r="L14" s="190"/>
    </row>
    <row r="16" spans="2:16" ht="24" customHeight="1">
      <c r="C16" s="654" t="s">
        <v>692</v>
      </c>
      <c r="D16" s="654"/>
      <c r="E16" s="654"/>
      <c r="F16" s="654"/>
      <c r="H16" s="654" t="s">
        <v>295</v>
      </c>
      <c r="I16" s="654"/>
      <c r="J16" s="654"/>
      <c r="K16" s="654"/>
    </row>
    <row r="17" spans="2:16" ht="20.399999999999999">
      <c r="C17" s="128" t="s">
        <v>693</v>
      </c>
      <c r="D17" s="128" t="s">
        <v>694</v>
      </c>
      <c r="E17" s="128" t="s">
        <v>516</v>
      </c>
      <c r="F17" s="128" t="s">
        <v>695</v>
      </c>
      <c r="H17" s="128" t="s">
        <v>693</v>
      </c>
      <c r="I17" s="128" t="s">
        <v>694</v>
      </c>
      <c r="J17" s="128" t="s">
        <v>516</v>
      </c>
      <c r="K17" s="128" t="s">
        <v>695</v>
      </c>
    </row>
    <row r="18" spans="2:16">
      <c r="C18" s="72">
        <v>0.7</v>
      </c>
      <c r="D18" s="70">
        <f>C7</f>
        <v>40010161.460000008</v>
      </c>
      <c r="E18" s="70">
        <f>I7</f>
        <v>6846628.2016997123</v>
      </c>
      <c r="F18" s="70">
        <f>IFERROR(D18+E18,0)</f>
        <v>46856789.66169972</v>
      </c>
      <c r="H18" s="72">
        <v>0.7</v>
      </c>
      <c r="I18" s="70">
        <f>C11</f>
        <v>3726297.7299999958</v>
      </c>
      <c r="J18" s="70">
        <f>I11</f>
        <v>635640.36413597723</v>
      </c>
      <c r="K18" s="70">
        <f>IFERROR(I18+J18,0)</f>
        <v>4361938.0941359727</v>
      </c>
      <c r="N18" s="70">
        <f>+F18*12</f>
        <v>562281475.94039667</v>
      </c>
      <c r="P18" s="70">
        <f>+K18*12</f>
        <v>52343257.129631668</v>
      </c>
    </row>
    <row r="19" spans="2:16">
      <c r="C19" s="72">
        <v>0.8</v>
      </c>
      <c r="D19" s="70">
        <f>D7</f>
        <v>67773207.473333329</v>
      </c>
      <c r="E19" s="70">
        <f>J7</f>
        <v>10888417.55184136</v>
      </c>
      <c r="F19" s="70">
        <f>IFERROR(D19+E19,0)</f>
        <v>78661625.025174692</v>
      </c>
      <c r="H19" s="72">
        <v>0.8</v>
      </c>
      <c r="I19" s="70">
        <f>D11</f>
        <v>14576070.089999994</v>
      </c>
      <c r="J19" s="70">
        <f>J11</f>
        <v>2373445.2260056646</v>
      </c>
      <c r="K19" s="70">
        <f>IFERROR(I19+J19,0)</f>
        <v>16949515.316005658</v>
      </c>
      <c r="N19" s="70">
        <f t="shared" ref="N19:N21" si="0">+F19*12</f>
        <v>943939500.30209637</v>
      </c>
      <c r="P19" s="70">
        <f t="shared" ref="P19:P21" si="1">+K19*12</f>
        <v>203394183.79206789</v>
      </c>
    </row>
    <row r="20" spans="2:16">
      <c r="C20" s="72">
        <v>0.9</v>
      </c>
      <c r="D20" s="70">
        <f>E7</f>
        <v>105500019.05333336</v>
      </c>
      <c r="E20" s="70">
        <f>K7</f>
        <v>22356634.824091125</v>
      </c>
      <c r="F20" s="70">
        <f>IFERROR(D20+E20,0)</f>
        <v>127856653.87742448</v>
      </c>
      <c r="H20" s="72">
        <v>0.9</v>
      </c>
      <c r="I20" s="70">
        <f>E11</f>
        <v>26689970.09</v>
      </c>
      <c r="J20" s="70">
        <f>K11</f>
        <v>4259924.7217563726</v>
      </c>
      <c r="K20" s="70">
        <f>IFERROR(I20+J20,0)</f>
        <v>30949894.811756372</v>
      </c>
      <c r="N20" s="70">
        <f t="shared" si="0"/>
        <v>1534279846.5290937</v>
      </c>
      <c r="P20" s="70">
        <f t="shared" si="1"/>
        <v>371398737.74107647</v>
      </c>
    </row>
    <row r="21" spans="2:16">
      <c r="C21" s="72">
        <v>1</v>
      </c>
      <c r="D21" s="70">
        <f>F7</f>
        <v>145033719.05333334</v>
      </c>
      <c r="E21" s="70">
        <f>L7</f>
        <v>29210739.085564196</v>
      </c>
      <c r="F21" s="70">
        <f>IFERROR(D21+E21,0)</f>
        <v>174244458.13889754</v>
      </c>
      <c r="H21" s="72">
        <v>1</v>
      </c>
      <c r="I21" s="70">
        <f>F11</f>
        <v>40631327.170000002</v>
      </c>
      <c r="J21" s="70">
        <f>L11</f>
        <v>6524851.380396598</v>
      </c>
      <c r="K21" s="70">
        <f>IFERROR(I21+J21,0)</f>
        <v>47156178.550396599</v>
      </c>
      <c r="N21" s="70">
        <f t="shared" si="0"/>
        <v>2090933497.6667705</v>
      </c>
      <c r="P21" s="70">
        <f t="shared" si="1"/>
        <v>565874142.60475922</v>
      </c>
    </row>
    <row r="22" spans="2:16">
      <c r="H22" s="67"/>
    </row>
    <row r="23" spans="2:16"/>
    <row r="24" spans="2:16" ht="24" customHeight="1">
      <c r="C24" s="654" t="s">
        <v>696</v>
      </c>
      <c r="D24" s="654"/>
      <c r="E24" s="654"/>
      <c r="F24" s="654"/>
      <c r="H24" s="654" t="s">
        <v>290</v>
      </c>
      <c r="I24" s="654"/>
      <c r="J24" s="654"/>
      <c r="K24" s="654"/>
    </row>
    <row r="25" spans="2:16" ht="20.399999999999999">
      <c r="C25" s="128" t="s">
        <v>693</v>
      </c>
      <c r="D25" s="128" t="s">
        <v>694</v>
      </c>
      <c r="E25" s="128" t="s">
        <v>516</v>
      </c>
      <c r="F25" s="128" t="s">
        <v>695</v>
      </c>
      <c r="H25" s="128" t="s">
        <v>693</v>
      </c>
      <c r="I25" s="128" t="s">
        <v>694</v>
      </c>
      <c r="J25" s="128" t="s">
        <v>516</v>
      </c>
      <c r="K25" s="128" t="s">
        <v>695</v>
      </c>
    </row>
    <row r="26" spans="2:16">
      <c r="C26" s="72">
        <v>0.7</v>
      </c>
      <c r="D26" s="70">
        <f>C9</f>
        <v>12044032.009999994</v>
      </c>
      <c r="E26" s="70">
        <f>I9</f>
        <v>867789.63728045241</v>
      </c>
      <c r="F26" s="70">
        <f>IFERROR(D26+E26,0)</f>
        <v>12911821.647280447</v>
      </c>
      <c r="H26" s="72">
        <v>0.7</v>
      </c>
      <c r="I26" s="70">
        <f>C13</f>
        <v>2134322.8699999992</v>
      </c>
      <c r="J26" s="70">
        <f>I13</f>
        <v>328024.00798866811</v>
      </c>
      <c r="K26" s="70">
        <f>IFERROR(I26+J26,0)</f>
        <v>2462346.8779886672</v>
      </c>
      <c r="N26" s="70">
        <f>+F26*12</f>
        <v>154941859.76736537</v>
      </c>
      <c r="P26" s="70">
        <f>+K26*12</f>
        <v>29548162.535864007</v>
      </c>
    </row>
    <row r="27" spans="2:16">
      <c r="C27" s="72">
        <v>0.8</v>
      </c>
      <c r="D27" s="70">
        <f>D9</f>
        <v>27113348.703333326</v>
      </c>
      <c r="E27" s="70">
        <f>J9</f>
        <v>4921486.3828328587</v>
      </c>
      <c r="F27" s="70">
        <f>IFERROR(D27+E27,0)</f>
        <v>32034835.086166184</v>
      </c>
      <c r="H27" s="72">
        <v>0.8</v>
      </c>
      <c r="I27" s="70">
        <f>D13</f>
        <v>6846665.6999999983</v>
      </c>
      <c r="J27" s="70">
        <f>J13</f>
        <v>1061271.6138243619</v>
      </c>
      <c r="K27" s="70">
        <f>IFERROR(I27+J27,0)</f>
        <v>7907937.3138243603</v>
      </c>
      <c r="N27" s="70">
        <f t="shared" ref="N27:N29" si="2">+F27*12</f>
        <v>384418021.0339942</v>
      </c>
      <c r="P27" s="70">
        <f t="shared" ref="P27:P29" si="3">+K27*12</f>
        <v>94895247.765892327</v>
      </c>
    </row>
    <row r="28" spans="2:16">
      <c r="C28" s="72">
        <v>0.9</v>
      </c>
      <c r="D28" s="70">
        <f>E9</f>
        <v>45642659.703333333</v>
      </c>
      <c r="E28" s="70">
        <f>K9</f>
        <v>7725128.0168271931</v>
      </c>
      <c r="F28" s="70">
        <f>IFERROR(D28+E28,0)</f>
        <v>53367787.720160529</v>
      </c>
      <c r="H28" s="72">
        <v>0.9</v>
      </c>
      <c r="I28" s="70">
        <f>E13</f>
        <v>16025565.389999997</v>
      </c>
      <c r="J28" s="70">
        <f>K13</f>
        <v>2496316.9959773356</v>
      </c>
      <c r="K28" s="70">
        <f>IFERROR(I28+J28,0)</f>
        <v>18521882.385977332</v>
      </c>
      <c r="N28" s="70">
        <f t="shared" si="2"/>
        <v>640413452.64192629</v>
      </c>
      <c r="P28" s="70">
        <f t="shared" si="3"/>
        <v>222262588.63172799</v>
      </c>
    </row>
    <row r="29" spans="2:16">
      <c r="C29" s="72">
        <v>1</v>
      </c>
      <c r="D29" s="70">
        <f>F9</f>
        <v>64581259.703333333</v>
      </c>
      <c r="E29" s="70">
        <f>L9</f>
        <v>14606503.531841356</v>
      </c>
      <c r="F29" s="70">
        <f>IFERROR(D29+E29,0)</f>
        <v>79187763.235174686</v>
      </c>
      <c r="H29" s="72">
        <v>1</v>
      </c>
      <c r="I29" s="70">
        <f>F13</f>
        <v>27145180.139999997</v>
      </c>
      <c r="J29" s="70">
        <f>L13</f>
        <v>4216845.7084419243</v>
      </c>
      <c r="K29" s="70">
        <f>IFERROR(I29+J29,0)</f>
        <v>31362025.848441921</v>
      </c>
      <c r="N29" s="70">
        <f t="shared" si="2"/>
        <v>950253158.82209623</v>
      </c>
      <c r="P29" s="70">
        <f t="shared" si="3"/>
        <v>376344310.18130302</v>
      </c>
    </row>
    <row r="30" spans="2:16">
      <c r="B30" s="67"/>
    </row>
    <row r="31" spans="2:16" ht="24" customHeight="1">
      <c r="H31" s="651" t="s">
        <v>697</v>
      </c>
      <c r="I31" s="651"/>
      <c r="J31" s="651"/>
      <c r="K31" s="651"/>
    </row>
    <row r="32" spans="2:16" ht="36">
      <c r="H32" s="200" t="s">
        <v>693</v>
      </c>
      <c r="I32" s="192" t="s">
        <v>694</v>
      </c>
      <c r="J32" s="192" t="s">
        <v>516</v>
      </c>
      <c r="K32" s="192" t="s">
        <v>695</v>
      </c>
    </row>
    <row r="33" spans="8:16">
      <c r="H33" s="72">
        <v>0.7</v>
      </c>
      <c r="I33" s="70">
        <f t="shared" ref="I33:J36" si="4">IFERROR(I26+I18+D26+D18,0)</f>
        <v>57914814.069999993</v>
      </c>
      <c r="J33" s="70">
        <f t="shared" si="4"/>
        <v>8678082.2111048102</v>
      </c>
      <c r="K33" s="70">
        <f>IFERROR(I33+J33,"")</f>
        <v>66592896.281104803</v>
      </c>
      <c r="P33" s="70">
        <f>+K33*12</f>
        <v>799114755.37325764</v>
      </c>
    </row>
    <row r="34" spans="8:16">
      <c r="H34" s="72">
        <v>0.8</v>
      </c>
      <c r="I34" s="70">
        <f t="shared" si="4"/>
        <v>116309291.96666664</v>
      </c>
      <c r="J34" s="70">
        <f t="shared" si="4"/>
        <v>19244620.774504244</v>
      </c>
      <c r="K34" s="70">
        <f t="shared" ref="K34:K36" si="5">IFERROR(I34+J34,"")</f>
        <v>135553912.74117088</v>
      </c>
      <c r="P34" s="70">
        <f t="shared" ref="P34:P36" si="6">+K34*12</f>
        <v>1626646952.8940506</v>
      </c>
    </row>
    <row r="35" spans="8:16">
      <c r="H35" s="72">
        <v>0.9</v>
      </c>
      <c r="I35" s="70">
        <f t="shared" si="4"/>
        <v>193858214.23666668</v>
      </c>
      <c r="J35" s="70">
        <f t="shared" si="4"/>
        <v>36838004.558652028</v>
      </c>
      <c r="K35" s="70">
        <f t="shared" si="5"/>
        <v>230696218.79531872</v>
      </c>
      <c r="P35" s="70">
        <f t="shared" si="6"/>
        <v>2768354625.5438247</v>
      </c>
    </row>
    <row r="36" spans="8:16">
      <c r="H36" s="72">
        <v>1</v>
      </c>
      <c r="I36" s="70">
        <f t="shared" si="4"/>
        <v>277391486.06666666</v>
      </c>
      <c r="J36" s="70">
        <f t="shared" si="4"/>
        <v>54558939.706244074</v>
      </c>
      <c r="K36" s="70">
        <f t="shared" si="5"/>
        <v>331950425.77291071</v>
      </c>
      <c r="N36" s="16" t="s">
        <v>698</v>
      </c>
      <c r="O36" s="413">
        <v>70000000000</v>
      </c>
      <c r="P36" s="70">
        <f t="shared" si="6"/>
        <v>3983405109.2749286</v>
      </c>
    </row>
    <row r="37" spans="8:16">
      <c r="O37" s="78">
        <f>+P36/O36</f>
        <v>5.6905787275356119E-2</v>
      </c>
    </row>
    <row r="54" spans="5:5" hidden="1">
      <c r="E54" s="69"/>
    </row>
  </sheetData>
  <mergeCells count="8">
    <mergeCell ref="H31:K31"/>
    <mergeCell ref="B2:L3"/>
    <mergeCell ref="B5:F5"/>
    <mergeCell ref="H5:L5"/>
    <mergeCell ref="C16:F16"/>
    <mergeCell ref="C24:F24"/>
    <mergeCell ref="H16:K16"/>
    <mergeCell ref="H24:K2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CostosNivelacionMenu">
                <anchor moveWithCells="1" sizeWithCells="1">
                  <from>
                    <xdr:col>14</xdr:col>
                    <xdr:colOff>685800</xdr:colOff>
                    <xdr:row>1</xdr:row>
                    <xdr:rowOff>22860</xdr:rowOff>
                  </from>
                  <to>
                    <xdr:col>15</xdr:col>
                    <xdr:colOff>861060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4" name="Button 2">
              <controlPr defaultSize="0" print="0" autoFill="0" autoPict="0" macro="[0]!ActualizarCostos">
                <anchor moveWithCells="1" sizeWithCells="1">
                  <from>
                    <xdr:col>13</xdr:col>
                    <xdr:colOff>541020</xdr:colOff>
                    <xdr:row>1</xdr:row>
                    <xdr:rowOff>22860</xdr:rowOff>
                  </from>
                  <to>
                    <xdr:col>14</xdr:col>
                    <xdr:colOff>449580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28">
    <tabColor rgb="FF3F80CD"/>
  </sheetPr>
  <dimension ref="A2:EX56"/>
  <sheetViews>
    <sheetView tabSelected="1" zoomScaleNormal="100" workbookViewId="0">
      <selection activeCell="G34" sqref="G34"/>
    </sheetView>
  </sheetViews>
  <sheetFormatPr baseColWidth="10" defaultColWidth="0" defaultRowHeight="13.8"/>
  <cols>
    <col min="1" max="1" width="2.5546875" style="12" customWidth="1"/>
    <col min="2" max="2" width="10.44140625" style="12" customWidth="1"/>
    <col min="3" max="11" width="14.44140625" style="12" customWidth="1"/>
    <col min="12" max="12" width="14.5546875" style="12" customWidth="1"/>
    <col min="13" max="13" width="11.44140625" style="12" customWidth="1"/>
    <col min="14" max="14" width="14.5546875" style="12" customWidth="1"/>
    <col min="15" max="17" width="11.44140625" style="12" customWidth="1"/>
    <col min="18" max="21" width="17" style="12" customWidth="1"/>
    <col min="22" max="22" width="11.44140625" style="12" customWidth="1"/>
    <col min="23" max="26" width="17" style="12" customWidth="1"/>
    <col min="27" max="27" width="11.44140625" style="12" customWidth="1"/>
    <col min="28" max="31" width="17" style="12" customWidth="1"/>
    <col min="32" max="32" width="11.44140625" style="12" customWidth="1"/>
    <col min="33" max="34" width="17" style="12" customWidth="1"/>
    <col min="35" max="35" width="11.44140625" style="12" customWidth="1"/>
    <col min="36" max="37" width="17" style="12" customWidth="1"/>
    <col min="38" max="38" width="11.44140625" style="12" customWidth="1"/>
    <col min="39" max="43" width="17" style="12" customWidth="1"/>
    <col min="44" max="44" width="2.5546875" style="12" customWidth="1"/>
    <col min="45" max="46" width="12.44140625" style="12" hidden="1" customWidth="1"/>
    <col min="47" max="48" width="12.5546875" style="12" hidden="1" customWidth="1"/>
    <col min="49" max="49" width="14" style="12" hidden="1" customWidth="1"/>
    <col min="50" max="50" width="13.44140625" style="12" hidden="1" customWidth="1"/>
    <col min="51" max="52" width="12.44140625" style="12" hidden="1" customWidth="1"/>
    <col min="53" max="53" width="12.5546875" style="12" hidden="1" customWidth="1"/>
    <col min="54" max="152" width="11.44140625" style="12" hidden="1" customWidth="1"/>
    <col min="153" max="153" width="2.5546875" style="12" hidden="1" customWidth="1"/>
    <col min="154" max="154" width="0" style="12" hidden="1" customWidth="1"/>
    <col min="155" max="16384" width="11.44140625" style="12" hidden="1"/>
  </cols>
  <sheetData>
    <row r="2" spans="2:152">
      <c r="C2" s="516" t="s">
        <v>699</v>
      </c>
      <c r="D2" s="517"/>
      <c r="E2" s="518"/>
      <c r="F2" s="516" t="s">
        <v>700</v>
      </c>
      <c r="G2" s="517"/>
      <c r="H2" s="518"/>
      <c r="I2" s="516" t="s">
        <v>701</v>
      </c>
      <c r="J2" s="517"/>
      <c r="K2" s="518"/>
      <c r="N2" s="515" t="s">
        <v>702</v>
      </c>
      <c r="O2" s="515"/>
      <c r="P2" s="515"/>
      <c r="Q2" s="512" t="s">
        <v>19</v>
      </c>
      <c r="R2" s="512"/>
      <c r="S2" s="512"/>
      <c r="T2" s="512"/>
      <c r="U2" s="512"/>
      <c r="V2" s="513" t="s">
        <v>21</v>
      </c>
      <c r="W2" s="513"/>
      <c r="X2" s="513"/>
      <c r="Y2" s="513"/>
      <c r="Z2" s="513"/>
      <c r="AA2" s="514" t="s">
        <v>23</v>
      </c>
      <c r="AB2" s="514"/>
      <c r="AC2" s="514"/>
      <c r="AD2" s="514"/>
      <c r="AE2" s="514"/>
      <c r="AF2" s="511" t="s">
        <v>703</v>
      </c>
      <c r="AG2" s="511"/>
      <c r="AH2" s="511"/>
      <c r="AI2" s="511" t="s">
        <v>704</v>
      </c>
      <c r="AJ2" s="511"/>
      <c r="AK2" s="511"/>
      <c r="AL2" s="511" t="s">
        <v>705</v>
      </c>
      <c r="AM2" s="511"/>
      <c r="AN2" s="511"/>
      <c r="AO2" s="511" t="s">
        <v>706</v>
      </c>
      <c r="AP2" s="511"/>
      <c r="AQ2" s="511"/>
    </row>
    <row r="3" spans="2:152">
      <c r="C3" s="350" t="s">
        <v>18</v>
      </c>
      <c r="D3" s="350" t="s">
        <v>707</v>
      </c>
      <c r="E3" s="350" t="s">
        <v>22</v>
      </c>
      <c r="F3" s="350" t="s">
        <v>18</v>
      </c>
      <c r="G3" s="350" t="s">
        <v>707</v>
      </c>
      <c r="H3" s="350" t="s">
        <v>22</v>
      </c>
      <c r="I3" s="350" t="s">
        <v>18</v>
      </c>
      <c r="J3" s="350" t="s">
        <v>707</v>
      </c>
      <c r="K3" s="350" t="s">
        <v>22</v>
      </c>
      <c r="N3" s="515"/>
      <c r="O3" s="515"/>
      <c r="P3" s="515"/>
      <c r="Q3" s="357" t="s">
        <v>15</v>
      </c>
      <c r="R3" s="357" t="s">
        <v>708</v>
      </c>
      <c r="S3" s="357" t="s">
        <v>709</v>
      </c>
      <c r="T3" s="357" t="s">
        <v>710</v>
      </c>
      <c r="U3" s="357" t="s">
        <v>711</v>
      </c>
      <c r="V3" s="357" t="s">
        <v>15</v>
      </c>
      <c r="W3" s="357" t="s">
        <v>708</v>
      </c>
      <c r="X3" s="357" t="s">
        <v>709</v>
      </c>
      <c r="Y3" s="363" t="s">
        <v>710</v>
      </c>
      <c r="Z3" s="363" t="s">
        <v>711</v>
      </c>
      <c r="AA3" s="363" t="s">
        <v>15</v>
      </c>
      <c r="AB3" s="357" t="s">
        <v>708</v>
      </c>
      <c r="AC3" s="357" t="s">
        <v>709</v>
      </c>
      <c r="AD3" s="357" t="s">
        <v>710</v>
      </c>
      <c r="AE3" s="357" t="s">
        <v>711</v>
      </c>
      <c r="AF3" s="363" t="s">
        <v>15</v>
      </c>
      <c r="AG3" s="357" t="s">
        <v>710</v>
      </c>
      <c r="AH3" s="357" t="s">
        <v>711</v>
      </c>
      <c r="AI3" s="363" t="s">
        <v>15</v>
      </c>
      <c r="AJ3" s="357" t="s">
        <v>710</v>
      </c>
      <c r="AK3" s="357" t="s">
        <v>711</v>
      </c>
      <c r="AL3" s="363" t="s">
        <v>15</v>
      </c>
      <c r="AM3" s="357" t="s">
        <v>710</v>
      </c>
      <c r="AN3" s="357" t="s">
        <v>711</v>
      </c>
      <c r="AO3" s="357" t="s">
        <v>18</v>
      </c>
      <c r="AP3" s="357" t="s">
        <v>20</v>
      </c>
      <c r="AQ3" s="357" t="s">
        <v>22</v>
      </c>
    </row>
    <row r="4" spans="2:152">
      <c r="B4" s="347" t="s">
        <v>257</v>
      </c>
      <c r="C4" s="348" t="s">
        <v>84</v>
      </c>
      <c r="D4" s="348" t="s">
        <v>103</v>
      </c>
      <c r="E4" s="348" t="s">
        <v>123</v>
      </c>
      <c r="F4" s="348" t="s">
        <v>142</v>
      </c>
      <c r="G4" s="348" t="s">
        <v>162</v>
      </c>
      <c r="H4" s="348" t="s">
        <v>712</v>
      </c>
      <c r="I4" s="348" t="s">
        <v>713</v>
      </c>
      <c r="J4" s="348" t="s">
        <v>714</v>
      </c>
      <c r="K4" s="348" t="s">
        <v>715</v>
      </c>
      <c r="L4" s="349" t="s">
        <v>13</v>
      </c>
      <c r="M4" s="11"/>
      <c r="N4" s="357" t="s">
        <v>716</v>
      </c>
      <c r="O4" s="358">
        <v>138</v>
      </c>
      <c r="P4" s="359">
        <v>404</v>
      </c>
      <c r="Q4" s="358">
        <v>138</v>
      </c>
      <c r="R4" s="359" t="s">
        <v>717</v>
      </c>
      <c r="S4" s="359" t="s">
        <v>718</v>
      </c>
      <c r="T4" s="360">
        <v>12739.000157563974</v>
      </c>
      <c r="U4" s="360">
        <v>162508.06865826761</v>
      </c>
      <c r="V4" s="358">
        <v>138</v>
      </c>
      <c r="W4" s="359" t="s">
        <v>719</v>
      </c>
      <c r="X4" s="359" t="s">
        <v>718</v>
      </c>
      <c r="Y4" s="360">
        <v>12956.685628161009</v>
      </c>
      <c r="Z4" s="360">
        <v>118489.65007090382</v>
      </c>
      <c r="AA4" s="358">
        <v>138</v>
      </c>
      <c r="AB4" s="359" t="s">
        <v>720</v>
      </c>
      <c r="AC4" s="359" t="s">
        <v>718</v>
      </c>
      <c r="AD4" s="360">
        <v>12956.685628161009</v>
      </c>
      <c r="AE4" s="360">
        <v>118489.65007090382</v>
      </c>
      <c r="AF4" s="358">
        <v>138</v>
      </c>
      <c r="AG4" s="359">
        <v>10670.361075008719</v>
      </c>
      <c r="AH4" s="359">
        <v>630449.35739335231</v>
      </c>
      <c r="AI4" s="358">
        <v>138</v>
      </c>
      <c r="AJ4" s="359">
        <v>11137.696679277093</v>
      </c>
      <c r="AK4" s="359">
        <v>755153.53554895148</v>
      </c>
      <c r="AL4" s="358">
        <v>138</v>
      </c>
      <c r="AM4" s="359">
        <v>11124.435428484572</v>
      </c>
      <c r="AN4" s="359">
        <v>760511.08086912986</v>
      </c>
      <c r="AO4" s="361">
        <v>2102959.1857445557</v>
      </c>
      <c r="AP4" s="361">
        <v>2292155.6772891898</v>
      </c>
      <c r="AQ4" s="361">
        <v>2295683.1700000004</v>
      </c>
      <c r="AR4" s="10"/>
      <c r="AS4" s="10"/>
      <c r="AT4" s="10"/>
      <c r="AU4" s="10"/>
      <c r="AV4" s="10"/>
      <c r="AW4" s="10"/>
      <c r="AX4" s="10"/>
    </row>
    <row r="5" spans="2:152">
      <c r="B5" s="351">
        <v>25</v>
      </c>
      <c r="C5" s="352">
        <f>VLOOKUP(Competitividad_1[[#This Row],[Punto Medio]],$AF$18:$AH$21,2,1)*Competitividad_1[[#This Row],[Punto Medio]]+VLOOKUP(Competitividad_1[[#This Row],[Punto Medio]],$AF$18:$AH$21,3,1)</f>
        <v>75042183.463541031</v>
      </c>
      <c r="D5" s="352">
        <f>VLOOKUP(Competitividad_1[[#This Row],[Punto Medio]],$AI$18:$AK$21,2,1)*Competitividad_1[[#This Row],[Punto Medio]]+VLOOKUP(Competitividad_1[[#This Row],[Punto Medio]],$AI$18:$AK$21,3,1)</f>
        <v>79496863.979356214</v>
      </c>
      <c r="E5" s="352">
        <f>VLOOKUP(Competitividad_1[[#This Row],[Punto Medio]],$AL$18:$AN$21,2,1)*Competitividad_1[[#This Row],[Punto Medio]]+VLOOKUP(Competitividad_1[[#This Row],[Punto Medio]],$AL$18:$AN$21,3,1)</f>
        <v>82150620.736041412</v>
      </c>
      <c r="F5" s="352">
        <f>VLOOKUP(Competitividad_1[[#This Row],[Punto Medio]],$AF$11:$AH$14,2,1)*Competitividad_1[[#This Row],[Punto Medio]]+VLOOKUP(Competitividad_1[[#This Row],[Punto Medio]],$AF$11:$AH$14,3,1)</f>
        <v>115189048.53270724</v>
      </c>
      <c r="G5" s="352">
        <f>VLOOKUP(Competitividad_1[[#This Row],[Punto Medio]],$AI$11:$AK$14,2,1)*Competitividad_1[[#This Row],[Punto Medio]]+VLOOKUP(Competitividad_1[[#This Row],[Punto Medio]],$AI$11:$AK$14,3,1)</f>
        <v>120341300.0142643</v>
      </c>
      <c r="H5" s="352">
        <f>VLOOKUP(Competitividad_1[[#This Row],[Punto Medio]],$AL$11:$AN$14,2,1)*Competitividad_1[[#This Row],[Punto Medio]]+VLOOKUP(Competitividad_1[[#This Row],[Punto Medio]],$AL$11:$AN$14,3,1)</f>
        <v>123303428.9153592</v>
      </c>
      <c r="I5" s="352">
        <f>VLOOKUP(Competitividad_1[[#This Row],[Punto Medio]],$AF$25:$AH$28,2,1)*Competitividad_1[[#This Row],[Punto Medio]]+VLOOKUP(Competitividad_1[[#This Row],[Punto Medio]],$AF$25:$AH$28,3,1)</f>
        <v>160573587.07982981</v>
      </c>
      <c r="J5" s="352">
        <f>VLOOKUP(Competitividad_1[[#This Row],[Punto Medio]],$AI$25:$AK$28,2,1)*Competitividad_1[[#This Row],[Punto Medio]]+VLOOKUP(Competitividad_1[[#This Row],[Punto Medio]],$AI$25:$AK$28,3,1)</f>
        <v>174879870.93892342</v>
      </c>
      <c r="K5" s="352">
        <f>VLOOKUP(Competitividad_1[[#This Row],[Punto Medio]],$AL$25:$AN$28,2,1)*Competitividad_1[[#This Row],[Punto Medio]]+VLOOKUP(Competitividad_1[[#This Row],[Punto Medio]],$AL$25:$AN$28,3,1)</f>
        <v>200827702.06171566</v>
      </c>
      <c r="L5" s="353">
        <v>2674</v>
      </c>
      <c r="M5" s="20"/>
      <c r="N5" s="357" t="s">
        <v>721</v>
      </c>
      <c r="O5" s="359">
        <v>404</v>
      </c>
      <c r="P5" s="359">
        <v>632</v>
      </c>
      <c r="Q5" s="359">
        <v>404</v>
      </c>
      <c r="R5" s="359" t="s">
        <v>722</v>
      </c>
      <c r="S5" s="359" t="s">
        <v>723</v>
      </c>
      <c r="T5" s="360">
        <v>27629.212421069049</v>
      </c>
      <c r="U5" s="360">
        <v>-6220926.5864150217</v>
      </c>
      <c r="V5" s="359">
        <v>404</v>
      </c>
      <c r="W5" s="359" t="s">
        <v>724</v>
      </c>
      <c r="X5" s="359" t="s">
        <v>723</v>
      </c>
      <c r="Y5" s="360">
        <v>26034.957431385214</v>
      </c>
      <c r="Z5" s="360">
        <v>-5263339.8083027303</v>
      </c>
      <c r="AA5" s="362">
        <v>404</v>
      </c>
      <c r="AB5" s="359" t="s">
        <v>725</v>
      </c>
      <c r="AC5" s="359" t="s">
        <v>723</v>
      </c>
      <c r="AD5" s="360">
        <v>26034.957431385214</v>
      </c>
      <c r="AE5" s="360">
        <v>-5263339.8083027303</v>
      </c>
      <c r="AF5" s="362">
        <v>404</v>
      </c>
      <c r="AG5" s="359">
        <v>18177.312015636722</v>
      </c>
      <c r="AH5" s="359">
        <v>-2402358.8226203602</v>
      </c>
      <c r="AI5" s="362">
        <v>404</v>
      </c>
      <c r="AJ5" s="359">
        <v>16553.505104706142</v>
      </c>
      <c r="AK5" s="359">
        <v>-1432833.0683243852</v>
      </c>
      <c r="AL5" s="362">
        <v>404</v>
      </c>
      <c r="AM5" s="359">
        <v>16685.082253805631</v>
      </c>
      <c r="AN5" s="359">
        <v>-1485990.2365605775</v>
      </c>
      <c r="AO5" s="362">
        <v>4941275.2316968748</v>
      </c>
      <c r="AP5" s="362">
        <v>5254782.9939768966</v>
      </c>
      <c r="AQ5" s="362">
        <v>5254782.9939768966</v>
      </c>
      <c r="AR5" s="10"/>
      <c r="AS5" s="10"/>
      <c r="AT5" s="10"/>
      <c r="AU5" s="10"/>
      <c r="AV5" s="10"/>
      <c r="AW5" s="10"/>
      <c r="AX5" s="10"/>
    </row>
    <row r="6" spans="2:152">
      <c r="B6" s="351">
        <v>24</v>
      </c>
      <c r="C6" s="352">
        <f>VLOOKUP(Competitividad_1[[#This Row],[Punto Medio]],$AF$18:$AH$21,2,1)*Competitividad_1[[#This Row],[Punto Medio]]+VLOOKUP(Competitividad_1[[#This Row],[Punto Medio]],$AF$18:$AH$21,3,1)</f>
        <v>64332149.460891388</v>
      </c>
      <c r="D6" s="352">
        <f>VLOOKUP(Competitividad_1[[#This Row],[Punto Medio]],$AI$18:$AK$21,2,1)*Competitividad_1[[#This Row],[Punto Medio]]+VLOOKUP(Competitividad_1[[#This Row],[Punto Medio]],$AI$18:$AK$21,3,1)</f>
        <v>68131050.118267968</v>
      </c>
      <c r="E6" s="352">
        <f>VLOOKUP(Competitividad_1[[#This Row],[Punto Medio]],$AL$18:$AN$21,2,1)*Competitividad_1[[#This Row],[Punto Medio]]+VLOOKUP(Competitividad_1[[#This Row],[Punto Medio]],$AL$18:$AN$21,3,1)</f>
        <v>70419455.148237497</v>
      </c>
      <c r="F6" s="352">
        <f>VLOOKUP(Competitividad_1[[#This Row],[Punto Medio]],$AF$11:$AH$14,2,1)*Competitividad_1[[#This Row],[Punto Medio]]+VLOOKUP(Competitividad_1[[#This Row],[Punto Medio]],$AF$11:$AH$14,3,1)</f>
        <v>98012929.316326737</v>
      </c>
      <c r="G6" s="352">
        <f>VLOOKUP(Competitividad_1[[#This Row],[Punto Medio]],$AI$11:$AK$14,2,1)*Competitividad_1[[#This Row],[Punto Medio]]+VLOOKUP(Competitividad_1[[#This Row],[Punto Medio]],$AI$11:$AK$14,3,1)</f>
        <v>102384708.01857854</v>
      </c>
      <c r="H6" s="352">
        <f>VLOOKUP(Competitividad_1[[#This Row],[Punto Medio]],$AL$11:$AN$14,2,1)*Competitividad_1[[#This Row],[Punto Medio]]+VLOOKUP(Competitividad_1[[#This Row],[Punto Medio]],$AL$11:$AN$14,3,1)</f>
        <v>104933630.96104756</v>
      </c>
      <c r="I6" s="352">
        <f>VLOOKUP(Competitividad_1[[#This Row],[Punto Medio]],$AF$25:$AH$28,2,1)*Competitividad_1[[#This Row],[Punto Medio]]+VLOOKUP(Competitividad_1[[#This Row],[Punto Medio]],$AF$25:$AH$28,3,1)</f>
        <v>135563165.69676021</v>
      </c>
      <c r="J6" s="352">
        <f>VLOOKUP(Competitividad_1[[#This Row],[Punto Medio]],$AI$25:$AK$28,2,1)*Competitividad_1[[#This Row],[Punto Medio]]+VLOOKUP(Competitividad_1[[#This Row],[Punto Medio]],$AI$25:$AK$28,3,1)</f>
        <v>147485836.62392953</v>
      </c>
      <c r="K6" s="352">
        <f>VLOOKUP(Competitividad_1[[#This Row],[Punto Medio]],$AL$25:$AN$28,2,1)*Competitividad_1[[#This Row],[Punto Medio]]+VLOOKUP(Competitividad_1[[#This Row],[Punto Medio]],$AL$25:$AN$28,3,1)</f>
        <v>169004918.54672259</v>
      </c>
      <c r="L6" s="353">
        <v>2326</v>
      </c>
      <c r="M6" s="20"/>
      <c r="N6" s="357" t="s">
        <v>726</v>
      </c>
      <c r="O6" s="359">
        <v>632</v>
      </c>
      <c r="P6" s="358">
        <v>1344</v>
      </c>
      <c r="Q6" s="359">
        <v>632</v>
      </c>
      <c r="R6" s="359" t="s">
        <v>727</v>
      </c>
      <c r="S6" s="359" t="s">
        <v>728</v>
      </c>
      <c r="T6" s="360">
        <v>29903.058160232296</v>
      </c>
      <c r="U6" s="360">
        <v>-9813030.3860047646</v>
      </c>
      <c r="V6" s="359">
        <v>632</v>
      </c>
      <c r="W6" s="359" t="s">
        <v>729</v>
      </c>
      <c r="X6" s="359" t="s">
        <v>728</v>
      </c>
      <c r="Y6" s="360">
        <v>61033.538130853296</v>
      </c>
      <c r="Z6" s="360">
        <v>-29544213.94084939</v>
      </c>
      <c r="AA6" s="362">
        <v>632</v>
      </c>
      <c r="AB6" s="359" t="s">
        <v>730</v>
      </c>
      <c r="AC6" s="359" t="s">
        <v>728</v>
      </c>
      <c r="AD6" s="360">
        <v>61531.879271525009</v>
      </c>
      <c r="AE6" s="360">
        <v>-29829165.951759223</v>
      </c>
      <c r="AF6" s="362">
        <v>632</v>
      </c>
      <c r="AG6" s="359">
        <v>52086.770566501036</v>
      </c>
      <c r="AH6" s="359">
        <v>-23833136.626766607</v>
      </c>
      <c r="AI6" s="362">
        <v>632</v>
      </c>
      <c r="AJ6" s="359">
        <v>61033.538130853281</v>
      </c>
      <c r="AK6" s="359">
        <v>-29544213.940849379</v>
      </c>
      <c r="AL6" s="362">
        <v>632</v>
      </c>
      <c r="AM6" s="359">
        <v>61531.879271525031</v>
      </c>
      <c r="AN6" s="359">
        <v>-29829165.951759249</v>
      </c>
      <c r="AO6" s="362">
        <v>9085702.3712620474</v>
      </c>
      <c r="AP6" s="362">
        <v>9028982.1578498967</v>
      </c>
      <c r="AQ6" s="362">
        <v>9058981.7478445806</v>
      </c>
      <c r="AR6" s="10"/>
      <c r="AS6" s="10"/>
      <c r="AT6" s="10"/>
      <c r="AU6" s="10"/>
      <c r="AV6" s="10"/>
      <c r="AW6" s="10"/>
      <c r="AX6" s="10"/>
      <c r="DG6" s="10"/>
      <c r="DH6" s="10"/>
    </row>
    <row r="7" spans="2:152">
      <c r="B7" s="351">
        <v>23</v>
      </c>
      <c r="C7" s="352">
        <f>VLOOKUP(Competitividad_1[[#This Row],[Punto Medio]],$AF$18:$AH$21,2,1)*Competitividad_1[[#This Row],[Punto Medio]]+VLOOKUP(Competitividad_1[[#This Row],[Punto Medio]],$AF$18:$AH$21,3,1)</f>
        <v>55007033.648239538</v>
      </c>
      <c r="D7" s="352">
        <f>VLOOKUP(Competitividad_1[[#This Row],[Punto Medio]],$AI$18:$AK$21,2,1)*Competitividad_1[[#This Row],[Punto Medio]]+VLOOKUP(Competitividad_1[[#This Row],[Punto Medio]],$AI$18:$AK$21,3,1)</f>
        <v>58234953.566803187</v>
      </c>
      <c r="E7" s="352">
        <f>VLOOKUP(Competitividad_1[[#This Row],[Punto Medio]],$AL$18:$AN$21,2,1)*Competitividad_1[[#This Row],[Punto Medio]]+VLOOKUP(Competitividad_1[[#This Row],[Punto Medio]],$AL$18:$AN$21,3,1)</f>
        <v>60205250.627822027</v>
      </c>
      <c r="F7" s="352">
        <f>VLOOKUP(Competitividad_1[[#This Row],[Punto Medio]],$AF$11:$AH$14,2,1)*Competitividad_1[[#This Row],[Punto Medio]]+VLOOKUP(Competitividad_1[[#This Row],[Punto Medio]],$AF$11:$AH$14,3,1)</f>
        <v>83057859.998616129</v>
      </c>
      <c r="G7" s="352">
        <f>VLOOKUP(Competitividad_1[[#This Row],[Punto Medio]],$AI$11:$AK$14,2,1)*Competitividad_1[[#This Row],[Punto Medio]]+VLOOKUP(Competitividad_1[[#This Row],[Punto Medio]],$AI$11:$AK$14,3,1)</f>
        <v>86750089.125783205</v>
      </c>
      <c r="H7" s="352">
        <f>VLOOKUP(Competitividad_1[[#This Row],[Punto Medio]],$AL$11:$AN$14,2,1)*Competitividad_1[[#This Row],[Punto Medio]]+VLOOKUP(Competitividad_1[[#This Row],[Punto Medio]],$AL$11:$AN$14,3,1)</f>
        <v>88939237.914621025</v>
      </c>
      <c r="I7" s="352">
        <f>VLOOKUP(Competitividad_1[[#This Row],[Punto Medio]],$AF$25:$AH$28,2,1)*Competitividad_1[[#This Row],[Punto Medio]]+VLOOKUP(Competitividad_1[[#This Row],[Punto Medio]],$AF$25:$AH$28,3,1)</f>
        <v>113786850.52701855</v>
      </c>
      <c r="J7" s="352">
        <f>VLOOKUP(Competitividad_1[[#This Row],[Punto Medio]],$AI$25:$AK$28,2,1)*Competitividad_1[[#This Row],[Punto Medio]]+VLOOKUP(Competitividad_1[[#This Row],[Punto Medio]],$AI$25:$AK$28,3,1)</f>
        <v>123634134.33242625</v>
      </c>
      <c r="K7" s="352">
        <f>VLOOKUP(Competitividad_1[[#This Row],[Punto Medio]],$AL$25:$AN$28,2,1)*Competitividad_1[[#This Row],[Punto Medio]]+VLOOKUP(Competitividad_1[[#This Row],[Punto Medio]],$AL$25:$AN$28,3,1)</f>
        <v>141297150.14142689</v>
      </c>
      <c r="L7" s="353">
        <v>2023</v>
      </c>
      <c r="M7" s="20"/>
      <c r="N7" s="357" t="s">
        <v>731</v>
      </c>
      <c r="O7" s="358">
        <v>1344</v>
      </c>
      <c r="P7" s="359">
        <v>2623</v>
      </c>
      <c r="Q7" s="359">
        <v>1344</v>
      </c>
      <c r="R7" s="359" t="s">
        <v>727</v>
      </c>
      <c r="S7" s="359" t="s">
        <v>728</v>
      </c>
      <c r="T7" s="360">
        <v>29903.058160232296</v>
      </c>
      <c r="U7" s="360">
        <v>-9813030.3860047646</v>
      </c>
      <c r="V7" s="359">
        <v>1344</v>
      </c>
      <c r="W7" s="359" t="s">
        <v>729</v>
      </c>
      <c r="X7" s="359" t="s">
        <v>728</v>
      </c>
      <c r="Y7" s="360">
        <v>61033.538130853296</v>
      </c>
      <c r="Z7" s="360">
        <v>-29544213.94084939</v>
      </c>
      <c r="AA7" s="362">
        <v>1344</v>
      </c>
      <c r="AB7" s="359" t="s">
        <v>730</v>
      </c>
      <c r="AC7" s="359" t="s">
        <v>728</v>
      </c>
      <c r="AD7" s="360">
        <v>61531.879271525009</v>
      </c>
      <c r="AE7" s="360">
        <v>-29829165.951759223</v>
      </c>
      <c r="AF7" s="362">
        <v>1344</v>
      </c>
      <c r="AG7" s="359">
        <v>52086.770566501036</v>
      </c>
      <c r="AH7" s="359">
        <v>-23833136.626766607</v>
      </c>
      <c r="AI7" s="362">
        <v>1344</v>
      </c>
      <c r="AJ7" s="359">
        <v>61033.538130853281</v>
      </c>
      <c r="AK7" s="359">
        <v>-29544213.940849379</v>
      </c>
      <c r="AL7" s="362">
        <v>1344</v>
      </c>
      <c r="AM7" s="359">
        <v>61531.879271525031</v>
      </c>
      <c r="AN7" s="359">
        <v>-29829165.951759249</v>
      </c>
      <c r="AO7" s="361">
        <v>46171483.014610782</v>
      </c>
      <c r="AP7" s="361">
        <v>52484861.307017431</v>
      </c>
      <c r="AQ7" s="361">
        <v>52869679.789170399</v>
      </c>
      <c r="AR7" s="10"/>
      <c r="AS7" s="10"/>
      <c r="AT7" s="10"/>
      <c r="AU7" s="10"/>
      <c r="AV7" s="10"/>
      <c r="AW7" s="10"/>
      <c r="AX7" s="10"/>
      <c r="DG7" s="10"/>
      <c r="DH7" s="10"/>
    </row>
    <row r="8" spans="2:152">
      <c r="B8" s="351">
        <v>22</v>
      </c>
      <c r="C8" s="352">
        <f>VLOOKUP(Competitividad_1[[#This Row],[Punto Medio]],$AF$18:$AH$21,2,1)*Competitividad_1[[#This Row],[Punto Medio]]+VLOOKUP(Competitividad_1[[#This Row],[Punto Medio]],$AF$18:$AH$21,3,1)</f>
        <v>46882180.266919121</v>
      </c>
      <c r="D8" s="352">
        <f>VLOOKUP(Competitividad_1[[#This Row],[Punto Medio]],$AI$18:$AK$21,2,1)*Competitividad_1[[#This Row],[Punto Medio]]+VLOOKUP(Competitividad_1[[#This Row],[Punto Medio]],$AI$18:$AK$21,3,1)</f>
        <v>49612612.017012104</v>
      </c>
      <c r="E8" s="352">
        <f>VLOOKUP(Competitividad_1[[#This Row],[Punto Medio]],$AL$18:$AN$21,2,1)*Competitividad_1[[#This Row],[Punto Medio]]+VLOOKUP(Competitividad_1[[#This Row],[Punto Medio]],$AL$18:$AN$21,3,1)</f>
        <v>51305745.699143186</v>
      </c>
      <c r="F8" s="352">
        <f>VLOOKUP(Competitividad_1[[#This Row],[Punto Medio]],$AF$11:$AH$14,2,1)*Competitividad_1[[#This Row],[Punto Medio]]+VLOOKUP(Competitividad_1[[#This Row],[Punto Medio]],$AF$11:$AH$14,3,1)</f>
        <v>70027700.593086064</v>
      </c>
      <c r="G8" s="352">
        <f>VLOOKUP(Competitividad_1[[#This Row],[Punto Medio]],$AI$11:$AK$14,2,1)*Competitividad_1[[#This Row],[Punto Medio]]+VLOOKUP(Competitividad_1[[#This Row],[Punto Medio]],$AI$11:$AK$14,3,1)</f>
        <v>73127846.922159538</v>
      </c>
      <c r="H8" s="352">
        <f>VLOOKUP(Competitividad_1[[#This Row],[Punto Medio]],$AL$11:$AN$14,2,1)*Competitividad_1[[#This Row],[Punto Medio]]+VLOOKUP(Competitividad_1[[#This Row],[Punto Medio]],$AL$11:$AN$14,3,1)</f>
        <v>75003529.121694922</v>
      </c>
      <c r="I8" s="352">
        <f>VLOOKUP(Competitividad_1[[#This Row],[Punto Medio]],$AF$25:$AH$28,2,1)*Competitividad_1[[#This Row],[Punto Medio]]+VLOOKUP(Competitividad_1[[#This Row],[Punto Medio]],$AF$25:$AH$28,3,1)</f>
        <v>94813427.408827811</v>
      </c>
      <c r="J8" s="352">
        <f>VLOOKUP(Competitividad_1[[#This Row],[Punto Medio]],$AI$25:$AK$28,2,1)*Competitividad_1[[#This Row],[Punto Medio]]+VLOOKUP(Competitividad_1[[#This Row],[Punto Medio]],$AI$25:$AK$28,3,1)</f>
        <v>102852453.12794814</v>
      </c>
      <c r="K8" s="352">
        <f>VLOOKUP(Competitividad_1[[#This Row],[Punto Medio]],$AL$25:$AN$28,2,1)*Competitividad_1[[#This Row],[Punto Medio]]+VLOOKUP(Competitividad_1[[#This Row],[Punto Medio]],$AL$25:$AN$28,3,1)</f>
        <v>117155728.16453558</v>
      </c>
      <c r="L8" s="353">
        <v>1759</v>
      </c>
      <c r="M8" s="2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DG8" s="10"/>
      <c r="DH8" s="10"/>
    </row>
    <row r="9" spans="2:152">
      <c r="B9" s="351">
        <v>21</v>
      </c>
      <c r="C9" s="352">
        <f>VLOOKUP(Competitividad_1[[#This Row],[Punto Medio]],$AF$18:$AH$21,2,1)*Competitividad_1[[#This Row],[Punto Medio]]+VLOOKUP(Competitividad_1[[#This Row],[Punto Medio]],$AF$18:$AH$21,3,1)</f>
        <v>39834485.477819212</v>
      </c>
      <c r="D9" s="352">
        <f>VLOOKUP(Competitividad_1[[#This Row],[Punto Medio]],$AI$18:$AK$21,2,1)*Competitividad_1[[#This Row],[Punto Medio]]+VLOOKUP(Competitividad_1[[#This Row],[Punto Medio]],$AI$18:$AK$21,3,1)</f>
        <v>42133383.930261493</v>
      </c>
      <c r="E9" s="352">
        <f>VLOOKUP(Competitividad_1[[#This Row],[Punto Medio]],$AL$18:$AN$21,2,1)*Competitividad_1[[#This Row],[Punto Medio]]+VLOOKUP(Competitividad_1[[#This Row],[Punto Medio]],$AL$18:$AN$21,3,1)</f>
        <v>43586099.378433138</v>
      </c>
      <c r="F9" s="352">
        <f>VLOOKUP(Competitividad_1[[#This Row],[Punto Medio]],$AF$11:$AH$14,2,1)*Competitividad_1[[#This Row],[Punto Medio]]+VLOOKUP(Competitividad_1[[#This Row],[Punto Medio]],$AF$11:$AH$14,3,1)</f>
        <v>58725024.442077063</v>
      </c>
      <c r="G9" s="352">
        <f>VLOOKUP(Competitividad_1[[#This Row],[Punto Medio]],$AI$11:$AK$14,2,1)*Competitividad_1[[#This Row],[Punto Medio]]+VLOOKUP(Competitividad_1[[#This Row],[Punto Medio]],$AI$11:$AK$14,3,1)</f>
        <v>61311583.798561737</v>
      </c>
      <c r="H9" s="352">
        <f>VLOOKUP(Competitividad_1[[#This Row],[Punto Medio]],$AL$11:$AN$14,2,1)*Competitividad_1[[#This Row],[Punto Medio]]+VLOOKUP(Competitividad_1[[#This Row],[Punto Medio]],$AL$11:$AN$14,3,1)</f>
        <v>62915357.479346149</v>
      </c>
      <c r="I9" s="352">
        <f>VLOOKUP(Competitividad_1[[#This Row],[Punto Medio]],$AF$25:$AH$28,2,1)*Competitividad_1[[#This Row],[Punto Medio]]+VLOOKUP(Competitividad_1[[#This Row],[Punto Medio]],$AF$25:$AH$28,3,1)</f>
        <v>78355420.234336615</v>
      </c>
      <c r="J9" s="352">
        <f>VLOOKUP(Competitividad_1[[#This Row],[Punto Medio]],$AI$25:$AK$28,2,1)*Competitividad_1[[#This Row],[Punto Medio]]+VLOOKUP(Competitividad_1[[#This Row],[Punto Medio]],$AI$25:$AK$28,3,1)</f>
        <v>84825919.052851617</v>
      </c>
      <c r="K9" s="352">
        <f>VLOOKUP(Competitividad_1[[#This Row],[Punto Medio]],$AL$25:$AN$28,2,1)*Competitividad_1[[#This Row],[Punto Medio]]+VLOOKUP(Competitividad_1[[#This Row],[Punto Medio]],$AL$25:$AN$28,3,1)</f>
        <v>96214873.495186687</v>
      </c>
      <c r="L9" s="353">
        <v>1530</v>
      </c>
      <c r="M9" s="20"/>
      <c r="N9" s="515" t="s">
        <v>732</v>
      </c>
      <c r="O9" s="515"/>
      <c r="P9" s="515"/>
      <c r="Q9" s="512" t="s">
        <v>19</v>
      </c>
      <c r="R9" s="512"/>
      <c r="S9" s="512"/>
      <c r="T9" s="512"/>
      <c r="U9" s="512"/>
      <c r="V9" s="513" t="s">
        <v>21</v>
      </c>
      <c r="W9" s="513"/>
      <c r="X9" s="513"/>
      <c r="Y9" s="513"/>
      <c r="Z9" s="513"/>
      <c r="AA9" s="514" t="s">
        <v>23</v>
      </c>
      <c r="AB9" s="514"/>
      <c r="AC9" s="514"/>
      <c r="AD9" s="514"/>
      <c r="AE9" s="514"/>
      <c r="AF9" s="511" t="s">
        <v>703</v>
      </c>
      <c r="AG9" s="511"/>
      <c r="AH9" s="511"/>
      <c r="AI9" s="511" t="s">
        <v>704</v>
      </c>
      <c r="AJ9" s="511"/>
      <c r="AK9" s="511"/>
      <c r="AL9" s="511" t="s">
        <v>705</v>
      </c>
      <c r="AM9" s="511"/>
      <c r="AN9" s="511"/>
      <c r="AO9" s="511" t="s">
        <v>706</v>
      </c>
      <c r="AP9" s="511"/>
      <c r="AQ9" s="511"/>
      <c r="AR9" s="10"/>
      <c r="AS9" s="10"/>
      <c r="AT9" s="10"/>
      <c r="AU9" s="10"/>
      <c r="AV9" s="10"/>
      <c r="AW9" s="10"/>
      <c r="AX9" s="10"/>
      <c r="DG9" s="10"/>
      <c r="DH9" s="10"/>
    </row>
    <row r="10" spans="2:152">
      <c r="B10" s="351">
        <v>20</v>
      </c>
      <c r="C10" s="352">
        <f>VLOOKUP(Competitividad_1[[#This Row],[Punto Medio]],$AF$18:$AH$21,2,1)*Competitividad_1[[#This Row],[Punto Medio]]+VLOOKUP(Competitividad_1[[#This Row],[Punto Medio]],$AF$18:$AH$21,3,1)</f>
        <v>33710069.482051171</v>
      </c>
      <c r="D10" s="352">
        <f>VLOOKUP(Competitividad_1[[#This Row],[Punto Medio]],$AI$18:$AK$21,2,1)*Competitividad_1[[#This Row],[Punto Medio]]+VLOOKUP(Competitividad_1[[#This Row],[Punto Medio]],$AI$18:$AK$21,3,1)</f>
        <v>35633967.383259878</v>
      </c>
      <c r="E10" s="352">
        <f>VLOOKUP(Competitividad_1[[#This Row],[Punto Medio]],$AL$18:$AN$21,2,1)*Competitividad_1[[#This Row],[Punto Medio]]+VLOOKUP(Competitividad_1[[#This Row],[Punto Medio]],$AL$18:$AN$21,3,1)</f>
        <v>36877760.435982049</v>
      </c>
      <c r="F10" s="352">
        <f>VLOOKUP(Competitividad_1[[#This Row],[Punto Medio]],$AF$11:$AH$14,2,1)*Competitividad_1[[#This Row],[Punto Medio]]+VLOOKUP(Competitividad_1[[#This Row],[Punto Medio]],$AF$11:$AH$14,3,1)</f>
        <v>48903048.223514646</v>
      </c>
      <c r="G10" s="352">
        <f>VLOOKUP(Competitividad_1[[#This Row],[Punto Medio]],$AI$11:$AK$14,2,1)*Competitividad_1[[#This Row],[Punto Medio]]+VLOOKUP(Competitividad_1[[#This Row],[Punto Medio]],$AI$11:$AK$14,3,1)</f>
        <v>51043302.743557528</v>
      </c>
      <c r="H10" s="352">
        <f>VLOOKUP(Competitividad_1[[#This Row],[Punto Medio]],$AL$11:$AN$14,2,1)*Competitividad_1[[#This Row],[Punto Medio]]+VLOOKUP(Competitividad_1[[#This Row],[Punto Medio]],$AL$11:$AN$14,3,1)</f>
        <v>52410789.108920805</v>
      </c>
      <c r="I10" s="352">
        <f>VLOOKUP(Competitividad_1[[#This Row],[Punto Medio]],$AF$25:$AH$28,2,1)*Competitividad_1[[#This Row],[Punto Medio]]+VLOOKUP(Competitividad_1[[#This Row],[Punto Medio]],$AF$25:$AH$28,3,1)</f>
        <v>64053483.868730702</v>
      </c>
      <c r="J10" s="352">
        <f>VLOOKUP(Competitividad_1[[#This Row],[Punto Medio]],$AI$25:$AK$28,2,1)*Competitividad_1[[#This Row],[Punto Medio]]+VLOOKUP(Competitividad_1[[#This Row],[Punto Medio]],$AI$25:$AK$28,3,1)</f>
        <v>69160939.660082132</v>
      </c>
      <c r="K10" s="352">
        <f>VLOOKUP(Competitividad_1[[#This Row],[Punto Medio]],$AL$25:$AN$28,2,1)*Competitividad_1[[#This Row],[Punto Medio]]+VLOOKUP(Competitividad_1[[#This Row],[Punto Medio]],$AL$25:$AN$28,3,1)</f>
        <v>78017362.232302725</v>
      </c>
      <c r="L10" s="353">
        <v>1331</v>
      </c>
      <c r="M10" s="20"/>
      <c r="N10" s="515"/>
      <c r="O10" s="515"/>
      <c r="P10" s="515"/>
      <c r="Q10" s="357" t="s">
        <v>15</v>
      </c>
      <c r="R10" s="357" t="s">
        <v>708</v>
      </c>
      <c r="S10" s="357" t="s">
        <v>709</v>
      </c>
      <c r="T10" s="357" t="s">
        <v>710</v>
      </c>
      <c r="U10" s="357" t="s">
        <v>711</v>
      </c>
      <c r="V10" s="357" t="s">
        <v>15</v>
      </c>
      <c r="W10" s="357" t="s">
        <v>708</v>
      </c>
      <c r="X10" s="357" t="s">
        <v>709</v>
      </c>
      <c r="Y10" s="363" t="s">
        <v>710</v>
      </c>
      <c r="Z10" s="363" t="s">
        <v>711</v>
      </c>
      <c r="AA10" s="363" t="s">
        <v>15</v>
      </c>
      <c r="AB10" s="357" t="s">
        <v>708</v>
      </c>
      <c r="AC10" s="357" t="s">
        <v>709</v>
      </c>
      <c r="AD10" s="357" t="s">
        <v>710</v>
      </c>
      <c r="AE10" s="357" t="s">
        <v>711</v>
      </c>
      <c r="AF10" s="363" t="s">
        <v>15</v>
      </c>
      <c r="AG10" s="357" t="s">
        <v>710</v>
      </c>
      <c r="AH10" s="357" t="s">
        <v>711</v>
      </c>
      <c r="AI10" s="363" t="s">
        <v>15</v>
      </c>
      <c r="AJ10" s="357" t="s">
        <v>710</v>
      </c>
      <c r="AK10" s="357" t="s">
        <v>711</v>
      </c>
      <c r="AL10" s="363" t="s">
        <v>15</v>
      </c>
      <c r="AM10" s="357" t="s">
        <v>710</v>
      </c>
      <c r="AN10" s="357" t="s">
        <v>711</v>
      </c>
      <c r="AO10" s="357" t="s">
        <v>18</v>
      </c>
      <c r="AP10" s="357" t="s">
        <v>20</v>
      </c>
      <c r="AQ10" s="357" t="s">
        <v>22</v>
      </c>
      <c r="AR10" s="10"/>
      <c r="AS10" s="10"/>
      <c r="AT10" s="10"/>
      <c r="AU10" s="10"/>
      <c r="AV10" s="10"/>
      <c r="AW10" s="10"/>
      <c r="AX10" s="10"/>
      <c r="EU10" s="10"/>
      <c r="EV10" s="10"/>
    </row>
    <row r="11" spans="2:152">
      <c r="B11" s="351">
        <v>19</v>
      </c>
      <c r="C11" s="352">
        <f>VLOOKUP(Competitividad_1[[#This Row],[Punto Medio]],$AF$18:$AH$21,2,1)*Competitividad_1[[#This Row],[Punto Medio]]+VLOOKUP(Competitividad_1[[#This Row],[Punto Medio]],$AF$18:$AH$21,3,1)</f>
        <v>28355052.480726354</v>
      </c>
      <c r="D11" s="352">
        <f>VLOOKUP(Competitividad_1[[#This Row],[Punto Medio]],$AI$18:$AK$21,2,1)*Competitividad_1[[#This Row],[Punto Medio]]+VLOOKUP(Competitividad_1[[#This Row],[Punto Medio]],$AI$18:$AK$21,3,1)</f>
        <v>29951060.452715751</v>
      </c>
      <c r="E11" s="352">
        <f>VLOOKUP(Competitividad_1[[#This Row],[Punto Medio]],$AL$18:$AN$21,2,1)*Competitividad_1[[#This Row],[Punto Medio]]+VLOOKUP(Competitividad_1[[#This Row],[Punto Medio]],$AL$18:$AN$21,3,1)</f>
        <v>31012177.642080087</v>
      </c>
      <c r="F11" s="352">
        <f>VLOOKUP(Competitividad_1[[#This Row],[Punto Medio]],$AF$11:$AH$14,2,1)*Competitividad_1[[#This Row],[Punto Medio]]+VLOOKUP(Competitividad_1[[#This Row],[Punto Medio]],$AF$11:$AH$14,3,1)</f>
        <v>40314988.615324393</v>
      </c>
      <c r="G11" s="352">
        <f>VLOOKUP(Competitividad_1[[#This Row],[Punto Medio]],$AI$11:$AK$14,2,1)*Competitividad_1[[#This Row],[Punto Medio]]+VLOOKUP(Competitividad_1[[#This Row],[Punto Medio]],$AI$11:$AK$14,3,1)</f>
        <v>42065006.745714664</v>
      </c>
      <c r="H11" s="352">
        <f>VLOOKUP(Competitividad_1[[#This Row],[Punto Medio]],$AL$11:$AN$14,2,1)*Competitividad_1[[#This Row],[Punto Medio]]+VLOOKUP(Competitividad_1[[#This Row],[Punto Medio]],$AL$11:$AN$14,3,1)</f>
        <v>43225890.131764963</v>
      </c>
      <c r="I11" s="352">
        <f>VLOOKUP(Competitividad_1[[#This Row],[Punto Medio]],$AF$25:$AH$28,2,1)*Competitividad_1[[#This Row],[Punto Medio]]+VLOOKUP(Competitividad_1[[#This Row],[Punto Medio]],$AF$25:$AH$28,3,1)</f>
        <v>51548273.177195899</v>
      </c>
      <c r="J11" s="352">
        <f>VLOOKUP(Competitividad_1[[#This Row],[Punto Medio]],$AI$25:$AK$28,2,1)*Competitividad_1[[#This Row],[Punto Medio]]+VLOOKUP(Competitividad_1[[#This Row],[Punto Medio]],$AI$25:$AK$28,3,1)</f>
        <v>55463922.502585195</v>
      </c>
      <c r="K11" s="352">
        <f>VLOOKUP(Competitividad_1[[#This Row],[Punto Medio]],$AL$25:$AN$28,2,1)*Competitividad_1[[#This Row],[Punto Medio]]+VLOOKUP(Competitividad_1[[#This Row],[Punto Medio]],$AL$25:$AN$28,3,1)</f>
        <v>62105970.474806175</v>
      </c>
      <c r="L11" s="353">
        <v>1157</v>
      </c>
      <c r="M11" s="20"/>
      <c r="N11" s="357" t="s">
        <v>716</v>
      </c>
      <c r="O11" s="358">
        <v>94</v>
      </c>
      <c r="P11" s="359">
        <v>227</v>
      </c>
      <c r="Q11" s="358">
        <v>94</v>
      </c>
      <c r="R11" s="359" t="s">
        <v>911</v>
      </c>
      <c r="S11" s="359" t="s">
        <v>912</v>
      </c>
      <c r="T11" s="360">
        <v>12176.79327260388</v>
      </c>
      <c r="U11" s="360">
        <v>652679.22380417213</v>
      </c>
      <c r="V11" s="358">
        <v>94</v>
      </c>
      <c r="W11" s="359" t="s">
        <v>913</v>
      </c>
      <c r="X11" s="359" t="s">
        <v>912</v>
      </c>
      <c r="Y11" s="360">
        <v>12884.140941761769</v>
      </c>
      <c r="Z11" s="360">
        <v>590253.36232045013</v>
      </c>
      <c r="AA11" s="358">
        <v>94</v>
      </c>
      <c r="AB11" s="359" t="s">
        <v>914</v>
      </c>
      <c r="AC11" s="359" t="s">
        <v>912</v>
      </c>
      <c r="AD11" s="360">
        <v>15014.916022012425</v>
      </c>
      <c r="AE11" s="360">
        <v>348210.15971198259</v>
      </c>
      <c r="AF11" s="358">
        <v>94</v>
      </c>
      <c r="AG11" s="359">
        <v>11088.149402130359</v>
      </c>
      <c r="AH11" s="359">
        <v>878459.24810263794</v>
      </c>
      <c r="AI11" s="358">
        <v>94</v>
      </c>
      <c r="AJ11" s="359">
        <v>10628.125828689943</v>
      </c>
      <c r="AK11" s="359">
        <v>1004477.6890822961</v>
      </c>
      <c r="AL11" s="358">
        <v>94</v>
      </c>
      <c r="AM11" s="359">
        <v>11416.257386359717</v>
      </c>
      <c r="AN11" s="359">
        <v>987103.35451491689</v>
      </c>
      <c r="AO11" s="361">
        <v>1920745.2919028916</v>
      </c>
      <c r="AP11" s="361">
        <v>2003521.5169791507</v>
      </c>
      <c r="AQ11" s="361">
        <v>2060231.5488327302</v>
      </c>
      <c r="AR11" s="10"/>
      <c r="AS11" s="10"/>
      <c r="AT11" s="10"/>
      <c r="AU11" s="10"/>
      <c r="AV11" s="10"/>
      <c r="AW11" s="10"/>
      <c r="AX11" s="10"/>
      <c r="EU11" s="10"/>
      <c r="EV11" s="10"/>
    </row>
    <row r="12" spans="2:152">
      <c r="B12" s="351">
        <v>18</v>
      </c>
      <c r="C12" s="352">
        <f>VLOOKUP(Competitividad_1[[#This Row],[Punto Medio]],$AF$18:$AH$21,2,1)*Competitividad_1[[#This Row],[Punto Medio]]+VLOOKUP(Competitividad_1[[#This Row],[Punto Medio]],$AF$18:$AH$21,3,1)</f>
        <v>23738658.514067024</v>
      </c>
      <c r="D12" s="352">
        <f>VLOOKUP(Competitividad_1[[#This Row],[Punto Medio]],$AI$18:$AK$21,2,1)*Competitividad_1[[#This Row],[Punto Medio]]+VLOOKUP(Competitividad_1[[#This Row],[Punto Medio]],$AI$18:$AK$21,3,1)</f>
        <v>25052002.753970817</v>
      </c>
      <c r="E12" s="352">
        <f>VLOOKUP(Competitividad_1[[#This Row],[Punto Medio]],$AL$18:$AN$21,2,1)*Competitividad_1[[#This Row],[Punto Medio]]+VLOOKUP(Competitividad_1[[#This Row],[Punto Medio]],$AL$18:$AN$21,3,1)</f>
        <v>25955640.750785295</v>
      </c>
      <c r="F12" s="352">
        <f>VLOOKUP(Competitividad_1[[#This Row],[Punto Medio]],$AF$11:$AH$14,2,1)*Competitividad_1[[#This Row],[Punto Medio]]+VLOOKUP(Competitividad_1[[#This Row],[Punto Medio]],$AF$11:$AH$14,3,1)</f>
        <v>32911488.953091413</v>
      </c>
      <c r="G12" s="352">
        <f>VLOOKUP(Competitividad_1[[#This Row],[Punto Medio]],$AI$11:$AK$14,2,1)*Competitividad_1[[#This Row],[Punto Medio]]+VLOOKUP(Competitividad_1[[#This Row],[Punto Medio]],$AI$11:$AK$14,3,1)</f>
        <v>34325096.40274667</v>
      </c>
      <c r="H12" s="352">
        <f>VLOOKUP(Competitividad_1[[#This Row],[Punto Medio]],$AL$11:$AN$14,2,1)*Competitividad_1[[#This Row],[Punto Medio]]+VLOOKUP(Competitividad_1[[#This Row],[Punto Medio]],$AL$11:$AN$14,3,1)</f>
        <v>35307873.772147864</v>
      </c>
      <c r="I12" s="352">
        <f>VLOOKUP(Competitividad_1[[#This Row],[Punto Medio]],$AF$25:$AH$28,2,1)*Competitividad_1[[#This Row],[Punto Medio]]+VLOOKUP(Competitividad_1[[#This Row],[Punto Medio]],$AF$25:$AH$28,3,1)</f>
        <v>40767919.132769339</v>
      </c>
      <c r="J12" s="352">
        <f>VLOOKUP(Competitividad_1[[#This Row],[Punto Medio]],$AI$25:$AK$28,2,1)*Competitividad_1[[#This Row],[Punto Medio]]+VLOOKUP(Competitividad_1[[#This Row],[Punto Medio]],$AI$25:$AK$28,3,1)</f>
        <v>43656149.0909499</v>
      </c>
      <c r="K12" s="352">
        <f>VLOOKUP(Competitividad_1[[#This Row],[Punto Medio]],$AL$25:$AN$28,2,1)*Competitividad_1[[#This Row],[Punto Medio]]+VLOOKUP(Competitividad_1[[#This Row],[Punto Medio]],$AL$25:$AN$28,3,1)</f>
        <v>48389253.442481577</v>
      </c>
      <c r="L12" s="353">
        <v>1007</v>
      </c>
      <c r="M12" s="20"/>
      <c r="N12" s="357" t="s">
        <v>721</v>
      </c>
      <c r="O12" s="359">
        <v>227</v>
      </c>
      <c r="P12" s="359">
        <v>559</v>
      </c>
      <c r="Q12" s="359">
        <v>227</v>
      </c>
      <c r="R12" s="359" t="s">
        <v>915</v>
      </c>
      <c r="S12" s="359" t="s">
        <v>916</v>
      </c>
      <c r="T12" s="360">
        <v>25420.773700629827</v>
      </c>
      <c r="U12" s="360">
        <v>-2375046.4676567409</v>
      </c>
      <c r="V12" s="359">
        <v>227</v>
      </c>
      <c r="W12" s="359" t="s">
        <v>917</v>
      </c>
      <c r="X12" s="359" t="s">
        <v>916</v>
      </c>
      <c r="Y12" s="360">
        <v>26404.410119256943</v>
      </c>
      <c r="Z12" s="360">
        <v>-2576738.8448764132</v>
      </c>
      <c r="AA12" s="362">
        <v>227</v>
      </c>
      <c r="AB12" s="359" t="s">
        <v>918</v>
      </c>
      <c r="AC12" s="359" t="s">
        <v>916</v>
      </c>
      <c r="AD12" s="360">
        <v>26493.925335885451</v>
      </c>
      <c r="AE12" s="360">
        <v>-2435527.2700274251</v>
      </c>
      <c r="AF12" s="362">
        <v>227</v>
      </c>
      <c r="AG12" s="359">
        <v>22301.910038662721</v>
      </c>
      <c r="AH12" s="359">
        <v>-1667064.4163902085</v>
      </c>
      <c r="AI12" s="362">
        <v>227</v>
      </c>
      <c r="AJ12" s="359">
        <v>23468.379295845432</v>
      </c>
      <c r="AK12" s="359">
        <v>-1910259.8479619995</v>
      </c>
      <c r="AL12" s="362">
        <v>227</v>
      </c>
      <c r="AM12" s="359">
        <v>24339.772480540843</v>
      </c>
      <c r="AN12" s="359">
        <v>-1946534.5718641989</v>
      </c>
      <c r="AO12" s="362">
        <v>3395469.1623862293</v>
      </c>
      <c r="AP12" s="362">
        <v>3417062.2521949131</v>
      </c>
      <c r="AQ12" s="362">
        <v>3578593.7812185725</v>
      </c>
      <c r="AR12" s="10"/>
      <c r="AS12" s="10"/>
      <c r="AT12" s="10"/>
      <c r="AU12" s="10"/>
      <c r="AV12" s="10"/>
      <c r="AW12" s="10"/>
      <c r="AX12" s="10"/>
    </row>
    <row r="13" spans="2:152">
      <c r="B13" s="351">
        <v>17</v>
      </c>
      <c r="C13" s="352">
        <f>VLOOKUP(Competitividad_1[[#This Row],[Punto Medio]],$AF$18:$AH$21,2,1)*Competitividad_1[[#This Row],[Punto Medio]]+VLOOKUP(Competitividad_1[[#This Row],[Punto Medio]],$AF$18:$AH$21,3,1)</f>
        <v>19707007.783184543</v>
      </c>
      <c r="D13" s="352">
        <f>VLOOKUP(Competitividad_1[[#This Row],[Punto Medio]],$AI$18:$AK$21,2,1)*Competitividad_1[[#This Row],[Punto Medio]]+VLOOKUP(Competitividad_1[[#This Row],[Punto Medio]],$AI$18:$AK$21,3,1)</f>
        <v>20773492.363733571</v>
      </c>
      <c r="E13" s="352">
        <f>VLOOKUP(Competitividad_1[[#This Row],[Punto Medio]],$AL$18:$AN$21,2,1)*Competitividad_1[[#This Row],[Punto Medio]]+VLOOKUP(Competitividad_1[[#This Row],[Punto Medio]],$AL$18:$AN$21,3,1)</f>
        <v>21539598.532387849</v>
      </c>
      <c r="F13" s="352">
        <f>VLOOKUP(Competitividad_1[[#This Row],[Punto Medio]],$AF$11:$AH$14,2,1)*Competitividad_1[[#This Row],[Punto Medio]]+VLOOKUP(Competitividad_1[[#This Row],[Punto Medio]],$AF$11:$AH$14,3,1)</f>
        <v>26445765.914741278</v>
      </c>
      <c r="G13" s="352">
        <f>VLOOKUP(Competitividad_1[[#This Row],[Punto Medio]],$AI$11:$AK$14,2,1)*Competitividad_1[[#This Row],[Punto Medio]]+VLOOKUP(Competitividad_1[[#This Row],[Punto Medio]],$AI$11:$AK$14,3,1)</f>
        <v>27565574.703221291</v>
      </c>
      <c r="H13" s="352">
        <f>VLOOKUP(Competitividad_1[[#This Row],[Punto Medio]],$AL$11:$AN$14,2,1)*Competitividad_1[[#This Row],[Punto Medio]]+VLOOKUP(Competitividad_1[[#This Row],[Punto Medio]],$AL$11:$AN$14,3,1)</f>
        <v>28392806.151415601</v>
      </c>
      <c r="I13" s="352">
        <f>VLOOKUP(Competitividad_1[[#This Row],[Punto Medio]],$AF$25:$AH$28,2,1)*Competitividad_1[[#This Row],[Punto Medio]]+VLOOKUP(Competitividad_1[[#This Row],[Punto Medio]],$AF$25:$AH$28,3,1)</f>
        <v>31353076.600636818</v>
      </c>
      <c r="J13" s="352">
        <f>VLOOKUP(Competitividad_1[[#This Row],[Punto Medio]],$AI$25:$AK$28,2,1)*Competitividad_1[[#This Row],[Punto Medio]]+VLOOKUP(Competitividad_1[[#This Row],[Punto Medio]],$AI$25:$AK$28,3,1)</f>
        <v>33344026.97812175</v>
      </c>
      <c r="K13" s="352">
        <f>VLOOKUP(Competitividad_1[[#This Row],[Punto Medio]],$AL$25:$AN$28,2,1)*Competitividad_1[[#This Row],[Punto Medio]]+VLOOKUP(Competitividad_1[[#This Row],[Punto Medio]],$AL$25:$AN$28,3,1)</f>
        <v>36409987.234251425</v>
      </c>
      <c r="L13" s="353">
        <v>876</v>
      </c>
      <c r="M13" s="20"/>
      <c r="N13" s="357" t="s">
        <v>726</v>
      </c>
      <c r="O13" s="359">
        <v>559</v>
      </c>
      <c r="P13" s="358">
        <v>1048</v>
      </c>
      <c r="Q13" s="359">
        <v>559</v>
      </c>
      <c r="R13" s="359" t="s">
        <v>919</v>
      </c>
      <c r="S13" s="359" t="s">
        <v>920</v>
      </c>
      <c r="T13" s="360">
        <v>38103.049807852469</v>
      </c>
      <c r="U13" s="360">
        <v>-10499901.547367278</v>
      </c>
      <c r="V13" s="359">
        <v>559</v>
      </c>
      <c r="W13" s="359" t="s">
        <v>921</v>
      </c>
      <c r="X13" s="359" t="s">
        <v>920</v>
      </c>
      <c r="Y13" s="360">
        <v>47377.068501750211</v>
      </c>
      <c r="Z13" s="360">
        <v>-15275217.114062771</v>
      </c>
      <c r="AA13" s="362">
        <v>559</v>
      </c>
      <c r="AB13" s="359" t="s">
        <v>922</v>
      </c>
      <c r="AC13" s="359" t="s">
        <v>920</v>
      </c>
      <c r="AD13" s="360">
        <v>46955.998935188851</v>
      </c>
      <c r="AE13" s="360">
        <v>-14589005.160012435</v>
      </c>
      <c r="AF13" s="362">
        <v>559</v>
      </c>
      <c r="AG13" s="359">
        <v>49356.664414886516</v>
      </c>
      <c r="AH13" s="359">
        <v>-16790672.112699308</v>
      </c>
      <c r="AI13" s="362">
        <v>559</v>
      </c>
      <c r="AJ13" s="359">
        <v>51599.402286453282</v>
      </c>
      <c r="AK13" s="359">
        <v>-17635501.699711785</v>
      </c>
      <c r="AL13" s="362">
        <v>559</v>
      </c>
      <c r="AM13" s="359">
        <v>52786.775730780653</v>
      </c>
      <c r="AN13" s="359">
        <v>-17848409.388748251</v>
      </c>
      <c r="AO13" s="362">
        <v>10799703.295222253</v>
      </c>
      <c r="AP13" s="362">
        <v>11208564.178415596</v>
      </c>
      <c r="AQ13" s="362">
        <v>11659398.244758133</v>
      </c>
      <c r="AR13" s="10"/>
      <c r="AS13" s="10"/>
      <c r="AT13" s="10"/>
      <c r="AU13" s="10"/>
      <c r="AV13" s="10"/>
      <c r="AW13" s="10"/>
      <c r="AX13" s="10"/>
    </row>
    <row r="14" spans="2:152">
      <c r="B14" s="351">
        <v>16</v>
      </c>
      <c r="C14" s="352">
        <f>VLOOKUP(Competitividad_1[[#This Row],[Punto Medio]],$AF$18:$AH$21,2,1)*Competitividad_1[[#This Row],[Punto Medio]]+VLOOKUP(Competitividad_1[[#This Row],[Punto Medio]],$AF$18:$AH$21,3,1)</f>
        <v>16198548.368523452</v>
      </c>
      <c r="D14" s="352">
        <f>VLOOKUP(Competitividad_1[[#This Row],[Punto Medio]],$AI$18:$AK$21,2,1)*Competitividad_1[[#This Row],[Punto Medio]]+VLOOKUP(Competitividad_1[[#This Row],[Punto Medio]],$AI$18:$AK$21,3,1)</f>
        <v>17050208.512687422</v>
      </c>
      <c r="E14" s="352">
        <f>VLOOKUP(Competitividad_1[[#This Row],[Punto Medio]],$AL$18:$AN$21,2,1)*Competitividad_1[[#This Row],[Punto Medio]]+VLOOKUP(Competitividad_1[[#This Row],[Punto Medio]],$AL$18:$AN$21,3,1)</f>
        <v>17696630.495003805</v>
      </c>
      <c r="F14" s="352">
        <f>VLOOKUP(Competitividad_1[[#This Row],[Punto Medio]],$AF$11:$AH$14,2,1)*Competitividad_1[[#This Row],[Punto Medio]]+VLOOKUP(Competitividad_1[[#This Row],[Punto Medio]],$AF$11:$AH$14,3,1)</f>
        <v>20819106.171444215</v>
      </c>
      <c r="G14" s="352">
        <f>VLOOKUP(Competitividad_1[[#This Row],[Punto Medio]],$AI$11:$AK$14,2,1)*Competitividad_1[[#This Row],[Punto Medio]]+VLOOKUP(Competitividad_1[[#This Row],[Punto Medio]],$AI$11:$AK$14,3,1)</f>
        <v>21683242.842565618</v>
      </c>
      <c r="H14" s="352">
        <f>VLOOKUP(Competitividad_1[[#This Row],[Punto Medio]],$AL$11:$AN$14,2,1)*Competitividad_1[[#This Row],[Punto Medio]]+VLOOKUP(Competitividad_1[[#This Row],[Punto Medio]],$AL$11:$AN$14,3,1)</f>
        <v>22375113.718106605</v>
      </c>
      <c r="I14" s="352">
        <f>VLOOKUP(Competitividad_1[[#This Row],[Punto Medio]],$AF$25:$AH$28,2,1)*Competitividad_1[[#This Row],[Punto Medio]]+VLOOKUP(Competitividad_1[[#This Row],[Punto Medio]],$AF$25:$AH$28,3,1)</f>
        <v>23160007.526872627</v>
      </c>
      <c r="J14" s="352">
        <f>VLOOKUP(Competitividad_1[[#This Row],[Punto Medio]],$AI$25:$AK$28,2,1)*Competitividad_1[[#This Row],[Punto Medio]]+VLOOKUP(Competitividad_1[[#This Row],[Punto Medio]],$AI$25:$AK$28,3,1)</f>
        <v>24370119.185278922</v>
      </c>
      <c r="K14" s="352">
        <f>VLOOKUP(Competitividad_1[[#This Row],[Punto Medio]],$AL$25:$AN$28,2,1)*Competitividad_1[[#This Row],[Punto Medio]]+VLOOKUP(Competitividad_1[[#This Row],[Punto Medio]],$AL$25:$AN$28,3,1)</f>
        <v>25985282.289684728</v>
      </c>
      <c r="L14" s="353">
        <v>762</v>
      </c>
      <c r="M14" s="20"/>
      <c r="N14" s="357" t="s">
        <v>731</v>
      </c>
      <c r="O14" s="358">
        <v>1048</v>
      </c>
      <c r="P14" s="359">
        <v>2623</v>
      </c>
      <c r="Q14" s="359">
        <v>1048</v>
      </c>
      <c r="R14" s="359" t="s">
        <v>919</v>
      </c>
      <c r="S14" s="359" t="s">
        <v>920</v>
      </c>
      <c r="T14" s="360">
        <v>38103.049807852469</v>
      </c>
      <c r="U14" s="360">
        <v>-10499901.547367278</v>
      </c>
      <c r="V14" s="359">
        <v>1048</v>
      </c>
      <c r="W14" s="359" t="s">
        <v>921</v>
      </c>
      <c r="X14" s="359" t="s">
        <v>920</v>
      </c>
      <c r="Y14" s="360">
        <v>47377.068501750211</v>
      </c>
      <c r="Z14" s="360">
        <v>-15275217.114062771</v>
      </c>
      <c r="AA14" s="362">
        <v>1048</v>
      </c>
      <c r="AB14" s="359" t="s">
        <v>922</v>
      </c>
      <c r="AC14" s="359" t="s">
        <v>920</v>
      </c>
      <c r="AD14" s="360">
        <v>46955.998935188851</v>
      </c>
      <c r="AE14" s="360">
        <v>-14589005.160012435</v>
      </c>
      <c r="AF14" s="362">
        <v>1048</v>
      </c>
      <c r="AG14" s="359">
        <v>49356.664414886516</v>
      </c>
      <c r="AH14" s="359">
        <v>-16790672.112699308</v>
      </c>
      <c r="AI14" s="362">
        <v>1048</v>
      </c>
      <c r="AJ14" s="359">
        <v>51599.402286453282</v>
      </c>
      <c r="AK14" s="359">
        <v>-17635501.699711785</v>
      </c>
      <c r="AL14" s="362">
        <v>1048</v>
      </c>
      <c r="AM14" s="359">
        <v>52786.775730780653</v>
      </c>
      <c r="AN14" s="359">
        <v>-17848409.388748251</v>
      </c>
      <c r="AO14" s="361">
        <v>34935112.194101758</v>
      </c>
      <c r="AP14" s="361">
        <v>36440671.896491252</v>
      </c>
      <c r="AQ14" s="361">
        <v>37472131.577109873</v>
      </c>
      <c r="AR14" s="10"/>
      <c r="AS14" s="10"/>
      <c r="AT14" s="10"/>
      <c r="AU14" s="10"/>
      <c r="AV14" s="10"/>
      <c r="AW14" s="10"/>
      <c r="AX14" s="10"/>
    </row>
    <row r="15" spans="2:152">
      <c r="B15" s="351">
        <v>15</v>
      </c>
      <c r="C15" s="352">
        <f>VLOOKUP(Competitividad_1[[#This Row],[Punto Medio]],$AF$18:$AH$21,2,1)*Competitividad_1[[#This Row],[Punto Medio]]+VLOOKUP(Competitividad_1[[#This Row],[Punto Medio]],$AF$18:$AH$21,3,1)</f>
        <v>13151728.350528296</v>
      </c>
      <c r="D15" s="352">
        <f>VLOOKUP(Competitividad_1[[#This Row],[Punto Medio]],$AI$18:$AK$21,2,1)*Competitividad_1[[#This Row],[Punto Medio]]+VLOOKUP(Competitividad_1[[#This Row],[Punto Medio]],$AI$18:$AK$21,3,1)</f>
        <v>13816830.431515764</v>
      </c>
      <c r="E15" s="352">
        <f>VLOOKUP(Competitividad_1[[#This Row],[Punto Medio]],$AL$18:$AN$21,2,1)*Competitividad_1[[#This Row],[Punto Medio]]+VLOOKUP(Competitividad_1[[#This Row],[Punto Medio]],$AL$18:$AN$21,3,1)</f>
        <v>14359316.146749243</v>
      </c>
      <c r="F15" s="352">
        <f>VLOOKUP(Competitividad_1[[#This Row],[Punto Medio]],$AF$11:$AH$14,2,1)*Competitividad_1[[#This Row],[Punto Medio]]+VLOOKUP(Competitividad_1[[#This Row],[Punto Medio]],$AF$11:$AH$14,3,1)</f>
        <v>15932796.394370452</v>
      </c>
      <c r="G15" s="352">
        <f>VLOOKUP(Competitividad_1[[#This Row],[Punto Medio]],$AI$11:$AK$14,2,1)*Competitividad_1[[#This Row],[Punto Medio]]+VLOOKUP(Competitividad_1[[#This Row],[Punto Medio]],$AI$11:$AK$14,3,1)</f>
        <v>16574902.016206741</v>
      </c>
      <c r="H15" s="352">
        <f>VLOOKUP(Competitividad_1[[#This Row],[Punto Medio]],$AL$11:$AN$14,2,1)*Competitividad_1[[#This Row],[Punto Medio]]+VLOOKUP(Competitividad_1[[#This Row],[Punto Medio]],$AL$11:$AN$14,3,1)</f>
        <v>17149222.92075932</v>
      </c>
      <c r="I15" s="352">
        <f>VLOOKUP(Competitividad_1[[#This Row],[Punto Medio]],$AF$25:$AH$28,2,1)*Competitividad_1[[#This Row],[Punto Medio]]+VLOOKUP(Competitividad_1[[#This Row],[Punto Medio]],$AF$25:$AH$28,3,1)</f>
        <v>16044973.857551098</v>
      </c>
      <c r="J15" s="352">
        <f>VLOOKUP(Competitividad_1[[#This Row],[Punto Medio]],$AI$25:$AK$28,2,1)*Competitividad_1[[#This Row],[Punto Medio]]+VLOOKUP(Competitividad_1[[#This Row],[Punto Medio]],$AI$25:$AK$28,3,1)</f>
        <v>16576988.733599633</v>
      </c>
      <c r="K15" s="352">
        <f>VLOOKUP(Competitividad_1[[#This Row],[Punto Medio]],$AL$25:$AN$28,2,1)*Competitividad_1[[#This Row],[Punto Medio]]+VLOOKUP(Competitividad_1[[#This Row],[Punto Medio]],$AL$25:$AN$28,3,1)</f>
        <v>16932249.048350491</v>
      </c>
      <c r="L15" s="353">
        <v>663</v>
      </c>
      <c r="M15" s="2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</row>
    <row r="16" spans="2:152">
      <c r="B16" s="351">
        <v>14</v>
      </c>
      <c r="C16" s="352">
        <f>VLOOKUP(Competitividad_1[[#This Row],[Punto Medio]],$AF$18:$AH$21,2,1)*Competitividad_1[[#This Row],[Punto Medio]]+VLOOKUP(Competitividad_1[[#This Row],[Punto Medio]],$AF$18:$AH$21,3,1)</f>
        <v>10504995.809643615</v>
      </c>
      <c r="D16" s="352">
        <f>VLOOKUP(Competitividad_1[[#This Row],[Punto Medio]],$AI$18:$AK$21,2,1)*Competitividad_1[[#This Row],[Punto Medio]]+VLOOKUP(Competitividad_1[[#This Row],[Punto Medio]],$AI$18:$AK$21,3,1)</f>
        <v>11008037.350901999</v>
      </c>
      <c r="E16" s="352">
        <f>VLOOKUP(Competitividad_1[[#This Row],[Punto Medio]],$AL$18:$AN$21,2,1)*Competitividad_1[[#This Row],[Punto Medio]]+VLOOKUP(Competitividad_1[[#This Row],[Punto Medio]],$AL$18:$AN$21,3,1)</f>
        <v>11460234.995740231</v>
      </c>
      <c r="F16" s="352">
        <f>VLOOKUP(Competitividad_1[[#This Row],[Punto Medio]],$AF$11:$AH$14,2,1)*Competitividad_1[[#This Row],[Punto Medio]]+VLOOKUP(Competitividad_1[[#This Row],[Punto Medio]],$AF$11:$AH$14,3,1)</f>
        <v>11688123.254690211</v>
      </c>
      <c r="G16" s="352">
        <f>VLOOKUP(Competitividad_1[[#This Row],[Punto Medio]],$AI$11:$AK$14,2,1)*Competitividad_1[[#This Row],[Punto Medio]]+VLOOKUP(Competitividad_1[[#This Row],[Punto Medio]],$AI$11:$AK$14,3,1)</f>
        <v>12137353.419571757</v>
      </c>
      <c r="H16" s="352">
        <f>VLOOKUP(Competitividad_1[[#This Row],[Punto Medio]],$AL$11:$AN$14,2,1)*Competitividad_1[[#This Row],[Punto Medio]]+VLOOKUP(Competitividad_1[[#This Row],[Punto Medio]],$AL$11:$AN$14,3,1)</f>
        <v>12609560.207912184</v>
      </c>
      <c r="I16" s="352">
        <f>VLOOKUP(Competitividad_1[[#This Row],[Punto Medio]],$AF$25:$AH$28,2,1)*Competitividad_1[[#This Row],[Punto Medio]]+VLOOKUP(Competitividad_1[[#This Row],[Punto Medio]],$AF$25:$AH$28,3,1)</f>
        <v>12316266.798100935</v>
      </c>
      <c r="J16" s="352">
        <f>VLOOKUP(Competitividad_1[[#This Row],[Punto Medio]],$AI$25:$AK$28,2,1)*Competitividad_1[[#This Row],[Punto Medio]]+VLOOKUP(Competitividad_1[[#This Row],[Punto Medio]],$AI$25:$AK$28,3,1)</f>
        <v>12608790.788843092</v>
      </c>
      <c r="K16" s="352">
        <f>VLOOKUP(Competitividad_1[[#This Row],[Punto Medio]],$AL$25:$AN$28,2,1)*Competitividad_1[[#This Row],[Punto Medio]]+VLOOKUP(Competitividad_1[[#This Row],[Punto Medio]],$AL$25:$AN$28,3,1)</f>
        <v>12639889.854063021</v>
      </c>
      <c r="L16" s="353">
        <v>577</v>
      </c>
      <c r="M16" s="20"/>
      <c r="N16" s="515" t="s">
        <v>733</v>
      </c>
      <c r="O16" s="515"/>
      <c r="P16" s="515"/>
      <c r="Q16" s="512" t="s">
        <v>19</v>
      </c>
      <c r="R16" s="512"/>
      <c r="S16" s="512"/>
      <c r="T16" s="512"/>
      <c r="U16" s="512"/>
      <c r="V16" s="513" t="s">
        <v>21</v>
      </c>
      <c r="W16" s="513"/>
      <c r="X16" s="513"/>
      <c r="Y16" s="513"/>
      <c r="Z16" s="513"/>
      <c r="AA16" s="514" t="s">
        <v>23</v>
      </c>
      <c r="AB16" s="514"/>
      <c r="AC16" s="514"/>
      <c r="AD16" s="514"/>
      <c r="AE16" s="514"/>
      <c r="AF16" s="511" t="s">
        <v>703</v>
      </c>
      <c r="AG16" s="511"/>
      <c r="AH16" s="511"/>
      <c r="AI16" s="511" t="s">
        <v>704</v>
      </c>
      <c r="AJ16" s="511"/>
      <c r="AK16" s="511"/>
      <c r="AL16" s="511" t="s">
        <v>705</v>
      </c>
      <c r="AM16" s="511"/>
      <c r="AN16" s="511"/>
      <c r="AO16" s="511" t="s">
        <v>706</v>
      </c>
      <c r="AP16" s="511"/>
      <c r="AQ16" s="511"/>
      <c r="AR16" s="10"/>
      <c r="AS16" s="10"/>
      <c r="AT16" s="10"/>
      <c r="AU16" s="10"/>
      <c r="AV16" s="10"/>
      <c r="AW16" s="10"/>
      <c r="AX16" s="10"/>
      <c r="EU16" s="10"/>
      <c r="EV16" s="10"/>
    </row>
    <row r="17" spans="2:152">
      <c r="B17" s="351">
        <v>13</v>
      </c>
      <c r="C17" s="352">
        <f>VLOOKUP(Competitividad_1[[#This Row],[Punto Medio]],$AF$18:$AH$21,2,1)*Competitividad_1[[#This Row],[Punto Medio]]+VLOOKUP(Competitividad_1[[#This Row],[Punto Medio]],$AF$18:$AH$21,3,1)</f>
        <v>8196798.826313952</v>
      </c>
      <c r="D17" s="352">
        <f>VLOOKUP(Competitividad_1[[#This Row],[Punto Medio]],$AI$18:$AK$21,2,1)*Competitividad_1[[#This Row],[Punto Medio]]+VLOOKUP(Competitividad_1[[#This Row],[Punto Medio]],$AI$18:$AK$21,3,1)</f>
        <v>8558508.5015295316</v>
      </c>
      <c r="E17" s="352">
        <f>VLOOKUP(Competitividad_1[[#This Row],[Punto Medio]],$AL$18:$AN$21,2,1)*Competitividad_1[[#This Row],[Punto Medio]]+VLOOKUP(Competitividad_1[[#This Row],[Punto Medio]],$AL$18:$AN$21,3,1)</f>
        <v>8931966.550092835</v>
      </c>
      <c r="F17" s="352">
        <f>VLOOKUP(Competitividad_1[[#This Row],[Punto Medio]],$AF$11:$AH$14,2,1)*Competitividad_1[[#This Row],[Punto Medio]]+VLOOKUP(Competitividad_1[[#This Row],[Punto Medio]],$AF$11:$AH$14,3,1)</f>
        <v>9528494.4230184779</v>
      </c>
      <c r="G17" s="352">
        <f>VLOOKUP(Competitividad_1[[#This Row],[Punto Medio]],$AI$11:$AK$14,2,1)*Competitividad_1[[#This Row],[Punto Medio]]+VLOOKUP(Competitividad_1[[#This Row],[Punto Medio]],$AI$11:$AK$14,3,1)</f>
        <v>9870866.5585524067</v>
      </c>
      <c r="H17" s="352">
        <f>VLOOKUP(Competitividad_1[[#This Row],[Punto Medio]],$AL$11:$AN$14,2,1)*Competitividad_1[[#This Row],[Punto Medio]]+VLOOKUP(Competitividad_1[[#This Row],[Punto Medio]],$AL$11:$AN$14,3,1)</f>
        <v>10272031.213367304</v>
      </c>
      <c r="I17" s="352">
        <f>VLOOKUP(Competitividad_1[[#This Row],[Punto Medio]],$AF$25:$AH$28,2,1)*Competitividad_1[[#This Row],[Punto Medio]]+VLOOKUP(Competitividad_1[[#This Row],[Punto Medio]],$AF$25:$AH$28,3,1)</f>
        <v>10269766.038643638</v>
      </c>
      <c r="J17" s="352">
        <f>VLOOKUP(Competitividad_1[[#This Row],[Punto Medio]],$AI$25:$AK$28,2,1)*Competitividad_1[[#This Row],[Punto Medio]]+VLOOKUP(Competitividad_1[[#This Row],[Punto Medio]],$AI$25:$AK$28,3,1)</f>
        <v>10525257.007454116</v>
      </c>
      <c r="K17" s="352">
        <f>VLOOKUP(Competitividad_1[[#This Row],[Punto Medio]],$AL$25:$AN$28,2,1)*Competitividad_1[[#This Row],[Punto Medio]]+VLOOKUP(Competitividad_1[[#This Row],[Punto Medio]],$AL$25:$AN$28,3,1)</f>
        <v>10652293.025507946</v>
      </c>
      <c r="L17" s="353">
        <v>502</v>
      </c>
      <c r="M17" s="20"/>
      <c r="N17" s="515"/>
      <c r="O17" s="515"/>
      <c r="P17" s="515"/>
      <c r="Q17" s="357" t="s">
        <v>15</v>
      </c>
      <c r="R17" s="357" t="s">
        <v>708</v>
      </c>
      <c r="S17" s="357" t="s">
        <v>709</v>
      </c>
      <c r="T17" s="357" t="s">
        <v>710</v>
      </c>
      <c r="U17" s="357" t="s">
        <v>711</v>
      </c>
      <c r="V17" s="357" t="s">
        <v>15</v>
      </c>
      <c r="W17" s="357" t="s">
        <v>708</v>
      </c>
      <c r="X17" s="357" t="s">
        <v>709</v>
      </c>
      <c r="Y17" s="363" t="s">
        <v>710</v>
      </c>
      <c r="Z17" s="363" t="s">
        <v>711</v>
      </c>
      <c r="AA17" s="363" t="s">
        <v>15</v>
      </c>
      <c r="AB17" s="357" t="s">
        <v>708</v>
      </c>
      <c r="AC17" s="357" t="s">
        <v>709</v>
      </c>
      <c r="AD17" s="357" t="s">
        <v>710</v>
      </c>
      <c r="AE17" s="357" t="s">
        <v>711</v>
      </c>
      <c r="AF17" s="363" t="s">
        <v>15</v>
      </c>
      <c r="AG17" s="357" t="s">
        <v>710</v>
      </c>
      <c r="AH17" s="357" t="s">
        <v>711</v>
      </c>
      <c r="AI17" s="363" t="s">
        <v>15</v>
      </c>
      <c r="AJ17" s="357" t="s">
        <v>710</v>
      </c>
      <c r="AK17" s="357" t="s">
        <v>711</v>
      </c>
      <c r="AL17" s="363" t="s">
        <v>15</v>
      </c>
      <c r="AM17" s="357" t="s">
        <v>710</v>
      </c>
      <c r="AN17" s="357" t="s">
        <v>711</v>
      </c>
      <c r="AO17" s="357" t="s">
        <v>18</v>
      </c>
      <c r="AP17" s="357" t="s">
        <v>20</v>
      </c>
      <c r="AQ17" s="357" t="s">
        <v>22</v>
      </c>
      <c r="AR17" s="10"/>
      <c r="AS17" s="10"/>
      <c r="AT17" s="10"/>
      <c r="AU17" s="10"/>
      <c r="AV17" s="10"/>
      <c r="AW17" s="10"/>
      <c r="AX17" s="10"/>
      <c r="EU17" s="10"/>
      <c r="EV17" s="10"/>
    </row>
    <row r="18" spans="2:152">
      <c r="B18" s="351">
        <v>12</v>
      </c>
      <c r="C18" s="352">
        <f>VLOOKUP(Competitividad_1[[#This Row],[Punto Medio]],$AF$18:$AH$21,2,1)*Competitividad_1[[#This Row],[Punto Medio]]+VLOOKUP(Competitividad_1[[#This Row],[Punto Medio]],$AF$18:$AH$21,3,1)</f>
        <v>6165585.4809838478</v>
      </c>
      <c r="D18" s="352">
        <f>VLOOKUP(Competitividad_1[[#This Row],[Punto Medio]],$AI$18:$AK$21,2,1)*Competitividad_1[[#This Row],[Punto Medio]]+VLOOKUP(Competitividad_1[[#This Row],[Punto Medio]],$AI$18:$AK$21,3,1)</f>
        <v>6402923.114081759</v>
      </c>
      <c r="E18" s="352">
        <f>VLOOKUP(Competitividad_1[[#This Row],[Punto Medio]],$AL$18:$AN$21,2,1)*Competitividad_1[[#This Row],[Punto Medio]]+VLOOKUP(Competitividad_1[[#This Row],[Punto Medio]],$AL$18:$AN$21,3,1)</f>
        <v>6707090.3179231267</v>
      </c>
      <c r="F18" s="352">
        <f>VLOOKUP(Competitividad_1[[#This Row],[Punto Medio]],$AF$11:$AH$14,2,1)*Competitividad_1[[#This Row],[Punto Medio]]+VLOOKUP(Competitividad_1[[#This Row],[Punto Medio]],$AF$11:$AH$14,3,1)</f>
        <v>8056568.3604667373</v>
      </c>
      <c r="G18" s="352">
        <f>VLOOKUP(Competitividad_1[[#This Row],[Punto Medio]],$AI$11:$AK$14,2,1)*Competitividad_1[[#This Row],[Punto Medio]]+VLOOKUP(Competitividad_1[[#This Row],[Punto Medio]],$AI$11:$AK$14,3,1)</f>
        <v>8321953.5250266083</v>
      </c>
      <c r="H18" s="352">
        <f>VLOOKUP(Competitividad_1[[#This Row],[Punto Medio]],$AL$11:$AN$14,2,1)*Competitividad_1[[#This Row],[Punto Medio]]+VLOOKUP(Competitividad_1[[#This Row],[Punto Medio]],$AL$11:$AN$14,3,1)</f>
        <v>8665606.2296516094</v>
      </c>
      <c r="I18" s="352">
        <f>VLOOKUP(Competitividad_1[[#This Row],[Punto Medio]],$AF$25:$AH$28,2,1)*Competitividad_1[[#This Row],[Punto Medio]]+VLOOKUP(Competitividad_1[[#This Row],[Punto Medio]],$AF$25:$AH$28,3,1)</f>
        <v>8521803.1611934956</v>
      </c>
      <c r="J18" s="352">
        <f>VLOOKUP(Competitividad_1[[#This Row],[Punto Medio]],$AI$25:$AK$28,2,1)*Competitividad_1[[#This Row],[Punto Medio]]+VLOOKUP(Competitividad_1[[#This Row],[Punto Medio]],$AI$25:$AK$28,3,1)</f>
        <v>8745059.1994430907</v>
      </c>
      <c r="K18" s="352">
        <f>VLOOKUP(Competitividad_1[[#This Row],[Punto Medio]],$AL$25:$AN$28,2,1)*Competitividad_1[[#This Row],[Punto Medio]]+VLOOKUP(Competitividad_1[[#This Row],[Punto Medio]],$AL$25:$AN$28,3,1)</f>
        <v>8946711.216648886</v>
      </c>
      <c r="L18" s="353">
        <v>436</v>
      </c>
      <c r="M18" s="20"/>
      <c r="N18" s="357" t="s">
        <v>716</v>
      </c>
      <c r="O18" s="358">
        <v>94</v>
      </c>
      <c r="P18" s="359">
        <v>370</v>
      </c>
      <c r="Q18" s="358">
        <v>94</v>
      </c>
      <c r="R18" s="359" t="s">
        <v>734</v>
      </c>
      <c r="S18" s="359" t="s">
        <v>735</v>
      </c>
      <c r="T18" s="360">
        <v>13452.271358986764</v>
      </c>
      <c r="U18" s="360">
        <v>-122682.47920875205</v>
      </c>
      <c r="V18" s="358">
        <v>94</v>
      </c>
      <c r="W18" s="359" t="s">
        <v>736</v>
      </c>
      <c r="X18" s="359" t="s">
        <v>735</v>
      </c>
      <c r="Y18" s="360">
        <v>13838.300390439768</v>
      </c>
      <c r="Z18" s="360">
        <v>-146603.92276921589</v>
      </c>
      <c r="AA18" s="358">
        <v>94</v>
      </c>
      <c r="AB18" s="359" t="s">
        <v>737</v>
      </c>
      <c r="AC18" s="359" t="s">
        <v>735</v>
      </c>
      <c r="AD18" s="360">
        <v>14280.103950135132</v>
      </c>
      <c r="AE18" s="360">
        <v>-72524.336186071392</v>
      </c>
      <c r="AF18" s="358">
        <v>94</v>
      </c>
      <c r="AG18" s="359">
        <v>10003.418030451825</v>
      </c>
      <c r="AH18" s="359">
        <v>590898.67092621978</v>
      </c>
      <c r="AI18" s="358">
        <v>94</v>
      </c>
      <c r="AJ18" s="359">
        <v>10109.928114487817</v>
      </c>
      <c r="AK18" s="359">
        <v>666058.03809130844</v>
      </c>
      <c r="AL18" s="358">
        <v>94</v>
      </c>
      <c r="AM18" s="359">
        <v>10564.811132205336</v>
      </c>
      <c r="AN18" s="359">
        <v>681281.09185777698</v>
      </c>
      <c r="AO18" s="361">
        <v>1531219.9657886913</v>
      </c>
      <c r="AP18" s="361">
        <v>1616391.2808531637</v>
      </c>
      <c r="AQ18" s="361">
        <v>1674373.3382850783</v>
      </c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</row>
    <row r="19" spans="2:152">
      <c r="B19" s="351">
        <v>11</v>
      </c>
      <c r="C19" s="352">
        <f>VLOOKUP(Competitividad_1[[#This Row],[Punto Medio]],$AF$18:$AH$21,2,1)*Competitividad_1[[#This Row],[Punto Medio]]+VLOOKUP(Competitividad_1[[#This Row],[Punto Medio]],$AF$18:$AH$21,3,1)</f>
        <v>4514526.9471599981</v>
      </c>
      <c r="D19" s="352">
        <f>VLOOKUP(Competitividad_1[[#This Row],[Punto Medio]],$AI$18:$AK$21,2,1)*Competitividad_1[[#This Row],[Punto Medio]]+VLOOKUP(Competitividad_1[[#This Row],[Punto Medio]],$AI$18:$AK$21,3,1)</f>
        <v>4645500.1552857161</v>
      </c>
      <c r="E19" s="352">
        <f>VLOOKUP(Competitividad_1[[#This Row],[Punto Medio]],$AL$18:$AN$21,2,1)*Competitividad_1[[#This Row],[Punto Medio]]+VLOOKUP(Competitividad_1[[#This Row],[Punto Medio]],$AL$18:$AN$21,3,1)</f>
        <v>4856252.4963597842</v>
      </c>
      <c r="F19" s="352">
        <f>VLOOKUP(Competitividad_1[[#This Row],[Punto Medio]],$AF$11:$AH$14,2,1)*Competitividad_1[[#This Row],[Punto Medio]]+VLOOKUP(Competitividad_1[[#This Row],[Punto Medio]],$AF$11:$AH$14,3,1)</f>
        <v>6785359.4882629625</v>
      </c>
      <c r="G19" s="352">
        <f>VLOOKUP(Competitividad_1[[#This Row],[Punto Medio]],$AI$11:$AK$14,2,1)*Competitividad_1[[#This Row],[Punto Medio]]+VLOOKUP(Competitividad_1[[#This Row],[Punto Medio]],$AI$11:$AK$14,3,1)</f>
        <v>6984255.9051634185</v>
      </c>
      <c r="H19" s="352">
        <f>VLOOKUP(Competitividad_1[[#This Row],[Punto Medio]],$AL$11:$AN$14,2,1)*Competitividad_1[[#This Row],[Punto Medio]]+VLOOKUP(Competitividad_1[[#This Row],[Punto Medio]],$AL$11:$AN$14,3,1)</f>
        <v>7278239.1982607804</v>
      </c>
      <c r="I19" s="352">
        <f>VLOOKUP(Competitividad_1[[#This Row],[Punto Medio]],$AF$25:$AH$28,2,1)*Competitividad_1[[#This Row],[Punto Medio]]+VLOOKUP(Competitividad_1[[#This Row],[Punto Medio]],$AF$25:$AH$28,3,1)</f>
        <v>7469561.5972926328</v>
      </c>
      <c r="J19" s="352">
        <f>VLOOKUP(Competitividad_1[[#This Row],[Punto Medio]],$AI$25:$AK$28,2,1)*Competitividad_1[[#This Row],[Punto Medio]]+VLOOKUP(Competitividad_1[[#This Row],[Punto Medio]],$AI$25:$AK$28,3,1)</f>
        <v>7668036.7618945884</v>
      </c>
      <c r="K19" s="352">
        <f>VLOOKUP(Competitividad_1[[#This Row],[Punto Medio]],$AL$25:$AN$28,2,1)*Competitividad_1[[#This Row],[Punto Medio]]+VLOOKUP(Competitividad_1[[#This Row],[Punto Medio]],$AL$25:$AN$28,3,1)</f>
        <v>7849419.9295064025</v>
      </c>
      <c r="L19" s="353">
        <v>379</v>
      </c>
      <c r="M19" s="20"/>
      <c r="N19" s="357" t="s">
        <v>721</v>
      </c>
      <c r="O19" s="359">
        <v>370</v>
      </c>
      <c r="P19" s="359">
        <v>396</v>
      </c>
      <c r="Q19" s="359">
        <v>370</v>
      </c>
      <c r="R19" s="359" t="s">
        <v>738</v>
      </c>
      <c r="S19" s="359" t="s">
        <v>739</v>
      </c>
      <c r="T19" s="360">
        <v>172333.76379105521</v>
      </c>
      <c r="U19" s="360">
        <v>-59471329.260497034</v>
      </c>
      <c r="V19" s="359">
        <v>370</v>
      </c>
      <c r="W19" s="359" t="s">
        <v>740</v>
      </c>
      <c r="X19" s="359" t="s">
        <v>739</v>
      </c>
      <c r="Y19" s="360">
        <v>168271.04231101557</v>
      </c>
      <c r="Z19" s="360">
        <v>-57853554.214623958</v>
      </c>
      <c r="AA19" s="362">
        <v>370</v>
      </c>
      <c r="AB19" s="359" t="s">
        <v>741</v>
      </c>
      <c r="AC19" s="359" t="s">
        <v>739</v>
      </c>
      <c r="AD19" s="360">
        <v>161286.5110390195</v>
      </c>
      <c r="AE19" s="360">
        <v>-55085747.873663463</v>
      </c>
      <c r="AF19" s="362">
        <v>370</v>
      </c>
      <c r="AG19" s="359">
        <v>24707.067218511438</v>
      </c>
      <c r="AH19" s="359">
        <v>-4849451.5286558364</v>
      </c>
      <c r="AI19" s="362">
        <v>370</v>
      </c>
      <c r="AJ19" s="359">
        <v>26529.857203768424</v>
      </c>
      <c r="AK19" s="359">
        <v>-5409315.7249425165</v>
      </c>
      <c r="AL19" s="362">
        <v>370</v>
      </c>
      <c r="AM19" s="359">
        <v>29554.58728733709</v>
      </c>
      <c r="AN19" s="359">
        <v>-6344936.0855409727</v>
      </c>
      <c r="AO19" s="362">
        <v>4292163.3421933949</v>
      </c>
      <c r="AP19" s="362">
        <v>4406731.4404518008</v>
      </c>
      <c r="AQ19" s="362">
        <v>4590261.2107737511</v>
      </c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</row>
    <row r="20" spans="2:152">
      <c r="B20" s="351">
        <v>10</v>
      </c>
      <c r="C20" s="352">
        <f>VLOOKUP(Competitividad_1[[#This Row],[Punto Medio]],$AF$18:$AH$21,2,1)*Competitividad_1[[#This Row],[Punto Medio]]+VLOOKUP(Competitividad_1[[#This Row],[Punto Medio]],$AF$18:$AH$21,3,1)</f>
        <v>3892026.6209753221</v>
      </c>
      <c r="D20" s="352">
        <f>VLOOKUP(Competitividad_1[[#This Row],[Punto Medio]],$AI$18:$AK$21,2,1)*Competitividad_1[[#This Row],[Punto Medio]]+VLOOKUP(Competitividad_1[[#This Row],[Punto Medio]],$AI$18:$AK$21,3,1)</f>
        <v>4002334.3158722878</v>
      </c>
      <c r="E20" s="352">
        <f>VLOOKUP(Competitividad_1[[#This Row],[Punto Medio]],$AL$18:$AN$21,2,1)*Competitividad_1[[#This Row],[Punto Medio]]+VLOOKUP(Competitividad_1[[#This Row],[Punto Medio]],$AL$18:$AN$21,3,1)</f>
        <v>4167668.7654855377</v>
      </c>
      <c r="F20" s="352">
        <f>VLOOKUP(Competitividad_1[[#This Row],[Punto Medio]],$AF$11:$AH$14,2,1)*Competitividad_1[[#This Row],[Punto Medio]]+VLOOKUP(Competitividad_1[[#This Row],[Punto Medio]],$AF$11:$AH$14,3,1)</f>
        <v>5692565.8963684896</v>
      </c>
      <c r="G20" s="352">
        <f>VLOOKUP(Competitividad_1[[#This Row],[Punto Medio]],$AI$11:$AK$14,2,1)*Competitividad_1[[#This Row],[Punto Medio]]+VLOOKUP(Competitividad_1[[#This Row],[Punto Medio]],$AI$11:$AK$14,3,1)</f>
        <v>5834305.3196669929</v>
      </c>
      <c r="H20" s="352">
        <f>VLOOKUP(Competitividad_1[[#This Row],[Punto Medio]],$AL$11:$AN$14,2,1)*Competitividad_1[[#This Row],[Punto Medio]]+VLOOKUP(Competitividad_1[[#This Row],[Punto Medio]],$AL$11:$AN$14,3,1)</f>
        <v>6085590.3467142796</v>
      </c>
      <c r="I20" s="352">
        <f>VLOOKUP(Competitividad_1[[#This Row],[Punto Medio]],$AF$25:$AH$28,2,1)*Competitividad_1[[#This Row],[Punto Medio]]+VLOOKUP(Competitividad_1[[#This Row],[Punto Medio]],$AF$25:$AH$28,3,1)</f>
        <v>6565003.0599041721</v>
      </c>
      <c r="J20" s="352">
        <f>VLOOKUP(Competitividad_1[[#This Row],[Punto Medio]],$AI$25:$AK$28,2,1)*Competitividad_1[[#This Row],[Punto Medio]]+VLOOKUP(Competitividad_1[[#This Row],[Punto Medio]],$AI$25:$AK$28,3,1)</f>
        <v>6742175.3682125434</v>
      </c>
      <c r="K20" s="352">
        <f>VLOOKUP(Competitividad_1[[#This Row],[Punto Medio]],$AL$25:$AN$28,2,1)*Competitividad_1[[#This Row],[Punto Medio]]+VLOOKUP(Competitividad_1[[#This Row],[Punto Medio]],$AL$25:$AN$28,3,1)</f>
        <v>6906134.4370505828</v>
      </c>
      <c r="L20" s="353">
        <v>330</v>
      </c>
      <c r="M20" s="20"/>
      <c r="N20" s="357" t="s">
        <v>726</v>
      </c>
      <c r="O20" s="359">
        <v>396</v>
      </c>
      <c r="P20" s="358">
        <v>1048</v>
      </c>
      <c r="Q20" s="359">
        <v>396</v>
      </c>
      <c r="R20" s="359" t="s">
        <v>742</v>
      </c>
      <c r="S20" s="359" t="s">
        <v>743</v>
      </c>
      <c r="T20" s="360">
        <v>26714.925522217523</v>
      </c>
      <c r="U20" s="360">
        <v>-5644563.4169234466</v>
      </c>
      <c r="V20" s="359">
        <v>396</v>
      </c>
      <c r="W20" s="359" t="s">
        <v>744</v>
      </c>
      <c r="X20" s="359" t="s">
        <v>743</v>
      </c>
      <c r="Y20" s="360">
        <v>31097.079237069916</v>
      </c>
      <c r="Z20" s="360">
        <v>-7217935.6501299068</v>
      </c>
      <c r="AA20" s="362">
        <v>396</v>
      </c>
      <c r="AB20" s="359" t="s">
        <v>745</v>
      </c>
      <c r="AC20" s="359" t="s">
        <v>743</v>
      </c>
      <c r="AD20" s="360">
        <v>31052.727695334957</v>
      </c>
      <c r="AE20" s="360">
        <v>-6938199.6871081274</v>
      </c>
      <c r="AF20" s="362">
        <v>396</v>
      </c>
      <c r="AG20" s="359">
        <v>30775.959777728855</v>
      </c>
      <c r="AH20" s="359">
        <v>-7252732.9821059331</v>
      </c>
      <c r="AI20" s="362">
        <v>396</v>
      </c>
      <c r="AJ20" s="359">
        <v>32660.384658299576</v>
      </c>
      <c r="AK20" s="359">
        <v>-7837004.5969368555</v>
      </c>
      <c r="AL20" s="362">
        <v>396</v>
      </c>
      <c r="AM20" s="359">
        <v>33710.245941965273</v>
      </c>
      <c r="AN20" s="359">
        <v>-7990576.9127737321</v>
      </c>
      <c r="AO20" s="362">
        <v>4934547.0898746923</v>
      </c>
      <c r="AP20" s="362">
        <v>5096507.7277497798</v>
      </c>
      <c r="AQ20" s="362">
        <v>5358680.4802445155</v>
      </c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</row>
    <row r="21" spans="2:152">
      <c r="B21" s="351">
        <v>9</v>
      </c>
      <c r="C21" s="352">
        <f>VLOOKUP(Competitividad_1[[#This Row],[Punto Medio]],$AF$18:$AH$21,2,1)*Competitividad_1[[#This Row],[Punto Medio]]+VLOOKUP(Competitividad_1[[#This Row],[Punto Medio]],$AF$18:$AH$21,3,1)</f>
        <v>3461879.6456658933</v>
      </c>
      <c r="D21" s="352">
        <f>VLOOKUP(Competitividad_1[[#This Row],[Punto Medio]],$AI$18:$AK$21,2,1)*Competitividad_1[[#This Row],[Punto Medio]]+VLOOKUP(Competitividad_1[[#This Row],[Punto Medio]],$AI$18:$AK$21,3,1)</f>
        <v>3567607.406949312</v>
      </c>
      <c r="E21" s="352">
        <f>VLOOKUP(Competitividad_1[[#This Row],[Punto Medio]],$AL$18:$AN$21,2,1)*Competitividad_1[[#This Row],[Punto Medio]]+VLOOKUP(Competitividad_1[[#This Row],[Punto Medio]],$AL$18:$AN$21,3,1)</f>
        <v>3713381.8868007082</v>
      </c>
      <c r="F21" s="352">
        <f>VLOOKUP(Competitividad_1[[#This Row],[Punto Medio]],$AF$11:$AH$14,2,1)*Competitividad_1[[#This Row],[Punto Medio]]+VLOOKUP(Competitividad_1[[#This Row],[Punto Medio]],$AF$11:$AH$14,3,1)</f>
        <v>4733583.7647059923</v>
      </c>
      <c r="G21" s="352">
        <f>VLOOKUP(Competitividad_1[[#This Row],[Punto Medio]],$AI$11:$AK$14,2,1)*Competitividad_1[[#This Row],[Punto Medio]]+VLOOKUP(Competitividad_1[[#This Row],[Punto Medio]],$AI$11:$AK$14,3,1)</f>
        <v>4825165.0099456394</v>
      </c>
      <c r="H21" s="352">
        <f>VLOOKUP(Competitividad_1[[#This Row],[Punto Medio]],$AL$11:$AN$14,2,1)*Competitividad_1[[#This Row],[Punto Medio]]+VLOOKUP(Competitividad_1[[#This Row],[Punto Medio]],$AL$11:$AN$14,3,1)</f>
        <v>5038980.1300510233</v>
      </c>
      <c r="I21" s="352">
        <f>VLOOKUP(Competitividad_1[[#This Row],[Punto Medio]],$AF$25:$AH$28,2,1)*Competitividad_1[[#This Row],[Punto Medio]]+VLOOKUP(Competitividad_1[[#This Row],[Punto Medio]],$AF$25:$AH$28,3,1)</f>
        <v>5771206.7924000127</v>
      </c>
      <c r="J21" s="352">
        <f>VLOOKUP(Competitividad_1[[#This Row],[Punto Medio]],$AI$25:$AK$28,2,1)*Competitividad_1[[#This Row],[Punto Medio]]+VLOOKUP(Competitividad_1[[#This Row],[Punto Medio]],$AI$25:$AK$28,3,1)</f>
        <v>5929684.7574303402</v>
      </c>
      <c r="K21" s="352">
        <f>VLOOKUP(Competitividad_1[[#This Row],[Punto Medio]],$AL$25:$AN$28,2,1)*Competitividad_1[[#This Row],[Punto Medio]]+VLOOKUP(Competitividad_1[[#This Row],[Punto Medio]],$AL$25:$AN$28,3,1)</f>
        <v>6078353.2906097621</v>
      </c>
      <c r="L21" s="353">
        <v>287</v>
      </c>
      <c r="M21" s="20"/>
      <c r="N21" s="357" t="s">
        <v>731</v>
      </c>
      <c r="O21" s="358">
        <v>1048</v>
      </c>
      <c r="P21" s="359">
        <v>2623</v>
      </c>
      <c r="Q21" s="359">
        <v>1048</v>
      </c>
      <c r="R21" s="359" t="s">
        <v>742</v>
      </c>
      <c r="S21" s="359" t="s">
        <v>743</v>
      </c>
      <c r="T21" s="360">
        <v>26714.925522217523</v>
      </c>
      <c r="U21" s="360">
        <v>-5644563.4169234466</v>
      </c>
      <c r="V21" s="359">
        <v>1048</v>
      </c>
      <c r="W21" s="359" t="s">
        <v>744</v>
      </c>
      <c r="X21" s="359" t="s">
        <v>743</v>
      </c>
      <c r="Y21" s="360">
        <v>31097.079237069916</v>
      </c>
      <c r="Z21" s="360">
        <v>-7217935.6501299068</v>
      </c>
      <c r="AA21" s="362">
        <v>1048</v>
      </c>
      <c r="AB21" s="359" t="s">
        <v>745</v>
      </c>
      <c r="AC21" s="359" t="s">
        <v>743</v>
      </c>
      <c r="AD21" s="360">
        <v>31052.727695334957</v>
      </c>
      <c r="AE21" s="360">
        <v>-6938199.6871081274</v>
      </c>
      <c r="AF21" s="362">
        <v>1048</v>
      </c>
      <c r="AG21" s="359">
        <v>30775.959777728855</v>
      </c>
      <c r="AH21" s="359">
        <v>-7252732.9821059331</v>
      </c>
      <c r="AI21" s="362">
        <v>1048</v>
      </c>
      <c r="AJ21" s="359">
        <v>32660.384658299576</v>
      </c>
      <c r="AK21" s="359">
        <v>-7837004.5969368555</v>
      </c>
      <c r="AL21" s="362">
        <v>1048</v>
      </c>
      <c r="AM21" s="359">
        <v>33710.245941965273</v>
      </c>
      <c r="AN21" s="359">
        <v>-7990576.9127737321</v>
      </c>
      <c r="AO21" s="361">
        <v>25000472.864953905</v>
      </c>
      <c r="AP21" s="361">
        <v>26391078.524961103</v>
      </c>
      <c r="AQ21" s="361">
        <v>27337760.834405873</v>
      </c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</row>
    <row r="22" spans="2:152">
      <c r="B22" s="351">
        <v>8</v>
      </c>
      <c r="C22" s="352">
        <f>VLOOKUP(Competitividad_1[[#This Row],[Punto Medio]],$AF$18:$AH$21,2,1)*Competitividad_1[[#This Row],[Punto Medio]]+VLOOKUP(Competitividad_1[[#This Row],[Punto Medio]],$AF$18:$AH$21,3,1)</f>
        <v>3081749.760508724</v>
      </c>
      <c r="D22" s="352">
        <f>VLOOKUP(Competitividad_1[[#This Row],[Punto Medio]],$AI$18:$AK$21,2,1)*Competitividad_1[[#This Row],[Punto Medio]]+VLOOKUP(Competitividad_1[[#This Row],[Punto Medio]],$AI$18:$AK$21,3,1)</f>
        <v>3183430.138598775</v>
      </c>
      <c r="E22" s="352">
        <f>VLOOKUP(Competitividad_1[[#This Row],[Punto Medio]],$AL$18:$AN$21,2,1)*Competitividad_1[[#This Row],[Punto Medio]]+VLOOKUP(Competitividad_1[[#This Row],[Punto Medio]],$AL$18:$AN$21,3,1)</f>
        <v>3311919.0637769056</v>
      </c>
      <c r="F22" s="352">
        <f>VLOOKUP(Competitividad_1[[#This Row],[Punto Medio]],$AF$11:$AH$14,2,1)*Competitividad_1[[#This Row],[Punto Medio]]+VLOOKUP(Competitividad_1[[#This Row],[Punto Medio]],$AF$11:$AH$14,3,1)</f>
        <v>3886111.1832368094</v>
      </c>
      <c r="G22" s="352">
        <f>VLOOKUP(Competitividad_1[[#This Row],[Punto Medio]],$AI$11:$AK$14,2,1)*Competitividad_1[[#This Row],[Punto Medio]]+VLOOKUP(Competitividad_1[[#This Row],[Punto Medio]],$AI$11:$AK$14,3,1)</f>
        <v>3933366.5967035135</v>
      </c>
      <c r="H22" s="352">
        <f>VLOOKUP(Competitividad_1[[#This Row],[Punto Medio]],$AL$11:$AN$14,2,1)*Competitividad_1[[#This Row],[Punto Medio]]+VLOOKUP(Competitividad_1[[#This Row],[Punto Medio]],$AL$11:$AN$14,3,1)</f>
        <v>4114068.7757904707</v>
      </c>
      <c r="I22" s="352">
        <f>VLOOKUP(Competitividad_1[[#This Row],[Punto Medio]],$AF$25:$AH$28,2,1)*Competitividad_1[[#This Row],[Punto Medio]]+VLOOKUP(Competitividad_1[[#This Row],[Punto Medio]],$AF$25:$AH$28,3,1)</f>
        <v>5069712.4164661048</v>
      </c>
      <c r="J22" s="352">
        <f>VLOOKUP(Competitividad_1[[#This Row],[Punto Medio]],$AI$25:$AK$28,2,1)*Competitividad_1[[#This Row],[Punto Medio]]+VLOOKUP(Competitividad_1[[#This Row],[Punto Medio]],$AI$25:$AK$28,3,1)</f>
        <v>5211669.7990646726</v>
      </c>
      <c r="K22" s="352">
        <f>VLOOKUP(Competitividad_1[[#This Row],[Punto Medio]],$AL$25:$AN$28,2,1)*Competitividad_1[[#This Row],[Punto Medio]]+VLOOKUP(Competitividad_1[[#This Row],[Punto Medio]],$AL$25:$AN$28,3,1)</f>
        <v>5346825.7658481058</v>
      </c>
      <c r="L22" s="353">
        <v>249</v>
      </c>
      <c r="M22" s="2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</row>
    <row r="23" spans="2:152">
      <c r="B23" s="351">
        <v>7</v>
      </c>
      <c r="C23" s="352">
        <f>VLOOKUP(Competitividad_1[[#This Row],[Punto Medio]],$AF$18:$AH$21,2,1)*Competitividad_1[[#This Row],[Punto Medio]]+VLOOKUP(Competitividad_1[[#This Row],[Punto Medio]],$AF$18:$AH$21,3,1)</f>
        <v>2761640.3835342657</v>
      </c>
      <c r="D23" s="352">
        <f>VLOOKUP(Competitividad_1[[#This Row],[Punto Medio]],$AI$18:$AK$21,2,1)*Competitividad_1[[#This Row],[Punto Medio]]+VLOOKUP(Competitividad_1[[#This Row],[Punto Medio]],$AI$18:$AK$21,3,1)</f>
        <v>2859912.4389351648</v>
      </c>
      <c r="E23" s="352">
        <f>VLOOKUP(Competitividad_1[[#This Row],[Punto Medio]],$AL$18:$AN$21,2,1)*Competitividad_1[[#This Row],[Punto Medio]]+VLOOKUP(Competitividad_1[[#This Row],[Punto Medio]],$AL$18:$AN$21,3,1)</f>
        <v>2973845.1075463346</v>
      </c>
      <c r="F23" s="352">
        <f>VLOOKUP(Competitividad_1[[#This Row],[Punto Medio]],$AF$11:$AH$14,2,1)*Competitividad_1[[#This Row],[Punto Medio]]+VLOOKUP(Competitividad_1[[#This Row],[Punto Medio]],$AF$11:$AH$14,3,1)</f>
        <v>3284587.6683649258</v>
      </c>
      <c r="G23" s="352">
        <f>VLOOKUP(Competitividad_1[[#This Row],[Punto Medio]],$AI$11:$AK$14,2,1)*Competitividad_1[[#This Row],[Punto Medio]]+VLOOKUP(Competitividad_1[[#This Row],[Punto Medio]],$AI$11:$AK$14,3,1)</f>
        <v>3310780.9939080137</v>
      </c>
      <c r="H23" s="352">
        <f>VLOOKUP(Competitividad_1[[#This Row],[Punto Medio]],$AL$11:$AN$14,2,1)*Competitividad_1[[#This Row],[Punto Medio]]+VLOOKUP(Competitividad_1[[#This Row],[Punto Medio]],$AL$11:$AN$14,3,1)</f>
        <v>3464431.2073549754</v>
      </c>
      <c r="I23" s="352">
        <f>VLOOKUP(Competitividad_1[[#This Row],[Punto Medio]],$AF$25:$AH$28,2,1)*Competitividad_1[[#This Row],[Punto Medio]]+VLOOKUP(Competitividad_1[[#This Row],[Punto Medio]],$AF$25:$AH$28,3,1)</f>
        <v>4478980.3104164973</v>
      </c>
      <c r="J23" s="352">
        <f>VLOOKUP(Competitividad_1[[#This Row],[Punto Medio]],$AI$25:$AK$28,2,1)*Competitividad_1[[#This Row],[Punto Medio]]+VLOOKUP(Competitividad_1[[#This Row],[Punto Medio]],$AI$25:$AK$28,3,1)</f>
        <v>4607025.6235988475</v>
      </c>
      <c r="K23" s="352">
        <f>VLOOKUP(Competitividad_1[[#This Row],[Punto Medio]],$AL$25:$AN$28,2,1)*Competitividad_1[[#This Row],[Punto Medio]]+VLOOKUP(Competitividad_1[[#This Row],[Punto Medio]],$AL$25:$AN$28,3,1)</f>
        <v>4730802.5871014483</v>
      </c>
      <c r="L23" s="353">
        <v>217</v>
      </c>
      <c r="M23" s="20"/>
      <c r="N23" s="515" t="s">
        <v>746</v>
      </c>
      <c r="O23" s="515"/>
      <c r="P23" s="515"/>
      <c r="Q23" s="512" t="s">
        <v>19</v>
      </c>
      <c r="R23" s="512"/>
      <c r="S23" s="512"/>
      <c r="T23" s="512"/>
      <c r="U23" s="512"/>
      <c r="V23" s="513" t="s">
        <v>21</v>
      </c>
      <c r="W23" s="513"/>
      <c r="X23" s="513"/>
      <c r="Y23" s="513"/>
      <c r="Z23" s="513"/>
      <c r="AA23" s="514" t="s">
        <v>23</v>
      </c>
      <c r="AB23" s="514"/>
      <c r="AC23" s="514"/>
      <c r="AD23" s="514"/>
      <c r="AE23" s="514"/>
      <c r="AF23" s="511" t="s">
        <v>703</v>
      </c>
      <c r="AG23" s="511"/>
      <c r="AH23" s="511"/>
      <c r="AI23" s="511" t="s">
        <v>704</v>
      </c>
      <c r="AJ23" s="511"/>
      <c r="AK23" s="511"/>
      <c r="AL23" s="511" t="s">
        <v>705</v>
      </c>
      <c r="AM23" s="511"/>
      <c r="AN23" s="511"/>
      <c r="AO23" s="511" t="s">
        <v>706</v>
      </c>
      <c r="AP23" s="511"/>
      <c r="AQ23" s="511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</row>
    <row r="24" spans="2:152">
      <c r="B24" s="351">
        <v>6</v>
      </c>
      <c r="C24" s="352">
        <f>VLOOKUP(Competitividad_1[[#This Row],[Punto Medio]],$AF$18:$AH$21,2,1)*Competitividad_1[[#This Row],[Punto Medio]]+VLOOKUP(Competitividad_1[[#This Row],[Punto Medio]],$AF$18:$AH$21,3,1)</f>
        <v>2481544.6786816148</v>
      </c>
      <c r="D24" s="352">
        <f>VLOOKUP(Competitividad_1[[#This Row],[Punto Medio]],$AI$18:$AK$21,2,1)*Competitividad_1[[#This Row],[Punto Medio]]+VLOOKUP(Competitividad_1[[#This Row],[Punto Medio]],$AI$18:$AK$21,3,1)</f>
        <v>2576834.4517295058</v>
      </c>
      <c r="E24" s="352">
        <f>VLOOKUP(Competitividad_1[[#This Row],[Punto Medio]],$AL$18:$AN$21,2,1)*Competitividad_1[[#This Row],[Punto Medio]]+VLOOKUP(Competitividad_1[[#This Row],[Punto Medio]],$AL$18:$AN$21,3,1)</f>
        <v>2678030.3958445853</v>
      </c>
      <c r="F24" s="352">
        <f>VLOOKUP(Competitividad_1[[#This Row],[Punto Medio]],$AF$11:$AH$14,2,1)*Competitividad_1[[#This Row],[Punto Medio]]+VLOOKUP(Competitividad_1[[#This Row],[Punto Medio]],$AF$11:$AH$14,3,1)</f>
        <v>2974119.4851052756</v>
      </c>
      <c r="G24" s="352">
        <f>VLOOKUP(Competitividad_1[[#This Row],[Punto Medio]],$AI$11:$AK$14,2,1)*Competitividad_1[[#This Row],[Punto Medio]]+VLOOKUP(Competitividad_1[[#This Row],[Punto Medio]],$AI$11:$AK$14,3,1)</f>
        <v>3013193.4707046952</v>
      </c>
      <c r="H24" s="352">
        <f>VLOOKUP(Competitividad_1[[#This Row],[Punto Medio]],$AL$11:$AN$14,2,1)*Competitividad_1[[#This Row],[Punto Medio]]+VLOOKUP(Competitividad_1[[#This Row],[Punto Medio]],$AL$11:$AN$14,3,1)</f>
        <v>3144776.0005369033</v>
      </c>
      <c r="I24" s="352">
        <f>VLOOKUP(Competitividad_1[[#This Row],[Punto Medio]],$AF$25:$AH$28,2,1)*Competitividad_1[[#This Row],[Punto Medio]]+VLOOKUP(Competitividad_1[[#This Row],[Punto Medio]],$AF$25:$AH$28,3,1)</f>
        <v>3962089.7176230913</v>
      </c>
      <c r="J24" s="352">
        <f>VLOOKUP(Competitividad_1[[#This Row],[Punto Medio]],$AI$25:$AK$28,2,1)*Competitividad_1[[#This Row],[Punto Medio]]+VLOOKUP(Competitividad_1[[#This Row],[Punto Medio]],$AI$25:$AK$28,3,1)</f>
        <v>4077961.9700662498</v>
      </c>
      <c r="K24" s="352">
        <f>VLOOKUP(Competitividad_1[[#This Row],[Punto Medio]],$AL$25:$AN$28,2,1)*Competitividad_1[[#This Row],[Punto Medio]]+VLOOKUP(Competitividad_1[[#This Row],[Punto Medio]],$AL$25:$AN$28,3,1)</f>
        <v>4191782.3056981228</v>
      </c>
      <c r="L24" s="353">
        <v>189</v>
      </c>
      <c r="M24" s="20"/>
      <c r="N24" s="515"/>
      <c r="O24" s="515"/>
      <c r="P24" s="515"/>
      <c r="Q24" s="357" t="s">
        <v>15</v>
      </c>
      <c r="R24" s="357" t="s">
        <v>708</v>
      </c>
      <c r="S24" s="357" t="s">
        <v>709</v>
      </c>
      <c r="T24" s="357" t="s">
        <v>710</v>
      </c>
      <c r="U24" s="357" t="s">
        <v>711</v>
      </c>
      <c r="V24" s="357" t="s">
        <v>15</v>
      </c>
      <c r="W24" s="357" t="s">
        <v>708</v>
      </c>
      <c r="X24" s="357" t="s">
        <v>709</v>
      </c>
      <c r="Y24" s="363" t="s">
        <v>710</v>
      </c>
      <c r="Z24" s="363" t="s">
        <v>711</v>
      </c>
      <c r="AA24" s="363" t="s">
        <v>15</v>
      </c>
      <c r="AB24" s="357" t="s">
        <v>708</v>
      </c>
      <c r="AC24" s="357" t="s">
        <v>709</v>
      </c>
      <c r="AD24" s="357" t="s">
        <v>710</v>
      </c>
      <c r="AE24" s="357" t="s">
        <v>711</v>
      </c>
      <c r="AF24" s="363" t="s">
        <v>15</v>
      </c>
      <c r="AG24" s="357" t="s">
        <v>710</v>
      </c>
      <c r="AH24" s="357" t="s">
        <v>711</v>
      </c>
      <c r="AI24" s="363" t="s">
        <v>15</v>
      </c>
      <c r="AJ24" s="357" t="s">
        <v>710</v>
      </c>
      <c r="AK24" s="357" t="s">
        <v>711</v>
      </c>
      <c r="AL24" s="363" t="s">
        <v>15</v>
      </c>
      <c r="AM24" s="357" t="s">
        <v>710</v>
      </c>
      <c r="AN24" s="357" t="s">
        <v>711</v>
      </c>
      <c r="AO24" s="357" t="s">
        <v>18</v>
      </c>
      <c r="AP24" s="357" t="s">
        <v>20</v>
      </c>
      <c r="AQ24" s="357" t="s">
        <v>22</v>
      </c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</row>
    <row r="25" spans="2:152">
      <c r="B25" s="351">
        <v>5</v>
      </c>
      <c r="C25" s="352">
        <f>VLOOKUP(Competitividad_1[[#This Row],[Punto Medio]],$AF$18:$AH$21,2,1)*Competitividad_1[[#This Row],[Punto Medio]]+VLOOKUP(Competitividad_1[[#This Row],[Punto Medio]],$AF$18:$AH$21,3,1)</f>
        <v>2231459.227920319</v>
      </c>
      <c r="D25" s="352">
        <f>VLOOKUP(Competitividad_1[[#This Row],[Punto Medio]],$AI$18:$AK$21,2,1)*Competitividad_1[[#This Row],[Punto Medio]]+VLOOKUP(Competitividad_1[[#This Row],[Punto Medio]],$AI$18:$AK$21,3,1)</f>
        <v>2324086.2488673106</v>
      </c>
      <c r="E25" s="352">
        <f>VLOOKUP(Competitividad_1[[#This Row],[Punto Medio]],$AL$18:$AN$21,2,1)*Competitividad_1[[#This Row],[Punto Medio]]+VLOOKUP(Competitividad_1[[#This Row],[Punto Medio]],$AL$18:$AN$21,3,1)</f>
        <v>2413910.1175394519</v>
      </c>
      <c r="F25" s="352">
        <f>VLOOKUP(Competitividad_1[[#This Row],[Punto Medio]],$AF$11:$AH$14,2,1)*Competitividad_1[[#This Row],[Punto Medio]]+VLOOKUP(Competitividad_1[[#This Row],[Punto Medio]],$AF$11:$AH$14,3,1)</f>
        <v>2696915.7500520167</v>
      </c>
      <c r="G25" s="352">
        <f>VLOOKUP(Competitividad_1[[#This Row],[Punto Medio]],$AI$11:$AK$14,2,1)*Competitividad_1[[#This Row],[Punto Medio]]+VLOOKUP(Competitividad_1[[#This Row],[Punto Medio]],$AI$11:$AK$14,3,1)</f>
        <v>2747490.3249874469</v>
      </c>
      <c r="H25" s="352">
        <f>VLOOKUP(Competitividad_1[[#This Row],[Punto Medio]],$AL$11:$AN$14,2,1)*Competitividad_1[[#This Row],[Punto Medio]]+VLOOKUP(Competitividad_1[[#This Row],[Punto Medio]],$AL$11:$AN$14,3,1)</f>
        <v>2859369.5658779107</v>
      </c>
      <c r="I25" s="352">
        <f>VLOOKUP(Competitividad_1[[#This Row],[Punto Medio]],$AF$25:$AH$28,2,1)*Competitividad_1[[#This Row],[Punto Medio]]+VLOOKUP(Competitividad_1[[#This Row],[Punto Medio]],$AF$25:$AH$28,3,1)</f>
        <v>3500580.259771836</v>
      </c>
      <c r="J25" s="352">
        <f>VLOOKUP(Competitividad_1[[#This Row],[Punto Medio]],$AI$25:$AK$28,2,1)*Competitividad_1[[#This Row],[Punto Medio]]+VLOOKUP(Competitividad_1[[#This Row],[Punto Medio]],$AI$25:$AK$28,3,1)</f>
        <v>3605583.7079835739</v>
      </c>
      <c r="K25" s="352">
        <f>VLOOKUP(Competitividad_1[[#This Row],[Punto Medio]],$AL$25:$AN$28,2,1)*Competitividad_1[[#This Row],[Punto Medio]]+VLOOKUP(Competitividad_1[[#This Row],[Punto Medio]],$AL$25:$AN$28,3,1)</f>
        <v>3710514.1973022963</v>
      </c>
      <c r="L25" s="353">
        <v>164</v>
      </c>
      <c r="M25" s="20"/>
      <c r="N25" s="357" t="s">
        <v>716</v>
      </c>
      <c r="O25" s="358">
        <v>94</v>
      </c>
      <c r="P25" s="359">
        <v>442</v>
      </c>
      <c r="Q25" s="358">
        <v>94</v>
      </c>
      <c r="R25" s="359" t="s">
        <v>747</v>
      </c>
      <c r="S25" s="359" t="s">
        <v>748</v>
      </c>
      <c r="T25" s="360">
        <v>24892.787849362605</v>
      </c>
      <c r="U25" s="360">
        <v>-1515853.4090055944</v>
      </c>
      <c r="V25" s="358">
        <v>94</v>
      </c>
      <c r="W25" s="359" t="s">
        <v>749</v>
      </c>
      <c r="X25" s="359" t="s">
        <v>748</v>
      </c>
      <c r="Y25" s="360">
        <v>25206.85182108793</v>
      </c>
      <c r="Z25" s="360">
        <v>-1519853.2602716191</v>
      </c>
      <c r="AA25" s="358">
        <v>94</v>
      </c>
      <c r="AB25" s="359" t="s">
        <v>750</v>
      </c>
      <c r="AC25" s="359" t="s">
        <v>748</v>
      </c>
      <c r="AD25" s="360">
        <v>25057.710432546653</v>
      </c>
      <c r="AE25" s="360">
        <v>-1296748.9891968817</v>
      </c>
      <c r="AF25" s="358">
        <v>94</v>
      </c>
      <c r="AG25" s="359">
        <v>18460.37831405022</v>
      </c>
      <c r="AH25" s="359">
        <v>473078.21626759972</v>
      </c>
      <c r="AI25" s="358">
        <v>94</v>
      </c>
      <c r="AJ25" s="359">
        <v>18895.130483307046</v>
      </c>
      <c r="AK25" s="359">
        <v>506782.30872121826</v>
      </c>
      <c r="AL25" s="358">
        <v>94</v>
      </c>
      <c r="AM25" s="359">
        <v>19250.724335833052</v>
      </c>
      <c r="AN25" s="359">
        <v>553395.40622567572</v>
      </c>
      <c r="AO25" s="361">
        <v>2208353.777788321</v>
      </c>
      <c r="AP25" s="361">
        <v>2282924.5741520799</v>
      </c>
      <c r="AQ25" s="361">
        <v>2362963.493793983</v>
      </c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</row>
    <row r="26" spans="2:152">
      <c r="B26" s="351">
        <v>4</v>
      </c>
      <c r="C26" s="352">
        <f>VLOOKUP(Competitividad_1[[#This Row],[Punto Medio]],$AF$18:$AH$21,2,1)*Competitividad_1[[#This Row],[Punto Medio]]+VLOOKUP(Competitividad_1[[#This Row],[Punto Medio]],$AF$18:$AH$21,3,1)</f>
        <v>2021387.4492808308</v>
      </c>
      <c r="D26" s="352">
        <f>VLOOKUP(Competitividad_1[[#This Row],[Punto Medio]],$AI$18:$AK$21,2,1)*Competitividad_1[[#This Row],[Punto Medio]]+VLOOKUP(Competitividad_1[[#This Row],[Punto Medio]],$AI$18:$AK$21,3,1)</f>
        <v>2111777.7584630661</v>
      </c>
      <c r="E26" s="352">
        <f>VLOOKUP(Competitividad_1[[#This Row],[Punto Medio]],$AL$18:$AN$21,2,1)*Competitividad_1[[#This Row],[Punto Medio]]+VLOOKUP(Competitividad_1[[#This Row],[Punto Medio]],$AL$18:$AN$21,3,1)</f>
        <v>2192049.0837631403</v>
      </c>
      <c r="F26" s="352">
        <f>VLOOKUP(Competitividad_1[[#This Row],[Punto Medio]],$AF$11:$AH$14,2,1)*Competitividad_1[[#This Row],[Punto Medio]]+VLOOKUP(Competitividad_1[[#This Row],[Punto Medio]],$AF$11:$AH$14,3,1)</f>
        <v>2464064.6126072793</v>
      </c>
      <c r="G26" s="352">
        <f>VLOOKUP(Competitividad_1[[#This Row],[Punto Medio]],$AI$11:$AK$14,2,1)*Competitividad_1[[#This Row],[Punto Medio]]+VLOOKUP(Competitividad_1[[#This Row],[Punto Medio]],$AI$11:$AK$14,3,1)</f>
        <v>2524299.6825849582</v>
      </c>
      <c r="H26" s="352">
        <f>VLOOKUP(Competitividad_1[[#This Row],[Punto Medio]],$AL$11:$AN$14,2,1)*Competitividad_1[[#This Row],[Punto Medio]]+VLOOKUP(Competitividad_1[[#This Row],[Punto Medio]],$AL$11:$AN$14,3,1)</f>
        <v>2619628.1607643561</v>
      </c>
      <c r="I26" s="352">
        <f>VLOOKUP(Competitividad_1[[#This Row],[Punto Medio]],$AF$25:$AH$28,2,1)*Competitividad_1[[#This Row],[Punto Medio]]+VLOOKUP(Competitividad_1[[#This Row],[Punto Medio]],$AF$25:$AH$28,3,1)</f>
        <v>3112912.3151767813</v>
      </c>
      <c r="J26" s="352">
        <f>VLOOKUP(Competitividad_1[[#This Row],[Punto Medio]],$AI$25:$AK$28,2,1)*Competitividad_1[[#This Row],[Punto Medio]]+VLOOKUP(Competitividad_1[[#This Row],[Punto Medio]],$AI$25:$AK$28,3,1)</f>
        <v>3208785.9678341257</v>
      </c>
      <c r="K26" s="352">
        <f>VLOOKUP(Competitividad_1[[#This Row],[Punto Medio]],$AL$25:$AN$28,2,1)*Competitividad_1[[#This Row],[Punto Medio]]+VLOOKUP(Competitividad_1[[#This Row],[Punto Medio]],$AL$25:$AN$28,3,1)</f>
        <v>3306248.9862498022</v>
      </c>
      <c r="L26" s="353">
        <v>143</v>
      </c>
      <c r="M26" s="20"/>
      <c r="N26" s="357" t="s">
        <v>721</v>
      </c>
      <c r="O26" s="359">
        <v>442</v>
      </c>
      <c r="P26" s="359">
        <v>632</v>
      </c>
      <c r="Q26" s="359">
        <v>442</v>
      </c>
      <c r="R26" s="359" t="s">
        <v>751</v>
      </c>
      <c r="S26" s="359" t="s">
        <v>752</v>
      </c>
      <c r="T26" s="360">
        <v>49377.487566188182</v>
      </c>
      <c r="U26" s="360">
        <v>-13192284.073177379</v>
      </c>
      <c r="V26" s="359">
        <v>442</v>
      </c>
      <c r="W26" s="359" t="s">
        <v>753</v>
      </c>
      <c r="X26" s="359" t="s">
        <v>752</v>
      </c>
      <c r="Y26" s="360">
        <v>54209.37829579039</v>
      </c>
      <c r="Z26" s="360">
        <v>-15102115.224396419</v>
      </c>
      <c r="AA26" s="362">
        <v>442</v>
      </c>
      <c r="AB26" s="359" t="s">
        <v>754</v>
      </c>
      <c r="AC26" s="359" t="s">
        <v>752</v>
      </c>
      <c r="AD26" s="360">
        <v>54765.832621766669</v>
      </c>
      <c r="AE26" s="360">
        <v>-15144282.456156982</v>
      </c>
      <c r="AF26" s="362">
        <v>442</v>
      </c>
      <c r="AG26" s="359">
        <v>27286.676792763978</v>
      </c>
      <c r="AH26" s="359">
        <v>-3428145.7113238797</v>
      </c>
      <c r="AI26" s="362">
        <v>442</v>
      </c>
      <c r="AJ26" s="359">
        <v>27780.450418519678</v>
      </c>
      <c r="AK26" s="359">
        <v>-3420529.1026427634</v>
      </c>
      <c r="AL26" s="362">
        <v>442</v>
      </c>
      <c r="AM26" s="359">
        <v>26501.29104740101</v>
      </c>
      <c r="AN26" s="359">
        <v>-2651355.0802873615</v>
      </c>
      <c r="AO26" s="362">
        <v>8632565.431077797</v>
      </c>
      <c r="AP26" s="362">
        <v>8858429.9823429324</v>
      </c>
      <c r="AQ26" s="362">
        <v>9062215.5626638848</v>
      </c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</row>
    <row r="27" spans="2:152">
      <c r="B27" s="351">
        <v>3</v>
      </c>
      <c r="C27" s="352">
        <f>VLOOKUP(Competitividad_1[[#This Row],[Punto Medio]],$AF$18:$AH$21,2,1)*Competitividad_1[[#This Row],[Punto Medio]]+VLOOKUP(Competitividad_1[[#This Row],[Punto Medio]],$AF$18:$AH$21,3,1)</f>
        <v>1831322.5067022461</v>
      </c>
      <c r="D27" s="352">
        <f>VLOOKUP(Competitividad_1[[#This Row],[Punto Medio]],$AI$18:$AK$21,2,1)*Competitividad_1[[#This Row],[Punto Medio]]+VLOOKUP(Competitividad_1[[#This Row],[Punto Medio]],$AI$18:$AK$21,3,1)</f>
        <v>1919689.1242877978</v>
      </c>
      <c r="E27" s="352">
        <f>VLOOKUP(Competitividad_1[[#This Row],[Punto Medio]],$AL$18:$AN$21,2,1)*Competitividad_1[[#This Row],[Punto Medio]]+VLOOKUP(Competitividad_1[[#This Row],[Punto Medio]],$AL$18:$AN$21,3,1)</f>
        <v>1991317.6722512385</v>
      </c>
      <c r="F27" s="352">
        <f>VLOOKUP(Competitividad_1[[#This Row],[Punto Medio]],$AF$11:$AH$14,2,1)*Competitividad_1[[#This Row],[Punto Medio]]+VLOOKUP(Competitividad_1[[#This Row],[Punto Medio]],$AF$11:$AH$14,3,1)</f>
        <v>2253389.7739668023</v>
      </c>
      <c r="G27" s="352">
        <f>VLOOKUP(Competitividad_1[[#This Row],[Punto Medio]],$AI$11:$AK$14,2,1)*Competitividad_1[[#This Row],[Punto Medio]]+VLOOKUP(Competitividad_1[[#This Row],[Punto Medio]],$AI$11:$AK$14,3,1)</f>
        <v>2322365.2918398492</v>
      </c>
      <c r="H27" s="352">
        <f>VLOOKUP(Competitividad_1[[#This Row],[Punto Medio]],$AL$11:$AN$14,2,1)*Competitividad_1[[#This Row],[Punto Medio]]+VLOOKUP(Competitividad_1[[#This Row],[Punto Medio]],$AL$11:$AN$14,3,1)</f>
        <v>2402719.2704235218</v>
      </c>
      <c r="I27" s="352">
        <f>VLOOKUP(Competitividad_1[[#This Row],[Punto Medio]],$AF$25:$AH$28,2,1)*Competitividad_1[[#This Row],[Punto Medio]]+VLOOKUP(Competitividad_1[[#This Row],[Punto Medio]],$AF$25:$AH$28,3,1)</f>
        <v>2762165.1272098268</v>
      </c>
      <c r="J27" s="352">
        <f>VLOOKUP(Competitividad_1[[#This Row],[Punto Medio]],$AI$25:$AK$28,2,1)*Competitividad_1[[#This Row],[Punto Medio]]+VLOOKUP(Competitividad_1[[#This Row],[Punto Medio]],$AI$25:$AK$28,3,1)</f>
        <v>2849778.4886512919</v>
      </c>
      <c r="K27" s="352">
        <f>VLOOKUP(Competitividad_1[[#This Row],[Punto Medio]],$AL$25:$AN$28,2,1)*Competitividad_1[[#This Row],[Punto Medio]]+VLOOKUP(Competitividad_1[[#This Row],[Punto Medio]],$AL$25:$AN$28,3,1)</f>
        <v>2940485.223868974</v>
      </c>
      <c r="L27" s="353">
        <v>124</v>
      </c>
      <c r="M27" s="20"/>
      <c r="N27" s="357" t="s">
        <v>726</v>
      </c>
      <c r="O27" s="359">
        <v>632</v>
      </c>
      <c r="P27" s="358">
        <v>1048</v>
      </c>
      <c r="Q27" s="359">
        <v>632</v>
      </c>
      <c r="R27" s="359" t="s">
        <v>755</v>
      </c>
      <c r="S27" s="359" t="s">
        <v>756</v>
      </c>
      <c r="T27" s="360">
        <v>67802.109784275861</v>
      </c>
      <c r="U27" s="360">
        <v>-29033899.36195939</v>
      </c>
      <c r="V27" s="359">
        <v>632</v>
      </c>
      <c r="W27" s="359" t="s">
        <v>757</v>
      </c>
      <c r="X27" s="359" t="s">
        <v>756</v>
      </c>
      <c r="Y27" s="360">
        <v>78718.489410901937</v>
      </c>
      <c r="Z27" s="360">
        <v>-35613369.745828353</v>
      </c>
      <c r="AA27" s="362">
        <v>632</v>
      </c>
      <c r="AB27" s="359" t="s">
        <v>758</v>
      </c>
      <c r="AC27" s="359" t="s">
        <v>756</v>
      </c>
      <c r="AD27" s="360">
        <v>91444.780215497347</v>
      </c>
      <c r="AE27" s="360">
        <v>-43695640.23452425</v>
      </c>
      <c r="AF27" s="362">
        <v>632</v>
      </c>
      <c r="AG27" s="359">
        <v>71869.026962843724</v>
      </c>
      <c r="AH27" s="359">
        <v>-31604191.018814288</v>
      </c>
      <c r="AI27" s="362">
        <v>632</v>
      </c>
      <c r="AJ27" s="359">
        <v>78718.489410901937</v>
      </c>
      <c r="AK27" s="359">
        <v>-35613369.745828353</v>
      </c>
      <c r="AL27" s="362">
        <v>632</v>
      </c>
      <c r="AM27" s="359">
        <v>91444.780215497347</v>
      </c>
      <c r="AN27" s="359">
        <v>-43695640.23452425</v>
      </c>
      <c r="AO27" s="362">
        <v>13817034.021702953</v>
      </c>
      <c r="AP27" s="362">
        <v>14136715.561861672</v>
      </c>
      <c r="AQ27" s="362">
        <v>14097460.861670077</v>
      </c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</row>
    <row r="28" spans="2:152">
      <c r="B28" s="351">
        <v>2</v>
      </c>
      <c r="C28" s="352">
        <f>VLOOKUP(Competitividad_1[[#This Row],[Punto Medio]],$AF$18:$AH$21,2,1)*Competitividad_1[[#This Row],[Punto Medio]]+VLOOKUP(Competitividad_1[[#This Row],[Punto Medio]],$AF$18:$AH$21,3,1)</f>
        <v>1671267.818215017</v>
      </c>
      <c r="D28" s="352">
        <f>VLOOKUP(Competitividad_1[[#This Row],[Punto Medio]],$AI$18:$AK$21,2,1)*Competitividad_1[[#This Row],[Punto Medio]]+VLOOKUP(Competitividad_1[[#This Row],[Punto Medio]],$AI$18:$AK$21,3,1)</f>
        <v>1757930.2744559927</v>
      </c>
      <c r="E28" s="352">
        <f>VLOOKUP(Competitividad_1[[#This Row],[Punto Medio]],$AL$18:$AN$21,2,1)*Competitividad_1[[#This Row],[Punto Medio]]+VLOOKUP(Competitividad_1[[#This Row],[Punto Medio]],$AL$18:$AN$21,3,1)</f>
        <v>1822280.6941359532</v>
      </c>
      <c r="F28" s="352">
        <f>VLOOKUP(Competitividad_1[[#This Row],[Punto Medio]],$AF$11:$AH$14,2,1)*Competitividad_1[[#This Row],[Punto Medio]]+VLOOKUP(Competitividad_1[[#This Row],[Punto Medio]],$AF$11:$AH$14,3,1)</f>
        <v>2075979.3835327167</v>
      </c>
      <c r="G28" s="352">
        <f>VLOOKUP(Competitividad_1[[#This Row],[Punto Medio]],$AI$11:$AK$14,2,1)*Competitividad_1[[#This Row],[Punto Medio]]+VLOOKUP(Competitividad_1[[#This Row],[Punto Medio]],$AI$11:$AK$14,3,1)</f>
        <v>2152315.2785808099</v>
      </c>
      <c r="H28" s="352">
        <f>VLOOKUP(Competitividad_1[[#This Row],[Punto Medio]],$AL$11:$AN$14,2,1)*Competitividad_1[[#This Row],[Punto Medio]]+VLOOKUP(Competitividad_1[[#This Row],[Punto Medio]],$AL$11:$AN$14,3,1)</f>
        <v>2220059.1522417665</v>
      </c>
      <c r="I28" s="352">
        <f>VLOOKUP(Competitividad_1[[#This Row],[Punto Medio]],$AF$25:$AH$28,2,1)*Competitividad_1[[#This Row],[Punto Medio]]+VLOOKUP(Competitividad_1[[#This Row],[Punto Medio]],$AF$25:$AH$28,3,1)</f>
        <v>2466799.0741850235</v>
      </c>
      <c r="J28" s="352">
        <f>VLOOKUP(Competitividad_1[[#This Row],[Punto Medio]],$AI$25:$AK$28,2,1)*Competitividad_1[[#This Row],[Punto Medio]]+VLOOKUP(Competitividad_1[[#This Row],[Punto Medio]],$AI$25:$AK$28,3,1)</f>
        <v>2547456.4009183794</v>
      </c>
      <c r="K28" s="352">
        <f>VLOOKUP(Competitividad_1[[#This Row],[Punto Medio]],$AL$25:$AN$28,2,1)*Competitividad_1[[#This Row],[Punto Medio]]+VLOOKUP(Competitividad_1[[#This Row],[Punto Medio]],$AL$25:$AN$28,3,1)</f>
        <v>2632473.6344956453</v>
      </c>
      <c r="L28" s="353">
        <v>108</v>
      </c>
      <c r="M28" s="20"/>
      <c r="N28" s="357" t="s">
        <v>731</v>
      </c>
      <c r="O28" s="358">
        <v>1048</v>
      </c>
      <c r="P28" s="359">
        <v>2623</v>
      </c>
      <c r="Q28" s="359">
        <v>1048</v>
      </c>
      <c r="R28" s="359" t="s">
        <v>755</v>
      </c>
      <c r="S28" s="359" t="s">
        <v>756</v>
      </c>
      <c r="T28" s="360">
        <v>67802.109784275861</v>
      </c>
      <c r="U28" s="360">
        <v>-29033899.36195939</v>
      </c>
      <c r="V28" s="359">
        <v>1048</v>
      </c>
      <c r="W28" s="359" t="s">
        <v>757</v>
      </c>
      <c r="X28" s="359" t="s">
        <v>756</v>
      </c>
      <c r="Y28" s="360">
        <v>78718.489410901937</v>
      </c>
      <c r="Z28" s="360">
        <v>-35613369.745828353</v>
      </c>
      <c r="AA28" s="362">
        <v>1048</v>
      </c>
      <c r="AB28" s="359" t="s">
        <v>758</v>
      </c>
      <c r="AC28" s="359" t="s">
        <v>756</v>
      </c>
      <c r="AD28" s="360">
        <v>91444.780215497347</v>
      </c>
      <c r="AE28" s="360">
        <v>-43695640.23452425</v>
      </c>
      <c r="AF28" s="362">
        <v>1048</v>
      </c>
      <c r="AG28" s="359">
        <v>71869.026962843724</v>
      </c>
      <c r="AH28" s="359">
        <v>-31604191.018814288</v>
      </c>
      <c r="AI28" s="362">
        <v>1048</v>
      </c>
      <c r="AJ28" s="359">
        <v>78718.489410901937</v>
      </c>
      <c r="AK28" s="359">
        <v>-35613369.745828353</v>
      </c>
      <c r="AL28" s="362">
        <v>1048</v>
      </c>
      <c r="AM28" s="359">
        <v>91444.780215497347</v>
      </c>
      <c r="AN28" s="359">
        <v>-43695640.23452425</v>
      </c>
      <c r="AO28" s="361">
        <v>43714549.238245942</v>
      </c>
      <c r="AP28" s="361">
        <v>46883607.15679688</v>
      </c>
      <c r="AQ28" s="361">
        <v>52138489.431316972</v>
      </c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</row>
    <row r="29" spans="2:152">
      <c r="B29" s="354">
        <v>1</v>
      </c>
      <c r="C29" s="355">
        <f>VLOOKUP(Competitividad_1[[#This Row],[Punto Medio]],$AF$18:$AH$21,2,1)*Competitividad_1[[#This Row],[Punto Medio]]+VLOOKUP(Competitividad_1[[#This Row],[Punto Medio]],$AF$18:$AH$21,3,1)</f>
        <v>1531219.9657886913</v>
      </c>
      <c r="D29" s="355">
        <f>VLOOKUP(Competitividad_1[[#This Row],[Punto Medio]],$AI$18:$AK$21,2,1)*Competitividad_1[[#This Row],[Punto Medio]]+VLOOKUP(Competitividad_1[[#This Row],[Punto Medio]],$AI$18:$AK$21,3,1)</f>
        <v>1616391.2808531632</v>
      </c>
      <c r="E29" s="355">
        <f>VLOOKUP(Competitividad_1[[#This Row],[Punto Medio]],$AL$18:$AN$21,2,1)*Competitividad_1[[#This Row],[Punto Medio]]+VLOOKUP(Competitividad_1[[#This Row],[Punto Medio]],$AL$18:$AN$21,3,1)</f>
        <v>1674373.3382850785</v>
      </c>
      <c r="F29" s="355">
        <f>VLOOKUP(Competitividad_1[[#This Row],[Punto Medio]],$AF$11:$AH$14,2,1)*Competitividad_1[[#This Row],[Punto Medio]]+VLOOKUP(Competitividad_1[[#This Row],[Punto Medio]],$AF$11:$AH$14,3,1)</f>
        <v>1920745.2919028918</v>
      </c>
      <c r="G29" s="355">
        <f>VLOOKUP(Competitividad_1[[#This Row],[Punto Medio]],$AI$11:$AK$14,2,1)*Competitividad_1[[#This Row],[Punto Medio]]+VLOOKUP(Competitividad_1[[#This Row],[Punto Medio]],$AI$11:$AK$14,3,1)</f>
        <v>2003521.5169791507</v>
      </c>
      <c r="H29" s="352">
        <f>VLOOKUP(Competitividad_1[[#This Row],[Punto Medio]],$AL$11:$AN$14,2,1)*Competitividad_1[[#This Row],[Punto Medio]]+VLOOKUP(Competitividad_1[[#This Row],[Punto Medio]],$AL$11:$AN$14,3,1)</f>
        <v>2060231.5488327304</v>
      </c>
      <c r="I29" s="355">
        <f>VLOOKUP(Competitividad_1[[#This Row],[Punto Medio]],$AF$25:$AH$28,2,1)*Competitividad_1[[#This Row],[Punto Medio]]+VLOOKUP(Competitividad_1[[#This Row],[Punto Medio]],$AF$25:$AH$28,3,1)</f>
        <v>2208353.7777883206</v>
      </c>
      <c r="J29" s="355">
        <f>VLOOKUP(Competitividad_1[[#This Row],[Punto Medio]],$AI$25:$AK$28,2,1)*Competitividad_1[[#This Row],[Punto Medio]]+VLOOKUP(Competitividad_1[[#This Row],[Punto Medio]],$AI$25:$AK$28,3,1)</f>
        <v>2282924.5741520803</v>
      </c>
      <c r="K29" s="355">
        <f>VLOOKUP(Competitividad_1[[#This Row],[Punto Medio]],$AL$25:$AN$28,2,1)*Competitividad_1[[#This Row],[Punto Medio]]+VLOOKUP(Competitividad_1[[#This Row],[Punto Medio]],$AL$25:$AN$28,3,1)</f>
        <v>2362963.4937939825</v>
      </c>
      <c r="L29" s="356">
        <v>94</v>
      </c>
      <c r="M29" s="2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</row>
    <row r="30" spans="2:152"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</row>
    <row r="31" spans="2:152"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</row>
    <row r="32" spans="2:152"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</row>
    <row r="33" spans="44:152"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</row>
    <row r="34" spans="44:152"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</row>
    <row r="35" spans="44:152"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</row>
    <row r="36" spans="44:152"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</row>
    <row r="37" spans="44:152"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</row>
    <row r="38" spans="44:152"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</row>
    <row r="39" spans="44:152"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</row>
    <row r="40" spans="44:152"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</row>
    <row r="41" spans="44:152"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</row>
    <row r="42" spans="44:152"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</row>
    <row r="43" spans="44:152"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</row>
    <row r="44" spans="44:152"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</row>
    <row r="45" spans="44:152"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</row>
    <row r="46" spans="44:152"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</row>
    <row r="47" spans="44:152"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</row>
    <row r="48" spans="44:152"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</row>
    <row r="49" spans="51:152"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</row>
    <row r="50" spans="51:152"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</row>
    <row r="51" spans="51:152"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</row>
    <row r="52" spans="51:152"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</row>
    <row r="53" spans="51:152"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</row>
    <row r="54" spans="51:152"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</row>
    <row r="55" spans="51:152"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</row>
    <row r="56" spans="51:152"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</row>
  </sheetData>
  <mergeCells count="35">
    <mergeCell ref="N2:P3"/>
    <mergeCell ref="C2:E2"/>
    <mergeCell ref="F2:H2"/>
    <mergeCell ref="I2:K2"/>
    <mergeCell ref="N23:P24"/>
    <mergeCell ref="N16:P17"/>
    <mergeCell ref="N9:P10"/>
    <mergeCell ref="AL2:AN2"/>
    <mergeCell ref="AO2:AQ2"/>
    <mergeCell ref="Q2:U2"/>
    <mergeCell ref="V2:Z2"/>
    <mergeCell ref="AA2:AE2"/>
    <mergeCell ref="AF2:AH2"/>
    <mergeCell ref="AI2:AK2"/>
    <mergeCell ref="AL9:AN9"/>
    <mergeCell ref="AO9:AQ9"/>
    <mergeCell ref="Q16:U16"/>
    <mergeCell ref="V16:Z16"/>
    <mergeCell ref="AA16:AE16"/>
    <mergeCell ref="AF16:AH16"/>
    <mergeCell ref="AI16:AK16"/>
    <mergeCell ref="AL16:AN16"/>
    <mergeCell ref="AO16:AQ16"/>
    <mergeCell ref="Q9:U9"/>
    <mergeCell ref="V9:Z9"/>
    <mergeCell ref="AA9:AE9"/>
    <mergeCell ref="AF9:AH9"/>
    <mergeCell ref="AI9:AK9"/>
    <mergeCell ref="AL23:AN23"/>
    <mergeCell ref="AO23:AQ23"/>
    <mergeCell ref="Q23:U23"/>
    <mergeCell ref="V23:Z23"/>
    <mergeCell ref="AA23:AE23"/>
    <mergeCell ref="AF23:AH23"/>
    <mergeCell ref="AI23:AK23"/>
  </mergeCells>
  <pageMargins left="0.7" right="0.7" top="0.75" bottom="0.75" header="0.3" footer="0.3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DE7F9-C784-4663-BEE8-02E9DAD1EA34}">
  <sheetPr codeName="Hoja32"/>
  <dimension ref="A1:U16"/>
  <sheetViews>
    <sheetView workbookViewId="0"/>
  </sheetViews>
  <sheetFormatPr baseColWidth="10" defaultColWidth="11.44140625" defaultRowHeight="12"/>
  <cols>
    <col min="1" max="1" width="11.109375" style="381" customWidth="1"/>
    <col min="2" max="2" width="24" style="381" customWidth="1"/>
    <col min="3" max="3" width="1.6640625" style="381" customWidth="1"/>
    <col min="4" max="4" width="18.109375" style="381" customWidth="1"/>
    <col min="5" max="5" width="1.44140625" style="381" customWidth="1"/>
    <col min="6" max="6" width="18.109375" style="381" customWidth="1"/>
    <col min="7" max="7" width="1.44140625" style="381" customWidth="1"/>
    <col min="8" max="9" width="18.109375" style="381" customWidth="1"/>
    <col min="10" max="10" width="1.44140625" style="381" customWidth="1"/>
    <col min="11" max="14" width="18.109375" style="381" customWidth="1"/>
    <col min="15" max="15" width="1.44140625" style="381" customWidth="1"/>
    <col min="16" max="16" width="18.109375" style="381" customWidth="1"/>
    <col min="17" max="17" width="1.44140625" style="381" customWidth="1"/>
    <col min="18" max="21" width="18.109375" style="381" customWidth="1"/>
    <col min="22" max="22" width="1.33203125" style="381" customWidth="1"/>
    <col min="23" max="16384" width="11.44140625" style="381"/>
  </cols>
  <sheetData>
    <row r="1" spans="1:21" ht="9.75" customHeight="1"/>
    <row r="2" spans="1:21" ht="45" customHeight="1">
      <c r="A2" s="377">
        <v>18</v>
      </c>
      <c r="B2" s="377" t="str">
        <f>+VLOOKUP(A2,'Metodologia Nomenclatura'!B:F,5,0)</f>
        <v>Director / Director Región / Director País</v>
      </c>
      <c r="D2" s="600" t="s">
        <v>274</v>
      </c>
      <c r="E2" s="600"/>
      <c r="F2" s="600"/>
      <c r="G2" s="600"/>
      <c r="H2" s="600"/>
      <c r="I2" s="600"/>
      <c r="J2" s="600"/>
      <c r="K2" s="600"/>
      <c r="L2" s="600"/>
      <c r="M2" s="600"/>
      <c r="N2" s="600"/>
      <c r="O2" s="600"/>
      <c r="P2" s="600"/>
      <c r="Q2" s="600"/>
      <c r="R2" s="600"/>
      <c r="S2" s="600"/>
      <c r="T2" s="600"/>
      <c r="U2" s="600"/>
    </row>
    <row r="3" spans="1:21" ht="45" customHeight="1">
      <c r="A3" s="377">
        <v>17</v>
      </c>
      <c r="B3" s="377" t="str">
        <f>+VLOOKUP(A3,'Metodologia Nomenclatura'!B:F,5,0)</f>
        <v>Director / Director Región / Director País</v>
      </c>
      <c r="D3" s="382"/>
      <c r="F3" s="377"/>
      <c r="H3" s="377"/>
      <c r="I3" s="377"/>
      <c r="K3" s="382"/>
      <c r="L3" s="382"/>
      <c r="M3" s="382"/>
      <c r="N3" s="377"/>
      <c r="P3" s="377"/>
      <c r="R3" s="377"/>
      <c r="S3" s="377"/>
      <c r="T3" s="377"/>
      <c r="U3" s="377"/>
    </row>
    <row r="4" spans="1:21" ht="45" customHeight="1">
      <c r="A4" s="377">
        <v>16</v>
      </c>
      <c r="B4" s="377" t="str">
        <f>+VLOOKUP(A4,'Metodologia Nomenclatura'!B:F,5,0)</f>
        <v>Director / Director Región / Director País</v>
      </c>
      <c r="D4" s="377"/>
      <c r="F4" s="377"/>
      <c r="H4" s="377"/>
      <c r="I4" s="377"/>
      <c r="K4" s="377"/>
      <c r="L4" s="377"/>
      <c r="M4" s="377"/>
      <c r="N4" s="377"/>
      <c r="P4" s="377"/>
      <c r="R4" s="377"/>
      <c r="S4" s="377"/>
      <c r="T4" s="377"/>
      <c r="U4" s="377"/>
    </row>
    <row r="5" spans="1:21" ht="45" customHeight="1">
      <c r="A5" s="377">
        <v>15</v>
      </c>
      <c r="B5" s="377" t="str">
        <f>+VLOOKUP(A5,'Metodologia Nomenclatura'!B:F,5,0)</f>
        <v>Gerente Sr / Gerente Región / Gerente País / Especialista Sr</v>
      </c>
      <c r="D5" s="378" t="s">
        <v>284</v>
      </c>
      <c r="F5" s="378" t="s">
        <v>283</v>
      </c>
      <c r="H5" s="655" t="s">
        <v>282</v>
      </c>
      <c r="I5" s="656"/>
      <c r="K5" s="655" t="s">
        <v>280</v>
      </c>
      <c r="L5" s="657"/>
      <c r="M5" s="657"/>
      <c r="N5" s="656"/>
      <c r="P5" s="377"/>
      <c r="R5" s="377"/>
      <c r="S5" s="377"/>
      <c r="T5" s="377"/>
      <c r="U5" s="377"/>
    </row>
    <row r="6" spans="1:21" ht="45" customHeight="1">
      <c r="A6" s="377">
        <v>14</v>
      </c>
      <c r="B6" s="377" t="str">
        <f>+VLOOKUP(A6,'Metodologia Nomenclatura'!B:F,5,0)</f>
        <v>Gerente Sr / Gerente Región / Gerente País / Especialista Sr</v>
      </c>
      <c r="D6" s="377"/>
      <c r="F6" s="377"/>
      <c r="H6" s="377"/>
      <c r="I6" s="377"/>
      <c r="K6" s="377"/>
      <c r="L6" s="377"/>
      <c r="M6" s="377"/>
      <c r="N6" s="377"/>
      <c r="P6" s="377"/>
      <c r="R6" s="655" t="s">
        <v>291</v>
      </c>
      <c r="S6" s="657"/>
      <c r="T6" s="657"/>
      <c r="U6" s="656"/>
    </row>
    <row r="7" spans="1:21" ht="45" customHeight="1">
      <c r="A7" s="377">
        <v>13</v>
      </c>
      <c r="B7" s="377" t="str">
        <f>+VLOOKUP(A7,'Metodologia Nomenclatura'!B:F,5,0)</f>
        <v>Gerente / Especialista Sr</v>
      </c>
      <c r="D7" s="377"/>
      <c r="F7" s="377"/>
      <c r="H7" s="377"/>
      <c r="I7" s="377"/>
      <c r="K7" s="377"/>
      <c r="L7" s="377"/>
      <c r="M7" s="377"/>
      <c r="N7" s="377"/>
      <c r="P7" s="377"/>
      <c r="R7" s="377"/>
      <c r="S7" s="377"/>
      <c r="T7" s="377"/>
      <c r="U7" s="377"/>
    </row>
    <row r="8" spans="1:21" ht="45" customHeight="1">
      <c r="A8" s="377">
        <v>12</v>
      </c>
      <c r="B8" s="377" t="str">
        <f>+VLOOKUP(A8,'Metodologia Nomenclatura'!B:F,5,0)</f>
        <v>Coordinador Sr. / Especialista</v>
      </c>
      <c r="D8" s="377"/>
      <c r="F8" s="378" t="s">
        <v>307</v>
      </c>
      <c r="H8" s="378" t="s">
        <v>301</v>
      </c>
      <c r="I8" s="377"/>
      <c r="K8" s="378" t="s">
        <v>308</v>
      </c>
      <c r="L8" s="655" t="s">
        <v>305</v>
      </c>
      <c r="M8" s="657"/>
      <c r="N8" s="656"/>
      <c r="P8" s="377"/>
      <c r="R8" s="377"/>
      <c r="S8" s="377"/>
      <c r="T8" s="377"/>
      <c r="U8" s="377"/>
    </row>
    <row r="9" spans="1:21" ht="45" customHeight="1">
      <c r="A9" s="377">
        <v>11</v>
      </c>
      <c r="B9" s="377" t="str">
        <f>+VLOOKUP(A9,'Metodologia Nomenclatura'!B:F,5,0)</f>
        <v>Coordinador / Especialista</v>
      </c>
      <c r="D9" s="377"/>
      <c r="F9" s="377"/>
      <c r="H9" s="377"/>
      <c r="I9" s="377"/>
      <c r="K9" s="377"/>
      <c r="L9" s="377"/>
      <c r="M9" s="377"/>
      <c r="N9" s="377"/>
      <c r="P9" s="377"/>
      <c r="R9" s="377"/>
      <c r="S9" s="377"/>
      <c r="T9" s="377"/>
      <c r="U9" s="377"/>
    </row>
    <row r="10" spans="1:21" ht="45" customHeight="1">
      <c r="A10" s="377">
        <v>10</v>
      </c>
      <c r="B10" s="377" t="str">
        <f>+VLOOKUP(A10,'Metodologia Nomenclatura'!B:F,5,0)</f>
        <v>Coordinador / Analista Sr</v>
      </c>
      <c r="D10" s="377"/>
      <c r="F10" s="377"/>
      <c r="H10" s="377"/>
      <c r="I10" s="378" t="s">
        <v>323</v>
      </c>
      <c r="K10" s="377"/>
      <c r="L10" s="377"/>
      <c r="M10" s="377"/>
      <c r="N10" s="377"/>
      <c r="P10" s="377"/>
      <c r="R10" s="378" t="s">
        <v>322</v>
      </c>
      <c r="S10" s="377"/>
      <c r="T10" s="377"/>
      <c r="U10" s="377"/>
    </row>
    <row r="11" spans="1:21" ht="45" customHeight="1">
      <c r="A11" s="377">
        <v>9</v>
      </c>
      <c r="B11" s="377" t="str">
        <f>+VLOOKUP(A11,'Metodologia Nomenclatura'!B:F,5,0)</f>
        <v>Coordinador Jr. / Analista Sr</v>
      </c>
      <c r="D11" s="377"/>
      <c r="F11" s="377"/>
      <c r="H11" s="377"/>
      <c r="I11" s="377"/>
      <c r="K11" s="377"/>
      <c r="L11" s="377"/>
      <c r="M11" s="377"/>
      <c r="N11" s="377"/>
      <c r="P11" s="377"/>
      <c r="R11" s="377"/>
      <c r="S11" s="377"/>
      <c r="T11" s="377"/>
      <c r="U11" s="377"/>
    </row>
    <row r="12" spans="1:21" ht="45" customHeight="1">
      <c r="A12" s="377">
        <v>8</v>
      </c>
      <c r="B12" s="377" t="str">
        <f>+VLOOKUP(A12,'Metodologia Nomenclatura'!B:F,5,0)</f>
        <v>Supervisor / Analista Sr / Técnico</v>
      </c>
      <c r="D12" s="377"/>
      <c r="F12" s="377"/>
      <c r="H12" s="377"/>
      <c r="I12" s="377"/>
      <c r="K12" s="377"/>
      <c r="L12" s="378" t="s">
        <v>333</v>
      </c>
      <c r="M12" s="377"/>
      <c r="N12" s="377"/>
      <c r="P12" s="377"/>
      <c r="R12" s="377"/>
      <c r="S12" s="377"/>
      <c r="T12" s="377"/>
      <c r="U12" s="377"/>
    </row>
    <row r="13" spans="1:21" ht="45" customHeight="1">
      <c r="A13" s="377">
        <v>7</v>
      </c>
      <c r="B13" s="377" t="str">
        <f>+VLOOKUP(A13,'Metodologia Nomenclatura'!B:F,5,0)</f>
        <v>Supervisor / Analista / Técnico</v>
      </c>
      <c r="D13" s="377"/>
      <c r="F13" s="377"/>
      <c r="H13" s="377"/>
      <c r="I13" s="377"/>
      <c r="K13" s="383" t="s">
        <v>348</v>
      </c>
      <c r="L13" s="377"/>
      <c r="M13" s="378" t="s">
        <v>343</v>
      </c>
      <c r="N13" s="378" t="s">
        <v>341</v>
      </c>
      <c r="P13" s="383" t="s">
        <v>347</v>
      </c>
      <c r="R13" s="377"/>
      <c r="S13" s="378" t="s">
        <v>336</v>
      </c>
      <c r="T13" s="378" t="s">
        <v>342</v>
      </c>
      <c r="U13" s="377"/>
    </row>
    <row r="14" spans="1:21" ht="45" customHeight="1">
      <c r="A14" s="377">
        <v>6</v>
      </c>
      <c r="B14" s="377" t="str">
        <f>+VLOOKUP(A14,'Metodologia Nomenclatura'!B:F,5,0)</f>
        <v>Supervisor / Analista / Técnico</v>
      </c>
      <c r="D14" s="377"/>
      <c r="F14" s="377"/>
      <c r="H14" s="377"/>
      <c r="I14" s="377"/>
      <c r="K14" s="377"/>
      <c r="L14" s="377"/>
      <c r="M14" s="377"/>
      <c r="N14" s="377"/>
      <c r="P14" s="377"/>
      <c r="R14" s="377"/>
      <c r="S14" s="377"/>
      <c r="T14" s="377"/>
      <c r="U14" s="378" t="s">
        <v>351</v>
      </c>
    </row>
    <row r="15" spans="1:21" ht="6.75" customHeight="1">
      <c r="A15" s="366"/>
      <c r="B15" s="366"/>
      <c r="D15" s="366"/>
      <c r="F15" s="366"/>
      <c r="H15" s="366"/>
      <c r="I15" s="366"/>
      <c r="K15" s="366"/>
      <c r="L15" s="366"/>
      <c r="M15" s="366"/>
      <c r="N15" s="366"/>
      <c r="P15" s="366"/>
      <c r="R15" s="366"/>
      <c r="S15" s="366"/>
      <c r="T15" s="366"/>
      <c r="U15" s="366"/>
    </row>
    <row r="16" spans="1:21" ht="20.100000000000001" customHeight="1">
      <c r="A16" s="365"/>
      <c r="B16" s="365"/>
      <c r="D16" s="365"/>
      <c r="F16" s="365"/>
      <c r="H16" s="365"/>
      <c r="I16" s="365"/>
      <c r="K16" s="365"/>
      <c r="L16" s="365"/>
      <c r="M16" s="365"/>
      <c r="N16" s="365"/>
      <c r="P16" s="365"/>
      <c r="R16" s="365"/>
      <c r="S16" s="365"/>
      <c r="T16" s="365"/>
      <c r="U16" s="365"/>
    </row>
  </sheetData>
  <mergeCells count="5">
    <mergeCell ref="D2:U2"/>
    <mergeCell ref="H5:I5"/>
    <mergeCell ref="K5:N5"/>
    <mergeCell ref="R6:U6"/>
    <mergeCell ref="L8:N8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C83FC-314B-4E81-901B-18EF9E720E9C}">
  <sheetPr codeName="Hoja33"/>
  <dimension ref="A1:O16"/>
  <sheetViews>
    <sheetView workbookViewId="0"/>
  </sheetViews>
  <sheetFormatPr baseColWidth="10" defaultColWidth="11.44140625" defaultRowHeight="12"/>
  <cols>
    <col min="1" max="1" width="11.109375" style="381" customWidth="1"/>
    <col min="2" max="2" width="24" style="381" customWidth="1"/>
    <col min="3" max="3" width="1.6640625" style="381" customWidth="1"/>
    <col min="4" max="6" width="18.109375" style="381" customWidth="1"/>
    <col min="7" max="7" width="1.44140625" style="381" customWidth="1"/>
    <col min="8" max="11" width="18.109375" style="381" customWidth="1"/>
    <col min="12" max="12" width="1.44140625" style="381" customWidth="1"/>
    <col min="13" max="13" width="18.109375" style="381" customWidth="1"/>
    <col min="14" max="14" width="1.44140625" style="381" customWidth="1"/>
    <col min="15" max="15" width="18.109375" style="381" customWidth="1"/>
    <col min="16" max="16" width="1.33203125" style="381" customWidth="1"/>
    <col min="17" max="16384" width="11.44140625" style="381"/>
  </cols>
  <sheetData>
    <row r="1" spans="1:15" ht="9.75" customHeight="1"/>
    <row r="2" spans="1:15" ht="45" customHeight="1">
      <c r="A2" s="377">
        <v>16</v>
      </c>
      <c r="B2" s="377" t="str">
        <f>+VLOOKUP(A2,'Metodologia Nomenclatura'!B:F,5,0)</f>
        <v>Director / Director Región / Director País</v>
      </c>
      <c r="D2" s="600" t="s">
        <v>276</v>
      </c>
      <c r="E2" s="600"/>
      <c r="F2" s="600"/>
      <c r="G2" s="600"/>
      <c r="H2" s="600"/>
      <c r="I2" s="600"/>
      <c r="J2" s="600"/>
      <c r="K2" s="600"/>
      <c r="L2" s="600"/>
      <c r="M2" s="600"/>
      <c r="N2" s="600"/>
      <c r="O2" s="600"/>
    </row>
    <row r="3" spans="1:15" ht="45" customHeight="1">
      <c r="A3" s="377">
        <v>15</v>
      </c>
      <c r="B3" s="377" t="str">
        <f>+VLOOKUP(A3,'Metodologia Nomenclatura'!B:F,5,0)</f>
        <v>Gerente Sr / Gerente Región / Gerente País / Especialista Sr</v>
      </c>
      <c r="D3" s="382"/>
      <c r="E3" s="377"/>
      <c r="F3" s="377"/>
      <c r="H3" s="382"/>
      <c r="I3" s="382"/>
      <c r="J3" s="382"/>
      <c r="K3" s="377"/>
      <c r="M3" s="377"/>
      <c r="O3" s="377"/>
    </row>
    <row r="4" spans="1:15" ht="45" customHeight="1">
      <c r="A4" s="377">
        <v>14</v>
      </c>
      <c r="B4" s="377" t="str">
        <f>+VLOOKUP(A4,'Metodologia Nomenclatura'!B:F,5,0)</f>
        <v>Gerente Sr / Gerente Región / Gerente País / Especialista Sr</v>
      </c>
      <c r="D4" s="655" t="s">
        <v>292</v>
      </c>
      <c r="E4" s="657"/>
      <c r="F4" s="656"/>
      <c r="H4" s="655" t="s">
        <v>289</v>
      </c>
      <c r="I4" s="657"/>
      <c r="J4" s="657"/>
      <c r="K4" s="656"/>
      <c r="M4" s="377"/>
      <c r="O4" s="378" t="s">
        <v>303</v>
      </c>
    </row>
    <row r="5" spans="1:15" ht="45" customHeight="1">
      <c r="A5" s="377">
        <v>13</v>
      </c>
      <c r="B5" s="377" t="str">
        <f>+VLOOKUP(A5,'Metodologia Nomenclatura'!B:F,5,0)</f>
        <v>Gerente / Especialista Sr</v>
      </c>
      <c r="D5" s="377"/>
      <c r="E5" s="377"/>
      <c r="F5" s="377"/>
      <c r="H5" s="377"/>
      <c r="I5" s="377"/>
      <c r="J5" s="377"/>
      <c r="K5" s="377"/>
      <c r="M5" s="377"/>
      <c r="O5" s="377"/>
    </row>
    <row r="6" spans="1:15" ht="45" customHeight="1">
      <c r="A6" s="377">
        <v>12</v>
      </c>
      <c r="B6" s="377" t="str">
        <f>+VLOOKUP(A6,'Metodologia Nomenclatura'!B:F,5,0)</f>
        <v>Coordinador Sr. / Especialista</v>
      </c>
      <c r="D6" s="377"/>
      <c r="E6" s="377"/>
      <c r="F6" s="377"/>
      <c r="H6" s="378" t="s">
        <v>309</v>
      </c>
      <c r="I6" s="377"/>
      <c r="J6" s="377"/>
      <c r="K6" s="377"/>
      <c r="M6" s="378" t="s">
        <v>302</v>
      </c>
      <c r="O6" s="377"/>
    </row>
    <row r="7" spans="1:15" ht="45" customHeight="1">
      <c r="A7" s="377">
        <v>11</v>
      </c>
      <c r="B7" s="377" t="str">
        <f>+VLOOKUP(A7,'Metodologia Nomenclatura'!B:F,5,0)</f>
        <v>Coordinador / Especialista</v>
      </c>
      <c r="D7" s="378" t="s">
        <v>321</v>
      </c>
      <c r="E7" s="377"/>
      <c r="F7" s="377"/>
      <c r="H7" s="377"/>
      <c r="I7" s="377"/>
      <c r="J7" s="377"/>
      <c r="K7" s="377"/>
      <c r="M7" s="377"/>
      <c r="O7" s="378" t="s">
        <v>312</v>
      </c>
    </row>
    <row r="8" spans="1:15" ht="45" customHeight="1">
      <c r="A8" s="377">
        <v>10</v>
      </c>
      <c r="B8" s="377" t="str">
        <f>+VLOOKUP(A8,'Metodologia Nomenclatura'!B:F,5,0)</f>
        <v>Coordinador / Analista Sr</v>
      </c>
      <c r="D8" s="377"/>
      <c r="E8" s="377"/>
      <c r="F8" s="377"/>
      <c r="H8" s="377"/>
      <c r="I8" s="377"/>
      <c r="J8" s="377"/>
      <c r="K8" s="377"/>
      <c r="M8" s="377"/>
      <c r="O8" s="377"/>
    </row>
    <row r="9" spans="1:15" ht="45" customHeight="1">
      <c r="A9" s="377">
        <v>9</v>
      </c>
      <c r="B9" s="377" t="str">
        <f>+VLOOKUP(A9,'Metodologia Nomenclatura'!B:F,5,0)</f>
        <v>Coordinador Jr. / Analista Sr</v>
      </c>
      <c r="D9" s="377"/>
      <c r="E9" s="378" t="s">
        <v>325</v>
      </c>
      <c r="F9" s="378" t="s">
        <v>327</v>
      </c>
      <c r="H9" s="378" t="s">
        <v>329</v>
      </c>
      <c r="I9" s="377"/>
      <c r="J9" s="377"/>
      <c r="K9" s="377"/>
      <c r="M9" s="377"/>
      <c r="O9" s="377"/>
    </row>
    <row r="10" spans="1:15" ht="45" customHeight="1">
      <c r="A10" s="377">
        <v>8</v>
      </c>
      <c r="B10" s="377" t="str">
        <f>+VLOOKUP(A10,'Metodologia Nomenclatura'!B:F,5,0)</f>
        <v>Supervisor / Analista Sr / Técnico</v>
      </c>
      <c r="D10" s="377"/>
      <c r="E10" s="377"/>
      <c r="F10" s="377"/>
      <c r="H10" s="377"/>
      <c r="I10" s="377"/>
      <c r="J10" s="377"/>
      <c r="K10" s="377"/>
      <c r="M10" s="377"/>
      <c r="O10" s="377"/>
    </row>
    <row r="11" spans="1:15" ht="45" customHeight="1">
      <c r="A11" s="377">
        <v>7</v>
      </c>
      <c r="B11" s="377" t="str">
        <f>+VLOOKUP(A11,'Metodologia Nomenclatura'!B:F,5,0)</f>
        <v>Supervisor / Analista / Técnico</v>
      </c>
      <c r="D11" s="378" t="s">
        <v>344</v>
      </c>
      <c r="E11" s="377"/>
      <c r="F11" s="377"/>
      <c r="H11" s="377"/>
      <c r="I11" s="378" t="s">
        <v>339</v>
      </c>
      <c r="J11" s="378" t="s">
        <v>338</v>
      </c>
      <c r="K11" s="378" t="s">
        <v>346</v>
      </c>
      <c r="M11" s="377"/>
      <c r="O11" s="378" t="s">
        <v>349</v>
      </c>
    </row>
    <row r="12" spans="1:15" ht="45" customHeight="1">
      <c r="A12" s="377">
        <v>6</v>
      </c>
      <c r="B12" s="377" t="str">
        <f>+VLOOKUP(A12,'Metodologia Nomenclatura'!B:F,5,0)</f>
        <v>Supervisor / Analista / Técnico</v>
      </c>
      <c r="D12" s="377"/>
      <c r="E12" s="377"/>
      <c r="F12" s="377"/>
      <c r="H12" s="377"/>
      <c r="I12" s="377"/>
      <c r="J12" s="377"/>
      <c r="K12" s="377"/>
      <c r="M12" s="378" t="s">
        <v>353</v>
      </c>
      <c r="O12" s="377"/>
    </row>
    <row r="13" spans="1:15" ht="45" customHeight="1">
      <c r="A13" s="377">
        <v>5</v>
      </c>
      <c r="B13" s="377" t="str">
        <f>+VLOOKUP(A13,'Metodologia Nomenclatura'!B:F,5,0)</f>
        <v>Auxiliar/Operario Experto</v>
      </c>
      <c r="D13" s="377"/>
      <c r="E13" s="377"/>
      <c r="F13" s="377"/>
      <c r="H13" s="377"/>
      <c r="I13" s="377"/>
      <c r="J13" s="377"/>
      <c r="K13" s="377"/>
      <c r="M13" s="377"/>
      <c r="O13" s="377"/>
    </row>
    <row r="14" spans="1:15" ht="45" customHeight="1">
      <c r="A14" s="377">
        <v>4</v>
      </c>
      <c r="B14" s="377" t="str">
        <f>+VLOOKUP(A14,'Metodologia Nomenclatura'!B:F,5,0)</f>
        <v xml:space="preserve">Axiliar / Operario Experto </v>
      </c>
      <c r="D14" s="377"/>
      <c r="E14" s="377"/>
      <c r="F14" s="377"/>
      <c r="H14" s="377"/>
      <c r="I14" s="377"/>
      <c r="J14" s="377"/>
      <c r="K14" s="377"/>
      <c r="M14" s="377"/>
      <c r="O14" s="377"/>
    </row>
    <row r="15" spans="1:15" ht="6.75" customHeight="1">
      <c r="A15" s="366"/>
      <c r="B15" s="366"/>
      <c r="D15" s="366"/>
      <c r="E15" s="366"/>
      <c r="F15" s="366"/>
      <c r="H15" s="366"/>
      <c r="I15" s="366"/>
      <c r="J15" s="366"/>
      <c r="K15" s="366"/>
      <c r="M15" s="366"/>
      <c r="O15" s="366"/>
    </row>
    <row r="16" spans="1:15" ht="20.100000000000001" customHeight="1">
      <c r="A16" s="365"/>
      <c r="B16" s="365"/>
      <c r="D16" s="365"/>
      <c r="E16" s="365"/>
      <c r="F16" s="365"/>
      <c r="H16" s="365"/>
      <c r="I16" s="365"/>
      <c r="J16" s="365"/>
      <c r="K16" s="365"/>
      <c r="M16" s="365"/>
      <c r="O16" s="365"/>
    </row>
  </sheetData>
  <mergeCells count="3">
    <mergeCell ref="D2:O2"/>
    <mergeCell ref="D4:F4"/>
    <mergeCell ref="H4:K4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527E8-E7E2-4B76-B550-D825AA2EE34E}">
  <sheetPr codeName="Hoja34"/>
  <dimension ref="A1:F16"/>
  <sheetViews>
    <sheetView workbookViewId="0"/>
  </sheetViews>
  <sheetFormatPr baseColWidth="10" defaultColWidth="11.44140625" defaultRowHeight="12"/>
  <cols>
    <col min="1" max="1" width="11.109375" style="381" customWidth="1"/>
    <col min="2" max="2" width="24" style="381" customWidth="1"/>
    <col min="3" max="3" width="1.6640625" style="381" customWidth="1"/>
    <col min="4" max="4" width="18.109375" style="381" customWidth="1"/>
    <col min="5" max="5" width="1.44140625" style="381" customWidth="1"/>
    <col min="6" max="6" width="18.109375" style="381" customWidth="1"/>
    <col min="7" max="7" width="1.33203125" style="381" customWidth="1"/>
    <col min="8" max="16384" width="11.44140625" style="381"/>
  </cols>
  <sheetData>
    <row r="1" spans="1:6" ht="9.75" customHeight="1"/>
    <row r="2" spans="1:6" ht="45" customHeight="1">
      <c r="A2" s="377">
        <v>15</v>
      </c>
      <c r="B2" s="377" t="str">
        <f>+VLOOKUP(A2,'Metodologia Nomenclatura'!B:F,5,0)</f>
        <v>Gerente Sr / Gerente Región / Gerente País / Especialista Sr</v>
      </c>
      <c r="D2" s="600" t="s">
        <v>279</v>
      </c>
      <c r="E2" s="600"/>
      <c r="F2" s="600"/>
    </row>
    <row r="3" spans="1:6" ht="45" customHeight="1">
      <c r="A3" s="377">
        <v>14</v>
      </c>
      <c r="B3" s="377" t="str">
        <f>+VLOOKUP(A3,'Metodologia Nomenclatura'!B:F,5,0)</f>
        <v>Gerente Sr / Gerente Región / Gerente País / Especialista Sr</v>
      </c>
      <c r="D3" s="382"/>
      <c r="F3" s="377"/>
    </row>
    <row r="4" spans="1:6" ht="45" customHeight="1">
      <c r="A4" s="377">
        <v>13</v>
      </c>
      <c r="B4" s="377" t="str">
        <f>+VLOOKUP(A4,'Metodologia Nomenclatura'!B:F,5,0)</f>
        <v>Gerente / Especialista Sr</v>
      </c>
      <c r="D4" s="377"/>
      <c r="F4" s="377"/>
    </row>
    <row r="5" spans="1:6" ht="45" customHeight="1">
      <c r="A5" s="377">
        <v>12</v>
      </c>
      <c r="B5" s="377" t="str">
        <f>+VLOOKUP(A5,'Metodologia Nomenclatura'!B:F,5,0)</f>
        <v>Coordinador Sr. / Especialista</v>
      </c>
      <c r="D5" s="378" t="s">
        <v>304</v>
      </c>
      <c r="F5" s="377"/>
    </row>
    <row r="6" spans="1:6" ht="45" customHeight="1">
      <c r="A6" s="377">
        <v>11</v>
      </c>
      <c r="B6" s="377" t="str">
        <f>+VLOOKUP(A6,'Metodologia Nomenclatura'!B:F,5,0)</f>
        <v>Coordinador / Especialista</v>
      </c>
      <c r="D6" s="377"/>
      <c r="F6" s="378" t="s">
        <v>320</v>
      </c>
    </row>
    <row r="7" spans="1:6" ht="45" customHeight="1">
      <c r="A7" s="377">
        <v>10</v>
      </c>
      <c r="B7" s="377" t="str">
        <f>+VLOOKUP(A7,'Metodologia Nomenclatura'!B:F,5,0)</f>
        <v>Coordinador / Analista Sr</v>
      </c>
      <c r="D7" s="377"/>
      <c r="F7" s="377"/>
    </row>
    <row r="8" spans="1:6" ht="45" customHeight="1">
      <c r="A8" s="377">
        <v>9</v>
      </c>
      <c r="B8" s="377" t="str">
        <f>+VLOOKUP(A8,'Metodologia Nomenclatura'!B:F,5,0)</f>
        <v>Coordinador Jr. / Analista Sr</v>
      </c>
      <c r="D8" s="377"/>
      <c r="F8" s="377"/>
    </row>
    <row r="9" spans="1:6" ht="45" customHeight="1">
      <c r="A9" s="377">
        <v>8</v>
      </c>
      <c r="B9" s="377" t="str">
        <f>+VLOOKUP(A9,'Metodologia Nomenclatura'!B:F,5,0)</f>
        <v>Supervisor / Analista Sr / Técnico</v>
      </c>
      <c r="D9" s="378" t="s">
        <v>330</v>
      </c>
      <c r="F9" s="377"/>
    </row>
    <row r="10" spans="1:6" ht="45" customHeight="1">
      <c r="A10" s="377">
        <v>7</v>
      </c>
      <c r="B10" s="377" t="str">
        <f>+VLOOKUP(A10,'Metodologia Nomenclatura'!B:F,5,0)</f>
        <v>Supervisor / Analista / Técnico</v>
      </c>
      <c r="D10" s="377"/>
      <c r="F10" s="377"/>
    </row>
    <row r="11" spans="1:6" ht="45" customHeight="1">
      <c r="A11" s="377">
        <v>6</v>
      </c>
      <c r="B11" s="377" t="str">
        <f>+VLOOKUP(A11,'Metodologia Nomenclatura'!B:F,5,0)</f>
        <v>Supervisor / Analista / Técnico</v>
      </c>
      <c r="D11" s="377"/>
      <c r="F11" s="377"/>
    </row>
    <row r="12" spans="1:6" ht="45" customHeight="1">
      <c r="A12" s="377">
        <v>5</v>
      </c>
      <c r="B12" s="377" t="str">
        <f>+VLOOKUP(A12,'Metodologia Nomenclatura'!B:F,5,0)</f>
        <v>Auxiliar/Operario Experto</v>
      </c>
      <c r="D12" s="377"/>
      <c r="F12" s="377"/>
    </row>
    <row r="13" spans="1:6" ht="45" customHeight="1">
      <c r="A13" s="377">
        <v>4</v>
      </c>
      <c r="B13" s="377" t="str">
        <f>+VLOOKUP(A13,'Metodologia Nomenclatura'!B:F,5,0)</f>
        <v xml:space="preserve">Axiliar / Operario Experto </v>
      </c>
      <c r="D13" s="377"/>
      <c r="F13" s="377"/>
    </row>
    <row r="14" spans="1:6" ht="45" customHeight="1">
      <c r="A14" s="377">
        <v>3</v>
      </c>
      <c r="B14" s="377" t="str">
        <f>+VLOOKUP(A14,'Metodologia Nomenclatura'!B:F,5,0)</f>
        <v>Auxiliar / Operario</v>
      </c>
      <c r="D14" s="377"/>
      <c r="F14" s="377"/>
    </row>
    <row r="15" spans="1:6" ht="6.75" customHeight="1">
      <c r="A15" s="366"/>
      <c r="B15" s="366"/>
      <c r="D15" s="366"/>
      <c r="F15" s="366"/>
    </row>
    <row r="16" spans="1:6" ht="20.100000000000001" customHeight="1">
      <c r="A16" s="365"/>
      <c r="B16" s="365"/>
      <c r="D16" s="365"/>
      <c r="F16" s="365"/>
    </row>
  </sheetData>
  <mergeCells count="1">
    <mergeCell ref="D2:F2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A1FDF-212B-4400-AB27-3589120B8CBD}">
  <sheetPr codeName="Hoja35"/>
  <dimension ref="A1:AG18"/>
  <sheetViews>
    <sheetView workbookViewId="0"/>
  </sheetViews>
  <sheetFormatPr baseColWidth="10" defaultColWidth="11.44140625" defaultRowHeight="12"/>
  <cols>
    <col min="1" max="1" width="11.109375" style="381" customWidth="1"/>
    <col min="2" max="2" width="24" style="381" customWidth="1"/>
    <col min="3" max="3" width="1.6640625" style="381" customWidth="1"/>
    <col min="4" max="5" width="18.109375" style="381" customWidth="1"/>
    <col min="6" max="6" width="1.44140625" style="381" customWidth="1"/>
    <col min="7" max="7" width="18.109375" style="381" customWidth="1"/>
    <col min="8" max="8" width="1.44140625" style="381" customWidth="1"/>
    <col min="9" max="11" width="18.109375" style="381" customWidth="1"/>
    <col min="12" max="12" width="1.44140625" style="381" customWidth="1"/>
    <col min="13" max="15" width="18.109375" style="381" customWidth="1"/>
    <col min="16" max="16" width="1.44140625" style="381" customWidth="1"/>
    <col min="17" max="17" width="18.109375" style="381" customWidth="1"/>
    <col min="18" max="18" width="1.44140625" style="381" customWidth="1"/>
    <col min="19" max="19" width="18.109375" style="381" customWidth="1"/>
    <col min="20" max="20" width="1.44140625" style="381" customWidth="1"/>
    <col min="21" max="22" width="18.109375" style="381" customWidth="1"/>
    <col min="23" max="23" width="1.44140625" style="381" customWidth="1"/>
    <col min="24" max="25" width="18.109375" style="381" customWidth="1"/>
    <col min="26" max="26" width="1.44140625" style="381" customWidth="1"/>
    <col min="27" max="29" width="18.109375" style="381" customWidth="1"/>
    <col min="30" max="30" width="1.44140625" style="381" customWidth="1"/>
    <col min="31" max="31" width="18.109375" style="381" customWidth="1"/>
    <col min="32" max="32" width="1.44140625" style="381" customWidth="1"/>
    <col min="33" max="33" width="18.109375" style="381" customWidth="1"/>
    <col min="34" max="34" width="1.33203125" style="381" customWidth="1"/>
    <col min="35" max="16384" width="11.44140625" style="381"/>
  </cols>
  <sheetData>
    <row r="1" spans="1:33" ht="9.75" customHeight="1"/>
    <row r="2" spans="1:33" ht="45" customHeight="1">
      <c r="A2" s="377">
        <v>18</v>
      </c>
      <c r="B2" s="377" t="str">
        <f>+VLOOKUP(A2,'Metodologia Nomenclatura'!B:F,5,0)</f>
        <v>Director / Director Región / Director País</v>
      </c>
      <c r="D2" s="600" t="s">
        <v>275</v>
      </c>
      <c r="E2" s="600"/>
      <c r="F2" s="600"/>
      <c r="G2" s="600"/>
      <c r="H2" s="600"/>
      <c r="I2" s="600"/>
      <c r="J2" s="600"/>
      <c r="K2" s="600"/>
      <c r="L2" s="600"/>
      <c r="M2" s="600"/>
      <c r="N2" s="600"/>
      <c r="O2" s="600"/>
      <c r="P2" s="600"/>
      <c r="Q2" s="600"/>
      <c r="R2" s="600"/>
      <c r="S2" s="600"/>
      <c r="T2" s="600"/>
      <c r="U2" s="600"/>
      <c r="V2" s="600"/>
      <c r="W2" s="600"/>
      <c r="X2" s="600"/>
      <c r="Y2" s="600"/>
      <c r="Z2" s="600"/>
      <c r="AA2" s="600"/>
      <c r="AB2" s="600"/>
      <c r="AC2" s="600"/>
      <c r="AD2" s="600"/>
      <c r="AE2" s="600"/>
      <c r="AF2" s="600"/>
      <c r="AG2" s="600"/>
    </row>
    <row r="3" spans="1:33" ht="45" customHeight="1">
      <c r="A3" s="377">
        <v>17</v>
      </c>
      <c r="B3" s="377" t="str">
        <f>+VLOOKUP(A3,'Metodologia Nomenclatura'!B:F,5,0)</f>
        <v>Director / Director Región / Director País</v>
      </c>
      <c r="D3" s="382"/>
      <c r="E3" s="377"/>
      <c r="G3" s="377"/>
      <c r="I3" s="382"/>
      <c r="J3" s="377"/>
      <c r="K3" s="377"/>
      <c r="M3" s="382"/>
      <c r="N3" s="377"/>
      <c r="O3" s="377"/>
      <c r="Q3" s="382"/>
      <c r="S3" s="377"/>
      <c r="U3" s="377"/>
      <c r="V3" s="377"/>
      <c r="X3" s="377"/>
      <c r="Y3" s="377"/>
      <c r="AA3" s="377"/>
      <c r="AB3" s="377"/>
      <c r="AC3" s="377"/>
      <c r="AE3" s="377"/>
      <c r="AG3" s="377"/>
    </row>
    <row r="4" spans="1:33" ht="45" customHeight="1">
      <c r="A4" s="377">
        <v>16</v>
      </c>
      <c r="B4" s="377" t="str">
        <f>+VLOOKUP(A4,'Metodologia Nomenclatura'!B:F,5,0)</f>
        <v>Director / Director Región / Director País</v>
      </c>
      <c r="D4" s="377"/>
      <c r="E4" s="377"/>
      <c r="G4" s="377"/>
      <c r="I4" s="377"/>
      <c r="J4" s="377"/>
      <c r="K4" s="377"/>
      <c r="M4" s="377"/>
      <c r="N4" s="377"/>
      <c r="O4" s="377"/>
      <c r="Q4" s="377"/>
      <c r="S4" s="377"/>
      <c r="U4" s="377"/>
      <c r="V4" s="377"/>
      <c r="X4" s="377"/>
      <c r="Y4" s="377"/>
      <c r="AA4" s="377"/>
      <c r="AB4" s="377"/>
      <c r="AC4" s="377"/>
      <c r="AE4" s="377"/>
      <c r="AG4" s="377"/>
    </row>
    <row r="5" spans="1:33" ht="45" customHeight="1">
      <c r="A5" s="377">
        <v>15</v>
      </c>
      <c r="B5" s="377" t="str">
        <f>+VLOOKUP(A5,'Metodologia Nomenclatura'!B:F,5,0)</f>
        <v>Gerente Sr / Gerente Región / Gerente País / Especialista Sr</v>
      </c>
      <c r="D5" s="655" t="s">
        <v>278</v>
      </c>
      <c r="E5" s="657"/>
      <c r="F5" s="657"/>
      <c r="G5" s="657"/>
      <c r="H5" s="657"/>
      <c r="I5" s="657"/>
      <c r="J5" s="657"/>
      <c r="K5" s="656"/>
      <c r="M5" s="377"/>
      <c r="N5" s="377"/>
      <c r="O5" s="377"/>
      <c r="Q5" s="377"/>
      <c r="S5" s="377"/>
      <c r="U5" s="377"/>
      <c r="V5" s="377"/>
      <c r="X5" s="377"/>
      <c r="Y5" s="377"/>
      <c r="AA5" s="377"/>
      <c r="AB5" s="377"/>
      <c r="AC5" s="377"/>
      <c r="AE5" s="377"/>
      <c r="AG5" s="377"/>
    </row>
    <row r="6" spans="1:33" ht="45" customHeight="1">
      <c r="A6" s="377">
        <v>14</v>
      </c>
      <c r="B6" s="377" t="str">
        <f>+VLOOKUP(A6,'Metodologia Nomenclatura'!B:F,5,0)</f>
        <v>Gerente Sr / Gerente Región / Gerente País / Especialista Sr</v>
      </c>
      <c r="D6" s="377"/>
      <c r="E6" s="377"/>
      <c r="G6" s="377"/>
      <c r="I6" s="377"/>
      <c r="J6" s="377"/>
      <c r="K6" s="377"/>
      <c r="M6" s="655" t="s">
        <v>293</v>
      </c>
      <c r="N6" s="657"/>
      <c r="O6" s="656"/>
      <c r="Q6" s="378" t="s">
        <v>288</v>
      </c>
      <c r="S6" s="378" t="s">
        <v>287</v>
      </c>
      <c r="U6" s="655" t="s">
        <v>286</v>
      </c>
      <c r="V6" s="656"/>
      <c r="X6" s="658" t="s">
        <v>285</v>
      </c>
      <c r="Y6" s="659"/>
      <c r="AA6" s="377"/>
      <c r="AB6" s="377"/>
      <c r="AC6" s="377"/>
      <c r="AE6" s="377"/>
      <c r="AG6" s="377"/>
    </row>
    <row r="7" spans="1:33" ht="45" customHeight="1">
      <c r="A7" s="377">
        <v>13</v>
      </c>
      <c r="B7" s="377" t="str">
        <f>+VLOOKUP(A7,'Metodologia Nomenclatura'!B:F,5,0)</f>
        <v>Gerente / Especialista Sr</v>
      </c>
      <c r="D7" s="377"/>
      <c r="E7" s="377"/>
      <c r="G7" s="378" t="s">
        <v>294</v>
      </c>
      <c r="I7" s="377"/>
      <c r="J7" s="377"/>
      <c r="K7" s="377"/>
      <c r="M7" s="377"/>
      <c r="N7" s="377"/>
      <c r="O7" s="377"/>
      <c r="Q7" s="377"/>
      <c r="S7" s="377"/>
      <c r="U7" s="377"/>
      <c r="V7" s="377"/>
      <c r="X7" s="377"/>
      <c r="Y7" s="377"/>
      <c r="AA7" s="655" t="s">
        <v>298</v>
      </c>
      <c r="AB7" s="657"/>
      <c r="AC7" s="656"/>
      <c r="AE7" s="378" t="s">
        <v>297</v>
      </c>
      <c r="AG7" s="378" t="s">
        <v>296</v>
      </c>
    </row>
    <row r="8" spans="1:33" ht="45" customHeight="1">
      <c r="A8" s="377">
        <v>12</v>
      </c>
      <c r="B8" s="377" t="str">
        <f>+VLOOKUP(A8,'Metodologia Nomenclatura'!B:F,5,0)</f>
        <v>Coordinador Sr. / Especialista</v>
      </c>
      <c r="D8" s="655" t="s">
        <v>306</v>
      </c>
      <c r="E8" s="656"/>
      <c r="G8" s="377"/>
      <c r="I8" s="377"/>
      <c r="J8" s="377"/>
      <c r="K8" s="377"/>
      <c r="M8" s="378" t="s">
        <v>300</v>
      </c>
      <c r="N8" s="377"/>
      <c r="O8" s="377"/>
      <c r="Q8" s="377"/>
      <c r="S8" s="377"/>
      <c r="U8" s="378" t="s">
        <v>299</v>
      </c>
      <c r="V8" s="377"/>
      <c r="X8" s="377"/>
      <c r="Y8" s="377"/>
      <c r="AA8" s="377"/>
      <c r="AB8" s="377"/>
      <c r="AC8" s="377"/>
      <c r="AE8" s="377"/>
      <c r="AG8" s="377"/>
    </row>
    <row r="9" spans="1:33" ht="45" customHeight="1">
      <c r="A9" s="377">
        <v>11</v>
      </c>
      <c r="B9" s="377" t="str">
        <f>+VLOOKUP(A9,'Metodologia Nomenclatura'!B:F,5,0)</f>
        <v>Coordinador / Especialista</v>
      </c>
      <c r="D9" s="378" t="s">
        <v>319</v>
      </c>
      <c r="E9" s="377"/>
      <c r="G9" s="377"/>
      <c r="I9" s="655" t="s">
        <v>316</v>
      </c>
      <c r="J9" s="657"/>
      <c r="K9" s="656"/>
      <c r="M9" s="377"/>
      <c r="N9" s="378" t="s">
        <v>300</v>
      </c>
      <c r="O9" s="377"/>
      <c r="Q9" s="378" t="s">
        <v>310</v>
      </c>
      <c r="S9" s="378" t="s">
        <v>318</v>
      </c>
      <c r="U9" s="377"/>
      <c r="V9" s="378" t="s">
        <v>317</v>
      </c>
      <c r="X9" s="378" t="s">
        <v>311</v>
      </c>
      <c r="Y9" s="378" t="s">
        <v>314</v>
      </c>
      <c r="AA9" s="377"/>
      <c r="AB9" s="377"/>
      <c r="AC9" s="377"/>
      <c r="AE9" s="378" t="s">
        <v>315</v>
      </c>
      <c r="AG9" s="377"/>
    </row>
    <row r="10" spans="1:33" ht="45" customHeight="1">
      <c r="A10" s="377">
        <v>10</v>
      </c>
      <c r="B10" s="377" t="str">
        <f>+VLOOKUP(A10,'Metodologia Nomenclatura'!B:F,5,0)</f>
        <v>Coordinador / Analista Sr</v>
      </c>
      <c r="D10" s="377"/>
      <c r="E10" s="377"/>
      <c r="G10" s="377"/>
      <c r="I10" s="377"/>
      <c r="J10" s="377"/>
      <c r="K10" s="377"/>
      <c r="M10" s="377"/>
      <c r="N10" s="377"/>
      <c r="O10" s="377"/>
      <c r="Q10" s="377"/>
      <c r="S10" s="377"/>
      <c r="U10" s="377"/>
      <c r="V10" s="377"/>
      <c r="X10" s="377"/>
      <c r="Y10" s="377"/>
      <c r="AA10" s="377"/>
      <c r="AB10" s="377"/>
      <c r="AC10" s="377"/>
      <c r="AE10" s="377"/>
      <c r="AG10" s="377"/>
    </row>
    <row r="11" spans="1:33" ht="45" customHeight="1">
      <c r="A11" s="377">
        <v>9</v>
      </c>
      <c r="B11" s="377" t="str">
        <f>+VLOOKUP(A11,'Metodologia Nomenclatura'!B:F,5,0)</f>
        <v>Coordinador Jr. / Analista Sr</v>
      </c>
      <c r="D11" s="377"/>
      <c r="E11" s="377"/>
      <c r="G11" s="377"/>
      <c r="I11" s="377"/>
      <c r="J11" s="377"/>
      <c r="K11" s="377"/>
      <c r="M11" s="377"/>
      <c r="N11" s="377"/>
      <c r="O11" s="377"/>
      <c r="Q11" s="378" t="s">
        <v>337</v>
      </c>
      <c r="S11" s="377"/>
      <c r="U11" s="377"/>
      <c r="V11" s="377"/>
      <c r="X11" s="377"/>
      <c r="Y11" s="377"/>
      <c r="AA11" s="378" t="s">
        <v>326</v>
      </c>
      <c r="AB11" s="377"/>
      <c r="AC11" s="377"/>
      <c r="AE11" s="377"/>
      <c r="AG11" s="378" t="s">
        <v>324</v>
      </c>
    </row>
    <row r="12" spans="1:33" ht="45" customHeight="1">
      <c r="A12" s="377">
        <v>8</v>
      </c>
      <c r="B12" s="377" t="str">
        <f>+VLOOKUP(A12,'Metodologia Nomenclatura'!B:F,5,0)</f>
        <v>Supervisor / Analista Sr / Técnico</v>
      </c>
      <c r="D12" s="377"/>
      <c r="E12" s="378" t="s">
        <v>328</v>
      </c>
      <c r="G12" s="378" t="s">
        <v>394</v>
      </c>
      <c r="I12" s="377"/>
      <c r="J12" s="377"/>
      <c r="K12" s="377"/>
      <c r="M12" s="377"/>
      <c r="N12" s="377"/>
      <c r="O12" s="377"/>
      <c r="Q12" s="377"/>
      <c r="S12" s="377"/>
      <c r="U12" s="378" t="s">
        <v>335</v>
      </c>
      <c r="V12" s="377"/>
      <c r="X12" s="377"/>
      <c r="Y12" s="377"/>
      <c r="AA12" s="377"/>
      <c r="AB12" s="378" t="s">
        <v>331</v>
      </c>
      <c r="AC12" s="377"/>
      <c r="AE12" s="378" t="s">
        <v>334</v>
      </c>
      <c r="AG12" s="377"/>
    </row>
    <row r="13" spans="1:33" ht="45" customHeight="1">
      <c r="A13" s="377">
        <v>7</v>
      </c>
      <c r="B13" s="377" t="str">
        <f>+VLOOKUP(A13,'Metodologia Nomenclatura'!B:F,5,0)</f>
        <v>Supervisor / Analista / Técnico</v>
      </c>
      <c r="D13" s="377"/>
      <c r="E13" s="377"/>
      <c r="G13" s="377"/>
      <c r="I13" s="377"/>
      <c r="J13" s="377"/>
      <c r="K13" s="377"/>
      <c r="M13" s="377"/>
      <c r="N13" s="377"/>
      <c r="O13" s="378" t="s">
        <v>345</v>
      </c>
      <c r="Q13" s="377"/>
      <c r="S13" s="377"/>
      <c r="U13" s="377"/>
      <c r="V13" s="378" t="s">
        <v>340</v>
      </c>
      <c r="X13" s="377"/>
      <c r="Y13" s="377"/>
      <c r="AA13" s="377"/>
      <c r="AB13" s="377"/>
      <c r="AC13" s="377"/>
      <c r="AE13" s="377"/>
      <c r="AG13" s="377"/>
    </row>
    <row r="14" spans="1:33" ht="45" customHeight="1">
      <c r="A14" s="377">
        <v>6</v>
      </c>
      <c r="B14" s="377" t="str">
        <f>+VLOOKUP(A14,'Metodologia Nomenclatura'!B:F,5,0)</f>
        <v>Supervisor / Analista / Técnico</v>
      </c>
      <c r="D14" s="377"/>
      <c r="E14" s="377"/>
      <c r="G14" s="377"/>
      <c r="I14" s="377"/>
      <c r="J14" s="377"/>
      <c r="K14" s="377"/>
      <c r="M14" s="377"/>
      <c r="N14" s="377"/>
      <c r="O14" s="377"/>
      <c r="Q14" s="377"/>
      <c r="S14" s="377"/>
      <c r="U14" s="377"/>
      <c r="V14" s="377"/>
      <c r="X14" s="378" t="s">
        <v>350</v>
      </c>
      <c r="Y14" s="377"/>
      <c r="AA14" s="377"/>
      <c r="AB14" s="377"/>
      <c r="AC14" s="378" t="s">
        <v>352</v>
      </c>
      <c r="AE14" s="377"/>
      <c r="AG14" s="377"/>
    </row>
    <row r="15" spans="1:33" ht="45" customHeight="1">
      <c r="A15" s="377">
        <v>5</v>
      </c>
      <c r="B15" s="377" t="str">
        <f>+VLOOKUP(A15,'Metodologia Nomenclatura'!B:F,5,0)</f>
        <v>Auxiliar/Operario Experto</v>
      </c>
      <c r="D15" s="377"/>
      <c r="E15" s="377"/>
      <c r="G15" s="377"/>
      <c r="I15" s="378" t="s">
        <v>354</v>
      </c>
      <c r="J15" s="377"/>
      <c r="K15" s="377"/>
      <c r="M15" s="377"/>
      <c r="N15" s="377"/>
      <c r="O15" s="377"/>
      <c r="Q15" s="377"/>
      <c r="S15" s="377"/>
      <c r="U15" s="377"/>
      <c r="V15" s="377"/>
      <c r="X15" s="377"/>
      <c r="Y15" s="377"/>
      <c r="AA15" s="377"/>
      <c r="AB15" s="377"/>
      <c r="AC15" s="377"/>
      <c r="AE15" s="377"/>
      <c r="AG15" s="377"/>
    </row>
    <row r="16" spans="1:33" ht="45" customHeight="1">
      <c r="A16" s="377">
        <v>4</v>
      </c>
      <c r="B16" s="377" t="str">
        <f>+VLOOKUP(A16,'Metodologia Nomenclatura'!B:F,5,0)</f>
        <v xml:space="preserve">Axiliar / Operario Experto </v>
      </c>
      <c r="D16" s="377"/>
      <c r="E16" s="377"/>
      <c r="G16" s="377"/>
      <c r="I16" s="377"/>
      <c r="J16" s="378" t="s">
        <v>355</v>
      </c>
      <c r="K16" s="378" t="s">
        <v>356</v>
      </c>
      <c r="M16" s="377"/>
      <c r="N16" s="377"/>
      <c r="O16" s="377"/>
      <c r="Q16" s="377"/>
      <c r="S16" s="377"/>
      <c r="U16" s="377"/>
      <c r="V16" s="377"/>
      <c r="X16" s="377"/>
      <c r="Y16" s="377"/>
      <c r="AA16" s="377"/>
      <c r="AB16" s="377"/>
      <c r="AC16" s="377"/>
      <c r="AE16" s="377"/>
      <c r="AG16" s="377"/>
    </row>
    <row r="17" spans="1:33" ht="6.75" customHeight="1">
      <c r="A17" s="366"/>
      <c r="B17" s="366"/>
      <c r="D17" s="366"/>
      <c r="E17" s="366"/>
      <c r="G17" s="366"/>
      <c r="I17" s="366"/>
      <c r="J17" s="366"/>
      <c r="K17" s="366"/>
      <c r="M17" s="366"/>
      <c r="N17" s="366"/>
      <c r="O17" s="366"/>
      <c r="Q17" s="366"/>
      <c r="S17" s="366"/>
      <c r="U17" s="366"/>
      <c r="V17" s="366"/>
      <c r="X17" s="366"/>
      <c r="Y17" s="366"/>
      <c r="AA17" s="366"/>
      <c r="AB17" s="366"/>
      <c r="AC17" s="366"/>
      <c r="AE17" s="366"/>
      <c r="AG17" s="366"/>
    </row>
    <row r="18" spans="1:33" ht="20.100000000000001" customHeight="1">
      <c r="A18" s="365"/>
      <c r="B18" s="365"/>
      <c r="D18" s="365"/>
      <c r="E18" s="365"/>
      <c r="G18" s="365"/>
      <c r="I18" s="365"/>
      <c r="J18" s="365"/>
      <c r="K18" s="365"/>
      <c r="M18" s="365"/>
      <c r="N18" s="365"/>
      <c r="O18" s="365"/>
      <c r="Q18" s="365"/>
      <c r="S18" s="365"/>
      <c r="U18" s="365"/>
      <c r="V18" s="365"/>
      <c r="X18" s="365"/>
      <c r="Y18" s="365"/>
      <c r="AA18" s="365"/>
      <c r="AB18" s="365"/>
      <c r="AC18" s="365"/>
      <c r="AE18" s="365"/>
      <c r="AG18" s="365"/>
    </row>
  </sheetData>
  <mergeCells count="8">
    <mergeCell ref="AA7:AC7"/>
    <mergeCell ref="D2:AG2"/>
    <mergeCell ref="D8:E8"/>
    <mergeCell ref="I9:K9"/>
    <mergeCell ref="D5:K5"/>
    <mergeCell ref="M6:O6"/>
    <mergeCell ref="U6:V6"/>
    <mergeCell ref="X6:Y6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FC9AE-9182-45A6-98FE-31E89F95F1EF}">
  <sheetPr codeName="Hoja36"/>
  <dimension ref="A1:F26"/>
  <sheetViews>
    <sheetView zoomScale="85" zoomScaleNormal="85" workbookViewId="0">
      <selection activeCell="C3" sqref="C3"/>
    </sheetView>
  </sheetViews>
  <sheetFormatPr baseColWidth="10" defaultColWidth="11.44140625" defaultRowHeight="14.4"/>
  <cols>
    <col min="1" max="1" width="19.6640625" bestFit="1" customWidth="1"/>
    <col min="2" max="2" width="22.33203125" customWidth="1"/>
    <col min="3" max="5" width="44.6640625" customWidth="1"/>
  </cols>
  <sheetData>
    <row r="1" spans="1:6" ht="31.8" thickBot="1">
      <c r="A1" s="367" t="s">
        <v>759</v>
      </c>
      <c r="B1" s="367" t="s">
        <v>760</v>
      </c>
      <c r="C1" s="368" t="s">
        <v>761</v>
      </c>
      <c r="D1" s="368" t="s">
        <v>762</v>
      </c>
      <c r="E1" s="367" t="s">
        <v>255</v>
      </c>
    </row>
    <row r="2" spans="1:6" ht="23.4" thickBot="1">
      <c r="A2" s="660" t="s">
        <v>763</v>
      </c>
      <c r="B2" s="369">
        <v>25</v>
      </c>
      <c r="C2" s="370" t="s">
        <v>764</v>
      </c>
      <c r="D2" s="371"/>
      <c r="E2" s="372"/>
      <c r="F2" t="str">
        <f>+CONCATENATE(C2)</f>
        <v>Presidente Global</v>
      </c>
    </row>
    <row r="3" spans="1:6" ht="23.4" thickBot="1">
      <c r="A3" s="661"/>
      <c r="B3" s="373">
        <v>24</v>
      </c>
      <c r="C3" s="370" t="s">
        <v>765</v>
      </c>
      <c r="D3" s="371"/>
      <c r="E3" s="372"/>
      <c r="F3" t="str">
        <f t="shared" ref="F3:F11" si="0">+CONCATENATE(C3)</f>
        <v>Presidente Regional</v>
      </c>
    </row>
    <row r="4" spans="1:6" ht="23.4" thickBot="1">
      <c r="A4" s="661"/>
      <c r="B4" s="373">
        <v>23</v>
      </c>
      <c r="C4" s="370" t="s">
        <v>766</v>
      </c>
      <c r="D4" s="371"/>
      <c r="E4" s="372"/>
      <c r="F4" t="str">
        <f t="shared" si="0"/>
        <v>Presidente Pais</v>
      </c>
    </row>
    <row r="5" spans="1:6" ht="23.4" thickBot="1">
      <c r="A5" s="661"/>
      <c r="B5" s="373">
        <v>22</v>
      </c>
      <c r="C5" s="370" t="s">
        <v>767</v>
      </c>
      <c r="D5" s="371"/>
      <c r="E5" s="372"/>
      <c r="F5" t="str">
        <f t="shared" si="0"/>
        <v xml:space="preserve"> Vicepresidente  / Director Región  / Presidente  País</v>
      </c>
    </row>
    <row r="6" spans="1:6" ht="23.4" thickBot="1">
      <c r="A6" s="661"/>
      <c r="B6" s="373">
        <v>21</v>
      </c>
      <c r="C6" s="370" t="s">
        <v>767</v>
      </c>
      <c r="D6" s="371"/>
      <c r="E6" s="374"/>
      <c r="F6" t="str">
        <f t="shared" si="0"/>
        <v xml:space="preserve"> Vicepresidente  / Director Región  / Presidente  País</v>
      </c>
    </row>
    <row r="7" spans="1:6" ht="23.4" thickBot="1">
      <c r="A7" s="662"/>
      <c r="B7" s="373">
        <v>20</v>
      </c>
      <c r="C7" s="370" t="s">
        <v>767</v>
      </c>
      <c r="D7" s="371"/>
      <c r="E7" s="374" t="s">
        <v>360</v>
      </c>
      <c r="F7" t="str">
        <f t="shared" si="0"/>
        <v xml:space="preserve"> Vicepresidente  / Director Región  / Presidente  País</v>
      </c>
    </row>
    <row r="8" spans="1:6" ht="23.4" thickBot="1">
      <c r="A8" s="660" t="s">
        <v>661</v>
      </c>
      <c r="B8" s="369">
        <v>19</v>
      </c>
      <c r="C8" s="370" t="s">
        <v>768</v>
      </c>
      <c r="D8" s="371"/>
      <c r="E8" s="374" t="s">
        <v>362</v>
      </c>
      <c r="F8" t="str">
        <f t="shared" si="0"/>
        <v>Director / Director Región / Director País</v>
      </c>
    </row>
    <row r="9" spans="1:6" ht="23.4" thickBot="1">
      <c r="A9" s="661"/>
      <c r="B9" s="373">
        <v>18</v>
      </c>
      <c r="C9" s="370" t="s">
        <v>768</v>
      </c>
      <c r="D9" s="371"/>
      <c r="E9" s="374" t="s">
        <v>362</v>
      </c>
      <c r="F9" t="str">
        <f t="shared" si="0"/>
        <v>Director / Director Región / Director País</v>
      </c>
    </row>
    <row r="10" spans="1:6" ht="23.4" thickBot="1">
      <c r="A10" s="661"/>
      <c r="B10" s="373">
        <v>17</v>
      </c>
      <c r="C10" s="370" t="s">
        <v>768</v>
      </c>
      <c r="D10" s="371"/>
      <c r="E10" s="374" t="s">
        <v>362</v>
      </c>
      <c r="F10" t="str">
        <f t="shared" si="0"/>
        <v>Director / Director Región / Director País</v>
      </c>
    </row>
    <row r="11" spans="1:6" ht="23.4" thickBot="1">
      <c r="A11" s="662"/>
      <c r="B11" s="373">
        <v>16</v>
      </c>
      <c r="C11" s="370" t="s">
        <v>768</v>
      </c>
      <c r="D11" s="371"/>
      <c r="E11" s="374" t="s">
        <v>362</v>
      </c>
      <c r="F11" t="str">
        <f t="shared" si="0"/>
        <v>Director / Director Región / Director País</v>
      </c>
    </row>
    <row r="12" spans="1:6" ht="15" thickBot="1">
      <c r="A12" s="660" t="s">
        <v>662</v>
      </c>
      <c r="B12" s="369">
        <v>15</v>
      </c>
      <c r="C12" s="370" t="s">
        <v>769</v>
      </c>
      <c r="D12" s="370" t="s">
        <v>770</v>
      </c>
      <c r="E12" s="374" t="s">
        <v>771</v>
      </c>
      <c r="F12" t="str">
        <f t="shared" ref="F12:F21" si="1">+CONCATENATE(C12," / ",D12)</f>
        <v>Gerente Sr / Gerente Región / Gerente País / Especialista Sr</v>
      </c>
    </row>
    <row r="13" spans="1:6" ht="15" thickBot="1">
      <c r="A13" s="661"/>
      <c r="B13" s="375">
        <v>14</v>
      </c>
      <c r="C13" s="370" t="s">
        <v>769</v>
      </c>
      <c r="D13" s="370" t="s">
        <v>770</v>
      </c>
      <c r="E13" s="374" t="s">
        <v>771</v>
      </c>
      <c r="F13" t="str">
        <f t="shared" si="1"/>
        <v>Gerente Sr / Gerente Región / Gerente País / Especialista Sr</v>
      </c>
    </row>
    <row r="14" spans="1:6" ht="15" thickBot="1">
      <c r="A14" s="662"/>
      <c r="B14" s="375">
        <v>13</v>
      </c>
      <c r="C14" s="370" t="s">
        <v>362</v>
      </c>
      <c r="D14" s="370" t="s">
        <v>770</v>
      </c>
      <c r="E14" s="374" t="s">
        <v>771</v>
      </c>
      <c r="F14" t="str">
        <f t="shared" si="1"/>
        <v>Gerente / Especialista Sr</v>
      </c>
    </row>
    <row r="15" spans="1:6" ht="15" thickBot="1">
      <c r="A15" s="660" t="s">
        <v>663</v>
      </c>
      <c r="B15" s="369">
        <v>12</v>
      </c>
      <c r="C15" s="370" t="s">
        <v>772</v>
      </c>
      <c r="D15" s="370" t="s">
        <v>773</v>
      </c>
      <c r="E15" s="374" t="s">
        <v>369</v>
      </c>
      <c r="F15" t="str">
        <f t="shared" si="1"/>
        <v>Coordinador Sr. / Especialista</v>
      </c>
    </row>
    <row r="16" spans="1:6" ht="15" thickBot="1">
      <c r="A16" s="661"/>
      <c r="B16" s="375">
        <v>11</v>
      </c>
      <c r="C16" s="370" t="s">
        <v>774</v>
      </c>
      <c r="D16" s="370" t="s">
        <v>773</v>
      </c>
      <c r="E16" s="374" t="s">
        <v>380</v>
      </c>
      <c r="F16" t="str">
        <f t="shared" si="1"/>
        <v>Coordinador / Especialista</v>
      </c>
    </row>
    <row r="17" spans="1:6" ht="15" thickBot="1">
      <c r="A17" s="661"/>
      <c r="B17" s="373">
        <v>10</v>
      </c>
      <c r="C17" s="370" t="s">
        <v>774</v>
      </c>
      <c r="D17" s="370" t="s">
        <v>775</v>
      </c>
      <c r="E17" s="374" t="s">
        <v>386</v>
      </c>
      <c r="F17" t="str">
        <f t="shared" si="1"/>
        <v>Coordinador / Analista Sr</v>
      </c>
    </row>
    <row r="18" spans="1:6" ht="15" thickBot="1">
      <c r="A18" s="662"/>
      <c r="B18" s="375">
        <v>9</v>
      </c>
      <c r="C18" s="370" t="s">
        <v>776</v>
      </c>
      <c r="D18" s="370" t="s">
        <v>775</v>
      </c>
      <c r="E18" s="374" t="s">
        <v>389</v>
      </c>
      <c r="F18" t="str">
        <f t="shared" si="1"/>
        <v>Coordinador Jr. / Analista Sr</v>
      </c>
    </row>
    <row r="19" spans="1:6" ht="15" thickBot="1">
      <c r="A19" s="660" t="s">
        <v>664</v>
      </c>
      <c r="B19" s="369">
        <v>8</v>
      </c>
      <c r="C19" s="370" t="s">
        <v>777</v>
      </c>
      <c r="D19" s="370" t="s">
        <v>778</v>
      </c>
      <c r="E19" s="374" t="s">
        <v>393</v>
      </c>
      <c r="F19" t="str">
        <f t="shared" si="1"/>
        <v>Supervisor / Analista Sr / Técnico</v>
      </c>
    </row>
    <row r="20" spans="1:6" ht="15" thickBot="1">
      <c r="A20" s="661"/>
      <c r="B20" s="375">
        <v>7</v>
      </c>
      <c r="C20" s="370" t="s">
        <v>777</v>
      </c>
      <c r="D20" s="370" t="s">
        <v>779</v>
      </c>
      <c r="E20" s="374" t="s">
        <v>395</v>
      </c>
      <c r="F20" t="str">
        <f t="shared" si="1"/>
        <v>Supervisor / Analista / Técnico</v>
      </c>
    </row>
    <row r="21" spans="1:6" ht="15" thickBot="1">
      <c r="A21" s="662"/>
      <c r="B21" s="373">
        <v>6</v>
      </c>
      <c r="C21" s="370" t="s">
        <v>777</v>
      </c>
      <c r="D21" s="370" t="s">
        <v>779</v>
      </c>
      <c r="E21" s="374" t="s">
        <v>395</v>
      </c>
      <c r="F21" t="str">
        <f t="shared" si="1"/>
        <v>Supervisor / Analista / Técnico</v>
      </c>
    </row>
    <row r="22" spans="1:6" ht="23.4" thickBot="1">
      <c r="A22" s="660" t="s">
        <v>665</v>
      </c>
      <c r="B22" s="369">
        <v>5</v>
      </c>
      <c r="C22" s="371"/>
      <c r="D22" s="370" t="s">
        <v>401</v>
      </c>
      <c r="E22" s="374" t="s">
        <v>401</v>
      </c>
      <c r="F22" t="str">
        <f>+CONCATENATE(D22)</f>
        <v>Auxiliar/Operario Experto</v>
      </c>
    </row>
    <row r="23" spans="1:6" ht="23.4" thickBot="1">
      <c r="A23" s="661"/>
      <c r="B23" s="375">
        <v>4</v>
      </c>
      <c r="C23" s="371"/>
      <c r="D23" s="370" t="s">
        <v>402</v>
      </c>
      <c r="E23" s="374" t="s">
        <v>402</v>
      </c>
      <c r="F23" t="str">
        <f t="shared" ref="F23:F26" si="2">+CONCATENATE(D23)</f>
        <v xml:space="preserve">Axiliar / Operario Experto </v>
      </c>
    </row>
    <row r="24" spans="1:6" ht="23.4" thickBot="1">
      <c r="A24" s="661"/>
      <c r="B24" s="373">
        <v>3</v>
      </c>
      <c r="C24" s="371"/>
      <c r="D24" s="370" t="s">
        <v>780</v>
      </c>
      <c r="E24" s="374" t="s">
        <v>780</v>
      </c>
      <c r="F24" t="str">
        <f t="shared" si="2"/>
        <v>Auxiliar / Operario</v>
      </c>
    </row>
    <row r="25" spans="1:6" ht="23.4" thickBot="1">
      <c r="A25" s="661"/>
      <c r="B25" s="376">
        <v>2</v>
      </c>
      <c r="C25" s="371"/>
      <c r="D25" s="370" t="s">
        <v>781</v>
      </c>
      <c r="E25" s="374" t="s">
        <v>781</v>
      </c>
      <c r="F25" t="str">
        <f t="shared" si="2"/>
        <v>Operario</v>
      </c>
    </row>
    <row r="26" spans="1:6" ht="23.4" thickBot="1">
      <c r="A26" s="662"/>
      <c r="B26" s="376">
        <v>1</v>
      </c>
      <c r="C26" s="371"/>
      <c r="D26" s="370" t="s">
        <v>782</v>
      </c>
      <c r="E26" s="374" t="s">
        <v>782</v>
      </c>
      <c r="F26" t="str">
        <f t="shared" si="2"/>
        <v>Operario / Ayudante</v>
      </c>
    </row>
  </sheetData>
  <mergeCells count="6">
    <mergeCell ref="A22:A26"/>
    <mergeCell ref="A2:A7"/>
    <mergeCell ref="A8:A11"/>
    <mergeCell ref="A12:A14"/>
    <mergeCell ref="A15:A18"/>
    <mergeCell ref="A19:A2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9BA7E-5D05-4544-8FAD-D26CB42467D4}">
  <sheetPr codeName="Hoja37"/>
  <dimension ref="A1:I81"/>
  <sheetViews>
    <sheetView showGridLines="0" topLeftCell="A30" zoomScale="55" zoomScaleNormal="55" workbookViewId="0"/>
  </sheetViews>
  <sheetFormatPr baseColWidth="10" defaultColWidth="11.44140625" defaultRowHeight="16.5" customHeight="1"/>
  <cols>
    <col min="2" max="2" width="0.6640625" customWidth="1"/>
    <col min="3" max="3" width="22.33203125" customWidth="1"/>
    <col min="4" max="4" width="0.6640625" customWidth="1"/>
    <col min="5" max="5" width="56.109375" customWidth="1"/>
    <col min="6" max="6" width="0.6640625" customWidth="1"/>
    <col min="7" max="7" width="30.44140625" customWidth="1"/>
    <col min="8" max="8" width="0.6640625" customWidth="1"/>
    <col min="9" max="9" width="46.44140625" customWidth="1"/>
  </cols>
  <sheetData>
    <row r="1" spans="1:9" ht="16.5" customHeight="1" thickBot="1">
      <c r="A1" s="384">
        <v>20</v>
      </c>
      <c r="B1" s="389"/>
      <c r="C1" s="384" t="s">
        <v>660</v>
      </c>
      <c r="D1" s="389"/>
      <c r="E1" s="384" t="str">
        <f>+VLOOKUP(A1,'Metodologia Nomenclatura'!B:F,5,0)</f>
        <v xml:space="preserve"> Vicepresidente  / Director Región  / Presidente  País</v>
      </c>
      <c r="F1" s="389"/>
      <c r="G1" s="385" t="s">
        <v>239</v>
      </c>
      <c r="H1" s="389"/>
      <c r="I1" s="386" t="s">
        <v>360</v>
      </c>
    </row>
    <row r="2" spans="1:9" ht="16.5" customHeight="1" thickBot="1">
      <c r="A2" s="384">
        <v>18</v>
      </c>
      <c r="B2" s="389"/>
      <c r="C2" s="384" t="s">
        <v>661</v>
      </c>
      <c r="D2" s="389"/>
      <c r="E2" s="384" t="str">
        <f>+VLOOKUP(A2,'Metodologia Nomenclatura'!B:F,5,0)</f>
        <v>Director / Director Región / Director País</v>
      </c>
      <c r="F2" s="389"/>
      <c r="G2" s="387" t="s">
        <v>783</v>
      </c>
      <c r="H2" s="389"/>
      <c r="I2" s="388" t="s">
        <v>784</v>
      </c>
    </row>
    <row r="3" spans="1:9" ht="16.5" customHeight="1" thickBot="1">
      <c r="A3" s="384">
        <v>18</v>
      </c>
      <c r="B3" s="389"/>
      <c r="C3" s="384" t="s">
        <v>661</v>
      </c>
      <c r="D3" s="389"/>
      <c r="E3" s="384" t="str">
        <f>+VLOOKUP(A3,'Metodologia Nomenclatura'!B:F,5,0)</f>
        <v>Director / Director Región / Director País</v>
      </c>
      <c r="F3" s="389"/>
      <c r="G3" s="387" t="s">
        <v>785</v>
      </c>
      <c r="H3" s="389"/>
      <c r="I3" s="388" t="s">
        <v>786</v>
      </c>
    </row>
    <row r="4" spans="1:9" ht="16.5" customHeight="1" thickBot="1">
      <c r="A4" s="384">
        <v>16</v>
      </c>
      <c r="B4" s="389"/>
      <c r="C4" s="384" t="s">
        <v>661</v>
      </c>
      <c r="D4" s="389"/>
      <c r="E4" s="384" t="str">
        <f>+VLOOKUP(A4,'Metodologia Nomenclatura'!B:F,5,0)</f>
        <v>Director / Director Región / Director País</v>
      </c>
      <c r="F4" s="389"/>
      <c r="G4" s="385" t="s">
        <v>787</v>
      </c>
      <c r="H4" s="389"/>
      <c r="I4" s="386" t="s">
        <v>788</v>
      </c>
    </row>
    <row r="5" spans="1:9" ht="16.5" customHeight="1" thickBot="1">
      <c r="A5" s="384">
        <v>15</v>
      </c>
      <c r="B5" s="389"/>
      <c r="C5" s="384" t="s">
        <v>662</v>
      </c>
      <c r="D5" s="389"/>
      <c r="E5" s="384" t="str">
        <f>+VLOOKUP(A5,'Metodologia Nomenclatura'!B:F,5,0)</f>
        <v>Gerente Sr / Gerente Región / Gerente País / Especialista Sr</v>
      </c>
      <c r="F5" s="389"/>
      <c r="G5" s="387" t="s">
        <v>783</v>
      </c>
      <c r="H5" s="389"/>
      <c r="I5" s="388" t="s">
        <v>789</v>
      </c>
    </row>
    <row r="6" spans="1:9" ht="16.5" customHeight="1" thickBot="1">
      <c r="A6" s="384">
        <v>15</v>
      </c>
      <c r="B6" s="389"/>
      <c r="C6" s="384" t="s">
        <v>662</v>
      </c>
      <c r="D6" s="389"/>
      <c r="E6" s="384" t="str">
        <f>+VLOOKUP(A6,'Metodologia Nomenclatura'!B:F,5,0)</f>
        <v>Gerente Sr / Gerente Región / Gerente País / Especialista Sr</v>
      </c>
      <c r="F6" s="389"/>
      <c r="G6" s="387" t="s">
        <v>783</v>
      </c>
      <c r="H6" s="389"/>
      <c r="I6" s="388" t="s">
        <v>790</v>
      </c>
    </row>
    <row r="7" spans="1:9" ht="16.5" customHeight="1" thickBot="1">
      <c r="A7" s="384">
        <v>15</v>
      </c>
      <c r="B7" s="389"/>
      <c r="C7" s="384" t="s">
        <v>662</v>
      </c>
      <c r="D7" s="389"/>
      <c r="E7" s="384" t="str">
        <f>+VLOOKUP(A7,'Metodologia Nomenclatura'!B:F,5,0)</f>
        <v>Gerente Sr / Gerente Región / Gerente País / Especialista Sr</v>
      </c>
      <c r="F7" s="389"/>
      <c r="G7" s="387" t="s">
        <v>783</v>
      </c>
      <c r="H7" s="389"/>
      <c r="I7" s="388" t="s">
        <v>791</v>
      </c>
    </row>
    <row r="8" spans="1:9" ht="16.5" customHeight="1" thickBot="1">
      <c r="A8" s="384">
        <v>15</v>
      </c>
      <c r="B8" s="389"/>
      <c r="C8" s="384" t="s">
        <v>662</v>
      </c>
      <c r="D8" s="389"/>
      <c r="E8" s="384" t="str">
        <f>+VLOOKUP(A8,'Metodologia Nomenclatura'!B:F,5,0)</f>
        <v>Gerente Sr / Gerente Región / Gerente País / Especialista Sr</v>
      </c>
      <c r="F8" s="389"/>
      <c r="G8" s="387" t="s">
        <v>785</v>
      </c>
      <c r="H8" s="389"/>
      <c r="I8" s="388" t="s">
        <v>792</v>
      </c>
    </row>
    <row r="9" spans="1:9" ht="16.5" customHeight="1" thickBot="1">
      <c r="A9" s="384">
        <v>15</v>
      </c>
      <c r="B9" s="389"/>
      <c r="C9" s="384" t="s">
        <v>662</v>
      </c>
      <c r="D9" s="389"/>
      <c r="E9" s="384" t="str">
        <f>+VLOOKUP(A9,'Metodologia Nomenclatura'!B:F,5,0)</f>
        <v>Gerente Sr / Gerente Región / Gerente País / Especialista Sr</v>
      </c>
      <c r="F9" s="389"/>
      <c r="G9" s="387" t="s">
        <v>239</v>
      </c>
      <c r="H9" s="389"/>
      <c r="I9" s="388" t="s">
        <v>793</v>
      </c>
    </row>
    <row r="10" spans="1:9" ht="16.5" customHeight="1" thickBot="1">
      <c r="A10" s="384">
        <v>15</v>
      </c>
      <c r="B10" s="389"/>
      <c r="C10" s="384" t="s">
        <v>662</v>
      </c>
      <c r="D10" s="389"/>
      <c r="E10" s="384" t="str">
        <f>+VLOOKUP(A10,'Metodologia Nomenclatura'!B:F,5,0)</f>
        <v>Gerente Sr / Gerente Región / Gerente País / Especialista Sr</v>
      </c>
      <c r="F10" s="389"/>
      <c r="G10" s="387" t="s">
        <v>239</v>
      </c>
      <c r="H10" s="389"/>
      <c r="I10" s="388" t="s">
        <v>794</v>
      </c>
    </row>
    <row r="11" spans="1:9" ht="16.5" customHeight="1" thickBot="1">
      <c r="A11" s="384">
        <v>15</v>
      </c>
      <c r="B11" s="389"/>
      <c r="C11" s="384" t="s">
        <v>662</v>
      </c>
      <c r="D11" s="389"/>
      <c r="E11" s="384" t="str">
        <f>+VLOOKUP(A11,'Metodologia Nomenclatura'!B:F,5,0)</f>
        <v>Gerente Sr / Gerente Región / Gerente País / Especialista Sr</v>
      </c>
      <c r="F11" s="389"/>
      <c r="G11" s="387" t="s">
        <v>783</v>
      </c>
      <c r="H11" s="389"/>
      <c r="I11" s="388" t="s">
        <v>795</v>
      </c>
    </row>
    <row r="12" spans="1:9" ht="16.5" customHeight="1" thickBot="1">
      <c r="A12" s="384">
        <v>14</v>
      </c>
      <c r="B12" s="389"/>
      <c r="C12" s="384" t="s">
        <v>662</v>
      </c>
      <c r="D12" s="389"/>
      <c r="E12" s="384" t="str">
        <f>+VLOOKUP(A12,'Metodologia Nomenclatura'!B:F,5,0)</f>
        <v>Gerente Sr / Gerente Región / Gerente País / Especialista Sr</v>
      </c>
      <c r="F12" s="389"/>
      <c r="G12" s="385" t="s">
        <v>785</v>
      </c>
      <c r="H12" s="389"/>
      <c r="I12" s="386" t="s">
        <v>796</v>
      </c>
    </row>
    <row r="13" spans="1:9" ht="16.5" customHeight="1" thickBot="1">
      <c r="A13" s="384">
        <v>14</v>
      </c>
      <c r="B13" s="389"/>
      <c r="C13" s="384" t="s">
        <v>662</v>
      </c>
      <c r="D13" s="389"/>
      <c r="E13" s="384" t="str">
        <f>+VLOOKUP(A13,'Metodologia Nomenclatura'!B:F,5,0)</f>
        <v>Gerente Sr / Gerente Región / Gerente País / Especialista Sr</v>
      </c>
      <c r="F13" s="389"/>
      <c r="G13" s="385" t="s">
        <v>787</v>
      </c>
      <c r="H13" s="389"/>
      <c r="I13" s="386" t="s">
        <v>797</v>
      </c>
    </row>
    <row r="14" spans="1:9" ht="16.5" customHeight="1" thickBot="1">
      <c r="A14" s="384">
        <v>14</v>
      </c>
      <c r="B14" s="389"/>
      <c r="C14" s="384" t="s">
        <v>662</v>
      </c>
      <c r="D14" s="389"/>
      <c r="E14" s="384" t="str">
        <f>+VLOOKUP(A14,'Metodologia Nomenclatura'!B:F,5,0)</f>
        <v>Gerente Sr / Gerente Región / Gerente País / Especialista Sr</v>
      </c>
      <c r="F14" s="389"/>
      <c r="G14" s="385" t="s">
        <v>785</v>
      </c>
      <c r="H14" s="389"/>
      <c r="I14" s="386" t="s">
        <v>798</v>
      </c>
    </row>
    <row r="15" spans="1:9" ht="16.5" customHeight="1" thickBot="1">
      <c r="A15" s="384">
        <v>14</v>
      </c>
      <c r="C15" s="384" t="s">
        <v>662</v>
      </c>
      <c r="E15" s="384" t="str">
        <f>+VLOOKUP(A15,'Metodologia Nomenclatura'!B:F,5,0)</f>
        <v>Gerente Sr / Gerente Región / Gerente País / Especialista Sr</v>
      </c>
      <c r="G15" s="385" t="s">
        <v>783</v>
      </c>
      <c r="I15" s="386" t="s">
        <v>799</v>
      </c>
    </row>
    <row r="16" spans="1:9" ht="16.5" customHeight="1" thickBot="1">
      <c r="A16" s="384">
        <v>14</v>
      </c>
      <c r="C16" s="384" t="s">
        <v>662</v>
      </c>
      <c r="E16" s="384" t="str">
        <f>+VLOOKUP(A16,'Metodologia Nomenclatura'!B:F,5,0)</f>
        <v>Gerente Sr / Gerente Región / Gerente País / Especialista Sr</v>
      </c>
      <c r="G16" s="385" t="s">
        <v>787</v>
      </c>
      <c r="I16" s="386" t="s">
        <v>800</v>
      </c>
    </row>
    <row r="17" spans="1:9" ht="16.5" customHeight="1" thickBot="1">
      <c r="A17" s="384">
        <v>14</v>
      </c>
      <c r="C17" s="384" t="s">
        <v>662</v>
      </c>
      <c r="E17" s="384" t="str">
        <f>+VLOOKUP(A17,'Metodologia Nomenclatura'!B:F,5,0)</f>
        <v>Gerente Sr / Gerente Región / Gerente País / Especialista Sr</v>
      </c>
      <c r="G17" s="385" t="s">
        <v>785</v>
      </c>
      <c r="I17" s="386" t="s">
        <v>801</v>
      </c>
    </row>
    <row r="18" spans="1:9" ht="16.5" customHeight="1" thickBot="1">
      <c r="A18" s="384">
        <v>14</v>
      </c>
      <c r="C18" s="384" t="s">
        <v>662</v>
      </c>
      <c r="E18" s="384" t="str">
        <f>+VLOOKUP(A18,'Metodologia Nomenclatura'!B:F,5,0)</f>
        <v>Gerente Sr / Gerente Región / Gerente País / Especialista Sr</v>
      </c>
      <c r="G18" s="385" t="s">
        <v>785</v>
      </c>
      <c r="I18" s="386" t="s">
        <v>802</v>
      </c>
    </row>
    <row r="19" spans="1:9" ht="16.5" customHeight="1" thickBot="1">
      <c r="A19" s="384">
        <v>14</v>
      </c>
      <c r="C19" s="384" t="s">
        <v>662</v>
      </c>
      <c r="E19" s="384" t="str">
        <f>+VLOOKUP(A19,'Metodologia Nomenclatura'!B:F,5,0)</f>
        <v>Gerente Sr / Gerente Región / Gerente País / Especialista Sr</v>
      </c>
      <c r="G19" s="385" t="s">
        <v>785</v>
      </c>
      <c r="I19" s="386" t="s">
        <v>803</v>
      </c>
    </row>
    <row r="20" spans="1:9" ht="16.5" customHeight="1" thickBot="1">
      <c r="A20" s="384">
        <v>13</v>
      </c>
      <c r="C20" s="384" t="s">
        <v>662</v>
      </c>
      <c r="E20" s="384" t="str">
        <f>+VLOOKUP(A20,'Metodologia Nomenclatura'!B:F,5,0)</f>
        <v>Gerente / Especialista Sr</v>
      </c>
      <c r="G20" s="387" t="s">
        <v>785</v>
      </c>
      <c r="I20" s="388" t="s">
        <v>804</v>
      </c>
    </row>
    <row r="21" spans="1:9" ht="16.5" customHeight="1" thickBot="1">
      <c r="A21" s="384">
        <v>13</v>
      </c>
      <c r="C21" s="384" t="s">
        <v>662</v>
      </c>
      <c r="E21" s="384" t="str">
        <f>+VLOOKUP(A21,'Metodologia Nomenclatura'!B:F,5,0)</f>
        <v>Gerente / Especialista Sr</v>
      </c>
      <c r="G21" s="387" t="s">
        <v>785</v>
      </c>
      <c r="I21" s="388" t="s">
        <v>805</v>
      </c>
    </row>
    <row r="22" spans="1:9" ht="16.5" customHeight="1" thickBot="1">
      <c r="A22" s="384">
        <v>13</v>
      </c>
      <c r="C22" s="384" t="s">
        <v>662</v>
      </c>
      <c r="E22" s="384" t="str">
        <f>+VLOOKUP(A22,'Metodologia Nomenclatura'!B:F,5,0)</f>
        <v>Gerente / Especialista Sr</v>
      </c>
      <c r="G22" s="387" t="s">
        <v>785</v>
      </c>
      <c r="I22" s="388" t="s">
        <v>806</v>
      </c>
    </row>
    <row r="23" spans="1:9" ht="16.5" customHeight="1" thickBot="1">
      <c r="A23" s="384">
        <v>13</v>
      </c>
      <c r="C23" s="384" t="s">
        <v>662</v>
      </c>
      <c r="E23" s="384" t="str">
        <f>+VLOOKUP(A23,'Metodologia Nomenclatura'!B:F,5,0)</f>
        <v>Gerente / Especialista Sr</v>
      </c>
      <c r="G23" s="387" t="s">
        <v>785</v>
      </c>
      <c r="I23" s="388" t="s">
        <v>807</v>
      </c>
    </row>
    <row r="24" spans="1:9" ht="16.5" customHeight="1" thickBot="1">
      <c r="A24" s="384">
        <v>12</v>
      </c>
      <c r="C24" s="384" t="s">
        <v>663</v>
      </c>
      <c r="E24" s="384" t="str">
        <f>+VLOOKUP(A24,'Metodologia Nomenclatura'!B:F,5,0)</f>
        <v>Coordinador Sr. / Especialista</v>
      </c>
      <c r="G24" s="385" t="s">
        <v>787</v>
      </c>
      <c r="I24" s="386" t="s">
        <v>808</v>
      </c>
    </row>
    <row r="25" spans="1:9" ht="16.5" customHeight="1" thickBot="1">
      <c r="A25" s="384">
        <v>12</v>
      </c>
      <c r="C25" s="384" t="s">
        <v>663</v>
      </c>
      <c r="E25" s="384" t="str">
        <f>+VLOOKUP(A25,'Metodologia Nomenclatura'!B:F,5,0)</f>
        <v>Coordinador Sr. / Especialista</v>
      </c>
      <c r="G25" s="385" t="s">
        <v>785</v>
      </c>
      <c r="I25" s="386" t="s">
        <v>809</v>
      </c>
    </row>
    <row r="26" spans="1:9" ht="16.5" customHeight="1" thickBot="1">
      <c r="A26" s="384">
        <v>12</v>
      </c>
      <c r="C26" s="384" t="s">
        <v>663</v>
      </c>
      <c r="E26" s="384" t="str">
        <f>+VLOOKUP(A26,'Metodologia Nomenclatura'!B:F,5,0)</f>
        <v>Coordinador Sr. / Especialista</v>
      </c>
      <c r="G26" s="385" t="s">
        <v>783</v>
      </c>
      <c r="I26" s="386" t="s">
        <v>810</v>
      </c>
    </row>
    <row r="27" spans="1:9" ht="16.5" customHeight="1" thickBot="1">
      <c r="A27" s="384">
        <v>12</v>
      </c>
      <c r="C27" s="384" t="s">
        <v>663</v>
      </c>
      <c r="E27" s="384" t="str">
        <f>+VLOOKUP(A27,'Metodologia Nomenclatura'!B:F,5,0)</f>
        <v>Coordinador Sr. / Especialista</v>
      </c>
      <c r="G27" s="385" t="s">
        <v>783</v>
      </c>
      <c r="I27" s="386" t="s">
        <v>811</v>
      </c>
    </row>
    <row r="28" spans="1:9" ht="16.5" customHeight="1" thickBot="1">
      <c r="A28" s="384">
        <v>12</v>
      </c>
      <c r="C28" s="384" t="s">
        <v>663</v>
      </c>
      <c r="E28" s="384" t="str">
        <f>+VLOOKUP(A28,'Metodologia Nomenclatura'!B:F,5,0)</f>
        <v>Coordinador Sr. / Especialista</v>
      </c>
      <c r="G28" s="385" t="s">
        <v>783</v>
      </c>
      <c r="I28" s="386" t="s">
        <v>812</v>
      </c>
    </row>
    <row r="29" spans="1:9" ht="16.5" customHeight="1" thickBot="1">
      <c r="A29" s="384">
        <v>12</v>
      </c>
      <c r="C29" s="384" t="s">
        <v>663</v>
      </c>
      <c r="E29" s="384" t="str">
        <f>+VLOOKUP(A29,'Metodologia Nomenclatura'!B:F,5,0)</f>
        <v>Coordinador Sr. / Especialista</v>
      </c>
      <c r="G29" s="385" t="s">
        <v>787</v>
      </c>
      <c r="I29" s="386" t="s">
        <v>813</v>
      </c>
    </row>
    <row r="30" spans="1:9" ht="16.5" customHeight="1" thickBot="1">
      <c r="A30" s="384">
        <v>12</v>
      </c>
      <c r="C30" s="384" t="s">
        <v>663</v>
      </c>
      <c r="E30" s="384" t="str">
        <f>+VLOOKUP(A30,'Metodologia Nomenclatura'!B:F,5,0)</f>
        <v>Coordinador Sr. / Especialista</v>
      </c>
      <c r="G30" s="385" t="s">
        <v>814</v>
      </c>
      <c r="I30" s="386" t="s">
        <v>815</v>
      </c>
    </row>
    <row r="31" spans="1:9" ht="16.5" customHeight="1" thickBot="1">
      <c r="A31" s="384">
        <v>12</v>
      </c>
      <c r="C31" s="384" t="s">
        <v>663</v>
      </c>
      <c r="E31" s="384" t="str">
        <f>+VLOOKUP(A31,'Metodologia Nomenclatura'!B:F,5,0)</f>
        <v>Coordinador Sr. / Especialista</v>
      </c>
      <c r="G31" s="385" t="s">
        <v>785</v>
      </c>
      <c r="I31" s="386" t="s">
        <v>816</v>
      </c>
    </row>
    <row r="32" spans="1:9" ht="16.5" customHeight="1" thickBot="1">
      <c r="A32" s="384">
        <v>12</v>
      </c>
      <c r="C32" s="384" t="s">
        <v>663</v>
      </c>
      <c r="E32" s="384" t="str">
        <f>+VLOOKUP(A32,'Metodologia Nomenclatura'!B:F,5,0)</f>
        <v>Coordinador Sr. / Especialista</v>
      </c>
      <c r="G32" s="385" t="s">
        <v>787</v>
      </c>
      <c r="I32" s="386" t="s">
        <v>817</v>
      </c>
    </row>
    <row r="33" spans="1:9" ht="16.5" customHeight="1" thickBot="1">
      <c r="A33" s="384">
        <v>12</v>
      </c>
      <c r="C33" s="384" t="s">
        <v>663</v>
      </c>
      <c r="E33" s="384" t="str">
        <f>+VLOOKUP(A33,'Metodologia Nomenclatura'!B:F,5,0)</f>
        <v>Coordinador Sr. / Especialista</v>
      </c>
      <c r="G33" s="385" t="s">
        <v>783</v>
      </c>
      <c r="I33" s="386" t="s">
        <v>818</v>
      </c>
    </row>
    <row r="34" spans="1:9" ht="16.5" customHeight="1" thickBot="1">
      <c r="A34" s="384">
        <v>12</v>
      </c>
      <c r="C34" s="384" t="s">
        <v>663</v>
      </c>
      <c r="E34" s="384" t="str">
        <f>+VLOOKUP(A34,'Metodologia Nomenclatura'!B:F,5,0)</f>
        <v>Coordinador Sr. / Especialista</v>
      </c>
      <c r="G34" s="385" t="s">
        <v>785</v>
      </c>
      <c r="I34" s="386" t="s">
        <v>819</v>
      </c>
    </row>
    <row r="35" spans="1:9" ht="16.5" customHeight="1" thickBot="1">
      <c r="A35" s="384">
        <v>11</v>
      </c>
      <c r="C35" s="384" t="s">
        <v>663</v>
      </c>
      <c r="E35" s="384" t="str">
        <f>+VLOOKUP(A35,'Metodologia Nomenclatura'!B:F,5,0)</f>
        <v>Coordinador / Especialista</v>
      </c>
      <c r="G35" s="387" t="s">
        <v>787</v>
      </c>
      <c r="I35" s="388" t="s">
        <v>820</v>
      </c>
    </row>
    <row r="36" spans="1:9" ht="16.5" customHeight="1" thickBot="1">
      <c r="A36" s="384">
        <v>11</v>
      </c>
      <c r="C36" s="384" t="s">
        <v>663</v>
      </c>
      <c r="E36" s="384" t="str">
        <f>+VLOOKUP(A36,'Metodologia Nomenclatura'!B:F,5,0)</f>
        <v>Coordinador / Especialista</v>
      </c>
      <c r="G36" s="387" t="s">
        <v>785</v>
      </c>
      <c r="I36" s="388" t="s">
        <v>821</v>
      </c>
    </row>
    <row r="37" spans="1:9" ht="16.5" customHeight="1" thickBot="1">
      <c r="A37" s="384">
        <v>11</v>
      </c>
      <c r="C37" s="384" t="s">
        <v>663</v>
      </c>
      <c r="E37" s="384" t="str">
        <f>+VLOOKUP(A37,'Metodologia Nomenclatura'!B:F,5,0)</f>
        <v>Coordinador / Especialista</v>
      </c>
      <c r="G37" s="387" t="s">
        <v>785</v>
      </c>
      <c r="I37" s="388" t="s">
        <v>822</v>
      </c>
    </row>
    <row r="38" spans="1:9" ht="16.5" customHeight="1" thickBot="1">
      <c r="A38" s="384">
        <v>11</v>
      </c>
      <c r="C38" s="384" t="s">
        <v>663</v>
      </c>
      <c r="E38" s="384" t="str">
        <f>+VLOOKUP(A38,'Metodologia Nomenclatura'!B:F,5,0)</f>
        <v>Coordinador / Especialista</v>
      </c>
      <c r="G38" s="387" t="s">
        <v>785</v>
      </c>
      <c r="I38" s="388" t="s">
        <v>823</v>
      </c>
    </row>
    <row r="39" spans="1:9" ht="16.5" customHeight="1" thickBot="1">
      <c r="A39" s="384">
        <v>11</v>
      </c>
      <c r="C39" s="384" t="s">
        <v>663</v>
      </c>
      <c r="E39" s="384" t="str">
        <f>+VLOOKUP(A39,'Metodologia Nomenclatura'!B:F,5,0)</f>
        <v>Coordinador / Especialista</v>
      </c>
      <c r="G39" s="387" t="s">
        <v>814</v>
      </c>
      <c r="I39" s="388" t="s">
        <v>824</v>
      </c>
    </row>
    <row r="40" spans="1:9" ht="16.5" customHeight="1" thickBot="1">
      <c r="A40" s="384">
        <v>11</v>
      </c>
      <c r="C40" s="384" t="s">
        <v>663</v>
      </c>
      <c r="E40" s="384" t="str">
        <f>+VLOOKUP(A40,'Metodologia Nomenclatura'!B:F,5,0)</f>
        <v>Coordinador / Especialista</v>
      </c>
      <c r="G40" s="387" t="s">
        <v>785</v>
      </c>
      <c r="I40" s="388" t="s">
        <v>825</v>
      </c>
    </row>
    <row r="41" spans="1:9" ht="16.5" customHeight="1" thickBot="1">
      <c r="A41" s="384">
        <v>11</v>
      </c>
      <c r="C41" s="384" t="s">
        <v>663</v>
      </c>
      <c r="E41" s="384" t="str">
        <f>+VLOOKUP(A41,'Metodologia Nomenclatura'!B:F,5,0)</f>
        <v>Coordinador / Especialista</v>
      </c>
      <c r="G41" s="387" t="s">
        <v>785</v>
      </c>
      <c r="I41" s="388" t="s">
        <v>826</v>
      </c>
    </row>
    <row r="42" spans="1:9" ht="16.5" customHeight="1" thickBot="1">
      <c r="A42" s="384">
        <v>11</v>
      </c>
      <c r="C42" s="384" t="s">
        <v>663</v>
      </c>
      <c r="E42" s="384" t="str">
        <f>+VLOOKUP(A42,'Metodologia Nomenclatura'!B:F,5,0)</f>
        <v>Coordinador / Especialista</v>
      </c>
      <c r="G42" s="387" t="s">
        <v>785</v>
      </c>
      <c r="I42" s="388" t="s">
        <v>827</v>
      </c>
    </row>
    <row r="43" spans="1:9" ht="16.5" customHeight="1" thickBot="1">
      <c r="A43" s="384">
        <v>11</v>
      </c>
      <c r="C43" s="384" t="s">
        <v>663</v>
      </c>
      <c r="E43" s="384" t="str">
        <f>+VLOOKUP(A43,'Metodologia Nomenclatura'!B:F,5,0)</f>
        <v>Coordinador / Especialista</v>
      </c>
      <c r="G43" s="387" t="s">
        <v>785</v>
      </c>
      <c r="I43" s="388" t="s">
        <v>828</v>
      </c>
    </row>
    <row r="44" spans="1:9" ht="16.5" customHeight="1" thickBot="1">
      <c r="A44" s="384">
        <v>11</v>
      </c>
      <c r="C44" s="384" t="s">
        <v>663</v>
      </c>
      <c r="E44" s="384" t="str">
        <f>+VLOOKUP(A44,'Metodologia Nomenclatura'!B:F,5,0)</f>
        <v>Coordinador / Especialista</v>
      </c>
      <c r="G44" s="387" t="s">
        <v>785</v>
      </c>
      <c r="I44" s="388" t="s">
        <v>829</v>
      </c>
    </row>
    <row r="45" spans="1:9" ht="16.5" customHeight="1" thickBot="1">
      <c r="A45" s="384">
        <v>11</v>
      </c>
      <c r="C45" s="384" t="s">
        <v>663</v>
      </c>
      <c r="E45" s="384" t="str">
        <f>+VLOOKUP(A45,'Metodologia Nomenclatura'!B:F,5,0)</f>
        <v>Coordinador / Especialista</v>
      </c>
      <c r="G45" s="387" t="s">
        <v>785</v>
      </c>
      <c r="I45" s="388" t="s">
        <v>830</v>
      </c>
    </row>
    <row r="46" spans="1:9" ht="16.5" customHeight="1" thickBot="1">
      <c r="A46" s="384">
        <v>11</v>
      </c>
      <c r="C46" s="384" t="s">
        <v>663</v>
      </c>
      <c r="E46" s="384" t="str">
        <f>+VLOOKUP(A46,'Metodologia Nomenclatura'!B:F,5,0)</f>
        <v>Coordinador / Especialista</v>
      </c>
      <c r="G46" s="387" t="s">
        <v>787</v>
      </c>
      <c r="I46" s="388" t="s">
        <v>831</v>
      </c>
    </row>
    <row r="47" spans="1:9" ht="16.5" customHeight="1" thickBot="1">
      <c r="A47" s="384">
        <v>10</v>
      </c>
      <c r="C47" s="384" t="s">
        <v>663</v>
      </c>
      <c r="E47" s="384" t="str">
        <f>+VLOOKUP(A47,'Metodologia Nomenclatura'!B:F,5,0)</f>
        <v>Coordinador / Analista Sr</v>
      </c>
      <c r="G47" s="385" t="s">
        <v>783</v>
      </c>
      <c r="I47" s="386" t="s">
        <v>832</v>
      </c>
    </row>
    <row r="48" spans="1:9" ht="16.5" customHeight="1" thickBot="1">
      <c r="A48" s="384">
        <v>10</v>
      </c>
      <c r="C48" s="384" t="s">
        <v>663</v>
      </c>
      <c r="E48" s="384" t="str">
        <f>+VLOOKUP(A48,'Metodologia Nomenclatura'!B:F,5,0)</f>
        <v>Coordinador / Analista Sr</v>
      </c>
      <c r="G48" s="385" t="s">
        <v>783</v>
      </c>
      <c r="I48" s="386" t="s">
        <v>833</v>
      </c>
    </row>
    <row r="49" spans="1:9" ht="16.5" customHeight="1" thickBot="1">
      <c r="A49" s="384">
        <v>9</v>
      </c>
      <c r="C49" s="384" t="s">
        <v>663</v>
      </c>
      <c r="E49" s="384" t="str">
        <f>+VLOOKUP(A49,'Metodologia Nomenclatura'!B:F,5,0)</f>
        <v>Coordinador Jr. / Analista Sr</v>
      </c>
      <c r="G49" s="387" t="s">
        <v>787</v>
      </c>
      <c r="I49" s="388" t="s">
        <v>834</v>
      </c>
    </row>
    <row r="50" spans="1:9" ht="16.5" customHeight="1" thickBot="1">
      <c r="A50" s="384">
        <v>9</v>
      </c>
      <c r="C50" s="384" t="s">
        <v>663</v>
      </c>
      <c r="E50" s="384" t="str">
        <f>+VLOOKUP(A50,'Metodologia Nomenclatura'!B:F,5,0)</f>
        <v>Coordinador Jr. / Analista Sr</v>
      </c>
      <c r="G50" s="387" t="s">
        <v>785</v>
      </c>
      <c r="I50" s="388" t="s">
        <v>835</v>
      </c>
    </row>
    <row r="51" spans="1:9" ht="16.5" customHeight="1" thickBot="1">
      <c r="A51" s="384">
        <v>9</v>
      </c>
      <c r="C51" s="384" t="s">
        <v>663</v>
      </c>
      <c r="E51" s="384" t="str">
        <f>+VLOOKUP(A51,'Metodologia Nomenclatura'!B:F,5,0)</f>
        <v>Coordinador Jr. / Analista Sr</v>
      </c>
      <c r="G51" s="387" t="s">
        <v>787</v>
      </c>
      <c r="I51" s="388" t="s">
        <v>836</v>
      </c>
    </row>
    <row r="52" spans="1:9" ht="16.5" customHeight="1" thickBot="1">
      <c r="A52" s="384">
        <v>9</v>
      </c>
      <c r="C52" s="384" t="s">
        <v>663</v>
      </c>
      <c r="E52" s="384" t="str">
        <f>+VLOOKUP(A52,'Metodologia Nomenclatura'!B:F,5,0)</f>
        <v>Coordinador Jr. / Analista Sr</v>
      </c>
      <c r="G52" s="387" t="s">
        <v>787</v>
      </c>
      <c r="I52" s="388" t="s">
        <v>837</v>
      </c>
    </row>
    <row r="53" spans="1:9" ht="16.5" customHeight="1" thickBot="1">
      <c r="A53" s="384">
        <v>9</v>
      </c>
      <c r="C53" s="384" t="s">
        <v>663</v>
      </c>
      <c r="E53" s="384" t="str">
        <f>+VLOOKUP(A53,'Metodologia Nomenclatura'!B:F,5,0)</f>
        <v>Coordinador Jr. / Analista Sr</v>
      </c>
      <c r="G53" s="387" t="s">
        <v>785</v>
      </c>
      <c r="I53" s="388" t="s">
        <v>838</v>
      </c>
    </row>
    <row r="54" spans="1:9" ht="16.5" customHeight="1" thickBot="1">
      <c r="A54" s="384">
        <v>9</v>
      </c>
      <c r="C54" s="384" t="s">
        <v>663</v>
      </c>
      <c r="E54" s="384" t="str">
        <f>+VLOOKUP(A54,'Metodologia Nomenclatura'!B:F,5,0)</f>
        <v>Coordinador Jr. / Analista Sr</v>
      </c>
      <c r="G54" s="387" t="s">
        <v>785</v>
      </c>
      <c r="I54" s="388" t="s">
        <v>839</v>
      </c>
    </row>
    <row r="55" spans="1:9" ht="16.5" customHeight="1" thickBot="1">
      <c r="A55" s="384">
        <v>8</v>
      </c>
      <c r="C55" s="384" t="s">
        <v>664</v>
      </c>
      <c r="E55" s="384" t="str">
        <f>+VLOOKUP(A55,'Metodologia Nomenclatura'!B:F,5,0)</f>
        <v>Supervisor / Analista Sr / Técnico</v>
      </c>
      <c r="G55" s="385" t="s">
        <v>785</v>
      </c>
      <c r="I55" s="386" t="s">
        <v>840</v>
      </c>
    </row>
    <row r="56" spans="1:9" ht="16.5" customHeight="1" thickBot="1">
      <c r="A56" s="384">
        <v>8</v>
      </c>
      <c r="C56" s="384" t="s">
        <v>664</v>
      </c>
      <c r="E56" s="384" t="str">
        <f>+VLOOKUP(A56,'Metodologia Nomenclatura'!B:F,5,0)</f>
        <v>Supervisor / Analista Sr / Técnico</v>
      </c>
      <c r="G56" s="385" t="s">
        <v>785</v>
      </c>
      <c r="I56" s="386" t="s">
        <v>841</v>
      </c>
    </row>
    <row r="57" spans="1:9" ht="16.5" customHeight="1" thickBot="1">
      <c r="A57" s="384">
        <v>8</v>
      </c>
      <c r="C57" s="384" t="s">
        <v>664</v>
      </c>
      <c r="E57" s="384" t="str">
        <f>+VLOOKUP(A57,'Metodologia Nomenclatura'!B:F,5,0)</f>
        <v>Supervisor / Analista Sr / Técnico</v>
      </c>
      <c r="G57" s="385" t="s">
        <v>814</v>
      </c>
      <c r="I57" s="386" t="s">
        <v>842</v>
      </c>
    </row>
    <row r="58" spans="1:9" ht="16.5" customHeight="1" thickBot="1">
      <c r="A58" s="384">
        <v>8</v>
      </c>
      <c r="C58" s="384" t="s">
        <v>664</v>
      </c>
      <c r="E58" s="384" t="str">
        <f>+VLOOKUP(A58,'Metodologia Nomenclatura'!B:F,5,0)</f>
        <v>Supervisor / Analista Sr / Técnico</v>
      </c>
      <c r="G58" s="385" t="s">
        <v>783</v>
      </c>
      <c r="I58" s="386" t="s">
        <v>843</v>
      </c>
    </row>
    <row r="59" spans="1:9" ht="16.5" customHeight="1" thickBot="1">
      <c r="A59" s="384">
        <v>8</v>
      </c>
      <c r="C59" s="384" t="s">
        <v>664</v>
      </c>
      <c r="E59" s="384" t="str">
        <f>+VLOOKUP(A59,'Metodologia Nomenclatura'!B:F,5,0)</f>
        <v>Supervisor / Analista Sr / Técnico</v>
      </c>
      <c r="G59" s="385" t="s">
        <v>785</v>
      </c>
      <c r="I59" s="386" t="s">
        <v>844</v>
      </c>
    </row>
    <row r="60" spans="1:9" ht="16.5" customHeight="1" thickBot="1">
      <c r="A60" s="384">
        <v>8</v>
      </c>
      <c r="C60" s="384" t="s">
        <v>664</v>
      </c>
      <c r="E60" s="384" t="str">
        <f>+VLOOKUP(A60,'Metodologia Nomenclatura'!B:F,5,0)</f>
        <v>Supervisor / Analista Sr / Técnico</v>
      </c>
      <c r="G60" s="385" t="s">
        <v>785</v>
      </c>
      <c r="I60" s="386" t="s">
        <v>845</v>
      </c>
    </row>
    <row r="61" spans="1:9" ht="16.5" customHeight="1" thickBot="1">
      <c r="A61" s="384">
        <v>8</v>
      </c>
      <c r="C61" s="384" t="s">
        <v>664</v>
      </c>
      <c r="E61" s="384" t="str">
        <f>+VLOOKUP(A61,'Metodologia Nomenclatura'!B:F,5,0)</f>
        <v>Supervisor / Analista Sr / Técnico</v>
      </c>
      <c r="G61" s="385" t="s">
        <v>785</v>
      </c>
      <c r="I61" s="386" t="s">
        <v>846</v>
      </c>
    </row>
    <row r="62" spans="1:9" ht="16.5" customHeight="1" thickBot="1">
      <c r="A62" s="384">
        <v>7</v>
      </c>
      <c r="C62" s="384" t="s">
        <v>664</v>
      </c>
      <c r="E62" s="384" t="str">
        <f>+VLOOKUP(A62,'Metodologia Nomenclatura'!B:F,5,0)</f>
        <v>Supervisor / Analista / Técnico</v>
      </c>
      <c r="G62" s="387" t="s">
        <v>787</v>
      </c>
      <c r="I62" s="388" t="s">
        <v>847</v>
      </c>
    </row>
    <row r="63" spans="1:9" ht="16.5" customHeight="1" thickBot="1">
      <c r="A63" s="384">
        <v>7</v>
      </c>
      <c r="C63" s="384" t="s">
        <v>664</v>
      </c>
      <c r="E63" s="384" t="str">
        <f>+VLOOKUP(A63,'Metodologia Nomenclatura'!B:F,5,0)</f>
        <v>Supervisor / Analista / Técnico</v>
      </c>
      <c r="G63" s="387" t="s">
        <v>783</v>
      </c>
      <c r="I63" s="388" t="s">
        <v>848</v>
      </c>
    </row>
    <row r="64" spans="1:9" ht="16.5" customHeight="1" thickBot="1">
      <c r="A64" s="384">
        <v>7</v>
      </c>
      <c r="C64" s="384" t="s">
        <v>664</v>
      </c>
      <c r="E64" s="384" t="str">
        <f>+VLOOKUP(A64,'Metodologia Nomenclatura'!B:F,5,0)</f>
        <v>Supervisor / Analista / Técnico</v>
      </c>
      <c r="G64" s="387" t="s">
        <v>783</v>
      </c>
      <c r="I64" s="388" t="s">
        <v>849</v>
      </c>
    </row>
    <row r="65" spans="1:9" ht="16.5" customHeight="1" thickBot="1">
      <c r="A65" s="384">
        <v>7</v>
      </c>
      <c r="C65" s="384" t="s">
        <v>664</v>
      </c>
      <c r="E65" s="384" t="str">
        <f>+VLOOKUP(A65,'Metodologia Nomenclatura'!B:F,5,0)</f>
        <v>Supervisor / Analista / Técnico</v>
      </c>
      <c r="G65" s="387" t="s">
        <v>787</v>
      </c>
      <c r="I65" s="388" t="s">
        <v>850</v>
      </c>
    </row>
    <row r="66" spans="1:9" ht="16.5" customHeight="1" thickBot="1">
      <c r="A66" s="384">
        <v>7</v>
      </c>
      <c r="C66" s="384" t="s">
        <v>664</v>
      </c>
      <c r="E66" s="384" t="str">
        <f>+VLOOKUP(A66,'Metodologia Nomenclatura'!B:F,5,0)</f>
        <v>Supervisor / Analista / Técnico</v>
      </c>
      <c r="G66" s="387" t="s">
        <v>787</v>
      </c>
      <c r="I66" s="388" t="s">
        <v>851</v>
      </c>
    </row>
    <row r="67" spans="1:9" ht="16.5" customHeight="1" thickBot="1">
      <c r="A67" s="384">
        <v>7</v>
      </c>
      <c r="C67" s="384" t="s">
        <v>664</v>
      </c>
      <c r="E67" s="384" t="str">
        <f>+VLOOKUP(A67,'Metodologia Nomenclatura'!B:F,5,0)</f>
        <v>Supervisor / Analista / Técnico</v>
      </c>
      <c r="G67" s="387" t="s">
        <v>787</v>
      </c>
      <c r="I67" s="388" t="s">
        <v>852</v>
      </c>
    </row>
    <row r="68" spans="1:9" ht="16.5" customHeight="1" thickBot="1">
      <c r="A68" s="384">
        <v>7</v>
      </c>
      <c r="C68" s="384" t="s">
        <v>664</v>
      </c>
      <c r="E68" s="384" t="str">
        <f>+VLOOKUP(A68,'Metodologia Nomenclatura'!B:F,5,0)</f>
        <v>Supervisor / Analista / Técnico</v>
      </c>
      <c r="G68" s="387" t="s">
        <v>785</v>
      </c>
      <c r="I68" s="388" t="s">
        <v>853</v>
      </c>
    </row>
    <row r="69" spans="1:9" ht="16.5" customHeight="1" thickBot="1">
      <c r="A69" s="384">
        <v>7</v>
      </c>
      <c r="C69" s="384" t="s">
        <v>664</v>
      </c>
      <c r="E69" s="384" t="str">
        <f>+VLOOKUP(A69,'Metodologia Nomenclatura'!B:F,5,0)</f>
        <v>Supervisor / Analista / Técnico</v>
      </c>
      <c r="G69" s="387" t="s">
        <v>783</v>
      </c>
      <c r="I69" s="388" t="s">
        <v>854</v>
      </c>
    </row>
    <row r="70" spans="1:9" ht="16.5" customHeight="1" thickBot="1">
      <c r="A70" s="384">
        <v>7</v>
      </c>
      <c r="C70" s="384" t="s">
        <v>664</v>
      </c>
      <c r="E70" s="384" t="str">
        <f>+VLOOKUP(A70,'Metodologia Nomenclatura'!B:F,5,0)</f>
        <v>Supervisor / Analista / Técnico</v>
      </c>
      <c r="G70" s="387" t="s">
        <v>787</v>
      </c>
      <c r="I70" s="388" t="s">
        <v>855</v>
      </c>
    </row>
    <row r="71" spans="1:9" ht="16.5" customHeight="1" thickBot="1">
      <c r="A71" s="384">
        <v>7</v>
      </c>
      <c r="C71" s="384" t="s">
        <v>664</v>
      </c>
      <c r="E71" s="384" t="str">
        <f>+VLOOKUP(A71,'Metodologia Nomenclatura'!B:F,5,0)</f>
        <v>Supervisor / Analista / Técnico</v>
      </c>
      <c r="G71" s="387" t="s">
        <v>783</v>
      </c>
      <c r="I71" s="388" t="s">
        <v>856</v>
      </c>
    </row>
    <row r="72" spans="1:9" ht="16.5" customHeight="1" thickBot="1">
      <c r="A72" s="384">
        <v>7</v>
      </c>
      <c r="C72" s="384" t="s">
        <v>664</v>
      </c>
      <c r="E72" s="384" t="str">
        <f>+VLOOKUP(A72,'Metodologia Nomenclatura'!B:F,5,0)</f>
        <v>Supervisor / Analista / Técnico</v>
      </c>
      <c r="G72" s="387" t="s">
        <v>783</v>
      </c>
      <c r="I72" s="388" t="s">
        <v>857</v>
      </c>
    </row>
    <row r="73" spans="1:9" ht="16.5" customHeight="1" thickBot="1">
      <c r="A73" s="384">
        <v>7</v>
      </c>
      <c r="C73" s="384" t="s">
        <v>664</v>
      </c>
      <c r="E73" s="384" t="str">
        <f>+VLOOKUP(A73,'Metodologia Nomenclatura'!B:F,5,0)</f>
        <v>Supervisor / Analista / Técnico</v>
      </c>
      <c r="G73" s="387" t="s">
        <v>785</v>
      </c>
      <c r="I73" s="388" t="s">
        <v>858</v>
      </c>
    </row>
    <row r="74" spans="1:9" ht="16.5" customHeight="1" thickBot="1">
      <c r="A74" s="384">
        <v>7</v>
      </c>
      <c r="C74" s="384" t="s">
        <v>664</v>
      </c>
      <c r="E74" s="384" t="str">
        <f>+VLOOKUP(A74,'Metodologia Nomenclatura'!B:F,5,0)</f>
        <v>Supervisor / Analista / Técnico</v>
      </c>
      <c r="G74" s="387" t="s">
        <v>783</v>
      </c>
      <c r="I74" s="388" t="s">
        <v>859</v>
      </c>
    </row>
    <row r="75" spans="1:9" ht="16.5" customHeight="1" thickBot="1">
      <c r="A75" s="384">
        <v>6</v>
      </c>
      <c r="C75" s="384" t="s">
        <v>664</v>
      </c>
      <c r="E75" s="384" t="str">
        <f>+VLOOKUP(A75,'Metodologia Nomenclatura'!B:F,5,0)</f>
        <v>Supervisor / Analista / Técnico</v>
      </c>
      <c r="G75" s="385" t="s">
        <v>787</v>
      </c>
      <c r="I75" s="386" t="s">
        <v>860</v>
      </c>
    </row>
    <row r="76" spans="1:9" ht="16.5" customHeight="1" thickBot="1">
      <c r="A76" s="384">
        <v>6</v>
      </c>
      <c r="C76" s="384" t="s">
        <v>664</v>
      </c>
      <c r="E76" s="384" t="str">
        <f>+VLOOKUP(A76,'Metodologia Nomenclatura'!B:F,5,0)</f>
        <v>Supervisor / Analista / Técnico</v>
      </c>
      <c r="G76" s="385" t="s">
        <v>785</v>
      </c>
      <c r="I76" s="386" t="s">
        <v>861</v>
      </c>
    </row>
    <row r="77" spans="1:9" ht="16.5" customHeight="1" thickBot="1">
      <c r="A77" s="384">
        <v>6</v>
      </c>
      <c r="C77" s="384" t="s">
        <v>664</v>
      </c>
      <c r="E77" s="384" t="str">
        <f>+VLOOKUP(A77,'Metodologia Nomenclatura'!B:F,5,0)</f>
        <v>Supervisor / Analista / Técnico</v>
      </c>
      <c r="G77" s="385" t="s">
        <v>783</v>
      </c>
      <c r="I77" s="386" t="s">
        <v>862</v>
      </c>
    </row>
    <row r="78" spans="1:9" ht="16.5" customHeight="1" thickBot="1">
      <c r="A78" s="384">
        <v>6</v>
      </c>
      <c r="C78" s="384" t="s">
        <v>664</v>
      </c>
      <c r="E78" s="384" t="str">
        <f>+VLOOKUP(A78,'Metodologia Nomenclatura'!B:F,5,0)</f>
        <v>Supervisor / Analista / Técnico</v>
      </c>
      <c r="G78" s="385" t="s">
        <v>785</v>
      </c>
      <c r="I78" s="386" t="s">
        <v>863</v>
      </c>
    </row>
    <row r="79" spans="1:9" ht="16.5" customHeight="1" thickBot="1">
      <c r="A79" s="384">
        <v>5</v>
      </c>
      <c r="C79" s="384" t="s">
        <v>665</v>
      </c>
      <c r="E79" s="384" t="str">
        <f>+VLOOKUP(A79,'Metodologia Nomenclatura'!B:F,5,0)</f>
        <v>Auxiliar/Operario Experto</v>
      </c>
      <c r="G79" s="387" t="s">
        <v>785</v>
      </c>
      <c r="I79" s="388" t="s">
        <v>864</v>
      </c>
    </row>
    <row r="80" spans="1:9" ht="16.5" customHeight="1" thickBot="1">
      <c r="A80" s="384">
        <v>4</v>
      </c>
      <c r="C80" s="384" t="s">
        <v>665</v>
      </c>
      <c r="E80" s="384" t="str">
        <f>+VLOOKUP(A80,'Metodologia Nomenclatura'!B:F,5,0)</f>
        <v xml:space="preserve">Axiliar / Operario Experto </v>
      </c>
      <c r="G80" s="385" t="s">
        <v>785</v>
      </c>
      <c r="I80" s="386" t="s">
        <v>865</v>
      </c>
    </row>
    <row r="81" spans="1:9" ht="16.5" customHeight="1" thickBot="1">
      <c r="A81" s="384">
        <v>4</v>
      </c>
      <c r="C81" s="384" t="s">
        <v>665</v>
      </c>
      <c r="E81" s="384" t="str">
        <f>+VLOOKUP(A81,'Metodologia Nomenclatura'!B:F,5,0)</f>
        <v xml:space="preserve">Axiliar / Operario Experto </v>
      </c>
      <c r="G81" s="385" t="s">
        <v>785</v>
      </c>
      <c r="I81" s="386" t="s">
        <v>866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47DFB-B4F7-4AD9-BD1C-52FCF6A94174}">
  <sheetPr codeName="Hoja38"/>
  <dimension ref="A1:I82"/>
  <sheetViews>
    <sheetView showGridLines="0" zoomScale="55" zoomScaleNormal="55" workbookViewId="0"/>
  </sheetViews>
  <sheetFormatPr baseColWidth="10" defaultColWidth="11.44140625" defaultRowHeight="16.5" customHeight="1"/>
  <cols>
    <col min="2" max="2" width="0.6640625" customWidth="1"/>
    <col min="3" max="3" width="22.33203125" customWidth="1"/>
    <col min="4" max="4" width="0.6640625" customWidth="1"/>
    <col min="5" max="5" width="56.109375" customWidth="1"/>
    <col min="6" max="6" width="0.6640625" customWidth="1"/>
    <col min="7" max="7" width="30.44140625" customWidth="1"/>
    <col min="8" max="8" width="0.6640625" customWidth="1"/>
    <col min="9" max="9" width="46.44140625" customWidth="1"/>
  </cols>
  <sheetData>
    <row r="1" spans="1:9" ht="16.5" customHeight="1" thickBot="1">
      <c r="A1" t="s">
        <v>257</v>
      </c>
      <c r="B1">
        <v>1</v>
      </c>
      <c r="C1" t="s">
        <v>439</v>
      </c>
      <c r="D1">
        <v>2</v>
      </c>
      <c r="E1" t="s">
        <v>867</v>
      </c>
      <c r="F1">
        <v>3</v>
      </c>
      <c r="G1" t="s">
        <v>868</v>
      </c>
      <c r="H1">
        <v>4</v>
      </c>
      <c r="I1" t="s">
        <v>869</v>
      </c>
    </row>
    <row r="2" spans="1:9" ht="16.5" customHeight="1" thickBot="1">
      <c r="A2" s="384">
        <v>20</v>
      </c>
      <c r="B2" s="391"/>
      <c r="C2" s="384" t="s">
        <v>660</v>
      </c>
      <c r="D2" s="391"/>
      <c r="E2" s="384" t="str">
        <f>+VLOOKUP(A2,'Metodologia Nomenclatura'!B:F,5,0)</f>
        <v xml:space="preserve"> Vicepresidente  / Director Región  / Presidente  País</v>
      </c>
      <c r="F2" s="391"/>
      <c r="G2" s="387" t="s">
        <v>239</v>
      </c>
      <c r="H2" s="391"/>
      <c r="I2" s="388" t="s">
        <v>360</v>
      </c>
    </row>
    <row r="3" spans="1:9" ht="16.5" customHeight="1" thickBot="1">
      <c r="A3" s="384">
        <v>15</v>
      </c>
      <c r="B3" s="391"/>
      <c r="C3" s="384" t="s">
        <v>662</v>
      </c>
      <c r="D3" s="391"/>
      <c r="E3" s="384" t="str">
        <f>+VLOOKUP(A3,'Metodologia Nomenclatura'!B:F,5,0)</f>
        <v>Gerente Sr / Gerente Región / Gerente País / Especialista Sr</v>
      </c>
      <c r="F3" s="391"/>
      <c r="G3" s="387" t="s">
        <v>239</v>
      </c>
      <c r="H3" s="391"/>
      <c r="I3" s="388" t="s">
        <v>794</v>
      </c>
    </row>
    <row r="4" spans="1:9" ht="16.5" customHeight="1" thickBot="1">
      <c r="A4" s="384">
        <v>18</v>
      </c>
      <c r="B4" s="391"/>
      <c r="C4" s="384" t="s">
        <v>661</v>
      </c>
      <c r="D4" s="391"/>
      <c r="E4" s="384" t="str">
        <f>+VLOOKUP(A4,'Metodologia Nomenclatura'!B:F,5,0)</f>
        <v>Director / Director Región / Director País</v>
      </c>
      <c r="F4" s="391"/>
      <c r="G4" s="387" t="s">
        <v>785</v>
      </c>
      <c r="H4" s="391"/>
      <c r="I4" s="388" t="s">
        <v>786</v>
      </c>
    </row>
    <row r="5" spans="1:9" ht="16.5" customHeight="1" thickBot="1">
      <c r="A5" s="384">
        <v>15</v>
      </c>
      <c r="B5" s="391"/>
      <c r="C5" s="384" t="s">
        <v>662</v>
      </c>
      <c r="D5" s="391"/>
      <c r="E5" s="384" t="str">
        <f>+VLOOKUP(A5,'Metodologia Nomenclatura'!B:F,5,0)</f>
        <v>Gerente Sr / Gerente Región / Gerente País / Especialista Sr</v>
      </c>
      <c r="F5" s="391"/>
      <c r="G5" s="387" t="s">
        <v>785</v>
      </c>
      <c r="H5" s="391"/>
      <c r="I5" s="388" t="s">
        <v>792</v>
      </c>
    </row>
    <row r="6" spans="1:9" ht="16.5" customHeight="1" thickBot="1">
      <c r="A6" s="384">
        <v>14</v>
      </c>
      <c r="B6" s="391"/>
      <c r="C6" s="384" t="s">
        <v>662</v>
      </c>
      <c r="D6" s="391"/>
      <c r="E6" s="384" t="str">
        <f>+VLOOKUP(A6,'Metodologia Nomenclatura'!B:F,5,0)</f>
        <v>Gerente Sr / Gerente Región / Gerente País / Especialista Sr</v>
      </c>
      <c r="F6" s="391"/>
      <c r="G6" s="387" t="s">
        <v>785</v>
      </c>
      <c r="H6" s="391"/>
      <c r="I6" s="388" t="s">
        <v>796</v>
      </c>
    </row>
    <row r="7" spans="1:9" ht="16.5" customHeight="1" thickBot="1">
      <c r="A7" s="384">
        <v>14</v>
      </c>
      <c r="B7" s="391"/>
      <c r="C7" s="384" t="s">
        <v>662</v>
      </c>
      <c r="D7" s="391"/>
      <c r="E7" s="384" t="str">
        <f>+VLOOKUP(A7,'Metodologia Nomenclatura'!B:F,5,0)</f>
        <v>Gerente Sr / Gerente Región / Gerente País / Especialista Sr</v>
      </c>
      <c r="F7" s="391"/>
      <c r="G7" s="387" t="s">
        <v>785</v>
      </c>
      <c r="H7" s="391"/>
      <c r="I7" s="388" t="s">
        <v>798</v>
      </c>
    </row>
    <row r="8" spans="1:9" ht="16.5" customHeight="1" thickBot="1">
      <c r="A8" s="384">
        <v>14</v>
      </c>
      <c r="C8" s="384" t="s">
        <v>662</v>
      </c>
      <c r="E8" s="384" t="str">
        <f>+VLOOKUP(A8,'Metodologia Nomenclatura'!B:F,5,0)</f>
        <v>Gerente Sr / Gerente Región / Gerente País / Especialista Sr</v>
      </c>
      <c r="G8" s="387" t="s">
        <v>785</v>
      </c>
      <c r="I8" s="388" t="s">
        <v>801</v>
      </c>
    </row>
    <row r="9" spans="1:9" ht="16.5" customHeight="1" thickBot="1">
      <c r="A9" s="384">
        <v>14</v>
      </c>
      <c r="C9" s="384" t="s">
        <v>662</v>
      </c>
      <c r="E9" s="384" t="str">
        <f>+VLOOKUP(A9,'Metodologia Nomenclatura'!B:F,5,0)</f>
        <v>Gerente Sr / Gerente Región / Gerente País / Especialista Sr</v>
      </c>
      <c r="G9" s="387" t="s">
        <v>785</v>
      </c>
      <c r="I9" s="388" t="s">
        <v>802</v>
      </c>
    </row>
    <row r="10" spans="1:9" ht="16.5" customHeight="1" thickBot="1">
      <c r="A10" s="384">
        <v>14</v>
      </c>
      <c r="C10" s="384" t="s">
        <v>662</v>
      </c>
      <c r="E10" s="384" t="str">
        <f>+VLOOKUP(A10,'Metodologia Nomenclatura'!B:F,5,0)</f>
        <v>Gerente Sr / Gerente Región / Gerente País / Especialista Sr</v>
      </c>
      <c r="G10" s="387" t="s">
        <v>785</v>
      </c>
      <c r="I10" s="388" t="s">
        <v>803</v>
      </c>
    </row>
    <row r="11" spans="1:9" ht="16.5" customHeight="1" thickBot="1">
      <c r="A11" s="384">
        <v>13</v>
      </c>
      <c r="C11" s="384" t="s">
        <v>662</v>
      </c>
      <c r="E11" s="384" t="str">
        <f>+VLOOKUP(A11,'Metodologia Nomenclatura'!B:F,5,0)</f>
        <v>Gerente / Especialista Sr</v>
      </c>
      <c r="G11" s="387" t="s">
        <v>785</v>
      </c>
      <c r="I11" s="388" t="s">
        <v>804</v>
      </c>
    </row>
    <row r="12" spans="1:9" ht="16.5" customHeight="1" thickBot="1">
      <c r="A12" s="384">
        <v>13</v>
      </c>
      <c r="C12" s="384" t="s">
        <v>662</v>
      </c>
      <c r="E12" s="384" t="str">
        <f>+VLOOKUP(A12,'Metodologia Nomenclatura'!B:F,5,0)</f>
        <v>Gerente / Especialista Sr</v>
      </c>
      <c r="G12" s="387" t="s">
        <v>785</v>
      </c>
      <c r="I12" s="388" t="s">
        <v>805</v>
      </c>
    </row>
    <row r="13" spans="1:9" ht="16.5" customHeight="1" thickBot="1">
      <c r="A13" s="384">
        <v>13</v>
      </c>
      <c r="C13" s="384" t="s">
        <v>662</v>
      </c>
      <c r="E13" s="384" t="str">
        <f>+VLOOKUP(A13,'Metodologia Nomenclatura'!B:F,5,0)</f>
        <v>Gerente / Especialista Sr</v>
      </c>
      <c r="G13" s="387" t="s">
        <v>785</v>
      </c>
      <c r="I13" s="388" t="s">
        <v>806</v>
      </c>
    </row>
    <row r="14" spans="1:9" ht="16.5" customHeight="1" thickBot="1">
      <c r="A14" s="384">
        <v>13</v>
      </c>
      <c r="C14" s="384" t="s">
        <v>662</v>
      </c>
      <c r="E14" s="384" t="str">
        <f>+VLOOKUP(A14,'Metodologia Nomenclatura'!B:F,5,0)</f>
        <v>Gerente / Especialista Sr</v>
      </c>
      <c r="G14" s="387" t="s">
        <v>785</v>
      </c>
      <c r="I14" s="388" t="s">
        <v>807</v>
      </c>
    </row>
    <row r="15" spans="1:9" ht="16.5" customHeight="1" thickBot="1">
      <c r="A15" s="384">
        <v>12</v>
      </c>
      <c r="C15" s="384" t="s">
        <v>663</v>
      </c>
      <c r="E15" s="384" t="str">
        <f>+VLOOKUP(A15,'Metodologia Nomenclatura'!B:F,5,0)</f>
        <v>Coordinador Sr. / Especialista</v>
      </c>
      <c r="G15" s="387" t="s">
        <v>785</v>
      </c>
      <c r="I15" s="388" t="s">
        <v>809</v>
      </c>
    </row>
    <row r="16" spans="1:9" ht="16.5" customHeight="1" thickBot="1">
      <c r="A16" s="384">
        <v>12</v>
      </c>
      <c r="C16" s="384" t="s">
        <v>663</v>
      </c>
      <c r="E16" s="384" t="str">
        <f>+VLOOKUP(A16,'Metodologia Nomenclatura'!B:F,5,0)</f>
        <v>Coordinador Sr. / Especialista</v>
      </c>
      <c r="G16" s="387" t="s">
        <v>785</v>
      </c>
      <c r="I16" s="388" t="s">
        <v>816</v>
      </c>
    </row>
    <row r="17" spans="1:9" ht="16.5" customHeight="1" thickBot="1">
      <c r="A17" s="384">
        <v>12</v>
      </c>
      <c r="C17" s="384" t="s">
        <v>663</v>
      </c>
      <c r="E17" s="384" t="str">
        <f>+VLOOKUP(A17,'Metodologia Nomenclatura'!B:F,5,0)</f>
        <v>Coordinador Sr. / Especialista</v>
      </c>
      <c r="G17" s="387" t="s">
        <v>785</v>
      </c>
      <c r="I17" s="388" t="s">
        <v>819</v>
      </c>
    </row>
    <row r="18" spans="1:9" ht="16.5" customHeight="1" thickBot="1">
      <c r="A18" s="384">
        <v>11</v>
      </c>
      <c r="C18" s="384" t="s">
        <v>663</v>
      </c>
      <c r="E18" s="384" t="str">
        <f>+VLOOKUP(A18,'Metodologia Nomenclatura'!B:F,5,0)</f>
        <v>Coordinador / Especialista</v>
      </c>
      <c r="G18" s="387" t="s">
        <v>785</v>
      </c>
      <c r="I18" s="388" t="s">
        <v>821</v>
      </c>
    </row>
    <row r="19" spans="1:9" ht="16.5" customHeight="1" thickBot="1">
      <c r="A19" s="384">
        <v>11</v>
      </c>
      <c r="C19" s="384" t="s">
        <v>663</v>
      </c>
      <c r="E19" s="384" t="str">
        <f>+VLOOKUP(A19,'Metodologia Nomenclatura'!B:F,5,0)</f>
        <v>Coordinador / Especialista</v>
      </c>
      <c r="G19" s="387" t="s">
        <v>785</v>
      </c>
      <c r="I19" s="388" t="s">
        <v>822</v>
      </c>
    </row>
    <row r="20" spans="1:9" ht="16.5" customHeight="1" thickBot="1">
      <c r="A20" s="384">
        <v>11</v>
      </c>
      <c r="C20" s="384" t="s">
        <v>663</v>
      </c>
      <c r="E20" s="384" t="str">
        <f>+VLOOKUP(A20,'Metodologia Nomenclatura'!B:F,5,0)</f>
        <v>Coordinador / Especialista</v>
      </c>
      <c r="G20" s="387" t="s">
        <v>785</v>
      </c>
      <c r="I20" s="388" t="s">
        <v>823</v>
      </c>
    </row>
    <row r="21" spans="1:9" ht="16.5" customHeight="1" thickBot="1">
      <c r="A21" s="384">
        <v>11</v>
      </c>
      <c r="C21" s="384" t="s">
        <v>663</v>
      </c>
      <c r="E21" s="384" t="str">
        <f>+VLOOKUP(A21,'Metodologia Nomenclatura'!B:F,5,0)</f>
        <v>Coordinador / Especialista</v>
      </c>
      <c r="G21" s="387" t="s">
        <v>785</v>
      </c>
      <c r="I21" s="388" t="s">
        <v>825</v>
      </c>
    </row>
    <row r="22" spans="1:9" ht="16.5" customHeight="1" thickBot="1">
      <c r="A22" s="384">
        <v>11</v>
      </c>
      <c r="C22" s="384" t="s">
        <v>663</v>
      </c>
      <c r="E22" s="384" t="str">
        <f>+VLOOKUP(A22,'Metodologia Nomenclatura'!B:F,5,0)</f>
        <v>Coordinador / Especialista</v>
      </c>
      <c r="G22" s="387" t="s">
        <v>785</v>
      </c>
      <c r="I22" s="388" t="s">
        <v>826</v>
      </c>
    </row>
    <row r="23" spans="1:9" ht="16.5" customHeight="1" thickBot="1">
      <c r="A23" s="384">
        <v>11</v>
      </c>
      <c r="C23" s="384" t="s">
        <v>663</v>
      </c>
      <c r="E23" s="384" t="str">
        <f>+VLOOKUP(A23,'Metodologia Nomenclatura'!B:F,5,0)</f>
        <v>Coordinador / Especialista</v>
      </c>
      <c r="G23" s="387" t="s">
        <v>785</v>
      </c>
      <c r="I23" s="388" t="s">
        <v>827</v>
      </c>
    </row>
    <row r="24" spans="1:9" ht="16.5" customHeight="1" thickBot="1">
      <c r="A24" s="384">
        <v>11</v>
      </c>
      <c r="C24" s="384" t="s">
        <v>663</v>
      </c>
      <c r="E24" s="384" t="str">
        <f>+VLOOKUP(A24,'Metodologia Nomenclatura'!B:F,5,0)</f>
        <v>Coordinador / Especialista</v>
      </c>
      <c r="G24" s="387" t="s">
        <v>785</v>
      </c>
      <c r="I24" s="388" t="s">
        <v>828</v>
      </c>
    </row>
    <row r="25" spans="1:9" ht="16.5" customHeight="1" thickBot="1">
      <c r="A25" s="384">
        <v>11</v>
      </c>
      <c r="C25" s="384" t="s">
        <v>663</v>
      </c>
      <c r="E25" s="384" t="str">
        <f>+VLOOKUP(A25,'Metodologia Nomenclatura'!B:F,5,0)</f>
        <v>Coordinador / Especialista</v>
      </c>
      <c r="G25" s="387" t="s">
        <v>785</v>
      </c>
      <c r="I25" s="388" t="s">
        <v>829</v>
      </c>
    </row>
    <row r="26" spans="1:9" ht="16.5" customHeight="1" thickBot="1">
      <c r="A26" s="384">
        <v>11</v>
      </c>
      <c r="C26" s="384" t="s">
        <v>663</v>
      </c>
      <c r="E26" s="384" t="str">
        <f>+VLOOKUP(A26,'Metodologia Nomenclatura'!B:F,5,0)</f>
        <v>Coordinador / Especialista</v>
      </c>
      <c r="G26" s="387" t="s">
        <v>785</v>
      </c>
      <c r="I26" s="388" t="s">
        <v>830</v>
      </c>
    </row>
    <row r="27" spans="1:9" ht="16.5" customHeight="1" thickBot="1">
      <c r="A27" s="384">
        <v>9</v>
      </c>
      <c r="C27" s="384" t="s">
        <v>663</v>
      </c>
      <c r="E27" s="384" t="str">
        <f>+VLOOKUP(A27,'Metodologia Nomenclatura'!B:F,5,0)</f>
        <v>Coordinador Jr. / Analista Sr</v>
      </c>
      <c r="G27" s="387" t="s">
        <v>785</v>
      </c>
      <c r="I27" s="388" t="s">
        <v>835</v>
      </c>
    </row>
    <row r="28" spans="1:9" ht="16.5" customHeight="1" thickBot="1">
      <c r="A28" s="384">
        <v>9</v>
      </c>
      <c r="C28" s="384" t="s">
        <v>663</v>
      </c>
      <c r="E28" s="384" t="str">
        <f>+VLOOKUP(A28,'Metodologia Nomenclatura'!B:F,5,0)</f>
        <v>Coordinador Jr. / Analista Sr</v>
      </c>
      <c r="G28" s="387" t="s">
        <v>785</v>
      </c>
      <c r="I28" s="388" t="s">
        <v>838</v>
      </c>
    </row>
    <row r="29" spans="1:9" ht="16.5" customHeight="1" thickBot="1">
      <c r="A29" s="384">
        <v>9</v>
      </c>
      <c r="C29" s="384" t="s">
        <v>663</v>
      </c>
      <c r="E29" s="384" t="str">
        <f>+VLOOKUP(A29,'Metodologia Nomenclatura'!B:F,5,0)</f>
        <v>Coordinador Jr. / Analista Sr</v>
      </c>
      <c r="G29" s="387" t="s">
        <v>785</v>
      </c>
      <c r="I29" s="388" t="s">
        <v>839</v>
      </c>
    </row>
    <row r="30" spans="1:9" ht="16.5" customHeight="1" thickBot="1">
      <c r="A30" s="384">
        <v>8</v>
      </c>
      <c r="C30" s="384" t="s">
        <v>664</v>
      </c>
      <c r="E30" s="384" t="str">
        <f>+VLOOKUP(A30,'Metodologia Nomenclatura'!B:F,5,0)</f>
        <v>Supervisor / Analista Sr / Técnico</v>
      </c>
      <c r="G30" s="387" t="s">
        <v>785</v>
      </c>
      <c r="I30" s="388" t="s">
        <v>840</v>
      </c>
    </row>
    <row r="31" spans="1:9" ht="16.5" customHeight="1" thickBot="1">
      <c r="A31" s="384">
        <v>8</v>
      </c>
      <c r="C31" s="384" t="s">
        <v>664</v>
      </c>
      <c r="E31" s="384" t="str">
        <f>+VLOOKUP(A31,'Metodologia Nomenclatura'!B:F,5,0)</f>
        <v>Supervisor / Analista Sr / Técnico</v>
      </c>
      <c r="G31" s="387" t="s">
        <v>785</v>
      </c>
      <c r="I31" s="388" t="s">
        <v>841</v>
      </c>
    </row>
    <row r="32" spans="1:9" ht="16.5" customHeight="1" thickBot="1">
      <c r="A32" s="384">
        <v>8</v>
      </c>
      <c r="C32" s="384" t="s">
        <v>664</v>
      </c>
      <c r="E32" s="384" t="str">
        <f>+VLOOKUP(A32,'Metodologia Nomenclatura'!B:F,5,0)</f>
        <v>Supervisor / Analista Sr / Técnico</v>
      </c>
      <c r="G32" s="387" t="s">
        <v>785</v>
      </c>
      <c r="I32" s="388" t="s">
        <v>844</v>
      </c>
    </row>
    <row r="33" spans="1:9" ht="16.5" customHeight="1" thickBot="1">
      <c r="A33" s="384">
        <v>8</v>
      </c>
      <c r="C33" s="384" t="s">
        <v>664</v>
      </c>
      <c r="E33" s="384" t="str">
        <f>+VLOOKUP(A33,'Metodologia Nomenclatura'!B:F,5,0)</f>
        <v>Supervisor / Analista Sr / Técnico</v>
      </c>
      <c r="G33" s="387" t="s">
        <v>785</v>
      </c>
      <c r="I33" s="388" t="s">
        <v>845</v>
      </c>
    </row>
    <row r="34" spans="1:9" ht="16.5" customHeight="1" thickBot="1">
      <c r="A34" s="384">
        <v>8</v>
      </c>
      <c r="C34" s="384" t="s">
        <v>664</v>
      </c>
      <c r="E34" s="384" t="str">
        <f>+VLOOKUP(A34,'Metodologia Nomenclatura'!B:F,5,0)</f>
        <v>Supervisor / Analista Sr / Técnico</v>
      </c>
      <c r="G34" s="387" t="s">
        <v>785</v>
      </c>
      <c r="I34" s="388" t="s">
        <v>846</v>
      </c>
    </row>
    <row r="35" spans="1:9" ht="16.5" customHeight="1" thickBot="1">
      <c r="A35" s="384">
        <v>7</v>
      </c>
      <c r="C35" s="384" t="s">
        <v>664</v>
      </c>
      <c r="E35" s="384" t="str">
        <f>+VLOOKUP(A35,'Metodologia Nomenclatura'!B:F,5,0)</f>
        <v>Supervisor / Analista / Técnico</v>
      </c>
      <c r="G35" s="387" t="s">
        <v>785</v>
      </c>
      <c r="I35" s="388" t="s">
        <v>853</v>
      </c>
    </row>
    <row r="36" spans="1:9" ht="16.5" customHeight="1" thickBot="1">
      <c r="A36" s="384">
        <v>7</v>
      </c>
      <c r="C36" s="384" t="s">
        <v>664</v>
      </c>
      <c r="E36" s="384" t="str">
        <f>+VLOOKUP(A36,'Metodologia Nomenclatura'!B:F,5,0)</f>
        <v>Supervisor / Analista / Técnico</v>
      </c>
      <c r="G36" s="387" t="s">
        <v>785</v>
      </c>
      <c r="I36" s="388" t="s">
        <v>858</v>
      </c>
    </row>
    <row r="37" spans="1:9" ht="16.5" customHeight="1" thickBot="1">
      <c r="A37" s="384">
        <v>6</v>
      </c>
      <c r="C37" s="384" t="s">
        <v>664</v>
      </c>
      <c r="E37" s="384" t="str">
        <f>+VLOOKUP(A37,'Metodologia Nomenclatura'!B:F,5,0)</f>
        <v>Supervisor / Analista / Técnico</v>
      </c>
      <c r="G37" s="387" t="s">
        <v>785</v>
      </c>
      <c r="I37" s="388" t="s">
        <v>861</v>
      </c>
    </row>
    <row r="38" spans="1:9" ht="16.5" customHeight="1" thickBot="1">
      <c r="A38" s="384">
        <v>6</v>
      </c>
      <c r="C38" s="384" t="s">
        <v>664</v>
      </c>
      <c r="E38" s="384" t="str">
        <f>+VLOOKUP(A38,'Metodologia Nomenclatura'!B:F,5,0)</f>
        <v>Supervisor / Analista / Técnico</v>
      </c>
      <c r="G38" s="387" t="s">
        <v>785</v>
      </c>
      <c r="I38" s="388" t="s">
        <v>863</v>
      </c>
    </row>
    <row r="39" spans="1:9" ht="16.5" customHeight="1" thickBot="1">
      <c r="A39" s="384">
        <v>5</v>
      </c>
      <c r="C39" s="384" t="s">
        <v>665</v>
      </c>
      <c r="E39" s="384" t="str">
        <f>+VLOOKUP(A39,'Metodologia Nomenclatura'!B:F,5,0)</f>
        <v>Auxiliar/Operario Experto</v>
      </c>
      <c r="G39" s="387" t="s">
        <v>785</v>
      </c>
      <c r="I39" s="388" t="s">
        <v>864</v>
      </c>
    </row>
    <row r="40" spans="1:9" ht="16.5" customHeight="1" thickBot="1">
      <c r="A40" s="384">
        <v>4</v>
      </c>
      <c r="C40" s="384" t="s">
        <v>665</v>
      </c>
      <c r="E40" s="384" t="str">
        <f>+VLOOKUP(A40,'Metodologia Nomenclatura'!B:F,5,0)</f>
        <v xml:space="preserve">Axiliar / Operario Experto </v>
      </c>
      <c r="G40" s="387" t="s">
        <v>785</v>
      </c>
      <c r="I40" s="388" t="s">
        <v>865</v>
      </c>
    </row>
    <row r="41" spans="1:9" ht="16.5" customHeight="1" thickBot="1">
      <c r="A41" s="384">
        <v>4</v>
      </c>
      <c r="C41" s="384" t="s">
        <v>665</v>
      </c>
      <c r="E41" s="384" t="str">
        <f>+VLOOKUP(A41,'Metodologia Nomenclatura'!B:F,5,0)</f>
        <v xml:space="preserve">Axiliar / Operario Experto </v>
      </c>
      <c r="G41" s="387" t="s">
        <v>785</v>
      </c>
      <c r="I41" s="388" t="s">
        <v>866</v>
      </c>
    </row>
    <row r="42" spans="1:9" ht="16.5" customHeight="1" thickBot="1">
      <c r="A42" s="384">
        <v>18</v>
      </c>
      <c r="B42" s="391"/>
      <c r="C42" s="384" t="s">
        <v>661</v>
      </c>
      <c r="D42" s="391"/>
      <c r="E42" s="384" t="str">
        <f>+VLOOKUP(A42,'Metodologia Nomenclatura'!B:F,5,0)</f>
        <v>Director / Director Región / Director País</v>
      </c>
      <c r="F42" s="391"/>
      <c r="G42" s="387" t="s">
        <v>783</v>
      </c>
      <c r="H42" s="391"/>
      <c r="I42" s="388" t="s">
        <v>784</v>
      </c>
    </row>
    <row r="43" spans="1:9" ht="16.5" customHeight="1" thickBot="1">
      <c r="A43" s="384">
        <v>15</v>
      </c>
      <c r="B43" s="391"/>
      <c r="C43" s="384" t="s">
        <v>662</v>
      </c>
      <c r="D43" s="391"/>
      <c r="E43" s="384" t="str">
        <f>+VLOOKUP(A43,'Metodologia Nomenclatura'!B:F,5,0)</f>
        <v>Gerente Sr / Gerente Región / Gerente País / Especialista Sr</v>
      </c>
      <c r="F43" s="391"/>
      <c r="G43" s="387" t="s">
        <v>783</v>
      </c>
      <c r="H43" s="391"/>
      <c r="I43" s="388" t="s">
        <v>789</v>
      </c>
    </row>
    <row r="44" spans="1:9" ht="16.5" customHeight="1" thickBot="1">
      <c r="A44" s="384">
        <v>15</v>
      </c>
      <c r="B44" s="391"/>
      <c r="C44" s="384" t="s">
        <v>662</v>
      </c>
      <c r="D44" s="391"/>
      <c r="E44" s="384" t="str">
        <f>+VLOOKUP(A44,'Metodologia Nomenclatura'!B:F,5,0)</f>
        <v>Gerente Sr / Gerente Región / Gerente País / Especialista Sr</v>
      </c>
      <c r="F44" s="391"/>
      <c r="G44" s="387" t="s">
        <v>783</v>
      </c>
      <c r="H44" s="391"/>
      <c r="I44" s="388" t="s">
        <v>790</v>
      </c>
    </row>
    <row r="45" spans="1:9" ht="16.5" customHeight="1" thickBot="1">
      <c r="A45" s="384">
        <v>15</v>
      </c>
      <c r="B45" s="391"/>
      <c r="C45" s="384" t="s">
        <v>662</v>
      </c>
      <c r="D45" s="391"/>
      <c r="E45" s="384" t="str">
        <f>+VLOOKUP(A45,'Metodologia Nomenclatura'!B:F,5,0)</f>
        <v>Gerente Sr / Gerente Región / Gerente País / Especialista Sr</v>
      </c>
      <c r="F45" s="391"/>
      <c r="G45" s="387" t="s">
        <v>783</v>
      </c>
      <c r="H45" s="391"/>
      <c r="I45" s="388" t="s">
        <v>791</v>
      </c>
    </row>
    <row r="46" spans="1:9" ht="16.5" customHeight="1" thickBot="1">
      <c r="A46" s="384">
        <v>15</v>
      </c>
      <c r="B46" s="391"/>
      <c r="C46" s="384" t="s">
        <v>662</v>
      </c>
      <c r="D46" s="391"/>
      <c r="E46" s="384" t="str">
        <f>+VLOOKUP(A46,'Metodologia Nomenclatura'!B:F,5,0)</f>
        <v>Gerente Sr / Gerente Región / Gerente País / Especialista Sr</v>
      </c>
      <c r="F46" s="391"/>
      <c r="G46" s="387" t="s">
        <v>783</v>
      </c>
      <c r="H46" s="391"/>
      <c r="I46" s="388" t="s">
        <v>795</v>
      </c>
    </row>
    <row r="47" spans="1:9" ht="16.5" customHeight="1" thickBot="1">
      <c r="A47" s="384">
        <v>14</v>
      </c>
      <c r="C47" s="384" t="s">
        <v>662</v>
      </c>
      <c r="E47" s="384" t="str">
        <f>+VLOOKUP(A47,'Metodologia Nomenclatura'!B:F,5,0)</f>
        <v>Gerente Sr / Gerente Región / Gerente País / Especialista Sr</v>
      </c>
      <c r="G47" s="387" t="s">
        <v>783</v>
      </c>
      <c r="I47" s="388" t="s">
        <v>799</v>
      </c>
    </row>
    <row r="48" spans="1:9" ht="16.5" customHeight="1" thickBot="1">
      <c r="A48" s="384">
        <v>12</v>
      </c>
      <c r="C48" s="384" t="s">
        <v>663</v>
      </c>
      <c r="E48" s="384" t="str">
        <f>+VLOOKUP(A48,'Metodologia Nomenclatura'!B:F,5,0)</f>
        <v>Coordinador Sr. / Especialista</v>
      </c>
      <c r="G48" s="387" t="s">
        <v>783</v>
      </c>
      <c r="I48" s="388" t="s">
        <v>810</v>
      </c>
    </row>
    <row r="49" spans="1:9" ht="16.5" customHeight="1" thickBot="1">
      <c r="A49" s="384">
        <v>12</v>
      </c>
      <c r="C49" s="384" t="s">
        <v>663</v>
      </c>
      <c r="E49" s="384" t="str">
        <f>+VLOOKUP(A49,'Metodologia Nomenclatura'!B:F,5,0)</f>
        <v>Coordinador Sr. / Especialista</v>
      </c>
      <c r="G49" s="387" t="s">
        <v>783</v>
      </c>
      <c r="I49" s="388" t="s">
        <v>811</v>
      </c>
    </row>
    <row r="50" spans="1:9" ht="16.5" customHeight="1" thickBot="1">
      <c r="A50" s="384">
        <v>12</v>
      </c>
      <c r="C50" s="384" t="s">
        <v>663</v>
      </c>
      <c r="E50" s="384" t="str">
        <f>+VLOOKUP(A50,'Metodologia Nomenclatura'!B:F,5,0)</f>
        <v>Coordinador Sr. / Especialista</v>
      </c>
      <c r="G50" s="387" t="s">
        <v>783</v>
      </c>
      <c r="I50" s="388" t="s">
        <v>812</v>
      </c>
    </row>
    <row r="51" spans="1:9" ht="16.5" customHeight="1" thickBot="1">
      <c r="A51" s="384">
        <v>12</v>
      </c>
      <c r="C51" s="384" t="s">
        <v>663</v>
      </c>
      <c r="E51" s="384" t="str">
        <f>+VLOOKUP(A51,'Metodologia Nomenclatura'!B:F,5,0)</f>
        <v>Coordinador Sr. / Especialista</v>
      </c>
      <c r="G51" s="387" t="s">
        <v>783</v>
      </c>
      <c r="I51" s="388" t="s">
        <v>818</v>
      </c>
    </row>
    <row r="52" spans="1:9" ht="16.5" customHeight="1" thickBot="1">
      <c r="A52" s="384">
        <v>10</v>
      </c>
      <c r="C52" s="384" t="s">
        <v>663</v>
      </c>
      <c r="E52" s="384" t="str">
        <f>+VLOOKUP(A52,'Metodologia Nomenclatura'!B:F,5,0)</f>
        <v>Coordinador / Analista Sr</v>
      </c>
      <c r="G52" s="387" t="s">
        <v>783</v>
      </c>
      <c r="I52" s="388" t="s">
        <v>832</v>
      </c>
    </row>
    <row r="53" spans="1:9" ht="16.5" customHeight="1" thickBot="1">
      <c r="A53" s="384">
        <v>10</v>
      </c>
      <c r="C53" s="384" t="s">
        <v>663</v>
      </c>
      <c r="E53" s="384" t="str">
        <f>+VLOOKUP(A53,'Metodologia Nomenclatura'!B:F,5,0)</f>
        <v>Coordinador / Analista Sr</v>
      </c>
      <c r="G53" s="387" t="s">
        <v>783</v>
      </c>
      <c r="I53" s="388" t="s">
        <v>833</v>
      </c>
    </row>
    <row r="54" spans="1:9" ht="16.5" customHeight="1" thickBot="1">
      <c r="A54" s="384">
        <v>8</v>
      </c>
      <c r="C54" s="384" t="s">
        <v>664</v>
      </c>
      <c r="E54" s="384" t="str">
        <f>+VLOOKUP(A54,'Metodologia Nomenclatura'!B:F,5,0)</f>
        <v>Supervisor / Analista Sr / Técnico</v>
      </c>
      <c r="G54" s="387" t="s">
        <v>783</v>
      </c>
      <c r="I54" s="388" t="s">
        <v>843</v>
      </c>
    </row>
    <row r="55" spans="1:9" ht="16.5" customHeight="1" thickBot="1">
      <c r="A55" s="384">
        <v>7</v>
      </c>
      <c r="C55" s="384" t="s">
        <v>664</v>
      </c>
      <c r="E55" s="384" t="str">
        <f>+VLOOKUP(A55,'Metodologia Nomenclatura'!B:F,5,0)</f>
        <v>Supervisor / Analista / Técnico</v>
      </c>
      <c r="G55" s="387" t="s">
        <v>783</v>
      </c>
      <c r="I55" s="388" t="s">
        <v>848</v>
      </c>
    </row>
    <row r="56" spans="1:9" ht="16.5" customHeight="1" thickBot="1">
      <c r="A56" s="384">
        <v>7</v>
      </c>
      <c r="C56" s="384" t="s">
        <v>664</v>
      </c>
      <c r="E56" s="384" t="str">
        <f>+VLOOKUP(A56,'Metodologia Nomenclatura'!B:F,5,0)</f>
        <v>Supervisor / Analista / Técnico</v>
      </c>
      <c r="G56" s="387" t="s">
        <v>783</v>
      </c>
      <c r="I56" s="388" t="s">
        <v>849</v>
      </c>
    </row>
    <row r="57" spans="1:9" ht="16.5" customHeight="1" thickBot="1">
      <c r="A57" s="384">
        <v>7</v>
      </c>
      <c r="C57" s="384" t="s">
        <v>664</v>
      </c>
      <c r="E57" s="384" t="str">
        <f>+VLOOKUP(A57,'Metodologia Nomenclatura'!B:F,5,0)</f>
        <v>Supervisor / Analista / Técnico</v>
      </c>
      <c r="G57" s="387" t="s">
        <v>783</v>
      </c>
      <c r="I57" s="388" t="s">
        <v>854</v>
      </c>
    </row>
    <row r="58" spans="1:9" ht="16.5" customHeight="1" thickBot="1">
      <c r="A58" s="384">
        <v>7</v>
      </c>
      <c r="C58" s="384" t="s">
        <v>664</v>
      </c>
      <c r="E58" s="384" t="str">
        <f>+VLOOKUP(A58,'Metodologia Nomenclatura'!B:F,5,0)</f>
        <v>Supervisor / Analista / Técnico</v>
      </c>
      <c r="G58" s="387" t="s">
        <v>783</v>
      </c>
      <c r="I58" s="388" t="s">
        <v>856</v>
      </c>
    </row>
    <row r="59" spans="1:9" ht="16.5" customHeight="1" thickBot="1">
      <c r="A59" s="384">
        <v>7</v>
      </c>
      <c r="C59" s="384" t="s">
        <v>664</v>
      </c>
      <c r="E59" s="384" t="str">
        <f>+VLOOKUP(A59,'Metodologia Nomenclatura'!B:F,5,0)</f>
        <v>Supervisor / Analista / Técnico</v>
      </c>
      <c r="G59" s="387" t="s">
        <v>783</v>
      </c>
      <c r="I59" s="388" t="s">
        <v>857</v>
      </c>
    </row>
    <row r="60" spans="1:9" ht="16.5" customHeight="1" thickBot="1">
      <c r="A60" s="384">
        <v>7</v>
      </c>
      <c r="C60" s="384" t="s">
        <v>664</v>
      </c>
      <c r="E60" s="384" t="str">
        <f>+VLOOKUP(A60,'Metodologia Nomenclatura'!B:F,5,0)</f>
        <v>Supervisor / Analista / Técnico</v>
      </c>
      <c r="G60" s="387" t="s">
        <v>783</v>
      </c>
      <c r="I60" s="388" t="s">
        <v>859</v>
      </c>
    </row>
    <row r="61" spans="1:9" ht="16.5" customHeight="1" thickBot="1">
      <c r="A61" s="384">
        <v>6</v>
      </c>
      <c r="C61" s="384" t="s">
        <v>664</v>
      </c>
      <c r="E61" s="384" t="str">
        <f>+VLOOKUP(A61,'Metodologia Nomenclatura'!B:F,5,0)</f>
        <v>Supervisor / Analista / Técnico</v>
      </c>
      <c r="G61" s="387" t="s">
        <v>783</v>
      </c>
      <c r="I61" s="388" t="s">
        <v>862</v>
      </c>
    </row>
    <row r="62" spans="1:9" ht="16.5" customHeight="1" thickBot="1">
      <c r="A62" s="384">
        <v>16</v>
      </c>
      <c r="B62" s="389"/>
      <c r="C62" s="384" t="s">
        <v>661</v>
      </c>
      <c r="D62" s="389"/>
      <c r="E62" s="384" t="str">
        <f>+VLOOKUP(A62,'Metodologia Nomenclatura'!B:F,5,0)</f>
        <v>Director / Director Región / Director País</v>
      </c>
      <c r="F62" s="389"/>
      <c r="G62" s="387" t="s">
        <v>787</v>
      </c>
      <c r="H62" s="389"/>
      <c r="I62" s="388" t="s">
        <v>788</v>
      </c>
    </row>
    <row r="63" spans="1:9" ht="16.5" customHeight="1" thickBot="1">
      <c r="A63" s="384">
        <v>14</v>
      </c>
      <c r="B63" s="389"/>
      <c r="C63" s="384" t="s">
        <v>662</v>
      </c>
      <c r="D63" s="389"/>
      <c r="E63" s="384" t="str">
        <f>+VLOOKUP(A63,'Metodologia Nomenclatura'!B:F,5,0)</f>
        <v>Gerente Sr / Gerente Región / Gerente País / Especialista Sr</v>
      </c>
      <c r="F63" s="389"/>
      <c r="G63" s="387" t="s">
        <v>787</v>
      </c>
      <c r="H63" s="389"/>
      <c r="I63" s="388" t="s">
        <v>797</v>
      </c>
    </row>
    <row r="64" spans="1:9" ht="16.5" customHeight="1" thickBot="1">
      <c r="A64" s="384">
        <v>14</v>
      </c>
      <c r="B64" s="390"/>
      <c r="C64" s="384" t="s">
        <v>662</v>
      </c>
      <c r="D64" s="390"/>
      <c r="E64" s="384" t="str">
        <f>+VLOOKUP(A64,'Metodologia Nomenclatura'!B:F,5,0)</f>
        <v>Gerente Sr / Gerente Región / Gerente País / Especialista Sr</v>
      </c>
      <c r="F64" s="390"/>
      <c r="G64" s="387" t="s">
        <v>787</v>
      </c>
      <c r="H64" s="390"/>
      <c r="I64" s="388" t="s">
        <v>800</v>
      </c>
    </row>
    <row r="65" spans="1:9" ht="16.5" customHeight="1" thickBot="1">
      <c r="A65" s="384">
        <v>12</v>
      </c>
      <c r="B65" s="390"/>
      <c r="C65" s="384" t="s">
        <v>663</v>
      </c>
      <c r="D65" s="390"/>
      <c r="E65" s="384" t="str">
        <f>+VLOOKUP(A65,'Metodologia Nomenclatura'!B:F,5,0)</f>
        <v>Coordinador Sr. / Especialista</v>
      </c>
      <c r="F65" s="390"/>
      <c r="G65" s="387" t="s">
        <v>787</v>
      </c>
      <c r="H65" s="390"/>
      <c r="I65" s="388" t="s">
        <v>808</v>
      </c>
    </row>
    <row r="66" spans="1:9" ht="16.5" customHeight="1" thickBot="1">
      <c r="A66" s="384">
        <v>12</v>
      </c>
      <c r="B66" s="390"/>
      <c r="C66" s="384" t="s">
        <v>663</v>
      </c>
      <c r="D66" s="390"/>
      <c r="E66" s="384" t="str">
        <f>+VLOOKUP(A66,'Metodologia Nomenclatura'!B:F,5,0)</f>
        <v>Coordinador Sr. / Especialista</v>
      </c>
      <c r="F66" s="390"/>
      <c r="G66" s="387" t="s">
        <v>787</v>
      </c>
      <c r="H66" s="390"/>
      <c r="I66" s="388" t="s">
        <v>813</v>
      </c>
    </row>
    <row r="67" spans="1:9" ht="16.5" customHeight="1" thickBot="1">
      <c r="A67" s="384">
        <v>12</v>
      </c>
      <c r="B67" s="390"/>
      <c r="C67" s="384" t="s">
        <v>663</v>
      </c>
      <c r="D67" s="390"/>
      <c r="E67" s="384" t="str">
        <f>+VLOOKUP(A67,'Metodologia Nomenclatura'!B:F,5,0)</f>
        <v>Coordinador Sr. / Especialista</v>
      </c>
      <c r="F67" s="390"/>
      <c r="G67" s="387" t="s">
        <v>787</v>
      </c>
      <c r="H67" s="390"/>
      <c r="I67" s="388" t="s">
        <v>817</v>
      </c>
    </row>
    <row r="68" spans="1:9" ht="16.5" customHeight="1" thickBot="1">
      <c r="A68" s="384">
        <v>11</v>
      </c>
      <c r="B68" s="390"/>
      <c r="C68" s="384" t="s">
        <v>663</v>
      </c>
      <c r="D68" s="390"/>
      <c r="E68" s="384" t="str">
        <f>+VLOOKUP(A68,'Metodologia Nomenclatura'!B:F,5,0)</f>
        <v>Coordinador / Especialista</v>
      </c>
      <c r="F68" s="390"/>
      <c r="G68" s="387" t="s">
        <v>787</v>
      </c>
      <c r="H68" s="390"/>
      <c r="I68" s="388" t="s">
        <v>820</v>
      </c>
    </row>
    <row r="69" spans="1:9" ht="16.5" customHeight="1" thickBot="1">
      <c r="A69" s="384">
        <v>11</v>
      </c>
      <c r="B69" s="390"/>
      <c r="C69" s="384" t="s">
        <v>663</v>
      </c>
      <c r="D69" s="390"/>
      <c r="E69" s="384" t="str">
        <f>+VLOOKUP(A69,'Metodologia Nomenclatura'!B:F,5,0)</f>
        <v>Coordinador / Especialista</v>
      </c>
      <c r="F69" s="390"/>
      <c r="G69" s="387" t="s">
        <v>787</v>
      </c>
      <c r="H69" s="390"/>
      <c r="I69" s="388" t="s">
        <v>831</v>
      </c>
    </row>
    <row r="70" spans="1:9" ht="16.5" customHeight="1" thickBot="1">
      <c r="A70" s="384">
        <v>9</v>
      </c>
      <c r="B70" s="390"/>
      <c r="C70" s="384" t="s">
        <v>663</v>
      </c>
      <c r="D70" s="390"/>
      <c r="E70" s="384" t="str">
        <f>+VLOOKUP(A70,'Metodologia Nomenclatura'!B:F,5,0)</f>
        <v>Coordinador Jr. / Analista Sr</v>
      </c>
      <c r="F70" s="390"/>
      <c r="G70" s="387" t="s">
        <v>787</v>
      </c>
      <c r="H70" s="390"/>
      <c r="I70" s="388" t="s">
        <v>834</v>
      </c>
    </row>
    <row r="71" spans="1:9" ht="16.5" customHeight="1" thickBot="1">
      <c r="A71" s="384">
        <v>9</v>
      </c>
      <c r="B71" s="390"/>
      <c r="C71" s="384" t="s">
        <v>663</v>
      </c>
      <c r="D71" s="390"/>
      <c r="E71" s="384" t="str">
        <f>+VLOOKUP(A71,'Metodologia Nomenclatura'!B:F,5,0)</f>
        <v>Coordinador Jr. / Analista Sr</v>
      </c>
      <c r="F71" s="390"/>
      <c r="G71" s="387" t="s">
        <v>787</v>
      </c>
      <c r="H71" s="390"/>
      <c r="I71" s="388" t="s">
        <v>836</v>
      </c>
    </row>
    <row r="72" spans="1:9" ht="16.5" customHeight="1" thickBot="1">
      <c r="A72" s="384">
        <v>9</v>
      </c>
      <c r="B72" s="390"/>
      <c r="C72" s="384" t="s">
        <v>663</v>
      </c>
      <c r="D72" s="390"/>
      <c r="E72" s="384" t="str">
        <f>+VLOOKUP(A72,'Metodologia Nomenclatura'!B:F,5,0)</f>
        <v>Coordinador Jr. / Analista Sr</v>
      </c>
      <c r="F72" s="390"/>
      <c r="G72" s="387" t="s">
        <v>787</v>
      </c>
      <c r="H72" s="390"/>
      <c r="I72" s="388" t="s">
        <v>837</v>
      </c>
    </row>
    <row r="73" spans="1:9" ht="16.5" customHeight="1" thickBot="1">
      <c r="A73" s="384">
        <v>7</v>
      </c>
      <c r="B73" s="390"/>
      <c r="C73" s="384" t="s">
        <v>664</v>
      </c>
      <c r="D73" s="390"/>
      <c r="E73" s="384" t="str">
        <f>+VLOOKUP(A73,'Metodologia Nomenclatura'!B:F,5,0)</f>
        <v>Supervisor / Analista / Técnico</v>
      </c>
      <c r="F73" s="390"/>
      <c r="G73" s="387" t="s">
        <v>787</v>
      </c>
      <c r="H73" s="390"/>
      <c r="I73" s="388" t="s">
        <v>847</v>
      </c>
    </row>
    <row r="74" spans="1:9" ht="16.5" customHeight="1" thickBot="1">
      <c r="A74" s="384">
        <v>7</v>
      </c>
      <c r="B74" s="390"/>
      <c r="C74" s="384" t="s">
        <v>664</v>
      </c>
      <c r="D74" s="390"/>
      <c r="E74" s="384" t="str">
        <f>+VLOOKUP(A74,'Metodologia Nomenclatura'!B:F,5,0)</f>
        <v>Supervisor / Analista / Técnico</v>
      </c>
      <c r="F74" s="390"/>
      <c r="G74" s="387" t="s">
        <v>787</v>
      </c>
      <c r="H74" s="390"/>
      <c r="I74" s="388" t="s">
        <v>850</v>
      </c>
    </row>
    <row r="75" spans="1:9" ht="16.5" customHeight="1" thickBot="1">
      <c r="A75" s="384">
        <v>7</v>
      </c>
      <c r="B75" s="390"/>
      <c r="C75" s="384" t="s">
        <v>664</v>
      </c>
      <c r="D75" s="390"/>
      <c r="E75" s="384" t="str">
        <f>+VLOOKUP(A75,'Metodologia Nomenclatura'!B:F,5,0)</f>
        <v>Supervisor / Analista / Técnico</v>
      </c>
      <c r="F75" s="390"/>
      <c r="G75" s="387" t="s">
        <v>787</v>
      </c>
      <c r="H75" s="390"/>
      <c r="I75" s="388" t="s">
        <v>851</v>
      </c>
    </row>
    <row r="76" spans="1:9" ht="16.5" customHeight="1" thickBot="1">
      <c r="A76" s="384">
        <v>7</v>
      </c>
      <c r="C76" s="384" t="s">
        <v>664</v>
      </c>
      <c r="E76" s="384" t="str">
        <f>+VLOOKUP(A76,'Metodologia Nomenclatura'!B:F,5,0)</f>
        <v>Supervisor / Analista / Técnico</v>
      </c>
      <c r="G76" s="387" t="s">
        <v>787</v>
      </c>
      <c r="I76" s="388" t="s">
        <v>852</v>
      </c>
    </row>
    <row r="77" spans="1:9" ht="16.5" customHeight="1" thickBot="1">
      <c r="A77" s="384">
        <v>7</v>
      </c>
      <c r="C77" s="384" t="s">
        <v>664</v>
      </c>
      <c r="E77" s="384" t="str">
        <f>+VLOOKUP(A77,'Metodologia Nomenclatura'!B:F,5,0)</f>
        <v>Supervisor / Analista / Técnico</v>
      </c>
      <c r="G77" s="387" t="s">
        <v>787</v>
      </c>
      <c r="I77" s="388" t="s">
        <v>855</v>
      </c>
    </row>
    <row r="78" spans="1:9" ht="16.5" customHeight="1" thickBot="1">
      <c r="A78" s="384">
        <v>6</v>
      </c>
      <c r="C78" s="384" t="s">
        <v>664</v>
      </c>
      <c r="E78" s="384" t="str">
        <f>+VLOOKUP(A78,'Metodologia Nomenclatura'!B:F,5,0)</f>
        <v>Supervisor / Analista / Técnico</v>
      </c>
      <c r="G78" s="387" t="s">
        <v>787</v>
      </c>
      <c r="I78" s="388" t="s">
        <v>860</v>
      </c>
    </row>
    <row r="79" spans="1:9" ht="16.5" customHeight="1" thickBot="1">
      <c r="A79" s="384">
        <v>15</v>
      </c>
      <c r="B79" s="391"/>
      <c r="C79" s="384" t="s">
        <v>662</v>
      </c>
      <c r="D79" s="391"/>
      <c r="E79" s="384" t="str">
        <f>+VLOOKUP(A79,'Metodologia Nomenclatura'!B:F,5,0)</f>
        <v>Gerente Sr / Gerente Región / Gerente País / Especialista Sr</v>
      </c>
      <c r="F79" s="391"/>
      <c r="G79" s="387" t="s">
        <v>814</v>
      </c>
      <c r="H79" s="391"/>
      <c r="I79" s="388" t="s">
        <v>793</v>
      </c>
    </row>
    <row r="80" spans="1:9" ht="16.5" customHeight="1" thickBot="1">
      <c r="A80" s="384">
        <v>12</v>
      </c>
      <c r="C80" s="384" t="s">
        <v>663</v>
      </c>
      <c r="E80" s="384" t="str">
        <f>+VLOOKUP(A80,'Metodologia Nomenclatura'!B:F,5,0)</f>
        <v>Coordinador Sr. / Especialista</v>
      </c>
      <c r="G80" s="387" t="s">
        <v>814</v>
      </c>
      <c r="I80" s="388" t="s">
        <v>815</v>
      </c>
    </row>
    <row r="81" spans="1:9" ht="16.5" customHeight="1" thickBot="1">
      <c r="A81" s="384">
        <v>11</v>
      </c>
      <c r="C81" s="384" t="s">
        <v>663</v>
      </c>
      <c r="E81" s="384" t="str">
        <f>+VLOOKUP(A81,'Metodologia Nomenclatura'!B:F,5,0)</f>
        <v>Coordinador / Especialista</v>
      </c>
      <c r="G81" s="387" t="s">
        <v>814</v>
      </c>
      <c r="I81" s="388" t="s">
        <v>824</v>
      </c>
    </row>
    <row r="82" spans="1:9" ht="16.5" customHeight="1" thickBot="1">
      <c r="A82" s="384">
        <v>8</v>
      </c>
      <c r="C82" s="384" t="s">
        <v>664</v>
      </c>
      <c r="E82" s="384" t="str">
        <f>+VLOOKUP(A82,'Metodologia Nomenclatura'!B:F,5,0)</f>
        <v>Supervisor / Analista Sr / Técnico</v>
      </c>
      <c r="G82" s="387" t="s">
        <v>814</v>
      </c>
      <c r="I82" s="388" t="s">
        <v>842</v>
      </c>
    </row>
  </sheetData>
  <autoFilter ref="A1:I41" xr:uid="{4A847DFB-B4F7-4AD9-BD1C-52FCF6A94174}">
    <sortState xmlns:xlrd2="http://schemas.microsoft.com/office/spreadsheetml/2017/richdata2" ref="A2:I41">
      <sortCondition ref="G1:G41"/>
    </sortState>
  </autoFilter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6"/>
  <dimension ref="A1:G29"/>
  <sheetViews>
    <sheetView showGridLines="0" zoomScale="130" zoomScaleNormal="130" workbookViewId="0"/>
  </sheetViews>
  <sheetFormatPr baseColWidth="10" defaultColWidth="0" defaultRowHeight="13.8" zeroHeight="1"/>
  <cols>
    <col min="1" max="1" width="1.5546875" style="13" customWidth="1"/>
    <col min="2" max="2" width="13.5546875" style="13" customWidth="1"/>
    <col min="3" max="3" width="25.44140625" style="13" customWidth="1"/>
    <col min="4" max="4" width="37.5546875" style="13" customWidth="1"/>
    <col min="5" max="5" width="12.5546875" style="13" customWidth="1"/>
    <col min="6" max="6" width="31.44140625" style="13" customWidth="1"/>
    <col min="7" max="7" width="2.5546875" style="13" customWidth="1"/>
    <col min="8" max="16384" width="9.44140625" style="13" hidden="1"/>
  </cols>
  <sheetData>
    <row r="1" spans="2:6" ht="86.25" customHeight="1"/>
    <row r="2" spans="2:6">
      <c r="B2" s="254" t="s">
        <v>870</v>
      </c>
      <c r="C2" s="254" t="s">
        <v>259</v>
      </c>
      <c r="D2" s="254" t="s">
        <v>235</v>
      </c>
      <c r="E2" s="254" t="s">
        <v>571</v>
      </c>
    </row>
    <row r="3" spans="2:6">
      <c r="B3" s="76">
        <v>0</v>
      </c>
      <c r="C3" s="76" t="s">
        <v>290</v>
      </c>
      <c r="D3" s="76" t="s">
        <v>871</v>
      </c>
      <c r="E3" s="77">
        <f>COUNTIF(Cargos_Catalogo[Criticidad],Criticidad_Registro[[#This Row],[Criticidad]])</f>
        <v>38</v>
      </c>
    </row>
    <row r="4" spans="2:6">
      <c r="B4" s="76">
        <v>1</v>
      </c>
      <c r="C4" s="76" t="s">
        <v>295</v>
      </c>
      <c r="D4" s="76" t="s">
        <v>872</v>
      </c>
      <c r="E4" s="77">
        <f>COUNTIF(Cargos_Catalogo[Criticidad],Criticidad_Registro[[#This Row],[Criticidad]])</f>
        <v>15</v>
      </c>
    </row>
    <row r="5" spans="2:6">
      <c r="B5" s="76">
        <v>2</v>
      </c>
      <c r="C5" s="76" t="s">
        <v>277</v>
      </c>
      <c r="D5" s="76" t="s">
        <v>873</v>
      </c>
      <c r="E5" s="77">
        <f>COUNTIF(Cargos_Catalogo[Criticidad],Criticidad_Registro[[#This Row],[Criticidad]])</f>
        <v>12</v>
      </c>
    </row>
    <row r="6" spans="2:6">
      <c r="B6" s="255">
        <v>3</v>
      </c>
      <c r="C6" s="255" t="s">
        <v>273</v>
      </c>
      <c r="D6" s="255" t="s">
        <v>874</v>
      </c>
      <c r="E6" s="256">
        <f>COUNTIF(Cargos_Catalogo[Criticidad],Criticidad_Registro[[#This Row],[Criticidad]])</f>
        <v>16</v>
      </c>
    </row>
    <row r="7" spans="2:6" ht="9.75" customHeight="1">
      <c r="B7" s="74"/>
      <c r="C7" s="74"/>
      <c r="D7" s="74"/>
      <c r="E7" s="75"/>
    </row>
    <row r="8" spans="2:6">
      <c r="B8" s="297" t="s">
        <v>875</v>
      </c>
      <c r="C8" s="667" t="s">
        <v>876</v>
      </c>
      <c r="D8" s="667"/>
      <c r="E8" s="667"/>
      <c r="F8" s="667"/>
    </row>
    <row r="9" spans="2:6">
      <c r="B9" s="298">
        <v>0</v>
      </c>
      <c r="C9" s="665" t="s">
        <v>877</v>
      </c>
      <c r="D9" s="665"/>
      <c r="E9" s="665"/>
      <c r="F9" s="665"/>
    </row>
    <row r="10" spans="2:6">
      <c r="B10" s="76">
        <v>1</v>
      </c>
      <c r="C10" s="666" t="s">
        <v>236</v>
      </c>
      <c r="D10" s="666"/>
      <c r="E10" s="666"/>
      <c r="F10" s="666"/>
    </row>
    <row r="11" spans="2:6">
      <c r="B11" s="296">
        <v>2</v>
      </c>
      <c r="C11" s="664" t="s">
        <v>237</v>
      </c>
      <c r="D11" s="664"/>
      <c r="E11" s="664"/>
      <c r="F11" s="664"/>
    </row>
    <row r="12" spans="2:6">
      <c r="B12" s="255">
        <v>3</v>
      </c>
      <c r="C12" s="663" t="s">
        <v>238</v>
      </c>
      <c r="D12" s="663"/>
      <c r="E12" s="663"/>
      <c r="F12" s="663"/>
    </row>
    <row r="13" spans="2:6">
      <c r="B13" s="74"/>
      <c r="C13" s="74"/>
      <c r="D13" s="74"/>
      <c r="E13" s="75"/>
    </row>
    <row r="14" spans="2:6">
      <c r="B14" s="74"/>
      <c r="C14" s="74"/>
      <c r="D14" s="74"/>
      <c r="E14" s="75"/>
    </row>
    <row r="15" spans="2:6">
      <c r="B15" s="74"/>
      <c r="C15" s="74"/>
      <c r="D15" s="74"/>
      <c r="E15" s="75"/>
    </row>
    <row r="16" spans="2:6">
      <c r="B16" s="74"/>
      <c r="C16" s="74"/>
      <c r="D16" s="74"/>
      <c r="E16" s="75"/>
    </row>
    <row r="17"/>
    <row r="18"/>
    <row r="19" ht="15" customHeight="1"/>
    <row r="20" ht="15" customHeight="1"/>
    <row r="21" ht="15" customHeight="1"/>
    <row r="22" ht="15" customHeight="1"/>
    <row r="23"/>
    <row r="24"/>
    <row r="25"/>
    <row r="26"/>
    <row r="27"/>
    <row r="28"/>
    <row r="29"/>
  </sheetData>
  <mergeCells count="5">
    <mergeCell ref="C12:F12"/>
    <mergeCell ref="C11:F11"/>
    <mergeCell ref="C9:F9"/>
    <mergeCell ref="C10:F10"/>
    <mergeCell ref="C8:F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3" name="Button 1">
              <controlPr defaultSize="0" print="0" autoFill="0" autoPict="0" macro="[0]!CriticidadesMenu">
                <anchor moveWithCells="1" sizeWithCells="1">
                  <from>
                    <xdr:col>5</xdr:col>
                    <xdr:colOff>944880</xdr:colOff>
                    <xdr:row>0</xdr:row>
                    <xdr:rowOff>411480</xdr:rowOff>
                  </from>
                  <to>
                    <xdr:col>5</xdr:col>
                    <xdr:colOff>2042160</xdr:colOff>
                    <xdr:row>0</xdr:row>
                    <xdr:rowOff>708660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5">
    <tabColor rgb="FF3F80CD"/>
  </sheetPr>
  <dimension ref="B2:D27"/>
  <sheetViews>
    <sheetView workbookViewId="0"/>
  </sheetViews>
  <sheetFormatPr baseColWidth="10" defaultColWidth="9.44140625" defaultRowHeight="13.8"/>
  <cols>
    <col min="1" max="1" width="1.5546875" style="8" customWidth="1"/>
    <col min="2" max="2" width="15.44140625" style="9" customWidth="1"/>
    <col min="3" max="4" width="42.5546875" style="9" customWidth="1"/>
    <col min="5" max="5" width="2.5546875" style="8" customWidth="1"/>
    <col min="6" max="16384" width="9.44140625" style="8"/>
  </cols>
  <sheetData>
    <row r="2" spans="2:4">
      <c r="B2" s="241" t="s">
        <v>878</v>
      </c>
      <c r="C2" s="241" t="s">
        <v>439</v>
      </c>
      <c r="D2" s="241" t="s">
        <v>879</v>
      </c>
    </row>
    <row r="3" spans="2:4">
      <c r="B3" s="195">
        <v>25</v>
      </c>
      <c r="C3" s="195" t="s">
        <v>764</v>
      </c>
      <c r="D3" s="195"/>
    </row>
    <row r="4" spans="2:4">
      <c r="B4" s="195">
        <v>24</v>
      </c>
      <c r="C4" s="195" t="s">
        <v>765</v>
      </c>
      <c r="D4" s="195"/>
    </row>
    <row r="5" spans="2:4">
      <c r="B5" s="195">
        <v>23</v>
      </c>
      <c r="C5" s="195" t="s">
        <v>766</v>
      </c>
      <c r="D5" s="195"/>
    </row>
    <row r="6" spans="2:4">
      <c r="B6" s="195">
        <v>22</v>
      </c>
      <c r="C6" s="195" t="s">
        <v>360</v>
      </c>
      <c r="D6" s="195"/>
    </row>
    <row r="7" spans="2:4">
      <c r="B7" s="195">
        <v>21</v>
      </c>
      <c r="C7" s="195" t="s">
        <v>360</v>
      </c>
      <c r="D7" s="195"/>
    </row>
    <row r="8" spans="2:4">
      <c r="B8" s="195">
        <v>20</v>
      </c>
      <c r="C8" s="195" t="s">
        <v>360</v>
      </c>
      <c r="D8" s="195"/>
    </row>
    <row r="9" spans="2:4">
      <c r="B9" s="195">
        <v>19</v>
      </c>
      <c r="C9" s="195" t="s">
        <v>362</v>
      </c>
      <c r="D9" s="195"/>
    </row>
    <row r="10" spans="2:4">
      <c r="B10" s="195">
        <v>18</v>
      </c>
      <c r="C10" s="195" t="s">
        <v>362</v>
      </c>
      <c r="D10" s="195"/>
    </row>
    <row r="11" spans="2:4">
      <c r="B11" s="195">
        <v>17</v>
      </c>
      <c r="C11" s="195" t="s">
        <v>362</v>
      </c>
      <c r="D11" s="195"/>
    </row>
    <row r="12" spans="2:4">
      <c r="B12" s="195">
        <v>16</v>
      </c>
      <c r="C12" s="195" t="s">
        <v>880</v>
      </c>
      <c r="D12" s="195"/>
    </row>
    <row r="13" spans="2:4">
      <c r="B13" s="195">
        <v>15</v>
      </c>
      <c r="C13" s="195" t="s">
        <v>880</v>
      </c>
      <c r="D13" s="195"/>
    </row>
    <row r="14" spans="2:4">
      <c r="B14" s="195">
        <v>14</v>
      </c>
      <c r="C14" s="195" t="s">
        <v>880</v>
      </c>
      <c r="D14" s="195"/>
    </row>
    <row r="15" spans="2:4">
      <c r="B15" s="195">
        <v>13</v>
      </c>
      <c r="C15" s="195" t="s">
        <v>380</v>
      </c>
      <c r="D15" s="195"/>
    </row>
    <row r="16" spans="2:4">
      <c r="B16" s="195">
        <v>12</v>
      </c>
      <c r="C16" s="195" t="s">
        <v>380</v>
      </c>
      <c r="D16" s="195"/>
    </row>
    <row r="17" spans="2:4">
      <c r="B17" s="195">
        <v>11</v>
      </c>
      <c r="C17" s="195" t="s">
        <v>881</v>
      </c>
      <c r="D17" s="195"/>
    </row>
    <row r="18" spans="2:4">
      <c r="B18" s="195">
        <v>10</v>
      </c>
      <c r="C18" s="195" t="s">
        <v>380</v>
      </c>
      <c r="D18" s="195"/>
    </row>
    <row r="19" spans="2:4">
      <c r="B19" s="195">
        <v>9</v>
      </c>
      <c r="C19" s="195" t="s">
        <v>882</v>
      </c>
      <c r="D19" s="195"/>
    </row>
    <row r="20" spans="2:4">
      <c r="B20" s="195">
        <v>8</v>
      </c>
      <c r="C20" s="195" t="s">
        <v>883</v>
      </c>
      <c r="D20" s="195"/>
    </row>
    <row r="21" spans="2:4">
      <c r="B21" s="195">
        <v>7</v>
      </c>
      <c r="C21" s="195" t="s">
        <v>883</v>
      </c>
      <c r="D21" s="195"/>
    </row>
    <row r="22" spans="2:4">
      <c r="B22" s="195">
        <v>6</v>
      </c>
      <c r="C22" s="195" t="s">
        <v>884</v>
      </c>
      <c r="D22" s="195"/>
    </row>
    <row r="23" spans="2:4">
      <c r="B23" s="195">
        <v>5</v>
      </c>
      <c r="C23" s="195" t="s">
        <v>885</v>
      </c>
      <c r="D23" s="195"/>
    </row>
    <row r="24" spans="2:4">
      <c r="B24" s="195">
        <v>4</v>
      </c>
      <c r="C24" s="195" t="s">
        <v>885</v>
      </c>
      <c r="D24" s="195"/>
    </row>
    <row r="25" spans="2:4">
      <c r="B25" s="195">
        <v>3</v>
      </c>
      <c r="C25" s="195" t="s">
        <v>886</v>
      </c>
      <c r="D25" s="195"/>
    </row>
    <row r="26" spans="2:4">
      <c r="B26" s="195">
        <v>2</v>
      </c>
      <c r="C26" s="195" t="s">
        <v>886</v>
      </c>
      <c r="D26" s="195"/>
    </row>
    <row r="27" spans="2:4">
      <c r="B27" s="242">
        <v>1</v>
      </c>
      <c r="C27" s="242" t="s">
        <v>781</v>
      </c>
      <c r="D27" s="242"/>
    </row>
  </sheetData>
  <pageMargins left="0.7" right="0.7" top="0.75" bottom="0.75" header="0.3" footer="0.3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4">
    <tabColor rgb="FF3F80CD"/>
  </sheetPr>
  <dimension ref="A1:D9"/>
  <sheetViews>
    <sheetView workbookViewId="0"/>
  </sheetViews>
  <sheetFormatPr baseColWidth="10" defaultColWidth="0" defaultRowHeight="13.8" zeroHeight="1"/>
  <cols>
    <col min="1" max="1" width="2.5546875" style="8" customWidth="1"/>
    <col min="2" max="2" width="9.5546875" style="9" customWidth="1"/>
    <col min="3" max="3" width="17.44140625" style="9" customWidth="1"/>
    <col min="4" max="4" width="2.5546875" style="8" customWidth="1"/>
    <col min="5" max="16384" width="11.44140625" style="8" hidden="1"/>
  </cols>
  <sheetData>
    <row r="1" spans="2:3"/>
    <row r="2" spans="2:3">
      <c r="B2" s="243" t="s">
        <v>257</v>
      </c>
      <c r="C2" s="244" t="s">
        <v>887</v>
      </c>
    </row>
    <row r="3" spans="2:3">
      <c r="B3" s="186">
        <v>0</v>
      </c>
      <c r="C3" s="187" t="s">
        <v>665</v>
      </c>
    </row>
    <row r="4" spans="2:3">
      <c r="B4" s="186">
        <v>6</v>
      </c>
      <c r="C4" s="187" t="s">
        <v>664</v>
      </c>
    </row>
    <row r="5" spans="2:3">
      <c r="B5" s="186">
        <v>9</v>
      </c>
      <c r="C5" s="187" t="s">
        <v>663</v>
      </c>
    </row>
    <row r="6" spans="2:3">
      <c r="B6" s="186">
        <v>13</v>
      </c>
      <c r="C6" s="187" t="s">
        <v>888</v>
      </c>
    </row>
    <row r="7" spans="2:3">
      <c r="B7" s="186">
        <v>16</v>
      </c>
      <c r="C7" s="187" t="s">
        <v>661</v>
      </c>
    </row>
    <row r="8" spans="2:3">
      <c r="B8" s="188">
        <v>20</v>
      </c>
      <c r="C8" s="189" t="s">
        <v>660</v>
      </c>
    </row>
    <row r="9" spans="2:3"/>
  </sheetData>
  <pageMargins left="0.7" right="0.7" top="0.75" bottom="0.75" header="0.3" footer="0.3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8">
    <tabColor rgb="FF3F80CD"/>
  </sheetPr>
  <dimension ref="A1:H675"/>
  <sheetViews>
    <sheetView workbookViewId="0"/>
  </sheetViews>
  <sheetFormatPr baseColWidth="10" defaultColWidth="0" defaultRowHeight="13.8" zeroHeight="1"/>
  <cols>
    <col min="1" max="1" width="2.5546875" style="18" customWidth="1"/>
    <col min="2" max="7" width="10.5546875" style="16" customWidth="1"/>
    <col min="8" max="8" width="2.5546875" style="18" customWidth="1"/>
    <col min="9" max="16384" width="9.44140625" style="18" hidden="1"/>
  </cols>
  <sheetData>
    <row r="1" spans="2:7"/>
    <row r="2" spans="2:7" ht="30" customHeight="1">
      <c r="B2" s="245" t="s">
        <v>889</v>
      </c>
      <c r="C2" s="216" t="s">
        <v>64</v>
      </c>
      <c r="D2" s="245" t="s">
        <v>63</v>
      </c>
      <c r="E2" s="216" t="s">
        <v>66</v>
      </c>
      <c r="F2" s="216" t="s">
        <v>68</v>
      </c>
      <c r="G2" s="216" t="s">
        <v>9</v>
      </c>
    </row>
    <row r="3" spans="2:7" hidden="1">
      <c r="B3" s="199" t="str">
        <f>Factor_1[[#This Row],[Conocimientos]]&amp;" "&amp;Factor_1[[#This Row],[Tendencia]]&amp;" "&amp;Factor_1[[#This Row],[Habilidad Gerencial]]&amp;" "&amp;Factor_1[[#This Row],[Rol del Cargo]]</f>
        <v>A - I 1</v>
      </c>
      <c r="C3" s="199" t="s">
        <v>79</v>
      </c>
      <c r="D3" s="199" t="s">
        <v>78</v>
      </c>
      <c r="E3" s="199" t="s">
        <v>81</v>
      </c>
      <c r="F3" s="199">
        <v>1</v>
      </c>
      <c r="G3" s="199">
        <v>38</v>
      </c>
    </row>
    <row r="4" spans="2:7" hidden="1">
      <c r="B4" s="199" t="str">
        <f>Factor_1[[#This Row],[Conocimientos]]&amp;" "&amp;Factor_1[[#This Row],[Tendencia]]&amp;" "&amp;Factor_1[[#This Row],[Habilidad Gerencial]]&amp;" "&amp;Factor_1[[#This Row],[Rol del Cargo]]</f>
        <v>A - I 2</v>
      </c>
      <c r="C4" s="199" t="s">
        <v>79</v>
      </c>
      <c r="D4" s="199" t="s">
        <v>78</v>
      </c>
      <c r="E4" s="199" t="s">
        <v>81</v>
      </c>
      <c r="F4" s="199">
        <v>2</v>
      </c>
      <c r="G4" s="199">
        <v>44</v>
      </c>
    </row>
    <row r="5" spans="2:7" hidden="1">
      <c r="B5" s="199" t="str">
        <f>Factor_1[[#This Row],[Conocimientos]]&amp;" "&amp;Factor_1[[#This Row],[Tendencia]]&amp;" "&amp;Factor_1[[#This Row],[Habilidad Gerencial]]&amp;" "&amp;Factor_1[[#This Row],[Rol del Cargo]]</f>
        <v>A - I 3</v>
      </c>
      <c r="C5" s="199" t="s">
        <v>79</v>
      </c>
      <c r="D5" s="199" t="s">
        <v>78</v>
      </c>
      <c r="E5" s="199" t="s">
        <v>81</v>
      </c>
      <c r="F5" s="199">
        <v>3</v>
      </c>
      <c r="G5" s="199">
        <v>52</v>
      </c>
    </row>
    <row r="6" spans="2:7" hidden="1">
      <c r="B6" s="199" t="str">
        <f>Factor_1[[#This Row],[Conocimientos]]&amp;" "&amp;Factor_1[[#This Row],[Tendencia]]&amp;" "&amp;Factor_1[[#This Row],[Habilidad Gerencial]]&amp;" "&amp;Factor_1[[#This Row],[Rol del Cargo]]</f>
        <v>A - I 4</v>
      </c>
      <c r="C6" s="199" t="s">
        <v>79</v>
      </c>
      <c r="D6" s="199" t="s">
        <v>78</v>
      </c>
      <c r="E6" s="199" t="s">
        <v>81</v>
      </c>
      <c r="F6" s="199">
        <v>4</v>
      </c>
      <c r="G6" s="199">
        <v>59</v>
      </c>
    </row>
    <row r="7" spans="2:7" hidden="1">
      <c r="B7" s="199" t="str">
        <f>Factor_1[[#This Row],[Conocimientos]]&amp;" "&amp;Factor_1[[#This Row],[Tendencia]]&amp;" "&amp;Factor_1[[#This Row],[Habilidad Gerencial]]&amp;" "&amp;Factor_1[[#This Row],[Rol del Cargo]]</f>
        <v>A o I 1</v>
      </c>
      <c r="C7" s="199" t="s">
        <v>79</v>
      </c>
      <c r="D7" s="199" t="s">
        <v>97</v>
      </c>
      <c r="E7" s="199" t="s">
        <v>81</v>
      </c>
      <c r="F7" s="199">
        <v>1</v>
      </c>
      <c r="G7" s="199">
        <v>45</v>
      </c>
    </row>
    <row r="8" spans="2:7" hidden="1">
      <c r="B8" s="199" t="str">
        <f>Factor_1[[#This Row],[Conocimientos]]&amp;" "&amp;Factor_1[[#This Row],[Tendencia]]&amp;" "&amp;Factor_1[[#This Row],[Habilidad Gerencial]]&amp;" "&amp;Factor_1[[#This Row],[Rol del Cargo]]</f>
        <v>A o I 2</v>
      </c>
      <c r="C8" s="199" t="s">
        <v>79</v>
      </c>
      <c r="D8" s="199" t="s">
        <v>97</v>
      </c>
      <c r="E8" s="199" t="s">
        <v>81</v>
      </c>
      <c r="F8" s="199">
        <v>2</v>
      </c>
      <c r="G8" s="199">
        <v>50</v>
      </c>
    </row>
    <row r="9" spans="2:7" hidden="1">
      <c r="B9" s="199" t="str">
        <f>Factor_1[[#This Row],[Conocimientos]]&amp;" "&amp;Factor_1[[#This Row],[Tendencia]]&amp;" "&amp;Factor_1[[#This Row],[Habilidad Gerencial]]&amp;" "&amp;Factor_1[[#This Row],[Rol del Cargo]]</f>
        <v>A o I 3</v>
      </c>
      <c r="C9" s="199" t="s">
        <v>79</v>
      </c>
      <c r="D9" s="199" t="s">
        <v>97</v>
      </c>
      <c r="E9" s="199" t="s">
        <v>81</v>
      </c>
      <c r="F9" s="199">
        <v>3</v>
      </c>
      <c r="G9" s="199">
        <v>58</v>
      </c>
    </row>
    <row r="10" spans="2:7" hidden="1">
      <c r="B10" s="199" t="str">
        <f>Factor_1[[#This Row],[Conocimientos]]&amp;" "&amp;Factor_1[[#This Row],[Tendencia]]&amp;" "&amp;Factor_1[[#This Row],[Habilidad Gerencial]]&amp;" "&amp;Factor_1[[#This Row],[Rol del Cargo]]</f>
        <v>A o I 4</v>
      </c>
      <c r="C10" s="199" t="s">
        <v>79</v>
      </c>
      <c r="D10" s="199" t="s">
        <v>97</v>
      </c>
      <c r="E10" s="199" t="s">
        <v>81</v>
      </c>
      <c r="F10" s="199">
        <v>4</v>
      </c>
      <c r="G10" s="199">
        <v>65</v>
      </c>
    </row>
    <row r="11" spans="2:7" hidden="1">
      <c r="B11" s="199" t="str">
        <f>Factor_1[[#This Row],[Conocimientos]]&amp;" "&amp;Factor_1[[#This Row],[Tendencia]]&amp;" "&amp;Factor_1[[#This Row],[Habilidad Gerencial]]&amp;" "&amp;Factor_1[[#This Row],[Rol del Cargo]]</f>
        <v>A + I 1</v>
      </c>
      <c r="C11" s="199" t="s">
        <v>79</v>
      </c>
      <c r="D11" s="199" t="s">
        <v>117</v>
      </c>
      <c r="E11" s="199" t="s">
        <v>81</v>
      </c>
      <c r="F11" s="199">
        <v>1</v>
      </c>
      <c r="G11" s="199">
        <v>52</v>
      </c>
    </row>
    <row r="12" spans="2:7" hidden="1">
      <c r="B12" s="199" t="str">
        <f>Factor_1[[#This Row],[Conocimientos]]&amp;" "&amp;Factor_1[[#This Row],[Tendencia]]&amp;" "&amp;Factor_1[[#This Row],[Habilidad Gerencial]]&amp;" "&amp;Factor_1[[#This Row],[Rol del Cargo]]</f>
        <v>A + I 2</v>
      </c>
      <c r="C12" s="199" t="s">
        <v>79</v>
      </c>
      <c r="D12" s="199" t="s">
        <v>117</v>
      </c>
      <c r="E12" s="199" t="s">
        <v>81</v>
      </c>
      <c r="F12" s="199">
        <v>2</v>
      </c>
      <c r="G12" s="199">
        <v>58</v>
      </c>
    </row>
    <row r="13" spans="2:7" hidden="1">
      <c r="B13" s="199" t="str">
        <f>Factor_1[[#This Row],[Conocimientos]]&amp;" "&amp;Factor_1[[#This Row],[Tendencia]]&amp;" "&amp;Factor_1[[#This Row],[Habilidad Gerencial]]&amp;" "&amp;Factor_1[[#This Row],[Rol del Cargo]]</f>
        <v>A + I 3</v>
      </c>
      <c r="C13" s="199" t="s">
        <v>79</v>
      </c>
      <c r="D13" s="199" t="s">
        <v>117</v>
      </c>
      <c r="E13" s="199" t="s">
        <v>81</v>
      </c>
      <c r="F13" s="199">
        <v>3</v>
      </c>
      <c r="G13" s="199">
        <v>66</v>
      </c>
    </row>
    <row r="14" spans="2:7" hidden="1">
      <c r="B14" s="199" t="str">
        <f>Factor_1[[#This Row],[Conocimientos]]&amp;" "&amp;Factor_1[[#This Row],[Tendencia]]&amp;" "&amp;Factor_1[[#This Row],[Habilidad Gerencial]]&amp;" "&amp;Factor_1[[#This Row],[Rol del Cargo]]</f>
        <v>A + I 4</v>
      </c>
      <c r="C14" s="199" t="s">
        <v>79</v>
      </c>
      <c r="D14" s="199" t="s">
        <v>117</v>
      </c>
      <c r="E14" s="199" t="s">
        <v>81</v>
      </c>
      <c r="F14" s="199">
        <v>4</v>
      </c>
      <c r="G14" s="199">
        <v>73</v>
      </c>
    </row>
    <row r="15" spans="2:7" hidden="1">
      <c r="B15" s="199" t="str">
        <f>Factor_1[[#This Row],[Conocimientos]]&amp;" "&amp;Factor_1[[#This Row],[Tendencia]]&amp;" "&amp;Factor_1[[#This Row],[Habilidad Gerencial]]&amp;" "&amp;Factor_1[[#This Row],[Rol del Cargo]]</f>
        <v>A - II 1</v>
      </c>
      <c r="C15" s="199" t="s">
        <v>79</v>
      </c>
      <c r="D15" s="199" t="s">
        <v>78</v>
      </c>
      <c r="E15" s="199" t="s">
        <v>100</v>
      </c>
      <c r="F15" s="199">
        <v>1</v>
      </c>
      <c r="G15" s="199">
        <v>59</v>
      </c>
    </row>
    <row r="16" spans="2:7" hidden="1">
      <c r="B16" s="199" t="str">
        <f>Factor_1[[#This Row],[Conocimientos]]&amp;" "&amp;Factor_1[[#This Row],[Tendencia]]&amp;" "&amp;Factor_1[[#This Row],[Habilidad Gerencial]]&amp;" "&amp;Factor_1[[#This Row],[Rol del Cargo]]</f>
        <v>A - II 2</v>
      </c>
      <c r="C16" s="199" t="s">
        <v>79</v>
      </c>
      <c r="D16" s="199" t="s">
        <v>78</v>
      </c>
      <c r="E16" s="199" t="s">
        <v>100</v>
      </c>
      <c r="F16" s="199">
        <v>2</v>
      </c>
      <c r="G16" s="199">
        <v>62</v>
      </c>
    </row>
    <row r="17" spans="2:7" hidden="1">
      <c r="B17" s="199" t="str">
        <f>Factor_1[[#This Row],[Conocimientos]]&amp;" "&amp;Factor_1[[#This Row],[Tendencia]]&amp;" "&amp;Factor_1[[#This Row],[Habilidad Gerencial]]&amp;" "&amp;Factor_1[[#This Row],[Rol del Cargo]]</f>
        <v>A - II 3</v>
      </c>
      <c r="C17" s="199" t="s">
        <v>79</v>
      </c>
      <c r="D17" s="199" t="s">
        <v>78</v>
      </c>
      <c r="E17" s="199" t="s">
        <v>100</v>
      </c>
      <c r="F17" s="199">
        <v>3</v>
      </c>
      <c r="G17" s="199">
        <v>67</v>
      </c>
    </row>
    <row r="18" spans="2:7" hidden="1">
      <c r="B18" s="199" t="str">
        <f>Factor_1[[#This Row],[Conocimientos]]&amp;" "&amp;Factor_1[[#This Row],[Tendencia]]&amp;" "&amp;Factor_1[[#This Row],[Habilidad Gerencial]]&amp;" "&amp;Factor_1[[#This Row],[Rol del Cargo]]</f>
        <v>A - II 4</v>
      </c>
      <c r="C18" s="199" t="s">
        <v>79</v>
      </c>
      <c r="D18" s="199" t="s">
        <v>78</v>
      </c>
      <c r="E18" s="199" t="s">
        <v>100</v>
      </c>
      <c r="F18" s="199">
        <v>4</v>
      </c>
      <c r="G18" s="199">
        <v>71</v>
      </c>
    </row>
    <row r="19" spans="2:7" hidden="1">
      <c r="B19" s="199" t="str">
        <f>Factor_1[[#This Row],[Conocimientos]]&amp;" "&amp;Factor_1[[#This Row],[Tendencia]]&amp;" "&amp;Factor_1[[#This Row],[Habilidad Gerencial]]&amp;" "&amp;Factor_1[[#This Row],[Rol del Cargo]]</f>
        <v>A o II 1</v>
      </c>
      <c r="C19" s="199" t="s">
        <v>79</v>
      </c>
      <c r="D19" s="199" t="s">
        <v>97</v>
      </c>
      <c r="E19" s="199" t="s">
        <v>100</v>
      </c>
      <c r="F19" s="199">
        <v>1</v>
      </c>
      <c r="G19" s="199">
        <v>65</v>
      </c>
    </row>
    <row r="20" spans="2:7" hidden="1">
      <c r="B20" s="199" t="str">
        <f>Factor_1[[#This Row],[Conocimientos]]&amp;" "&amp;Factor_1[[#This Row],[Tendencia]]&amp;" "&amp;Factor_1[[#This Row],[Habilidad Gerencial]]&amp;" "&amp;Factor_1[[#This Row],[Rol del Cargo]]</f>
        <v>A o II 2</v>
      </c>
      <c r="C20" s="199" t="s">
        <v>79</v>
      </c>
      <c r="D20" s="199" t="s">
        <v>97</v>
      </c>
      <c r="E20" s="199" t="s">
        <v>100</v>
      </c>
      <c r="F20" s="199">
        <v>2</v>
      </c>
      <c r="G20" s="199">
        <v>69</v>
      </c>
    </row>
    <row r="21" spans="2:7" hidden="1">
      <c r="B21" s="199" t="str">
        <f>Factor_1[[#This Row],[Conocimientos]]&amp;" "&amp;Factor_1[[#This Row],[Tendencia]]&amp;" "&amp;Factor_1[[#This Row],[Habilidad Gerencial]]&amp;" "&amp;Factor_1[[#This Row],[Rol del Cargo]]</f>
        <v>A o II 3</v>
      </c>
      <c r="C21" s="199" t="s">
        <v>79</v>
      </c>
      <c r="D21" s="199" t="s">
        <v>97</v>
      </c>
      <c r="E21" s="199" t="s">
        <v>100</v>
      </c>
      <c r="F21" s="199">
        <v>3</v>
      </c>
      <c r="G21" s="199">
        <v>73</v>
      </c>
    </row>
    <row r="22" spans="2:7" hidden="1">
      <c r="B22" s="199" t="str">
        <f>Factor_1[[#This Row],[Conocimientos]]&amp;" "&amp;Factor_1[[#This Row],[Tendencia]]&amp;" "&amp;Factor_1[[#This Row],[Habilidad Gerencial]]&amp;" "&amp;Factor_1[[#This Row],[Rol del Cargo]]</f>
        <v>A o II 4</v>
      </c>
      <c r="C22" s="199" t="s">
        <v>79</v>
      </c>
      <c r="D22" s="199" t="s">
        <v>97</v>
      </c>
      <c r="E22" s="199" t="s">
        <v>100</v>
      </c>
      <c r="F22" s="199">
        <v>4</v>
      </c>
      <c r="G22" s="199">
        <v>78</v>
      </c>
    </row>
    <row r="23" spans="2:7" hidden="1">
      <c r="B23" s="199" t="str">
        <f>Factor_1[[#This Row],[Conocimientos]]&amp;" "&amp;Factor_1[[#This Row],[Tendencia]]&amp;" "&amp;Factor_1[[#This Row],[Habilidad Gerencial]]&amp;" "&amp;Factor_1[[#This Row],[Rol del Cargo]]</f>
        <v>A + II 1</v>
      </c>
      <c r="C23" s="199" t="s">
        <v>79</v>
      </c>
      <c r="D23" s="199" t="s">
        <v>117</v>
      </c>
      <c r="E23" s="199" t="s">
        <v>100</v>
      </c>
      <c r="F23" s="199">
        <v>1</v>
      </c>
      <c r="G23" s="199">
        <v>73</v>
      </c>
    </row>
    <row r="24" spans="2:7" hidden="1">
      <c r="B24" s="199" t="str">
        <f>Factor_1[[#This Row],[Conocimientos]]&amp;" "&amp;Factor_1[[#This Row],[Tendencia]]&amp;" "&amp;Factor_1[[#This Row],[Habilidad Gerencial]]&amp;" "&amp;Factor_1[[#This Row],[Rol del Cargo]]</f>
        <v>A + II 2</v>
      </c>
      <c r="C24" s="199" t="s">
        <v>79</v>
      </c>
      <c r="D24" s="199" t="s">
        <v>117</v>
      </c>
      <c r="E24" s="199" t="s">
        <v>100</v>
      </c>
      <c r="F24" s="199">
        <v>2</v>
      </c>
      <c r="G24" s="199">
        <v>76</v>
      </c>
    </row>
    <row r="25" spans="2:7" hidden="1">
      <c r="B25" s="199" t="str">
        <f>Factor_1[[#This Row],[Conocimientos]]&amp;" "&amp;Factor_1[[#This Row],[Tendencia]]&amp;" "&amp;Factor_1[[#This Row],[Habilidad Gerencial]]&amp;" "&amp;Factor_1[[#This Row],[Rol del Cargo]]</f>
        <v>A + II 3</v>
      </c>
      <c r="C25" s="199" t="s">
        <v>79</v>
      </c>
      <c r="D25" s="199" t="s">
        <v>117</v>
      </c>
      <c r="E25" s="199" t="s">
        <v>100</v>
      </c>
      <c r="F25" s="199">
        <v>3</v>
      </c>
      <c r="G25" s="199">
        <v>81</v>
      </c>
    </row>
    <row r="26" spans="2:7" hidden="1">
      <c r="B26" s="199" t="str">
        <f>Factor_1[[#This Row],[Conocimientos]]&amp;" "&amp;Factor_1[[#This Row],[Tendencia]]&amp;" "&amp;Factor_1[[#This Row],[Habilidad Gerencial]]&amp;" "&amp;Factor_1[[#This Row],[Rol del Cargo]]</f>
        <v>A + II 4</v>
      </c>
      <c r="C26" s="199" t="s">
        <v>79</v>
      </c>
      <c r="D26" s="199" t="s">
        <v>117</v>
      </c>
      <c r="E26" s="199" t="s">
        <v>100</v>
      </c>
      <c r="F26" s="199">
        <v>4</v>
      </c>
      <c r="G26" s="199">
        <v>85</v>
      </c>
    </row>
    <row r="27" spans="2:7" hidden="1">
      <c r="B27" s="199" t="str">
        <f>Factor_1[[#This Row],[Conocimientos]]&amp;" "&amp;Factor_1[[#This Row],[Tendencia]]&amp;" "&amp;Factor_1[[#This Row],[Habilidad Gerencial]]&amp;" "&amp;Factor_1[[#This Row],[Rol del Cargo]]</f>
        <v>A - III 1</v>
      </c>
      <c r="C27" s="199" t="s">
        <v>79</v>
      </c>
      <c r="D27" s="199" t="s">
        <v>78</v>
      </c>
      <c r="E27" s="199" t="s">
        <v>120</v>
      </c>
      <c r="F27" s="199">
        <v>1</v>
      </c>
      <c r="G27" s="199">
        <v>71</v>
      </c>
    </row>
    <row r="28" spans="2:7" hidden="1">
      <c r="B28" s="199" t="str">
        <f>Factor_1[[#This Row],[Conocimientos]]&amp;" "&amp;Factor_1[[#This Row],[Tendencia]]&amp;" "&amp;Factor_1[[#This Row],[Habilidad Gerencial]]&amp;" "&amp;Factor_1[[#This Row],[Rol del Cargo]]</f>
        <v>A - III 2</v>
      </c>
      <c r="C28" s="199" t="s">
        <v>79</v>
      </c>
      <c r="D28" s="199" t="s">
        <v>78</v>
      </c>
      <c r="E28" s="199" t="s">
        <v>120</v>
      </c>
      <c r="F28" s="199">
        <v>2</v>
      </c>
      <c r="G28" s="199">
        <v>77</v>
      </c>
    </row>
    <row r="29" spans="2:7" hidden="1">
      <c r="B29" s="199" t="str">
        <f>Factor_1[[#This Row],[Conocimientos]]&amp;" "&amp;Factor_1[[#This Row],[Tendencia]]&amp;" "&amp;Factor_1[[#This Row],[Habilidad Gerencial]]&amp;" "&amp;Factor_1[[#This Row],[Rol del Cargo]]</f>
        <v>A - III 3</v>
      </c>
      <c r="C29" s="199" t="s">
        <v>79</v>
      </c>
      <c r="D29" s="199" t="s">
        <v>78</v>
      </c>
      <c r="E29" s="199" t="s">
        <v>120</v>
      </c>
      <c r="F29" s="199">
        <v>3</v>
      </c>
      <c r="G29" s="199">
        <v>84</v>
      </c>
    </row>
    <row r="30" spans="2:7" hidden="1">
      <c r="B30" s="199" t="str">
        <f>Factor_1[[#This Row],[Conocimientos]]&amp;" "&amp;Factor_1[[#This Row],[Tendencia]]&amp;" "&amp;Factor_1[[#This Row],[Habilidad Gerencial]]&amp;" "&amp;Factor_1[[#This Row],[Rol del Cargo]]</f>
        <v>A - III 4</v>
      </c>
      <c r="C30" s="199" t="s">
        <v>79</v>
      </c>
      <c r="D30" s="199" t="s">
        <v>78</v>
      </c>
      <c r="E30" s="199" t="s">
        <v>120</v>
      </c>
      <c r="F30" s="199">
        <v>4</v>
      </c>
      <c r="G30" s="199">
        <v>91</v>
      </c>
    </row>
    <row r="31" spans="2:7" hidden="1">
      <c r="B31" s="199" t="str">
        <f>Factor_1[[#This Row],[Conocimientos]]&amp;" "&amp;Factor_1[[#This Row],[Tendencia]]&amp;" "&amp;Factor_1[[#This Row],[Habilidad Gerencial]]&amp;" "&amp;Factor_1[[#This Row],[Rol del Cargo]]</f>
        <v>A o III 1</v>
      </c>
      <c r="C31" s="199" t="s">
        <v>79</v>
      </c>
      <c r="D31" s="199" t="s">
        <v>97</v>
      </c>
      <c r="E31" s="199" t="s">
        <v>120</v>
      </c>
      <c r="F31" s="199">
        <v>1</v>
      </c>
      <c r="G31" s="199">
        <v>78</v>
      </c>
    </row>
    <row r="32" spans="2:7" hidden="1">
      <c r="B32" s="199" t="str">
        <f>Factor_1[[#This Row],[Conocimientos]]&amp;" "&amp;Factor_1[[#This Row],[Tendencia]]&amp;" "&amp;Factor_1[[#This Row],[Habilidad Gerencial]]&amp;" "&amp;Factor_1[[#This Row],[Rol del Cargo]]</f>
        <v>A o III 2</v>
      </c>
      <c r="C32" s="199" t="s">
        <v>79</v>
      </c>
      <c r="D32" s="199" t="s">
        <v>97</v>
      </c>
      <c r="E32" s="199" t="s">
        <v>120</v>
      </c>
      <c r="F32" s="199">
        <v>2</v>
      </c>
      <c r="G32" s="199">
        <v>83</v>
      </c>
    </row>
    <row r="33" spans="2:7" hidden="1">
      <c r="B33" s="199" t="str">
        <f>Factor_1[[#This Row],[Conocimientos]]&amp;" "&amp;Factor_1[[#This Row],[Tendencia]]&amp;" "&amp;Factor_1[[#This Row],[Habilidad Gerencial]]&amp;" "&amp;Factor_1[[#This Row],[Rol del Cargo]]</f>
        <v>A o III 3</v>
      </c>
      <c r="C33" s="199" t="s">
        <v>79</v>
      </c>
      <c r="D33" s="199" t="s">
        <v>97</v>
      </c>
      <c r="E33" s="199" t="s">
        <v>120</v>
      </c>
      <c r="F33" s="199">
        <v>3</v>
      </c>
      <c r="G33" s="199">
        <v>90</v>
      </c>
    </row>
    <row r="34" spans="2:7" hidden="1">
      <c r="B34" s="199" t="str">
        <f>Factor_1[[#This Row],[Conocimientos]]&amp;" "&amp;Factor_1[[#This Row],[Tendencia]]&amp;" "&amp;Factor_1[[#This Row],[Habilidad Gerencial]]&amp;" "&amp;Factor_1[[#This Row],[Rol del Cargo]]</f>
        <v>A o III 4</v>
      </c>
      <c r="C34" s="199" t="s">
        <v>79</v>
      </c>
      <c r="D34" s="199" t="s">
        <v>97</v>
      </c>
      <c r="E34" s="199" t="s">
        <v>120</v>
      </c>
      <c r="F34" s="199">
        <v>4</v>
      </c>
      <c r="G34" s="199">
        <v>98</v>
      </c>
    </row>
    <row r="35" spans="2:7" hidden="1">
      <c r="B35" s="199" t="str">
        <f>Factor_1[[#This Row],[Conocimientos]]&amp;" "&amp;Factor_1[[#This Row],[Tendencia]]&amp;" "&amp;Factor_1[[#This Row],[Habilidad Gerencial]]&amp;" "&amp;Factor_1[[#This Row],[Rol del Cargo]]</f>
        <v>A + III 1</v>
      </c>
      <c r="C35" s="199" t="s">
        <v>79</v>
      </c>
      <c r="D35" s="199" t="s">
        <v>117</v>
      </c>
      <c r="E35" s="199" t="s">
        <v>120</v>
      </c>
      <c r="F35" s="199">
        <v>1</v>
      </c>
      <c r="G35" s="199">
        <v>85</v>
      </c>
    </row>
    <row r="36" spans="2:7" hidden="1">
      <c r="B36" s="199" t="str">
        <f>Factor_1[[#This Row],[Conocimientos]]&amp;" "&amp;Factor_1[[#This Row],[Tendencia]]&amp;" "&amp;Factor_1[[#This Row],[Habilidad Gerencial]]&amp;" "&amp;Factor_1[[#This Row],[Rol del Cargo]]</f>
        <v>A + III 2</v>
      </c>
      <c r="C36" s="199" t="s">
        <v>79</v>
      </c>
      <c r="D36" s="199" t="s">
        <v>117</v>
      </c>
      <c r="E36" s="199" t="s">
        <v>120</v>
      </c>
      <c r="F36" s="199">
        <v>2</v>
      </c>
      <c r="G36" s="199">
        <v>91</v>
      </c>
    </row>
    <row r="37" spans="2:7" hidden="1">
      <c r="B37" s="199" t="str">
        <f>Factor_1[[#This Row],[Conocimientos]]&amp;" "&amp;Factor_1[[#This Row],[Tendencia]]&amp;" "&amp;Factor_1[[#This Row],[Habilidad Gerencial]]&amp;" "&amp;Factor_1[[#This Row],[Rol del Cargo]]</f>
        <v>A + III 3</v>
      </c>
      <c r="C37" s="199" t="s">
        <v>79</v>
      </c>
      <c r="D37" s="199" t="s">
        <v>117</v>
      </c>
      <c r="E37" s="199" t="s">
        <v>120</v>
      </c>
      <c r="F37" s="199">
        <v>3</v>
      </c>
      <c r="G37" s="199">
        <v>98</v>
      </c>
    </row>
    <row r="38" spans="2:7" hidden="1">
      <c r="B38" s="199" t="str">
        <f>Factor_1[[#This Row],[Conocimientos]]&amp;" "&amp;Factor_1[[#This Row],[Tendencia]]&amp;" "&amp;Factor_1[[#This Row],[Habilidad Gerencial]]&amp;" "&amp;Factor_1[[#This Row],[Rol del Cargo]]</f>
        <v>A + III 4</v>
      </c>
      <c r="C38" s="199" t="s">
        <v>79</v>
      </c>
      <c r="D38" s="199" t="s">
        <v>117</v>
      </c>
      <c r="E38" s="199" t="s">
        <v>120</v>
      </c>
      <c r="F38" s="199">
        <v>4</v>
      </c>
      <c r="G38" s="199">
        <v>105</v>
      </c>
    </row>
    <row r="39" spans="2:7" hidden="1">
      <c r="B39" s="199" t="str">
        <f>Factor_1[[#This Row],[Conocimientos]]&amp;" "&amp;Factor_1[[#This Row],[Tendencia]]&amp;" "&amp;Factor_1[[#This Row],[Habilidad Gerencial]]&amp;" "&amp;Factor_1[[#This Row],[Rol del Cargo]]</f>
        <v>A - IV 1</v>
      </c>
      <c r="C39" s="199" t="s">
        <v>79</v>
      </c>
      <c r="D39" s="199" t="s">
        <v>78</v>
      </c>
      <c r="E39" s="199" t="s">
        <v>139</v>
      </c>
      <c r="F39" s="199">
        <v>1</v>
      </c>
      <c r="G39" s="199">
        <v>91</v>
      </c>
    </row>
    <row r="40" spans="2:7" hidden="1">
      <c r="B40" s="199" t="str">
        <f>Factor_1[[#This Row],[Conocimientos]]&amp;" "&amp;Factor_1[[#This Row],[Tendencia]]&amp;" "&amp;Factor_1[[#This Row],[Habilidad Gerencial]]&amp;" "&amp;Factor_1[[#This Row],[Rol del Cargo]]</f>
        <v>A - IV 2</v>
      </c>
      <c r="C40" s="199" t="s">
        <v>79</v>
      </c>
      <c r="D40" s="199" t="s">
        <v>78</v>
      </c>
      <c r="E40" s="199" t="s">
        <v>139</v>
      </c>
      <c r="F40" s="199">
        <v>2</v>
      </c>
      <c r="G40" s="199">
        <v>101</v>
      </c>
    </row>
    <row r="41" spans="2:7" hidden="1">
      <c r="B41" s="199" t="str">
        <f>Factor_1[[#This Row],[Conocimientos]]&amp;" "&amp;Factor_1[[#This Row],[Tendencia]]&amp;" "&amp;Factor_1[[#This Row],[Habilidad Gerencial]]&amp;" "&amp;Factor_1[[#This Row],[Rol del Cargo]]</f>
        <v>A - IV 3</v>
      </c>
      <c r="C41" s="199" t="s">
        <v>79</v>
      </c>
      <c r="D41" s="199" t="s">
        <v>78</v>
      </c>
      <c r="E41" s="199" t="s">
        <v>139</v>
      </c>
      <c r="F41" s="199">
        <v>3</v>
      </c>
      <c r="G41" s="199">
        <v>111</v>
      </c>
    </row>
    <row r="42" spans="2:7" hidden="1">
      <c r="B42" s="199" t="str">
        <f>Factor_1[[#This Row],[Conocimientos]]&amp;" "&amp;Factor_1[[#This Row],[Tendencia]]&amp;" "&amp;Factor_1[[#This Row],[Habilidad Gerencial]]&amp;" "&amp;Factor_1[[#This Row],[Rol del Cargo]]</f>
        <v>A - IV 4</v>
      </c>
      <c r="C42" s="199" t="s">
        <v>79</v>
      </c>
      <c r="D42" s="199" t="s">
        <v>78</v>
      </c>
      <c r="E42" s="199" t="s">
        <v>139</v>
      </c>
      <c r="F42" s="199">
        <v>4</v>
      </c>
      <c r="G42" s="199">
        <v>124</v>
      </c>
    </row>
    <row r="43" spans="2:7" hidden="1">
      <c r="B43" s="199" t="str">
        <f>Factor_1[[#This Row],[Conocimientos]]&amp;" "&amp;Factor_1[[#This Row],[Tendencia]]&amp;" "&amp;Factor_1[[#This Row],[Habilidad Gerencial]]&amp;" "&amp;Factor_1[[#This Row],[Rol del Cargo]]</f>
        <v>A o IV 1</v>
      </c>
      <c r="C43" s="199" t="s">
        <v>79</v>
      </c>
      <c r="D43" s="199" t="s">
        <v>97</v>
      </c>
      <c r="E43" s="199" t="s">
        <v>139</v>
      </c>
      <c r="F43" s="199">
        <v>1</v>
      </c>
      <c r="G43" s="199">
        <v>98</v>
      </c>
    </row>
    <row r="44" spans="2:7" hidden="1">
      <c r="B44" s="199" t="str">
        <f>Factor_1[[#This Row],[Conocimientos]]&amp;" "&amp;Factor_1[[#This Row],[Tendencia]]&amp;" "&amp;Factor_1[[#This Row],[Habilidad Gerencial]]&amp;" "&amp;Factor_1[[#This Row],[Rol del Cargo]]</f>
        <v>A o IV 2</v>
      </c>
      <c r="C44" s="199" t="s">
        <v>79</v>
      </c>
      <c r="D44" s="199" t="s">
        <v>97</v>
      </c>
      <c r="E44" s="199" t="s">
        <v>139</v>
      </c>
      <c r="F44" s="199">
        <v>2</v>
      </c>
      <c r="G44" s="199">
        <v>107</v>
      </c>
    </row>
    <row r="45" spans="2:7" hidden="1">
      <c r="B45" s="199" t="str">
        <f>Factor_1[[#This Row],[Conocimientos]]&amp;" "&amp;Factor_1[[#This Row],[Tendencia]]&amp;" "&amp;Factor_1[[#This Row],[Habilidad Gerencial]]&amp;" "&amp;Factor_1[[#This Row],[Rol del Cargo]]</f>
        <v>A o IV 3</v>
      </c>
      <c r="C45" s="199" t="s">
        <v>79</v>
      </c>
      <c r="D45" s="199" t="s">
        <v>97</v>
      </c>
      <c r="E45" s="199" t="s">
        <v>139</v>
      </c>
      <c r="F45" s="199">
        <v>3</v>
      </c>
      <c r="G45" s="199">
        <v>118</v>
      </c>
    </row>
    <row r="46" spans="2:7" hidden="1">
      <c r="B46" s="199" t="str">
        <f>Factor_1[[#This Row],[Conocimientos]]&amp;" "&amp;Factor_1[[#This Row],[Tendencia]]&amp;" "&amp;Factor_1[[#This Row],[Habilidad Gerencial]]&amp;" "&amp;Factor_1[[#This Row],[Rol del Cargo]]</f>
        <v>A o IV 4</v>
      </c>
      <c r="C46" s="199" t="s">
        <v>79</v>
      </c>
      <c r="D46" s="199" t="s">
        <v>97</v>
      </c>
      <c r="E46" s="199" t="s">
        <v>139</v>
      </c>
      <c r="F46" s="199">
        <v>4</v>
      </c>
      <c r="G46" s="199">
        <v>130</v>
      </c>
    </row>
    <row r="47" spans="2:7" hidden="1">
      <c r="B47" s="199" t="str">
        <f>Factor_1[[#This Row],[Conocimientos]]&amp;" "&amp;Factor_1[[#This Row],[Tendencia]]&amp;" "&amp;Factor_1[[#This Row],[Habilidad Gerencial]]&amp;" "&amp;Factor_1[[#This Row],[Rol del Cargo]]</f>
        <v>A + IV 1</v>
      </c>
      <c r="C47" s="199" t="s">
        <v>79</v>
      </c>
      <c r="D47" s="199" t="s">
        <v>117</v>
      </c>
      <c r="E47" s="199" t="s">
        <v>139</v>
      </c>
      <c r="F47" s="199">
        <v>1</v>
      </c>
      <c r="G47" s="199">
        <v>105</v>
      </c>
    </row>
    <row r="48" spans="2:7" hidden="1">
      <c r="B48" s="199" t="str">
        <f>Factor_1[[#This Row],[Conocimientos]]&amp;" "&amp;Factor_1[[#This Row],[Tendencia]]&amp;" "&amp;Factor_1[[#This Row],[Habilidad Gerencial]]&amp;" "&amp;Factor_1[[#This Row],[Rol del Cargo]]</f>
        <v>A + IV 2</v>
      </c>
      <c r="C48" s="199" t="s">
        <v>79</v>
      </c>
      <c r="D48" s="199" t="s">
        <v>117</v>
      </c>
      <c r="E48" s="199" t="s">
        <v>139</v>
      </c>
      <c r="F48" s="199">
        <v>2</v>
      </c>
      <c r="G48" s="199">
        <v>115</v>
      </c>
    </row>
    <row r="49" spans="2:7" hidden="1">
      <c r="B49" s="199" t="str">
        <f>Factor_1[[#This Row],[Conocimientos]]&amp;" "&amp;Factor_1[[#This Row],[Tendencia]]&amp;" "&amp;Factor_1[[#This Row],[Habilidad Gerencial]]&amp;" "&amp;Factor_1[[#This Row],[Rol del Cargo]]</f>
        <v>A + IV 3</v>
      </c>
      <c r="C49" s="199" t="s">
        <v>79</v>
      </c>
      <c r="D49" s="199" t="s">
        <v>117</v>
      </c>
      <c r="E49" s="199" t="s">
        <v>139</v>
      </c>
      <c r="F49" s="199">
        <v>3</v>
      </c>
      <c r="G49" s="199">
        <v>125</v>
      </c>
    </row>
    <row r="50" spans="2:7" hidden="1">
      <c r="B50" s="199" t="str">
        <f>Factor_1[[#This Row],[Conocimientos]]&amp;" "&amp;Factor_1[[#This Row],[Tendencia]]&amp;" "&amp;Factor_1[[#This Row],[Habilidad Gerencial]]&amp;" "&amp;Factor_1[[#This Row],[Rol del Cargo]]</f>
        <v>A + IV 4</v>
      </c>
      <c r="C50" s="199" t="s">
        <v>79</v>
      </c>
      <c r="D50" s="199" t="s">
        <v>117</v>
      </c>
      <c r="E50" s="199" t="s">
        <v>139</v>
      </c>
      <c r="F50" s="199">
        <v>4</v>
      </c>
      <c r="G50" s="199">
        <v>138</v>
      </c>
    </row>
    <row r="51" spans="2:7" hidden="1">
      <c r="B51" s="199" t="str">
        <f>Factor_1[[#This Row],[Conocimientos]]&amp;" "&amp;Factor_1[[#This Row],[Tendencia]]&amp;" "&amp;Factor_1[[#This Row],[Habilidad Gerencial]]&amp;" "&amp;Factor_1[[#This Row],[Rol del Cargo]]</f>
        <v>A - V 1</v>
      </c>
      <c r="C51" s="199" t="s">
        <v>79</v>
      </c>
      <c r="D51" s="199" t="s">
        <v>78</v>
      </c>
      <c r="E51" s="199" t="s">
        <v>157</v>
      </c>
      <c r="F51" s="199">
        <v>1</v>
      </c>
      <c r="G51" s="199">
        <v>124</v>
      </c>
    </row>
    <row r="52" spans="2:7" hidden="1">
      <c r="B52" s="199" t="str">
        <f>Factor_1[[#This Row],[Conocimientos]]&amp;" "&amp;Factor_1[[#This Row],[Tendencia]]&amp;" "&amp;Factor_1[[#This Row],[Habilidad Gerencial]]&amp;" "&amp;Factor_1[[#This Row],[Rol del Cargo]]</f>
        <v>A - V 2</v>
      </c>
      <c r="C52" s="199" t="s">
        <v>79</v>
      </c>
      <c r="D52" s="199" t="s">
        <v>78</v>
      </c>
      <c r="E52" s="199" t="s">
        <v>157</v>
      </c>
      <c r="F52" s="199">
        <v>2</v>
      </c>
      <c r="G52" s="199">
        <v>138</v>
      </c>
    </row>
    <row r="53" spans="2:7" hidden="1">
      <c r="B53" s="199" t="str">
        <f>Factor_1[[#This Row],[Conocimientos]]&amp;" "&amp;Factor_1[[#This Row],[Tendencia]]&amp;" "&amp;Factor_1[[#This Row],[Habilidad Gerencial]]&amp;" "&amp;Factor_1[[#This Row],[Rol del Cargo]]</f>
        <v>A - V 3</v>
      </c>
      <c r="C53" s="199" t="s">
        <v>79</v>
      </c>
      <c r="D53" s="199" t="s">
        <v>78</v>
      </c>
      <c r="E53" s="199" t="s">
        <v>157</v>
      </c>
      <c r="F53" s="199">
        <v>3</v>
      </c>
      <c r="G53" s="199">
        <v>155</v>
      </c>
    </row>
    <row r="54" spans="2:7" hidden="1">
      <c r="B54" s="199" t="str">
        <f>Factor_1[[#This Row],[Conocimientos]]&amp;" "&amp;Factor_1[[#This Row],[Tendencia]]&amp;" "&amp;Factor_1[[#This Row],[Habilidad Gerencial]]&amp;" "&amp;Factor_1[[#This Row],[Rol del Cargo]]</f>
        <v>A - V 4</v>
      </c>
      <c r="C54" s="199" t="s">
        <v>79</v>
      </c>
      <c r="D54" s="199" t="s">
        <v>78</v>
      </c>
      <c r="E54" s="199" t="s">
        <v>157</v>
      </c>
      <c r="F54" s="199">
        <v>4</v>
      </c>
      <c r="G54" s="199">
        <v>175</v>
      </c>
    </row>
    <row r="55" spans="2:7" hidden="1">
      <c r="B55" s="199" t="str">
        <f>Factor_1[[#This Row],[Conocimientos]]&amp;" "&amp;Factor_1[[#This Row],[Tendencia]]&amp;" "&amp;Factor_1[[#This Row],[Habilidad Gerencial]]&amp;" "&amp;Factor_1[[#This Row],[Rol del Cargo]]</f>
        <v>A o V 1</v>
      </c>
      <c r="C55" s="199" t="s">
        <v>79</v>
      </c>
      <c r="D55" s="199" t="s">
        <v>97</v>
      </c>
      <c r="E55" s="199" t="s">
        <v>157</v>
      </c>
      <c r="F55" s="199">
        <v>1</v>
      </c>
      <c r="G55" s="199">
        <v>130</v>
      </c>
    </row>
    <row r="56" spans="2:7" hidden="1">
      <c r="B56" s="199" t="str">
        <f>Factor_1[[#This Row],[Conocimientos]]&amp;" "&amp;Factor_1[[#This Row],[Tendencia]]&amp;" "&amp;Factor_1[[#This Row],[Habilidad Gerencial]]&amp;" "&amp;Factor_1[[#This Row],[Rol del Cargo]]</f>
        <v>A o V 2</v>
      </c>
      <c r="C56" s="199" t="s">
        <v>79</v>
      </c>
      <c r="D56" s="199" t="s">
        <v>97</v>
      </c>
      <c r="E56" s="199" t="s">
        <v>157</v>
      </c>
      <c r="F56" s="199">
        <v>2</v>
      </c>
      <c r="G56" s="199">
        <v>145</v>
      </c>
    </row>
    <row r="57" spans="2:7" hidden="1">
      <c r="B57" s="199" t="str">
        <f>Factor_1[[#This Row],[Conocimientos]]&amp;" "&amp;Factor_1[[#This Row],[Tendencia]]&amp;" "&amp;Factor_1[[#This Row],[Habilidad Gerencial]]&amp;" "&amp;Factor_1[[#This Row],[Rol del Cargo]]</f>
        <v>A o V 3</v>
      </c>
      <c r="C57" s="199" t="s">
        <v>79</v>
      </c>
      <c r="D57" s="199" t="s">
        <v>97</v>
      </c>
      <c r="E57" s="199" t="s">
        <v>157</v>
      </c>
      <c r="F57" s="199">
        <v>3</v>
      </c>
      <c r="G57" s="199">
        <v>162</v>
      </c>
    </row>
    <row r="58" spans="2:7" hidden="1">
      <c r="B58" s="199" t="str">
        <f>Factor_1[[#This Row],[Conocimientos]]&amp;" "&amp;Factor_1[[#This Row],[Tendencia]]&amp;" "&amp;Factor_1[[#This Row],[Habilidad Gerencial]]&amp;" "&amp;Factor_1[[#This Row],[Rol del Cargo]]</f>
        <v>A o V 4</v>
      </c>
      <c r="C58" s="199" t="s">
        <v>79</v>
      </c>
      <c r="D58" s="199" t="s">
        <v>97</v>
      </c>
      <c r="E58" s="199" t="s">
        <v>157</v>
      </c>
      <c r="F58" s="199">
        <v>4</v>
      </c>
      <c r="G58" s="199">
        <v>182</v>
      </c>
    </row>
    <row r="59" spans="2:7" hidden="1">
      <c r="B59" s="199" t="str">
        <f>Factor_1[[#This Row],[Conocimientos]]&amp;" "&amp;Factor_1[[#This Row],[Tendencia]]&amp;" "&amp;Factor_1[[#This Row],[Habilidad Gerencial]]&amp;" "&amp;Factor_1[[#This Row],[Rol del Cargo]]</f>
        <v>A + V 1</v>
      </c>
      <c r="C59" s="199" t="s">
        <v>79</v>
      </c>
      <c r="D59" s="199" t="s">
        <v>117</v>
      </c>
      <c r="E59" s="199" t="s">
        <v>157</v>
      </c>
      <c r="F59" s="199">
        <v>1</v>
      </c>
      <c r="G59" s="199">
        <v>138</v>
      </c>
    </row>
    <row r="60" spans="2:7" hidden="1">
      <c r="B60" s="199" t="str">
        <f>Factor_1[[#This Row],[Conocimientos]]&amp;" "&amp;Factor_1[[#This Row],[Tendencia]]&amp;" "&amp;Factor_1[[#This Row],[Habilidad Gerencial]]&amp;" "&amp;Factor_1[[#This Row],[Rol del Cargo]]</f>
        <v>A + V 2</v>
      </c>
      <c r="C60" s="199" t="s">
        <v>79</v>
      </c>
      <c r="D60" s="199" t="s">
        <v>117</v>
      </c>
      <c r="E60" s="199" t="s">
        <v>157</v>
      </c>
      <c r="F60" s="199">
        <v>2</v>
      </c>
      <c r="G60" s="199">
        <v>152</v>
      </c>
    </row>
    <row r="61" spans="2:7" hidden="1">
      <c r="B61" s="199" t="str">
        <f>Factor_1[[#This Row],[Conocimientos]]&amp;" "&amp;Factor_1[[#This Row],[Tendencia]]&amp;" "&amp;Factor_1[[#This Row],[Habilidad Gerencial]]&amp;" "&amp;Factor_1[[#This Row],[Rol del Cargo]]</f>
        <v>A + V 3</v>
      </c>
      <c r="C61" s="199" t="s">
        <v>79</v>
      </c>
      <c r="D61" s="199" t="s">
        <v>117</v>
      </c>
      <c r="E61" s="199" t="s">
        <v>157</v>
      </c>
      <c r="F61" s="199">
        <v>3</v>
      </c>
      <c r="G61" s="199">
        <v>169</v>
      </c>
    </row>
    <row r="62" spans="2:7" hidden="1">
      <c r="B62" s="199" t="str">
        <f>Factor_1[[#This Row],[Conocimientos]]&amp;" "&amp;Factor_1[[#This Row],[Tendencia]]&amp;" "&amp;Factor_1[[#This Row],[Habilidad Gerencial]]&amp;" "&amp;Factor_1[[#This Row],[Rol del Cargo]]</f>
        <v>A + V 4</v>
      </c>
      <c r="C62" s="199" t="s">
        <v>79</v>
      </c>
      <c r="D62" s="199" t="s">
        <v>117</v>
      </c>
      <c r="E62" s="199" t="s">
        <v>157</v>
      </c>
      <c r="F62" s="199">
        <v>4</v>
      </c>
      <c r="G62" s="199">
        <v>189</v>
      </c>
    </row>
    <row r="63" spans="2:7" hidden="1">
      <c r="B63" s="199" t="str">
        <f>Factor_1[[#This Row],[Conocimientos]]&amp;" "&amp;Factor_1[[#This Row],[Tendencia]]&amp;" "&amp;Factor_1[[#This Row],[Habilidad Gerencial]]&amp;" "&amp;Factor_1[[#This Row],[Rol del Cargo]]</f>
        <v>A - VI 1</v>
      </c>
      <c r="C63" s="199" t="s">
        <v>79</v>
      </c>
      <c r="D63" s="199" t="s">
        <v>78</v>
      </c>
      <c r="E63" s="199" t="s">
        <v>171</v>
      </c>
      <c r="F63" s="199">
        <v>1</v>
      </c>
      <c r="G63" s="199">
        <v>175</v>
      </c>
    </row>
    <row r="64" spans="2:7" hidden="1">
      <c r="B64" s="199" t="str">
        <f>Factor_1[[#This Row],[Conocimientos]]&amp;" "&amp;Factor_1[[#This Row],[Tendencia]]&amp;" "&amp;Factor_1[[#This Row],[Habilidad Gerencial]]&amp;" "&amp;Factor_1[[#This Row],[Rol del Cargo]]</f>
        <v>A - VI 2</v>
      </c>
      <c r="C64" s="199" t="s">
        <v>79</v>
      </c>
      <c r="D64" s="199" t="s">
        <v>78</v>
      </c>
      <c r="E64" s="199" t="s">
        <v>171</v>
      </c>
      <c r="F64" s="199">
        <v>2</v>
      </c>
      <c r="G64" s="199">
        <v>199</v>
      </c>
    </row>
    <row r="65" spans="2:7" hidden="1">
      <c r="B65" s="199" t="str">
        <f>Factor_1[[#This Row],[Conocimientos]]&amp;" "&amp;Factor_1[[#This Row],[Tendencia]]&amp;" "&amp;Factor_1[[#This Row],[Habilidad Gerencial]]&amp;" "&amp;Factor_1[[#This Row],[Rol del Cargo]]</f>
        <v>A - VI 3</v>
      </c>
      <c r="C65" s="199" t="s">
        <v>79</v>
      </c>
      <c r="D65" s="199" t="s">
        <v>78</v>
      </c>
      <c r="E65" s="199" t="s">
        <v>171</v>
      </c>
      <c r="F65" s="199">
        <v>3</v>
      </c>
      <c r="G65" s="199">
        <v>226</v>
      </c>
    </row>
    <row r="66" spans="2:7" hidden="1">
      <c r="B66" s="199" t="str">
        <f>Factor_1[[#This Row],[Conocimientos]]&amp;" "&amp;Factor_1[[#This Row],[Tendencia]]&amp;" "&amp;Factor_1[[#This Row],[Habilidad Gerencial]]&amp;" "&amp;Factor_1[[#This Row],[Rol del Cargo]]</f>
        <v>A - VI 4</v>
      </c>
      <c r="C66" s="199" t="s">
        <v>79</v>
      </c>
      <c r="D66" s="199" t="s">
        <v>78</v>
      </c>
      <c r="E66" s="199" t="s">
        <v>171</v>
      </c>
      <c r="F66" s="199">
        <v>4</v>
      </c>
      <c r="G66" s="199">
        <v>258</v>
      </c>
    </row>
    <row r="67" spans="2:7" hidden="1">
      <c r="B67" s="199" t="str">
        <f>Factor_1[[#This Row],[Conocimientos]]&amp;" "&amp;Factor_1[[#This Row],[Tendencia]]&amp;" "&amp;Factor_1[[#This Row],[Habilidad Gerencial]]&amp;" "&amp;Factor_1[[#This Row],[Rol del Cargo]]</f>
        <v>A o VI 1</v>
      </c>
      <c r="C67" s="199" t="s">
        <v>79</v>
      </c>
      <c r="D67" s="199" t="s">
        <v>97</v>
      </c>
      <c r="E67" s="199" t="s">
        <v>171</v>
      </c>
      <c r="F67" s="199">
        <v>1</v>
      </c>
      <c r="G67" s="199">
        <v>182</v>
      </c>
    </row>
    <row r="68" spans="2:7" hidden="1">
      <c r="B68" s="199" t="str">
        <f>Factor_1[[#This Row],[Conocimientos]]&amp;" "&amp;Factor_1[[#This Row],[Tendencia]]&amp;" "&amp;Factor_1[[#This Row],[Habilidad Gerencial]]&amp;" "&amp;Factor_1[[#This Row],[Rol del Cargo]]</f>
        <v>A o VI 2</v>
      </c>
      <c r="C68" s="199" t="s">
        <v>79</v>
      </c>
      <c r="D68" s="199" t="s">
        <v>97</v>
      </c>
      <c r="E68" s="199" t="s">
        <v>171</v>
      </c>
      <c r="F68" s="199">
        <v>2</v>
      </c>
      <c r="G68" s="199">
        <v>205</v>
      </c>
    </row>
    <row r="69" spans="2:7" hidden="1">
      <c r="B69" s="199" t="str">
        <f>Factor_1[[#This Row],[Conocimientos]]&amp;" "&amp;Factor_1[[#This Row],[Tendencia]]&amp;" "&amp;Factor_1[[#This Row],[Habilidad Gerencial]]&amp;" "&amp;Factor_1[[#This Row],[Rol del Cargo]]</f>
        <v>A o VI 3</v>
      </c>
      <c r="C69" s="199" t="s">
        <v>79</v>
      </c>
      <c r="D69" s="199" t="s">
        <v>97</v>
      </c>
      <c r="E69" s="199" t="s">
        <v>171</v>
      </c>
      <c r="F69" s="199">
        <v>3</v>
      </c>
      <c r="G69" s="199">
        <v>232</v>
      </c>
    </row>
    <row r="70" spans="2:7" hidden="1">
      <c r="B70" s="199" t="str">
        <f>Factor_1[[#This Row],[Conocimientos]]&amp;" "&amp;Factor_1[[#This Row],[Tendencia]]&amp;" "&amp;Factor_1[[#This Row],[Habilidad Gerencial]]&amp;" "&amp;Factor_1[[#This Row],[Rol del Cargo]]</f>
        <v>A o VI 4</v>
      </c>
      <c r="C70" s="199" t="s">
        <v>79</v>
      </c>
      <c r="D70" s="199" t="s">
        <v>97</v>
      </c>
      <c r="E70" s="199" t="s">
        <v>171</v>
      </c>
      <c r="F70" s="199">
        <v>4</v>
      </c>
      <c r="G70" s="199">
        <v>264</v>
      </c>
    </row>
    <row r="71" spans="2:7" hidden="1">
      <c r="B71" s="199" t="str">
        <f>Factor_1[[#This Row],[Conocimientos]]&amp;" "&amp;Factor_1[[#This Row],[Tendencia]]&amp;" "&amp;Factor_1[[#This Row],[Habilidad Gerencial]]&amp;" "&amp;Factor_1[[#This Row],[Rol del Cargo]]</f>
        <v>A + VI 1</v>
      </c>
      <c r="C71" s="199" t="s">
        <v>79</v>
      </c>
      <c r="D71" s="199" t="s">
        <v>117</v>
      </c>
      <c r="E71" s="199" t="s">
        <v>171</v>
      </c>
      <c r="F71" s="199">
        <v>1</v>
      </c>
      <c r="G71" s="199">
        <v>189</v>
      </c>
    </row>
    <row r="72" spans="2:7" hidden="1">
      <c r="B72" s="199" t="str">
        <f>Factor_1[[#This Row],[Conocimientos]]&amp;" "&amp;Factor_1[[#This Row],[Tendencia]]&amp;" "&amp;Factor_1[[#This Row],[Habilidad Gerencial]]&amp;" "&amp;Factor_1[[#This Row],[Rol del Cargo]]</f>
        <v>A + VI 2</v>
      </c>
      <c r="C72" s="199" t="s">
        <v>79</v>
      </c>
      <c r="D72" s="199" t="s">
        <v>117</v>
      </c>
      <c r="E72" s="199" t="s">
        <v>171</v>
      </c>
      <c r="F72" s="199">
        <v>2</v>
      </c>
      <c r="G72" s="199">
        <v>213</v>
      </c>
    </row>
    <row r="73" spans="2:7" hidden="1">
      <c r="B73" s="199" t="str">
        <f>Factor_1[[#This Row],[Conocimientos]]&amp;" "&amp;Factor_1[[#This Row],[Tendencia]]&amp;" "&amp;Factor_1[[#This Row],[Habilidad Gerencial]]&amp;" "&amp;Factor_1[[#This Row],[Rol del Cargo]]</f>
        <v>A + VI 3</v>
      </c>
      <c r="C73" s="199" t="s">
        <v>79</v>
      </c>
      <c r="D73" s="199" t="s">
        <v>117</v>
      </c>
      <c r="E73" s="199" t="s">
        <v>171</v>
      </c>
      <c r="F73" s="199">
        <v>3</v>
      </c>
      <c r="G73" s="199">
        <v>240</v>
      </c>
    </row>
    <row r="74" spans="2:7" hidden="1">
      <c r="B74" s="199" t="str">
        <f>Factor_1[[#This Row],[Conocimientos]]&amp;" "&amp;Factor_1[[#This Row],[Tendencia]]&amp;" "&amp;Factor_1[[#This Row],[Habilidad Gerencial]]&amp;" "&amp;Factor_1[[#This Row],[Rol del Cargo]]</f>
        <v>A + VI 4</v>
      </c>
      <c r="C74" s="199" t="s">
        <v>79</v>
      </c>
      <c r="D74" s="199" t="s">
        <v>117</v>
      </c>
      <c r="E74" s="199" t="s">
        <v>171</v>
      </c>
      <c r="F74" s="199">
        <v>4</v>
      </c>
      <c r="G74" s="199">
        <v>272</v>
      </c>
    </row>
    <row r="75" spans="2:7" hidden="1">
      <c r="B75" s="199" t="str">
        <f>Factor_1[[#This Row],[Conocimientos]]&amp;" "&amp;Factor_1[[#This Row],[Tendencia]]&amp;" "&amp;Factor_1[[#This Row],[Habilidad Gerencial]]&amp;" "&amp;Factor_1[[#This Row],[Rol del Cargo]]</f>
        <v>A - VII 1</v>
      </c>
      <c r="C75" s="199" t="s">
        <v>79</v>
      </c>
      <c r="D75" s="199" t="s">
        <v>78</v>
      </c>
      <c r="E75" s="199" t="s">
        <v>179</v>
      </c>
      <c r="F75" s="199">
        <v>1</v>
      </c>
      <c r="G75" s="199">
        <v>258</v>
      </c>
    </row>
    <row r="76" spans="2:7" hidden="1">
      <c r="B76" s="199" t="str">
        <f>Factor_1[[#This Row],[Conocimientos]]&amp;" "&amp;Factor_1[[#This Row],[Tendencia]]&amp;" "&amp;Factor_1[[#This Row],[Habilidad Gerencial]]&amp;" "&amp;Factor_1[[#This Row],[Rol del Cargo]]</f>
        <v>A - VII 2</v>
      </c>
      <c r="C76" s="199" t="s">
        <v>79</v>
      </c>
      <c r="D76" s="199" t="s">
        <v>78</v>
      </c>
      <c r="E76" s="199" t="s">
        <v>179</v>
      </c>
      <c r="F76" s="199">
        <v>2</v>
      </c>
      <c r="G76" s="199">
        <v>295</v>
      </c>
    </row>
    <row r="77" spans="2:7" hidden="1">
      <c r="B77" s="199" t="str">
        <f>Factor_1[[#This Row],[Conocimientos]]&amp;" "&amp;Factor_1[[#This Row],[Tendencia]]&amp;" "&amp;Factor_1[[#This Row],[Habilidad Gerencial]]&amp;" "&amp;Factor_1[[#This Row],[Rol del Cargo]]</f>
        <v>A - VII 3</v>
      </c>
      <c r="C77" s="199" t="s">
        <v>79</v>
      </c>
      <c r="D77" s="199" t="s">
        <v>78</v>
      </c>
      <c r="E77" s="199" t="s">
        <v>179</v>
      </c>
      <c r="F77" s="199">
        <v>3</v>
      </c>
      <c r="G77" s="199">
        <v>339</v>
      </c>
    </row>
    <row r="78" spans="2:7" hidden="1">
      <c r="B78" s="199" t="str">
        <f>Factor_1[[#This Row],[Conocimientos]]&amp;" "&amp;Factor_1[[#This Row],[Tendencia]]&amp;" "&amp;Factor_1[[#This Row],[Habilidad Gerencial]]&amp;" "&amp;Factor_1[[#This Row],[Rol del Cargo]]</f>
        <v>A - VII 4</v>
      </c>
      <c r="C78" s="199" t="s">
        <v>79</v>
      </c>
      <c r="D78" s="199" t="s">
        <v>78</v>
      </c>
      <c r="E78" s="199" t="s">
        <v>179</v>
      </c>
      <c r="F78" s="199">
        <v>4</v>
      </c>
      <c r="G78" s="199">
        <v>390</v>
      </c>
    </row>
    <row r="79" spans="2:7" hidden="1">
      <c r="B79" s="199" t="str">
        <f>Factor_1[[#This Row],[Conocimientos]]&amp;" "&amp;Factor_1[[#This Row],[Tendencia]]&amp;" "&amp;Factor_1[[#This Row],[Habilidad Gerencial]]&amp;" "&amp;Factor_1[[#This Row],[Rol del Cargo]]</f>
        <v>A o VII 1</v>
      </c>
      <c r="C79" s="199" t="s">
        <v>79</v>
      </c>
      <c r="D79" s="199" t="s">
        <v>97</v>
      </c>
      <c r="E79" s="199" t="s">
        <v>179</v>
      </c>
      <c r="F79" s="199">
        <v>1</v>
      </c>
      <c r="G79" s="199">
        <v>264</v>
      </c>
    </row>
    <row r="80" spans="2:7" hidden="1">
      <c r="B80" s="199" t="str">
        <f>Factor_1[[#This Row],[Conocimientos]]&amp;" "&amp;Factor_1[[#This Row],[Tendencia]]&amp;" "&amp;Factor_1[[#This Row],[Habilidad Gerencial]]&amp;" "&amp;Factor_1[[#This Row],[Rol del Cargo]]</f>
        <v>A o VII 2</v>
      </c>
      <c r="C80" s="199" t="s">
        <v>79</v>
      </c>
      <c r="D80" s="199" t="s">
        <v>97</v>
      </c>
      <c r="E80" s="199" t="s">
        <v>179</v>
      </c>
      <c r="F80" s="199">
        <v>2</v>
      </c>
      <c r="G80" s="199">
        <v>302</v>
      </c>
    </row>
    <row r="81" spans="2:7" hidden="1">
      <c r="B81" s="199" t="str">
        <f>Factor_1[[#This Row],[Conocimientos]]&amp;" "&amp;Factor_1[[#This Row],[Tendencia]]&amp;" "&amp;Factor_1[[#This Row],[Habilidad Gerencial]]&amp;" "&amp;Factor_1[[#This Row],[Rol del Cargo]]</f>
        <v>A o VII 3</v>
      </c>
      <c r="C81" s="199" t="s">
        <v>79</v>
      </c>
      <c r="D81" s="199" t="s">
        <v>97</v>
      </c>
      <c r="E81" s="199" t="s">
        <v>179</v>
      </c>
      <c r="F81" s="199">
        <v>3</v>
      </c>
      <c r="G81" s="199">
        <v>345</v>
      </c>
    </row>
    <row r="82" spans="2:7" hidden="1">
      <c r="B82" s="199" t="str">
        <f>Factor_1[[#This Row],[Conocimientos]]&amp;" "&amp;Factor_1[[#This Row],[Tendencia]]&amp;" "&amp;Factor_1[[#This Row],[Habilidad Gerencial]]&amp;" "&amp;Factor_1[[#This Row],[Rol del Cargo]]</f>
        <v>A o VII 4</v>
      </c>
      <c r="C82" s="199" t="s">
        <v>79</v>
      </c>
      <c r="D82" s="199" t="s">
        <v>97</v>
      </c>
      <c r="E82" s="199" t="s">
        <v>179</v>
      </c>
      <c r="F82" s="199">
        <v>4</v>
      </c>
      <c r="G82" s="199">
        <v>396</v>
      </c>
    </row>
    <row r="83" spans="2:7" hidden="1">
      <c r="B83" s="199" t="str">
        <f>Factor_1[[#This Row],[Conocimientos]]&amp;" "&amp;Factor_1[[#This Row],[Tendencia]]&amp;" "&amp;Factor_1[[#This Row],[Habilidad Gerencial]]&amp;" "&amp;Factor_1[[#This Row],[Rol del Cargo]]</f>
        <v>A + VII 1</v>
      </c>
      <c r="C83" s="199" t="s">
        <v>79</v>
      </c>
      <c r="D83" s="199" t="s">
        <v>117</v>
      </c>
      <c r="E83" s="199" t="s">
        <v>179</v>
      </c>
      <c r="F83" s="199">
        <v>1</v>
      </c>
      <c r="G83" s="199">
        <v>272</v>
      </c>
    </row>
    <row r="84" spans="2:7" hidden="1">
      <c r="B84" s="199" t="str">
        <f>Factor_1[[#This Row],[Conocimientos]]&amp;" "&amp;Factor_1[[#This Row],[Tendencia]]&amp;" "&amp;Factor_1[[#This Row],[Habilidad Gerencial]]&amp;" "&amp;Factor_1[[#This Row],[Rol del Cargo]]</f>
        <v>A + VII 2</v>
      </c>
      <c r="C84" s="199" t="s">
        <v>79</v>
      </c>
      <c r="D84" s="199" t="s">
        <v>117</v>
      </c>
      <c r="E84" s="199" t="s">
        <v>179</v>
      </c>
      <c r="F84" s="199">
        <v>2</v>
      </c>
      <c r="G84" s="199">
        <v>309</v>
      </c>
    </row>
    <row r="85" spans="2:7" hidden="1">
      <c r="B85" s="199" t="str">
        <f>Factor_1[[#This Row],[Conocimientos]]&amp;" "&amp;Factor_1[[#This Row],[Tendencia]]&amp;" "&amp;Factor_1[[#This Row],[Habilidad Gerencial]]&amp;" "&amp;Factor_1[[#This Row],[Rol del Cargo]]</f>
        <v>A + VII 3</v>
      </c>
      <c r="C85" s="199" t="s">
        <v>79</v>
      </c>
      <c r="D85" s="199" t="s">
        <v>117</v>
      </c>
      <c r="E85" s="199" t="s">
        <v>179</v>
      </c>
      <c r="F85" s="199">
        <v>3</v>
      </c>
      <c r="G85" s="199">
        <v>353</v>
      </c>
    </row>
    <row r="86" spans="2:7" hidden="1">
      <c r="B86" s="199" t="str">
        <f>Factor_1[[#This Row],[Conocimientos]]&amp;" "&amp;Factor_1[[#This Row],[Tendencia]]&amp;" "&amp;Factor_1[[#This Row],[Habilidad Gerencial]]&amp;" "&amp;Factor_1[[#This Row],[Rol del Cargo]]</f>
        <v>A + VII 4</v>
      </c>
      <c r="C86" s="199" t="s">
        <v>79</v>
      </c>
      <c r="D86" s="199" t="s">
        <v>117</v>
      </c>
      <c r="E86" s="199" t="s">
        <v>179</v>
      </c>
      <c r="F86" s="199">
        <v>4</v>
      </c>
      <c r="G86" s="199">
        <v>404</v>
      </c>
    </row>
    <row r="87" spans="2:7" hidden="1">
      <c r="B87" s="199" t="str">
        <f>Factor_1[[#This Row],[Conocimientos]]&amp;" "&amp;Factor_1[[#This Row],[Tendencia]]&amp;" "&amp;Factor_1[[#This Row],[Habilidad Gerencial]]&amp;" "&amp;Factor_1[[#This Row],[Rol del Cargo]]</f>
        <v>B - I 1</v>
      </c>
      <c r="C87" s="199" t="s">
        <v>98</v>
      </c>
      <c r="D87" s="199" t="s">
        <v>78</v>
      </c>
      <c r="E87" s="199" t="s">
        <v>81</v>
      </c>
      <c r="F87" s="199">
        <v>1</v>
      </c>
      <c r="G87" s="199">
        <v>52</v>
      </c>
    </row>
    <row r="88" spans="2:7" hidden="1">
      <c r="B88" s="199" t="str">
        <f>Factor_1[[#This Row],[Conocimientos]]&amp;" "&amp;Factor_1[[#This Row],[Tendencia]]&amp;" "&amp;Factor_1[[#This Row],[Habilidad Gerencial]]&amp;" "&amp;Factor_1[[#This Row],[Rol del Cargo]]</f>
        <v>B - I 2</v>
      </c>
      <c r="C88" s="199" t="s">
        <v>98</v>
      </c>
      <c r="D88" s="199" t="s">
        <v>78</v>
      </c>
      <c r="E88" s="199" t="s">
        <v>81</v>
      </c>
      <c r="F88" s="199">
        <v>2</v>
      </c>
      <c r="G88" s="199">
        <v>58</v>
      </c>
    </row>
    <row r="89" spans="2:7" hidden="1">
      <c r="B89" s="199" t="str">
        <f>Factor_1[[#This Row],[Conocimientos]]&amp;" "&amp;Factor_1[[#This Row],[Tendencia]]&amp;" "&amp;Factor_1[[#This Row],[Habilidad Gerencial]]&amp;" "&amp;Factor_1[[#This Row],[Rol del Cargo]]</f>
        <v>B - I 3</v>
      </c>
      <c r="C89" s="199" t="s">
        <v>98</v>
      </c>
      <c r="D89" s="199" t="s">
        <v>78</v>
      </c>
      <c r="E89" s="199" t="s">
        <v>81</v>
      </c>
      <c r="F89" s="199">
        <v>3</v>
      </c>
      <c r="G89" s="199">
        <v>66</v>
      </c>
    </row>
    <row r="90" spans="2:7" hidden="1">
      <c r="B90" s="199" t="str">
        <f>Factor_1[[#This Row],[Conocimientos]]&amp;" "&amp;Factor_1[[#This Row],[Tendencia]]&amp;" "&amp;Factor_1[[#This Row],[Habilidad Gerencial]]&amp;" "&amp;Factor_1[[#This Row],[Rol del Cargo]]</f>
        <v>B - I 4</v>
      </c>
      <c r="C90" s="199" t="s">
        <v>98</v>
      </c>
      <c r="D90" s="199" t="s">
        <v>78</v>
      </c>
      <c r="E90" s="199" t="s">
        <v>81</v>
      </c>
      <c r="F90" s="199">
        <v>4</v>
      </c>
      <c r="G90" s="199">
        <v>73</v>
      </c>
    </row>
    <row r="91" spans="2:7" hidden="1">
      <c r="B91" s="199" t="str">
        <f>Factor_1[[#This Row],[Conocimientos]]&amp;" "&amp;Factor_1[[#This Row],[Tendencia]]&amp;" "&amp;Factor_1[[#This Row],[Habilidad Gerencial]]&amp;" "&amp;Factor_1[[#This Row],[Rol del Cargo]]</f>
        <v>B o I 1</v>
      </c>
      <c r="C91" s="199" t="s">
        <v>98</v>
      </c>
      <c r="D91" s="199" t="s">
        <v>97</v>
      </c>
      <c r="E91" s="199" t="s">
        <v>81</v>
      </c>
      <c r="F91" s="199">
        <v>1</v>
      </c>
      <c r="G91" s="199">
        <v>61</v>
      </c>
    </row>
    <row r="92" spans="2:7" hidden="1">
      <c r="B92" s="199" t="str">
        <f>Factor_1[[#This Row],[Conocimientos]]&amp;" "&amp;Factor_1[[#This Row],[Tendencia]]&amp;" "&amp;Factor_1[[#This Row],[Habilidad Gerencial]]&amp;" "&amp;Factor_1[[#This Row],[Rol del Cargo]]</f>
        <v>B o I 2</v>
      </c>
      <c r="C92" s="199" t="s">
        <v>98</v>
      </c>
      <c r="D92" s="199" t="s">
        <v>97</v>
      </c>
      <c r="E92" s="199" t="s">
        <v>81</v>
      </c>
      <c r="F92" s="199">
        <v>2</v>
      </c>
      <c r="G92" s="199">
        <v>66</v>
      </c>
    </row>
    <row r="93" spans="2:7" hidden="1">
      <c r="B93" s="199" t="str">
        <f>Factor_1[[#This Row],[Conocimientos]]&amp;" "&amp;Factor_1[[#This Row],[Tendencia]]&amp;" "&amp;Factor_1[[#This Row],[Habilidad Gerencial]]&amp;" "&amp;Factor_1[[#This Row],[Rol del Cargo]]</f>
        <v>B o I 3</v>
      </c>
      <c r="C93" s="199" t="s">
        <v>98</v>
      </c>
      <c r="D93" s="199" t="s">
        <v>97</v>
      </c>
      <c r="E93" s="199" t="s">
        <v>81</v>
      </c>
      <c r="F93" s="199">
        <v>3</v>
      </c>
      <c r="G93" s="199">
        <v>75</v>
      </c>
    </row>
    <row r="94" spans="2:7" hidden="1">
      <c r="B94" s="199" t="str">
        <f>Factor_1[[#This Row],[Conocimientos]]&amp;" "&amp;Factor_1[[#This Row],[Tendencia]]&amp;" "&amp;Factor_1[[#This Row],[Habilidad Gerencial]]&amp;" "&amp;Factor_1[[#This Row],[Rol del Cargo]]</f>
        <v>B o I 4</v>
      </c>
      <c r="C94" s="199" t="s">
        <v>98</v>
      </c>
      <c r="D94" s="199" t="s">
        <v>97</v>
      </c>
      <c r="E94" s="199" t="s">
        <v>81</v>
      </c>
      <c r="F94" s="199">
        <v>4</v>
      </c>
      <c r="G94" s="199">
        <v>82</v>
      </c>
    </row>
    <row r="95" spans="2:7" hidden="1">
      <c r="B95" s="199" t="str">
        <f>Factor_1[[#This Row],[Conocimientos]]&amp;" "&amp;Factor_1[[#This Row],[Tendencia]]&amp;" "&amp;Factor_1[[#This Row],[Habilidad Gerencial]]&amp;" "&amp;Factor_1[[#This Row],[Rol del Cargo]]</f>
        <v>B + I 1</v>
      </c>
      <c r="C95" s="199" t="s">
        <v>98</v>
      </c>
      <c r="D95" s="199" t="s">
        <v>117</v>
      </c>
      <c r="E95" s="199" t="s">
        <v>81</v>
      </c>
      <c r="F95" s="199">
        <v>1</v>
      </c>
      <c r="G95" s="199">
        <v>72</v>
      </c>
    </row>
    <row r="96" spans="2:7" hidden="1">
      <c r="B96" s="199" t="str">
        <f>Factor_1[[#This Row],[Conocimientos]]&amp;" "&amp;Factor_1[[#This Row],[Tendencia]]&amp;" "&amp;Factor_1[[#This Row],[Habilidad Gerencial]]&amp;" "&amp;Factor_1[[#This Row],[Rol del Cargo]]</f>
        <v>B + I 2</v>
      </c>
      <c r="C96" s="199" t="s">
        <v>98</v>
      </c>
      <c r="D96" s="199" t="s">
        <v>117</v>
      </c>
      <c r="E96" s="199" t="s">
        <v>81</v>
      </c>
      <c r="F96" s="199">
        <v>2</v>
      </c>
      <c r="G96" s="199">
        <v>77</v>
      </c>
    </row>
    <row r="97" spans="2:7" hidden="1">
      <c r="B97" s="199" t="str">
        <f>Factor_1[[#This Row],[Conocimientos]]&amp;" "&amp;Factor_1[[#This Row],[Tendencia]]&amp;" "&amp;Factor_1[[#This Row],[Habilidad Gerencial]]&amp;" "&amp;Factor_1[[#This Row],[Rol del Cargo]]</f>
        <v>B + I 3</v>
      </c>
      <c r="C97" s="199" t="s">
        <v>98</v>
      </c>
      <c r="D97" s="199" t="s">
        <v>117</v>
      </c>
      <c r="E97" s="199" t="s">
        <v>81</v>
      </c>
      <c r="F97" s="199">
        <v>3</v>
      </c>
      <c r="G97" s="199">
        <v>85</v>
      </c>
    </row>
    <row r="98" spans="2:7" hidden="1">
      <c r="B98" s="199" t="str">
        <f>Factor_1[[#This Row],[Conocimientos]]&amp;" "&amp;Factor_1[[#This Row],[Tendencia]]&amp;" "&amp;Factor_1[[#This Row],[Habilidad Gerencial]]&amp;" "&amp;Factor_1[[#This Row],[Rol del Cargo]]</f>
        <v>B + I 4</v>
      </c>
      <c r="C98" s="199" t="s">
        <v>98</v>
      </c>
      <c r="D98" s="199" t="s">
        <v>117</v>
      </c>
      <c r="E98" s="199" t="s">
        <v>81</v>
      </c>
      <c r="F98" s="199">
        <v>4</v>
      </c>
      <c r="G98" s="199">
        <v>92</v>
      </c>
    </row>
    <row r="99" spans="2:7" hidden="1">
      <c r="B99" s="199" t="str">
        <f>Factor_1[[#This Row],[Conocimientos]]&amp;" "&amp;Factor_1[[#This Row],[Tendencia]]&amp;" "&amp;Factor_1[[#This Row],[Habilidad Gerencial]]&amp;" "&amp;Factor_1[[#This Row],[Rol del Cargo]]</f>
        <v>B - II 1</v>
      </c>
      <c r="C99" s="199" t="s">
        <v>98</v>
      </c>
      <c r="D99" s="199" t="s">
        <v>78</v>
      </c>
      <c r="E99" s="199" t="s">
        <v>100</v>
      </c>
      <c r="F99" s="199">
        <v>1</v>
      </c>
      <c r="G99" s="199">
        <v>73</v>
      </c>
    </row>
    <row r="100" spans="2:7" hidden="1">
      <c r="B100" s="199" t="str">
        <f>Factor_1[[#This Row],[Conocimientos]]&amp;" "&amp;Factor_1[[#This Row],[Tendencia]]&amp;" "&amp;Factor_1[[#This Row],[Habilidad Gerencial]]&amp;" "&amp;Factor_1[[#This Row],[Rol del Cargo]]</f>
        <v>B - II 2</v>
      </c>
      <c r="C100" s="199" t="s">
        <v>98</v>
      </c>
      <c r="D100" s="199" t="s">
        <v>78</v>
      </c>
      <c r="E100" s="199" t="s">
        <v>100</v>
      </c>
      <c r="F100" s="199">
        <v>2</v>
      </c>
      <c r="G100" s="199">
        <v>76</v>
      </c>
    </row>
    <row r="101" spans="2:7" hidden="1">
      <c r="B101" s="199" t="str">
        <f>Factor_1[[#This Row],[Conocimientos]]&amp;" "&amp;Factor_1[[#This Row],[Tendencia]]&amp;" "&amp;Factor_1[[#This Row],[Habilidad Gerencial]]&amp;" "&amp;Factor_1[[#This Row],[Rol del Cargo]]</f>
        <v>B - II 3</v>
      </c>
      <c r="C101" s="199" t="s">
        <v>98</v>
      </c>
      <c r="D101" s="199" t="s">
        <v>78</v>
      </c>
      <c r="E101" s="199" t="s">
        <v>100</v>
      </c>
      <c r="F101" s="199">
        <v>3</v>
      </c>
      <c r="G101" s="199">
        <v>81</v>
      </c>
    </row>
    <row r="102" spans="2:7" hidden="1">
      <c r="B102" s="199" t="str">
        <f>Factor_1[[#This Row],[Conocimientos]]&amp;" "&amp;Factor_1[[#This Row],[Tendencia]]&amp;" "&amp;Factor_1[[#This Row],[Habilidad Gerencial]]&amp;" "&amp;Factor_1[[#This Row],[Rol del Cargo]]</f>
        <v>B - II 4</v>
      </c>
      <c r="C102" s="199" t="s">
        <v>98</v>
      </c>
      <c r="D102" s="199" t="s">
        <v>78</v>
      </c>
      <c r="E102" s="199" t="s">
        <v>100</v>
      </c>
      <c r="F102" s="199">
        <v>4</v>
      </c>
      <c r="G102" s="199">
        <v>85</v>
      </c>
    </row>
    <row r="103" spans="2:7" hidden="1">
      <c r="B103" s="199" t="str">
        <f>Factor_1[[#This Row],[Conocimientos]]&amp;" "&amp;Factor_1[[#This Row],[Tendencia]]&amp;" "&amp;Factor_1[[#This Row],[Habilidad Gerencial]]&amp;" "&amp;Factor_1[[#This Row],[Rol del Cargo]]</f>
        <v>B o II 1</v>
      </c>
      <c r="C103" s="199" t="s">
        <v>98</v>
      </c>
      <c r="D103" s="199" t="s">
        <v>97</v>
      </c>
      <c r="E103" s="199" t="s">
        <v>100</v>
      </c>
      <c r="F103" s="199">
        <v>1</v>
      </c>
      <c r="G103" s="199">
        <v>82</v>
      </c>
    </row>
    <row r="104" spans="2:7" hidden="1">
      <c r="B104" s="199" t="str">
        <f>Factor_1[[#This Row],[Conocimientos]]&amp;" "&amp;Factor_1[[#This Row],[Tendencia]]&amp;" "&amp;Factor_1[[#This Row],[Habilidad Gerencial]]&amp;" "&amp;Factor_1[[#This Row],[Rol del Cargo]]</f>
        <v>B o II 2</v>
      </c>
      <c r="C104" s="199" t="s">
        <v>98</v>
      </c>
      <c r="D104" s="199" t="s">
        <v>97</v>
      </c>
      <c r="E104" s="199" t="s">
        <v>100</v>
      </c>
      <c r="F104" s="199">
        <v>2</v>
      </c>
      <c r="G104" s="199">
        <v>85</v>
      </c>
    </row>
    <row r="105" spans="2:7" hidden="1">
      <c r="B105" s="199" t="str">
        <f>Factor_1[[#This Row],[Conocimientos]]&amp;" "&amp;Factor_1[[#This Row],[Tendencia]]&amp;" "&amp;Factor_1[[#This Row],[Habilidad Gerencial]]&amp;" "&amp;Factor_1[[#This Row],[Rol del Cargo]]</f>
        <v>B o II 3</v>
      </c>
      <c r="C105" s="199" t="s">
        <v>98</v>
      </c>
      <c r="D105" s="199" t="s">
        <v>97</v>
      </c>
      <c r="E105" s="199" t="s">
        <v>100</v>
      </c>
      <c r="F105" s="199">
        <v>3</v>
      </c>
      <c r="G105" s="199">
        <v>89</v>
      </c>
    </row>
    <row r="106" spans="2:7" hidden="1">
      <c r="B106" s="199" t="str">
        <f>Factor_1[[#This Row],[Conocimientos]]&amp;" "&amp;Factor_1[[#This Row],[Tendencia]]&amp;" "&amp;Factor_1[[#This Row],[Habilidad Gerencial]]&amp;" "&amp;Factor_1[[#This Row],[Rol del Cargo]]</f>
        <v>B o II 4</v>
      </c>
      <c r="C106" s="199" t="s">
        <v>98</v>
      </c>
      <c r="D106" s="199" t="s">
        <v>97</v>
      </c>
      <c r="E106" s="199" t="s">
        <v>100</v>
      </c>
      <c r="F106" s="199">
        <v>4</v>
      </c>
      <c r="G106" s="199">
        <v>94</v>
      </c>
    </row>
    <row r="107" spans="2:7" hidden="1">
      <c r="B107" s="199" t="str">
        <f>Factor_1[[#This Row],[Conocimientos]]&amp;" "&amp;Factor_1[[#This Row],[Tendencia]]&amp;" "&amp;Factor_1[[#This Row],[Habilidad Gerencial]]&amp;" "&amp;Factor_1[[#This Row],[Rol del Cargo]]</f>
        <v>B + II 1</v>
      </c>
      <c r="C107" s="199" t="s">
        <v>98</v>
      </c>
      <c r="D107" s="199" t="s">
        <v>117</v>
      </c>
      <c r="E107" s="199" t="s">
        <v>100</v>
      </c>
      <c r="F107" s="199">
        <v>1</v>
      </c>
      <c r="G107" s="199">
        <v>92</v>
      </c>
    </row>
    <row r="108" spans="2:7" hidden="1">
      <c r="B108" s="199" t="str">
        <f>Factor_1[[#This Row],[Conocimientos]]&amp;" "&amp;Factor_1[[#This Row],[Tendencia]]&amp;" "&amp;Factor_1[[#This Row],[Habilidad Gerencial]]&amp;" "&amp;Factor_1[[#This Row],[Rol del Cargo]]</f>
        <v>B + II 2</v>
      </c>
      <c r="C108" s="199" t="s">
        <v>98</v>
      </c>
      <c r="D108" s="199" t="s">
        <v>117</v>
      </c>
      <c r="E108" s="199" t="s">
        <v>100</v>
      </c>
      <c r="F108" s="199">
        <v>2</v>
      </c>
      <c r="G108" s="199">
        <v>96</v>
      </c>
    </row>
    <row r="109" spans="2:7" hidden="1">
      <c r="B109" s="199" t="str">
        <f>Factor_1[[#This Row],[Conocimientos]]&amp;" "&amp;Factor_1[[#This Row],[Tendencia]]&amp;" "&amp;Factor_1[[#This Row],[Habilidad Gerencial]]&amp;" "&amp;Factor_1[[#This Row],[Rol del Cargo]]</f>
        <v>B + II 3</v>
      </c>
      <c r="C109" s="199" t="s">
        <v>98</v>
      </c>
      <c r="D109" s="199" t="s">
        <v>117</v>
      </c>
      <c r="E109" s="199" t="s">
        <v>100</v>
      </c>
      <c r="F109" s="199">
        <v>3</v>
      </c>
      <c r="G109" s="199">
        <v>100</v>
      </c>
    </row>
    <row r="110" spans="2:7" hidden="1">
      <c r="B110" s="199" t="str">
        <f>Factor_1[[#This Row],[Conocimientos]]&amp;" "&amp;Factor_1[[#This Row],[Tendencia]]&amp;" "&amp;Factor_1[[#This Row],[Habilidad Gerencial]]&amp;" "&amp;Factor_1[[#This Row],[Rol del Cargo]]</f>
        <v>B + II 4</v>
      </c>
      <c r="C110" s="199" t="s">
        <v>98</v>
      </c>
      <c r="D110" s="199" t="s">
        <v>117</v>
      </c>
      <c r="E110" s="199" t="s">
        <v>100</v>
      </c>
      <c r="F110" s="199">
        <v>4</v>
      </c>
      <c r="G110" s="199">
        <v>105</v>
      </c>
    </row>
    <row r="111" spans="2:7" hidden="1">
      <c r="B111" s="199" t="str">
        <f>Factor_1[[#This Row],[Conocimientos]]&amp;" "&amp;Factor_1[[#This Row],[Tendencia]]&amp;" "&amp;Factor_1[[#This Row],[Habilidad Gerencial]]&amp;" "&amp;Factor_1[[#This Row],[Rol del Cargo]]</f>
        <v>B - III 1</v>
      </c>
      <c r="C111" s="199" t="s">
        <v>98</v>
      </c>
      <c r="D111" s="199" t="s">
        <v>78</v>
      </c>
      <c r="E111" s="199" t="s">
        <v>120</v>
      </c>
      <c r="F111" s="199">
        <v>1</v>
      </c>
      <c r="G111" s="199">
        <v>85</v>
      </c>
    </row>
    <row r="112" spans="2:7" hidden="1">
      <c r="B112" s="199" t="str">
        <f>Factor_1[[#This Row],[Conocimientos]]&amp;" "&amp;Factor_1[[#This Row],[Tendencia]]&amp;" "&amp;Factor_1[[#This Row],[Habilidad Gerencial]]&amp;" "&amp;Factor_1[[#This Row],[Rol del Cargo]]</f>
        <v>B - III 2</v>
      </c>
      <c r="C112" s="199" t="s">
        <v>98</v>
      </c>
      <c r="D112" s="199" t="s">
        <v>78</v>
      </c>
      <c r="E112" s="199" t="s">
        <v>120</v>
      </c>
      <c r="F112" s="199">
        <v>2</v>
      </c>
      <c r="G112" s="199">
        <v>91</v>
      </c>
    </row>
    <row r="113" spans="2:7" hidden="1">
      <c r="B113" s="199" t="str">
        <f>Factor_1[[#This Row],[Conocimientos]]&amp;" "&amp;Factor_1[[#This Row],[Tendencia]]&amp;" "&amp;Factor_1[[#This Row],[Habilidad Gerencial]]&amp;" "&amp;Factor_1[[#This Row],[Rol del Cargo]]</f>
        <v>B - III 3</v>
      </c>
      <c r="C113" s="199" t="s">
        <v>98</v>
      </c>
      <c r="D113" s="199" t="s">
        <v>78</v>
      </c>
      <c r="E113" s="199" t="s">
        <v>120</v>
      </c>
      <c r="F113" s="199">
        <v>3</v>
      </c>
      <c r="G113" s="199">
        <v>98</v>
      </c>
    </row>
    <row r="114" spans="2:7" hidden="1">
      <c r="B114" s="199" t="str">
        <f>Factor_1[[#This Row],[Conocimientos]]&amp;" "&amp;Factor_1[[#This Row],[Tendencia]]&amp;" "&amp;Factor_1[[#This Row],[Habilidad Gerencial]]&amp;" "&amp;Factor_1[[#This Row],[Rol del Cargo]]</f>
        <v>B - III 4</v>
      </c>
      <c r="C114" s="199" t="s">
        <v>98</v>
      </c>
      <c r="D114" s="199" t="s">
        <v>78</v>
      </c>
      <c r="E114" s="199" t="s">
        <v>120</v>
      </c>
      <c r="F114" s="199">
        <v>4</v>
      </c>
      <c r="G114" s="199">
        <v>105</v>
      </c>
    </row>
    <row r="115" spans="2:7" hidden="1">
      <c r="B115" s="199" t="str">
        <f>Factor_1[[#This Row],[Conocimientos]]&amp;" "&amp;Factor_1[[#This Row],[Tendencia]]&amp;" "&amp;Factor_1[[#This Row],[Habilidad Gerencial]]&amp;" "&amp;Factor_1[[#This Row],[Rol del Cargo]]</f>
        <v>B o III 1</v>
      </c>
      <c r="C115" s="199" t="s">
        <v>98</v>
      </c>
      <c r="D115" s="199" t="s">
        <v>97</v>
      </c>
      <c r="E115" s="199" t="s">
        <v>120</v>
      </c>
      <c r="F115" s="199">
        <v>1</v>
      </c>
      <c r="G115" s="199">
        <v>94</v>
      </c>
    </row>
    <row r="116" spans="2:7" hidden="1">
      <c r="B116" s="199" t="str">
        <f>Factor_1[[#This Row],[Conocimientos]]&amp;" "&amp;Factor_1[[#This Row],[Tendencia]]&amp;" "&amp;Factor_1[[#This Row],[Habilidad Gerencial]]&amp;" "&amp;Factor_1[[#This Row],[Rol del Cargo]]</f>
        <v>B o III 2</v>
      </c>
      <c r="C116" s="199" t="s">
        <v>98</v>
      </c>
      <c r="D116" s="199" t="s">
        <v>97</v>
      </c>
      <c r="E116" s="199" t="s">
        <v>120</v>
      </c>
      <c r="F116" s="199">
        <v>2</v>
      </c>
      <c r="G116" s="199">
        <v>100</v>
      </c>
    </row>
    <row r="117" spans="2:7" hidden="1">
      <c r="B117" s="199" t="str">
        <f>Factor_1[[#This Row],[Conocimientos]]&amp;" "&amp;Factor_1[[#This Row],[Tendencia]]&amp;" "&amp;Factor_1[[#This Row],[Habilidad Gerencial]]&amp;" "&amp;Factor_1[[#This Row],[Rol del Cargo]]</f>
        <v>B o III 3</v>
      </c>
      <c r="C117" s="199" t="s">
        <v>98</v>
      </c>
      <c r="D117" s="199" t="s">
        <v>97</v>
      </c>
      <c r="E117" s="199" t="s">
        <v>120</v>
      </c>
      <c r="F117" s="199">
        <v>3</v>
      </c>
      <c r="G117" s="199">
        <v>107</v>
      </c>
    </row>
    <row r="118" spans="2:7" hidden="1">
      <c r="B118" s="199" t="str">
        <f>Factor_1[[#This Row],[Conocimientos]]&amp;" "&amp;Factor_1[[#This Row],[Tendencia]]&amp;" "&amp;Factor_1[[#This Row],[Habilidad Gerencial]]&amp;" "&amp;Factor_1[[#This Row],[Rol del Cargo]]</f>
        <v>B o III 4</v>
      </c>
      <c r="C118" s="199" t="s">
        <v>98</v>
      </c>
      <c r="D118" s="199" t="s">
        <v>97</v>
      </c>
      <c r="E118" s="199" t="s">
        <v>120</v>
      </c>
      <c r="F118" s="199">
        <v>4</v>
      </c>
      <c r="G118" s="199">
        <v>114</v>
      </c>
    </row>
    <row r="119" spans="2:7" hidden="1">
      <c r="B119" s="199" t="str">
        <f>Factor_1[[#This Row],[Conocimientos]]&amp;" "&amp;Factor_1[[#This Row],[Tendencia]]&amp;" "&amp;Factor_1[[#This Row],[Habilidad Gerencial]]&amp;" "&amp;Factor_1[[#This Row],[Rol del Cargo]]</f>
        <v>B + III 1</v>
      </c>
      <c r="C119" s="199" t="s">
        <v>98</v>
      </c>
      <c r="D119" s="199" t="s">
        <v>117</v>
      </c>
      <c r="E119" s="199" t="s">
        <v>120</v>
      </c>
      <c r="F119" s="199">
        <v>1</v>
      </c>
      <c r="G119" s="199">
        <v>105</v>
      </c>
    </row>
    <row r="120" spans="2:7" hidden="1">
      <c r="B120" s="199" t="str">
        <f>Factor_1[[#This Row],[Conocimientos]]&amp;" "&amp;Factor_1[[#This Row],[Tendencia]]&amp;" "&amp;Factor_1[[#This Row],[Habilidad Gerencial]]&amp;" "&amp;Factor_1[[#This Row],[Rol del Cargo]]</f>
        <v>B + III 2</v>
      </c>
      <c r="C120" s="199" t="s">
        <v>98</v>
      </c>
      <c r="D120" s="199" t="s">
        <v>117</v>
      </c>
      <c r="E120" s="199" t="s">
        <v>120</v>
      </c>
      <c r="F120" s="199">
        <v>2</v>
      </c>
      <c r="G120" s="199">
        <v>110</v>
      </c>
    </row>
    <row r="121" spans="2:7" hidden="1">
      <c r="B121" s="199" t="str">
        <f>Factor_1[[#This Row],[Conocimientos]]&amp;" "&amp;Factor_1[[#This Row],[Tendencia]]&amp;" "&amp;Factor_1[[#This Row],[Habilidad Gerencial]]&amp;" "&amp;Factor_1[[#This Row],[Rol del Cargo]]</f>
        <v>B + III 3</v>
      </c>
      <c r="C121" s="199" t="s">
        <v>98</v>
      </c>
      <c r="D121" s="199" t="s">
        <v>117</v>
      </c>
      <c r="E121" s="199" t="s">
        <v>120</v>
      </c>
      <c r="F121" s="199">
        <v>3</v>
      </c>
      <c r="G121" s="199">
        <v>117</v>
      </c>
    </row>
    <row r="122" spans="2:7" hidden="1">
      <c r="B122" s="199" t="str">
        <f>Factor_1[[#This Row],[Conocimientos]]&amp;" "&amp;Factor_1[[#This Row],[Tendencia]]&amp;" "&amp;Factor_1[[#This Row],[Habilidad Gerencial]]&amp;" "&amp;Factor_1[[#This Row],[Rol del Cargo]]</f>
        <v>B + III 4</v>
      </c>
      <c r="C122" s="199" t="s">
        <v>98</v>
      </c>
      <c r="D122" s="199" t="s">
        <v>117</v>
      </c>
      <c r="E122" s="199" t="s">
        <v>120</v>
      </c>
      <c r="F122" s="199">
        <v>4</v>
      </c>
      <c r="G122" s="199">
        <v>125</v>
      </c>
    </row>
    <row r="123" spans="2:7" hidden="1">
      <c r="B123" s="199" t="str">
        <f>Factor_1[[#This Row],[Conocimientos]]&amp;" "&amp;Factor_1[[#This Row],[Tendencia]]&amp;" "&amp;Factor_1[[#This Row],[Habilidad Gerencial]]&amp;" "&amp;Factor_1[[#This Row],[Rol del Cargo]]</f>
        <v>B - IV 1</v>
      </c>
      <c r="C123" s="199" t="s">
        <v>98</v>
      </c>
      <c r="D123" s="199" t="s">
        <v>78</v>
      </c>
      <c r="E123" s="199" t="s">
        <v>139</v>
      </c>
      <c r="F123" s="199">
        <v>1</v>
      </c>
      <c r="G123" s="199">
        <v>105</v>
      </c>
    </row>
    <row r="124" spans="2:7" hidden="1">
      <c r="B124" s="199" t="str">
        <f>Factor_1[[#This Row],[Conocimientos]]&amp;" "&amp;Factor_1[[#This Row],[Tendencia]]&amp;" "&amp;Factor_1[[#This Row],[Habilidad Gerencial]]&amp;" "&amp;Factor_1[[#This Row],[Rol del Cargo]]</f>
        <v>B - IV 2</v>
      </c>
      <c r="C124" s="199" t="s">
        <v>98</v>
      </c>
      <c r="D124" s="199" t="s">
        <v>78</v>
      </c>
      <c r="E124" s="199" t="s">
        <v>139</v>
      </c>
      <c r="F124" s="199">
        <v>2</v>
      </c>
      <c r="G124" s="199">
        <v>115</v>
      </c>
    </row>
    <row r="125" spans="2:7" hidden="1">
      <c r="B125" s="199" t="str">
        <f>Factor_1[[#This Row],[Conocimientos]]&amp;" "&amp;Factor_1[[#This Row],[Tendencia]]&amp;" "&amp;Factor_1[[#This Row],[Habilidad Gerencial]]&amp;" "&amp;Factor_1[[#This Row],[Rol del Cargo]]</f>
        <v>B - IV 3</v>
      </c>
      <c r="C125" s="199" t="s">
        <v>98</v>
      </c>
      <c r="D125" s="199" t="s">
        <v>78</v>
      </c>
      <c r="E125" s="199" t="s">
        <v>139</v>
      </c>
      <c r="F125" s="199">
        <v>3</v>
      </c>
      <c r="G125" s="199">
        <v>125</v>
      </c>
    </row>
    <row r="126" spans="2:7" hidden="1">
      <c r="B126" s="199" t="str">
        <f>Factor_1[[#This Row],[Conocimientos]]&amp;" "&amp;Factor_1[[#This Row],[Tendencia]]&amp;" "&amp;Factor_1[[#This Row],[Habilidad Gerencial]]&amp;" "&amp;Factor_1[[#This Row],[Rol del Cargo]]</f>
        <v>B - IV 4</v>
      </c>
      <c r="C126" s="199" t="s">
        <v>98</v>
      </c>
      <c r="D126" s="199" t="s">
        <v>78</v>
      </c>
      <c r="E126" s="199" t="s">
        <v>139</v>
      </c>
      <c r="F126" s="199">
        <v>4</v>
      </c>
      <c r="G126" s="199">
        <v>138</v>
      </c>
    </row>
    <row r="127" spans="2:7" hidden="1">
      <c r="B127" s="199" t="str">
        <f>Factor_1[[#This Row],[Conocimientos]]&amp;" "&amp;Factor_1[[#This Row],[Tendencia]]&amp;" "&amp;Factor_1[[#This Row],[Habilidad Gerencial]]&amp;" "&amp;Factor_1[[#This Row],[Rol del Cargo]]</f>
        <v>B o IV 1</v>
      </c>
      <c r="C127" s="199" t="s">
        <v>98</v>
      </c>
      <c r="D127" s="199" t="s">
        <v>97</v>
      </c>
      <c r="E127" s="199" t="s">
        <v>139</v>
      </c>
      <c r="F127" s="199">
        <v>1</v>
      </c>
      <c r="G127" s="199">
        <v>114</v>
      </c>
    </row>
    <row r="128" spans="2:7" hidden="1">
      <c r="B128" s="199" t="str">
        <f>Factor_1[[#This Row],[Conocimientos]]&amp;" "&amp;Factor_1[[#This Row],[Tendencia]]&amp;" "&amp;Factor_1[[#This Row],[Habilidad Gerencial]]&amp;" "&amp;Factor_1[[#This Row],[Rol del Cargo]]</f>
        <v>B o IV 2</v>
      </c>
      <c r="C128" s="199" t="s">
        <v>98</v>
      </c>
      <c r="D128" s="199" t="s">
        <v>97</v>
      </c>
      <c r="E128" s="199" t="s">
        <v>139</v>
      </c>
      <c r="F128" s="199">
        <v>2</v>
      </c>
      <c r="G128" s="199">
        <v>123</v>
      </c>
    </row>
    <row r="129" spans="2:7" hidden="1">
      <c r="B129" s="199" t="str">
        <f>Factor_1[[#This Row],[Conocimientos]]&amp;" "&amp;Factor_1[[#This Row],[Tendencia]]&amp;" "&amp;Factor_1[[#This Row],[Habilidad Gerencial]]&amp;" "&amp;Factor_1[[#This Row],[Rol del Cargo]]</f>
        <v>B o IV 3</v>
      </c>
      <c r="C129" s="199" t="s">
        <v>98</v>
      </c>
      <c r="D129" s="199" t="s">
        <v>97</v>
      </c>
      <c r="E129" s="199" t="s">
        <v>139</v>
      </c>
      <c r="F129" s="199">
        <v>3</v>
      </c>
      <c r="G129" s="199">
        <v>134</v>
      </c>
    </row>
    <row r="130" spans="2:7" hidden="1">
      <c r="B130" s="199" t="str">
        <f>Factor_1[[#This Row],[Conocimientos]]&amp;" "&amp;Factor_1[[#This Row],[Tendencia]]&amp;" "&amp;Factor_1[[#This Row],[Habilidad Gerencial]]&amp;" "&amp;Factor_1[[#This Row],[Rol del Cargo]]</f>
        <v>B o IV 4</v>
      </c>
      <c r="C130" s="199" t="s">
        <v>98</v>
      </c>
      <c r="D130" s="199" t="s">
        <v>97</v>
      </c>
      <c r="E130" s="199" t="s">
        <v>139</v>
      </c>
      <c r="F130" s="199">
        <v>4</v>
      </c>
      <c r="G130" s="199">
        <v>147</v>
      </c>
    </row>
    <row r="131" spans="2:7" hidden="1">
      <c r="B131" s="199" t="str">
        <f>Factor_1[[#This Row],[Conocimientos]]&amp;" "&amp;Factor_1[[#This Row],[Tendencia]]&amp;" "&amp;Factor_1[[#This Row],[Habilidad Gerencial]]&amp;" "&amp;Factor_1[[#This Row],[Rol del Cargo]]</f>
        <v>B + IV 1</v>
      </c>
      <c r="C131" s="199" t="s">
        <v>98</v>
      </c>
      <c r="D131" s="199" t="s">
        <v>117</v>
      </c>
      <c r="E131" s="199" t="s">
        <v>139</v>
      </c>
      <c r="F131" s="199">
        <v>1</v>
      </c>
      <c r="G131" s="199">
        <v>125</v>
      </c>
    </row>
    <row r="132" spans="2:7" hidden="1">
      <c r="B132" s="199" t="str">
        <f>Factor_1[[#This Row],[Conocimientos]]&amp;" "&amp;Factor_1[[#This Row],[Tendencia]]&amp;" "&amp;Factor_1[[#This Row],[Habilidad Gerencial]]&amp;" "&amp;Factor_1[[#This Row],[Rol del Cargo]]</f>
        <v>B + IV 2</v>
      </c>
      <c r="C132" s="199" t="s">
        <v>98</v>
      </c>
      <c r="D132" s="199" t="s">
        <v>117</v>
      </c>
      <c r="E132" s="199" t="s">
        <v>139</v>
      </c>
      <c r="F132" s="199">
        <v>2</v>
      </c>
      <c r="G132" s="199">
        <v>134</v>
      </c>
    </row>
    <row r="133" spans="2:7" hidden="1">
      <c r="B133" s="199" t="str">
        <f>Factor_1[[#This Row],[Conocimientos]]&amp;" "&amp;Factor_1[[#This Row],[Tendencia]]&amp;" "&amp;Factor_1[[#This Row],[Habilidad Gerencial]]&amp;" "&amp;Factor_1[[#This Row],[Rol del Cargo]]</f>
        <v>B + IV 3</v>
      </c>
      <c r="C133" s="199" t="s">
        <v>98</v>
      </c>
      <c r="D133" s="199" t="s">
        <v>117</v>
      </c>
      <c r="E133" s="199" t="s">
        <v>139</v>
      </c>
      <c r="F133" s="199">
        <v>3</v>
      </c>
      <c r="G133" s="199">
        <v>144</v>
      </c>
    </row>
    <row r="134" spans="2:7" hidden="1">
      <c r="B134" s="199" t="str">
        <f>Factor_1[[#This Row],[Conocimientos]]&amp;" "&amp;Factor_1[[#This Row],[Tendencia]]&amp;" "&amp;Factor_1[[#This Row],[Habilidad Gerencial]]&amp;" "&amp;Factor_1[[#This Row],[Rol del Cargo]]</f>
        <v>B + IV 4</v>
      </c>
      <c r="C134" s="199" t="s">
        <v>98</v>
      </c>
      <c r="D134" s="199" t="s">
        <v>117</v>
      </c>
      <c r="E134" s="199" t="s">
        <v>139</v>
      </c>
      <c r="F134" s="199">
        <v>4</v>
      </c>
      <c r="G134" s="199">
        <v>157</v>
      </c>
    </row>
    <row r="135" spans="2:7" hidden="1">
      <c r="B135" s="199" t="str">
        <f>Factor_1[[#This Row],[Conocimientos]]&amp;" "&amp;Factor_1[[#This Row],[Tendencia]]&amp;" "&amp;Factor_1[[#This Row],[Habilidad Gerencial]]&amp;" "&amp;Factor_1[[#This Row],[Rol del Cargo]]</f>
        <v>B - V 1</v>
      </c>
      <c r="C135" s="199" t="s">
        <v>98</v>
      </c>
      <c r="D135" s="199" t="s">
        <v>78</v>
      </c>
      <c r="E135" s="199" t="s">
        <v>157</v>
      </c>
      <c r="F135" s="199">
        <v>1</v>
      </c>
      <c r="G135" s="199">
        <v>138</v>
      </c>
    </row>
    <row r="136" spans="2:7" hidden="1">
      <c r="B136" s="199" t="str">
        <f>Factor_1[[#This Row],[Conocimientos]]&amp;" "&amp;Factor_1[[#This Row],[Tendencia]]&amp;" "&amp;Factor_1[[#This Row],[Habilidad Gerencial]]&amp;" "&amp;Factor_1[[#This Row],[Rol del Cargo]]</f>
        <v>B - V 2</v>
      </c>
      <c r="C136" s="199" t="s">
        <v>98</v>
      </c>
      <c r="D136" s="199" t="s">
        <v>78</v>
      </c>
      <c r="E136" s="199" t="s">
        <v>157</v>
      </c>
      <c r="F136" s="199">
        <v>2</v>
      </c>
      <c r="G136" s="199">
        <v>152</v>
      </c>
    </row>
    <row r="137" spans="2:7" hidden="1">
      <c r="B137" s="199" t="str">
        <f>Factor_1[[#This Row],[Conocimientos]]&amp;" "&amp;Factor_1[[#This Row],[Tendencia]]&amp;" "&amp;Factor_1[[#This Row],[Habilidad Gerencial]]&amp;" "&amp;Factor_1[[#This Row],[Rol del Cargo]]</f>
        <v>B - V 3</v>
      </c>
      <c r="C137" s="199" t="s">
        <v>98</v>
      </c>
      <c r="D137" s="199" t="s">
        <v>78</v>
      </c>
      <c r="E137" s="199" t="s">
        <v>157</v>
      </c>
      <c r="F137" s="199">
        <v>3</v>
      </c>
      <c r="G137" s="199">
        <v>169</v>
      </c>
    </row>
    <row r="138" spans="2:7" hidden="1">
      <c r="B138" s="199" t="str">
        <f>Factor_1[[#This Row],[Conocimientos]]&amp;" "&amp;Factor_1[[#This Row],[Tendencia]]&amp;" "&amp;Factor_1[[#This Row],[Habilidad Gerencial]]&amp;" "&amp;Factor_1[[#This Row],[Rol del Cargo]]</f>
        <v>B - V 4</v>
      </c>
      <c r="C138" s="199" t="s">
        <v>98</v>
      </c>
      <c r="D138" s="199" t="s">
        <v>78</v>
      </c>
      <c r="E138" s="199" t="s">
        <v>157</v>
      </c>
      <c r="F138" s="199">
        <v>4</v>
      </c>
      <c r="G138" s="199">
        <v>189</v>
      </c>
    </row>
    <row r="139" spans="2:7" hidden="1">
      <c r="B139" s="199" t="str">
        <f>Factor_1[[#This Row],[Conocimientos]]&amp;" "&amp;Factor_1[[#This Row],[Tendencia]]&amp;" "&amp;Factor_1[[#This Row],[Habilidad Gerencial]]&amp;" "&amp;Factor_1[[#This Row],[Rol del Cargo]]</f>
        <v>B o V 1</v>
      </c>
      <c r="C139" s="199" t="s">
        <v>98</v>
      </c>
      <c r="D139" s="199" t="s">
        <v>97</v>
      </c>
      <c r="E139" s="199" t="s">
        <v>157</v>
      </c>
      <c r="F139" s="199">
        <v>1</v>
      </c>
      <c r="G139" s="199">
        <v>147</v>
      </c>
    </row>
    <row r="140" spans="2:7" hidden="1">
      <c r="B140" s="199" t="str">
        <f>Factor_1[[#This Row],[Conocimientos]]&amp;" "&amp;Factor_1[[#This Row],[Tendencia]]&amp;" "&amp;Factor_1[[#This Row],[Habilidad Gerencial]]&amp;" "&amp;Factor_1[[#This Row],[Rol del Cargo]]</f>
        <v>B o V 2</v>
      </c>
      <c r="C140" s="199" t="s">
        <v>98</v>
      </c>
      <c r="D140" s="199" t="s">
        <v>97</v>
      </c>
      <c r="E140" s="199" t="s">
        <v>157</v>
      </c>
      <c r="F140" s="199">
        <v>2</v>
      </c>
      <c r="G140" s="199">
        <v>161</v>
      </c>
    </row>
    <row r="141" spans="2:7" hidden="1">
      <c r="B141" s="199" t="str">
        <f>Factor_1[[#This Row],[Conocimientos]]&amp;" "&amp;Factor_1[[#This Row],[Tendencia]]&amp;" "&amp;Factor_1[[#This Row],[Habilidad Gerencial]]&amp;" "&amp;Factor_1[[#This Row],[Rol del Cargo]]</f>
        <v>B o V 3</v>
      </c>
      <c r="C141" s="199" t="s">
        <v>98</v>
      </c>
      <c r="D141" s="199" t="s">
        <v>97</v>
      </c>
      <c r="E141" s="199" t="s">
        <v>157</v>
      </c>
      <c r="F141" s="199">
        <v>3</v>
      </c>
      <c r="G141" s="199">
        <v>178</v>
      </c>
    </row>
    <row r="142" spans="2:7" hidden="1">
      <c r="B142" s="199" t="str">
        <f>Factor_1[[#This Row],[Conocimientos]]&amp;" "&amp;Factor_1[[#This Row],[Tendencia]]&amp;" "&amp;Factor_1[[#This Row],[Habilidad Gerencial]]&amp;" "&amp;Factor_1[[#This Row],[Rol del Cargo]]</f>
        <v>B o V 4</v>
      </c>
      <c r="C142" s="199" t="s">
        <v>98</v>
      </c>
      <c r="D142" s="199" t="s">
        <v>97</v>
      </c>
      <c r="E142" s="199" t="s">
        <v>157</v>
      </c>
      <c r="F142" s="199">
        <v>4</v>
      </c>
      <c r="G142" s="199">
        <v>198</v>
      </c>
    </row>
    <row r="143" spans="2:7" hidden="1">
      <c r="B143" s="199" t="str">
        <f>Factor_1[[#This Row],[Conocimientos]]&amp;" "&amp;Factor_1[[#This Row],[Tendencia]]&amp;" "&amp;Factor_1[[#This Row],[Habilidad Gerencial]]&amp;" "&amp;Factor_1[[#This Row],[Rol del Cargo]]</f>
        <v>B + V 1</v>
      </c>
      <c r="C143" s="199" t="s">
        <v>98</v>
      </c>
      <c r="D143" s="199" t="s">
        <v>117</v>
      </c>
      <c r="E143" s="199" t="s">
        <v>157</v>
      </c>
      <c r="F143" s="199">
        <v>1</v>
      </c>
      <c r="G143" s="199">
        <v>157</v>
      </c>
    </row>
    <row r="144" spans="2:7" hidden="1">
      <c r="B144" s="199" t="str">
        <f>Factor_1[[#This Row],[Conocimientos]]&amp;" "&amp;Factor_1[[#This Row],[Tendencia]]&amp;" "&amp;Factor_1[[#This Row],[Habilidad Gerencial]]&amp;" "&amp;Factor_1[[#This Row],[Rol del Cargo]]</f>
        <v>B + V 2</v>
      </c>
      <c r="C144" s="199" t="s">
        <v>98</v>
      </c>
      <c r="D144" s="199" t="s">
        <v>117</v>
      </c>
      <c r="E144" s="199" t="s">
        <v>157</v>
      </c>
      <c r="F144" s="199">
        <v>2</v>
      </c>
      <c r="G144" s="199">
        <v>171</v>
      </c>
    </row>
    <row r="145" spans="2:7" hidden="1">
      <c r="B145" s="199" t="str">
        <f>Factor_1[[#This Row],[Conocimientos]]&amp;" "&amp;Factor_1[[#This Row],[Tendencia]]&amp;" "&amp;Factor_1[[#This Row],[Habilidad Gerencial]]&amp;" "&amp;Factor_1[[#This Row],[Rol del Cargo]]</f>
        <v>B + V 3</v>
      </c>
      <c r="C145" s="199" t="s">
        <v>98</v>
      </c>
      <c r="D145" s="199" t="s">
        <v>117</v>
      </c>
      <c r="E145" s="199" t="s">
        <v>157</v>
      </c>
      <c r="F145" s="199">
        <v>3</v>
      </c>
      <c r="G145" s="199">
        <v>188</v>
      </c>
    </row>
    <row r="146" spans="2:7" hidden="1">
      <c r="B146" s="199" t="str">
        <f>Factor_1[[#This Row],[Conocimientos]]&amp;" "&amp;Factor_1[[#This Row],[Tendencia]]&amp;" "&amp;Factor_1[[#This Row],[Habilidad Gerencial]]&amp;" "&amp;Factor_1[[#This Row],[Rol del Cargo]]</f>
        <v>B + V 4</v>
      </c>
      <c r="C146" s="199" t="s">
        <v>98</v>
      </c>
      <c r="D146" s="199" t="s">
        <v>117</v>
      </c>
      <c r="E146" s="199" t="s">
        <v>157</v>
      </c>
      <c r="F146" s="199">
        <v>4</v>
      </c>
      <c r="G146" s="199">
        <v>208</v>
      </c>
    </row>
    <row r="147" spans="2:7" hidden="1">
      <c r="B147" s="199" t="str">
        <f>Factor_1[[#This Row],[Conocimientos]]&amp;" "&amp;Factor_1[[#This Row],[Tendencia]]&amp;" "&amp;Factor_1[[#This Row],[Habilidad Gerencial]]&amp;" "&amp;Factor_1[[#This Row],[Rol del Cargo]]</f>
        <v>B - VI 1</v>
      </c>
      <c r="C147" s="199" t="s">
        <v>98</v>
      </c>
      <c r="D147" s="199" t="s">
        <v>78</v>
      </c>
      <c r="E147" s="199" t="s">
        <v>171</v>
      </c>
      <c r="F147" s="199">
        <v>1</v>
      </c>
      <c r="G147" s="199">
        <v>189</v>
      </c>
    </row>
    <row r="148" spans="2:7" hidden="1">
      <c r="B148" s="199" t="str">
        <f>Factor_1[[#This Row],[Conocimientos]]&amp;" "&amp;Factor_1[[#This Row],[Tendencia]]&amp;" "&amp;Factor_1[[#This Row],[Habilidad Gerencial]]&amp;" "&amp;Factor_1[[#This Row],[Rol del Cargo]]</f>
        <v>B - VI 2</v>
      </c>
      <c r="C148" s="199" t="s">
        <v>98</v>
      </c>
      <c r="D148" s="199" t="s">
        <v>78</v>
      </c>
      <c r="E148" s="199" t="s">
        <v>171</v>
      </c>
      <c r="F148" s="199">
        <v>2</v>
      </c>
      <c r="G148" s="199">
        <v>213</v>
      </c>
    </row>
    <row r="149" spans="2:7" hidden="1">
      <c r="B149" s="199" t="str">
        <f>Factor_1[[#This Row],[Conocimientos]]&amp;" "&amp;Factor_1[[#This Row],[Tendencia]]&amp;" "&amp;Factor_1[[#This Row],[Habilidad Gerencial]]&amp;" "&amp;Factor_1[[#This Row],[Rol del Cargo]]</f>
        <v>B - VI 3</v>
      </c>
      <c r="C149" s="199" t="s">
        <v>98</v>
      </c>
      <c r="D149" s="199" t="s">
        <v>78</v>
      </c>
      <c r="E149" s="199" t="s">
        <v>171</v>
      </c>
      <c r="F149" s="199">
        <v>3</v>
      </c>
      <c r="G149" s="199">
        <v>240</v>
      </c>
    </row>
    <row r="150" spans="2:7" hidden="1">
      <c r="B150" s="199" t="str">
        <f>Factor_1[[#This Row],[Conocimientos]]&amp;" "&amp;Factor_1[[#This Row],[Tendencia]]&amp;" "&amp;Factor_1[[#This Row],[Habilidad Gerencial]]&amp;" "&amp;Factor_1[[#This Row],[Rol del Cargo]]</f>
        <v>B - VI 4</v>
      </c>
      <c r="C150" s="199" t="s">
        <v>98</v>
      </c>
      <c r="D150" s="199" t="s">
        <v>78</v>
      </c>
      <c r="E150" s="199" t="s">
        <v>171</v>
      </c>
      <c r="F150" s="199">
        <v>4</v>
      </c>
      <c r="G150" s="199">
        <v>272</v>
      </c>
    </row>
    <row r="151" spans="2:7" hidden="1">
      <c r="B151" s="199" t="str">
        <f>Factor_1[[#This Row],[Conocimientos]]&amp;" "&amp;Factor_1[[#This Row],[Tendencia]]&amp;" "&amp;Factor_1[[#This Row],[Habilidad Gerencial]]&amp;" "&amp;Factor_1[[#This Row],[Rol del Cargo]]</f>
        <v>B o VI 1</v>
      </c>
      <c r="C151" s="199" t="s">
        <v>98</v>
      </c>
      <c r="D151" s="199" t="s">
        <v>97</v>
      </c>
      <c r="E151" s="199" t="s">
        <v>171</v>
      </c>
      <c r="F151" s="199">
        <v>1</v>
      </c>
      <c r="G151" s="199">
        <v>198</v>
      </c>
    </row>
    <row r="152" spans="2:7" hidden="1">
      <c r="B152" s="199" t="str">
        <f>Factor_1[[#This Row],[Conocimientos]]&amp;" "&amp;Factor_1[[#This Row],[Tendencia]]&amp;" "&amp;Factor_1[[#This Row],[Habilidad Gerencial]]&amp;" "&amp;Factor_1[[#This Row],[Rol del Cargo]]</f>
        <v>B o VI 2</v>
      </c>
      <c r="C152" s="199" t="s">
        <v>98</v>
      </c>
      <c r="D152" s="199" t="s">
        <v>97</v>
      </c>
      <c r="E152" s="199" t="s">
        <v>171</v>
      </c>
      <c r="F152" s="199">
        <v>2</v>
      </c>
      <c r="G152" s="199">
        <v>221</v>
      </c>
    </row>
    <row r="153" spans="2:7" hidden="1">
      <c r="B153" s="199" t="str">
        <f>Factor_1[[#This Row],[Conocimientos]]&amp;" "&amp;Factor_1[[#This Row],[Tendencia]]&amp;" "&amp;Factor_1[[#This Row],[Habilidad Gerencial]]&amp;" "&amp;Factor_1[[#This Row],[Rol del Cargo]]</f>
        <v>B o VI 3</v>
      </c>
      <c r="C153" s="199" t="s">
        <v>98</v>
      </c>
      <c r="D153" s="199" t="s">
        <v>97</v>
      </c>
      <c r="E153" s="199" t="s">
        <v>171</v>
      </c>
      <c r="F153" s="199">
        <v>3</v>
      </c>
      <c r="G153" s="199">
        <v>249</v>
      </c>
    </row>
    <row r="154" spans="2:7" hidden="1">
      <c r="B154" s="199" t="str">
        <f>Factor_1[[#This Row],[Conocimientos]]&amp;" "&amp;Factor_1[[#This Row],[Tendencia]]&amp;" "&amp;Factor_1[[#This Row],[Habilidad Gerencial]]&amp;" "&amp;Factor_1[[#This Row],[Rol del Cargo]]</f>
        <v>B o VI 4</v>
      </c>
      <c r="C154" s="199" t="s">
        <v>98</v>
      </c>
      <c r="D154" s="199" t="s">
        <v>97</v>
      </c>
      <c r="E154" s="199" t="s">
        <v>171</v>
      </c>
      <c r="F154" s="199">
        <v>4</v>
      </c>
      <c r="G154" s="199">
        <v>281</v>
      </c>
    </row>
    <row r="155" spans="2:7" hidden="1">
      <c r="B155" s="199" t="str">
        <f>Factor_1[[#This Row],[Conocimientos]]&amp;" "&amp;Factor_1[[#This Row],[Tendencia]]&amp;" "&amp;Factor_1[[#This Row],[Habilidad Gerencial]]&amp;" "&amp;Factor_1[[#This Row],[Rol del Cargo]]</f>
        <v>B + VI 1</v>
      </c>
      <c r="C155" s="199" t="s">
        <v>98</v>
      </c>
      <c r="D155" s="199" t="s">
        <v>117</v>
      </c>
      <c r="E155" s="199" t="s">
        <v>171</v>
      </c>
      <c r="F155" s="199">
        <v>1</v>
      </c>
      <c r="G155" s="199">
        <v>208</v>
      </c>
    </row>
    <row r="156" spans="2:7" hidden="1">
      <c r="B156" s="199" t="str">
        <f>Factor_1[[#This Row],[Conocimientos]]&amp;" "&amp;Factor_1[[#This Row],[Tendencia]]&amp;" "&amp;Factor_1[[#This Row],[Habilidad Gerencial]]&amp;" "&amp;Factor_1[[#This Row],[Rol del Cargo]]</f>
        <v>B + VI 2</v>
      </c>
      <c r="C156" s="199" t="s">
        <v>98</v>
      </c>
      <c r="D156" s="199" t="s">
        <v>117</v>
      </c>
      <c r="E156" s="199" t="s">
        <v>171</v>
      </c>
      <c r="F156" s="199">
        <v>2</v>
      </c>
      <c r="G156" s="199">
        <v>232</v>
      </c>
    </row>
    <row r="157" spans="2:7" hidden="1">
      <c r="B157" s="199" t="str">
        <f>Factor_1[[#This Row],[Conocimientos]]&amp;" "&amp;Factor_1[[#This Row],[Tendencia]]&amp;" "&amp;Factor_1[[#This Row],[Habilidad Gerencial]]&amp;" "&amp;Factor_1[[#This Row],[Rol del Cargo]]</f>
        <v>B + VI 3</v>
      </c>
      <c r="C157" s="199" t="s">
        <v>98</v>
      </c>
      <c r="D157" s="199" t="s">
        <v>117</v>
      </c>
      <c r="E157" s="199" t="s">
        <v>171</v>
      </c>
      <c r="F157" s="199">
        <v>3</v>
      </c>
      <c r="G157" s="199">
        <v>259</v>
      </c>
    </row>
    <row r="158" spans="2:7" hidden="1">
      <c r="B158" s="199" t="str">
        <f>Factor_1[[#This Row],[Conocimientos]]&amp;" "&amp;Factor_1[[#This Row],[Tendencia]]&amp;" "&amp;Factor_1[[#This Row],[Habilidad Gerencial]]&amp;" "&amp;Factor_1[[#This Row],[Rol del Cargo]]</f>
        <v>B + VI 4</v>
      </c>
      <c r="C158" s="199" t="s">
        <v>98</v>
      </c>
      <c r="D158" s="199" t="s">
        <v>117</v>
      </c>
      <c r="E158" s="199" t="s">
        <v>171</v>
      </c>
      <c r="F158" s="199">
        <v>4</v>
      </c>
      <c r="G158" s="199">
        <v>291</v>
      </c>
    </row>
    <row r="159" spans="2:7" hidden="1">
      <c r="B159" s="199" t="str">
        <f>Factor_1[[#This Row],[Conocimientos]]&amp;" "&amp;Factor_1[[#This Row],[Tendencia]]&amp;" "&amp;Factor_1[[#This Row],[Habilidad Gerencial]]&amp;" "&amp;Factor_1[[#This Row],[Rol del Cargo]]</f>
        <v>B - VII 1</v>
      </c>
      <c r="C159" s="199" t="s">
        <v>98</v>
      </c>
      <c r="D159" s="199" t="s">
        <v>78</v>
      </c>
      <c r="E159" s="199" t="s">
        <v>179</v>
      </c>
      <c r="F159" s="199">
        <v>1</v>
      </c>
      <c r="G159" s="199">
        <v>272</v>
      </c>
    </row>
    <row r="160" spans="2:7" hidden="1">
      <c r="B160" s="199" t="str">
        <f>Factor_1[[#This Row],[Conocimientos]]&amp;" "&amp;Factor_1[[#This Row],[Tendencia]]&amp;" "&amp;Factor_1[[#This Row],[Habilidad Gerencial]]&amp;" "&amp;Factor_1[[#This Row],[Rol del Cargo]]</f>
        <v>B - VII 2</v>
      </c>
      <c r="C160" s="199" t="s">
        <v>98</v>
      </c>
      <c r="D160" s="199" t="s">
        <v>78</v>
      </c>
      <c r="E160" s="199" t="s">
        <v>179</v>
      </c>
      <c r="F160" s="199">
        <v>2</v>
      </c>
      <c r="G160" s="199">
        <v>309</v>
      </c>
    </row>
    <row r="161" spans="2:7" hidden="1">
      <c r="B161" s="199" t="str">
        <f>Factor_1[[#This Row],[Conocimientos]]&amp;" "&amp;Factor_1[[#This Row],[Tendencia]]&amp;" "&amp;Factor_1[[#This Row],[Habilidad Gerencial]]&amp;" "&amp;Factor_1[[#This Row],[Rol del Cargo]]</f>
        <v>B - VII 3</v>
      </c>
      <c r="C161" s="199" t="s">
        <v>98</v>
      </c>
      <c r="D161" s="199" t="s">
        <v>78</v>
      </c>
      <c r="E161" s="199" t="s">
        <v>179</v>
      </c>
      <c r="F161" s="199">
        <v>3</v>
      </c>
      <c r="G161" s="199">
        <v>353</v>
      </c>
    </row>
    <row r="162" spans="2:7" hidden="1">
      <c r="B162" s="199" t="str">
        <f>Factor_1[[#This Row],[Conocimientos]]&amp;" "&amp;Factor_1[[#This Row],[Tendencia]]&amp;" "&amp;Factor_1[[#This Row],[Habilidad Gerencial]]&amp;" "&amp;Factor_1[[#This Row],[Rol del Cargo]]</f>
        <v>B - VII 4</v>
      </c>
      <c r="C162" s="199" t="s">
        <v>98</v>
      </c>
      <c r="D162" s="199" t="s">
        <v>78</v>
      </c>
      <c r="E162" s="199" t="s">
        <v>179</v>
      </c>
      <c r="F162" s="199">
        <v>4</v>
      </c>
      <c r="G162" s="199">
        <v>404</v>
      </c>
    </row>
    <row r="163" spans="2:7" hidden="1">
      <c r="B163" s="199" t="str">
        <f>Factor_1[[#This Row],[Conocimientos]]&amp;" "&amp;Factor_1[[#This Row],[Tendencia]]&amp;" "&amp;Factor_1[[#This Row],[Habilidad Gerencial]]&amp;" "&amp;Factor_1[[#This Row],[Rol del Cargo]]</f>
        <v>B o VII 1</v>
      </c>
      <c r="C163" s="199" t="s">
        <v>98</v>
      </c>
      <c r="D163" s="199" t="s">
        <v>97</v>
      </c>
      <c r="E163" s="199" t="s">
        <v>179</v>
      </c>
      <c r="F163" s="199">
        <v>1</v>
      </c>
      <c r="G163" s="199">
        <v>281</v>
      </c>
    </row>
    <row r="164" spans="2:7" hidden="1">
      <c r="B164" s="199" t="str">
        <f>Factor_1[[#This Row],[Conocimientos]]&amp;" "&amp;Factor_1[[#This Row],[Tendencia]]&amp;" "&amp;Factor_1[[#This Row],[Habilidad Gerencial]]&amp;" "&amp;Factor_1[[#This Row],[Rol del Cargo]]</f>
        <v>B o VII 2</v>
      </c>
      <c r="C164" s="199" t="s">
        <v>98</v>
      </c>
      <c r="D164" s="199" t="s">
        <v>97</v>
      </c>
      <c r="E164" s="199" t="s">
        <v>179</v>
      </c>
      <c r="F164" s="199">
        <v>2</v>
      </c>
      <c r="G164" s="199">
        <v>318</v>
      </c>
    </row>
    <row r="165" spans="2:7" hidden="1">
      <c r="B165" s="199" t="str">
        <f>Factor_1[[#This Row],[Conocimientos]]&amp;" "&amp;Factor_1[[#This Row],[Tendencia]]&amp;" "&amp;Factor_1[[#This Row],[Habilidad Gerencial]]&amp;" "&amp;Factor_1[[#This Row],[Rol del Cargo]]</f>
        <v>B o VII 3</v>
      </c>
      <c r="C165" s="199" t="s">
        <v>98</v>
      </c>
      <c r="D165" s="199" t="s">
        <v>97</v>
      </c>
      <c r="E165" s="199" t="s">
        <v>179</v>
      </c>
      <c r="F165" s="199">
        <v>3</v>
      </c>
      <c r="G165" s="199">
        <v>362</v>
      </c>
    </row>
    <row r="166" spans="2:7" hidden="1">
      <c r="B166" s="199" t="str">
        <f>Factor_1[[#This Row],[Conocimientos]]&amp;" "&amp;Factor_1[[#This Row],[Tendencia]]&amp;" "&amp;Factor_1[[#This Row],[Habilidad Gerencial]]&amp;" "&amp;Factor_1[[#This Row],[Rol del Cargo]]</f>
        <v>B o VII 4</v>
      </c>
      <c r="C166" s="199" t="s">
        <v>98</v>
      </c>
      <c r="D166" s="199" t="s">
        <v>97</v>
      </c>
      <c r="E166" s="199" t="s">
        <v>179</v>
      </c>
      <c r="F166" s="199">
        <v>4</v>
      </c>
      <c r="G166" s="199">
        <v>413</v>
      </c>
    </row>
    <row r="167" spans="2:7" hidden="1">
      <c r="B167" s="199" t="str">
        <f>Factor_1[[#This Row],[Conocimientos]]&amp;" "&amp;Factor_1[[#This Row],[Tendencia]]&amp;" "&amp;Factor_1[[#This Row],[Habilidad Gerencial]]&amp;" "&amp;Factor_1[[#This Row],[Rol del Cargo]]</f>
        <v>B + VII 1</v>
      </c>
      <c r="C167" s="199" t="s">
        <v>98</v>
      </c>
      <c r="D167" s="199" t="s">
        <v>117</v>
      </c>
      <c r="E167" s="199" t="s">
        <v>179</v>
      </c>
      <c r="F167" s="199">
        <v>1</v>
      </c>
      <c r="G167" s="199">
        <v>291</v>
      </c>
    </row>
    <row r="168" spans="2:7" hidden="1">
      <c r="B168" s="199" t="str">
        <f>Factor_1[[#This Row],[Conocimientos]]&amp;" "&amp;Factor_1[[#This Row],[Tendencia]]&amp;" "&amp;Factor_1[[#This Row],[Habilidad Gerencial]]&amp;" "&amp;Factor_1[[#This Row],[Rol del Cargo]]</f>
        <v>B + VII 2</v>
      </c>
      <c r="C168" s="199" t="s">
        <v>98</v>
      </c>
      <c r="D168" s="199" t="s">
        <v>117</v>
      </c>
      <c r="E168" s="199" t="s">
        <v>179</v>
      </c>
      <c r="F168" s="199">
        <v>2</v>
      </c>
      <c r="G168" s="199">
        <v>328</v>
      </c>
    </row>
    <row r="169" spans="2:7" hidden="1">
      <c r="B169" s="199" t="str">
        <f>Factor_1[[#This Row],[Conocimientos]]&amp;" "&amp;Factor_1[[#This Row],[Tendencia]]&amp;" "&amp;Factor_1[[#This Row],[Habilidad Gerencial]]&amp;" "&amp;Factor_1[[#This Row],[Rol del Cargo]]</f>
        <v>B + VII 3</v>
      </c>
      <c r="C169" s="199" t="s">
        <v>98</v>
      </c>
      <c r="D169" s="199" t="s">
        <v>117</v>
      </c>
      <c r="E169" s="199" t="s">
        <v>179</v>
      </c>
      <c r="F169" s="199">
        <v>3</v>
      </c>
      <c r="G169" s="199">
        <v>372</v>
      </c>
    </row>
    <row r="170" spans="2:7" hidden="1">
      <c r="B170" s="199" t="str">
        <f>Factor_1[[#This Row],[Conocimientos]]&amp;" "&amp;Factor_1[[#This Row],[Tendencia]]&amp;" "&amp;Factor_1[[#This Row],[Habilidad Gerencial]]&amp;" "&amp;Factor_1[[#This Row],[Rol del Cargo]]</f>
        <v>B + VII 4</v>
      </c>
      <c r="C170" s="199" t="s">
        <v>98</v>
      </c>
      <c r="D170" s="199" t="s">
        <v>117</v>
      </c>
      <c r="E170" s="199" t="s">
        <v>179</v>
      </c>
      <c r="F170" s="199">
        <v>4</v>
      </c>
      <c r="G170" s="199">
        <v>423</v>
      </c>
    </row>
    <row r="171" spans="2:7" hidden="1">
      <c r="B171" s="199" t="str">
        <f>Factor_1[[#This Row],[Conocimientos]]&amp;" "&amp;Factor_1[[#This Row],[Tendencia]]&amp;" "&amp;Factor_1[[#This Row],[Habilidad Gerencial]]&amp;" "&amp;Factor_1[[#This Row],[Rol del Cargo]]</f>
        <v>C - I 1</v>
      </c>
      <c r="C171" s="199" t="s">
        <v>118</v>
      </c>
      <c r="D171" s="199" t="s">
        <v>78</v>
      </c>
      <c r="E171" s="199" t="s">
        <v>81</v>
      </c>
      <c r="F171" s="199">
        <v>1</v>
      </c>
      <c r="G171" s="199">
        <v>72</v>
      </c>
    </row>
    <row r="172" spans="2:7" hidden="1">
      <c r="B172" s="199" t="str">
        <f>Factor_1[[#This Row],[Conocimientos]]&amp;" "&amp;Factor_1[[#This Row],[Tendencia]]&amp;" "&amp;Factor_1[[#This Row],[Habilidad Gerencial]]&amp;" "&amp;Factor_1[[#This Row],[Rol del Cargo]]</f>
        <v>C - I 2</v>
      </c>
      <c r="C172" s="199" t="s">
        <v>118</v>
      </c>
      <c r="D172" s="199" t="s">
        <v>78</v>
      </c>
      <c r="E172" s="199" t="s">
        <v>81</v>
      </c>
      <c r="F172" s="199">
        <v>2</v>
      </c>
      <c r="G172" s="199">
        <v>77</v>
      </c>
    </row>
    <row r="173" spans="2:7" hidden="1">
      <c r="B173" s="199" t="str">
        <f>Factor_1[[#This Row],[Conocimientos]]&amp;" "&amp;Factor_1[[#This Row],[Tendencia]]&amp;" "&amp;Factor_1[[#This Row],[Habilidad Gerencial]]&amp;" "&amp;Factor_1[[#This Row],[Rol del Cargo]]</f>
        <v>C - I 3</v>
      </c>
      <c r="C173" s="199" t="s">
        <v>118</v>
      </c>
      <c r="D173" s="199" t="s">
        <v>78</v>
      </c>
      <c r="E173" s="199" t="s">
        <v>81</v>
      </c>
      <c r="F173" s="199">
        <v>3</v>
      </c>
      <c r="G173" s="199">
        <v>85</v>
      </c>
    </row>
    <row r="174" spans="2:7" hidden="1">
      <c r="B174" s="199" t="str">
        <f>Factor_1[[#This Row],[Conocimientos]]&amp;" "&amp;Factor_1[[#This Row],[Tendencia]]&amp;" "&amp;Factor_1[[#This Row],[Habilidad Gerencial]]&amp;" "&amp;Factor_1[[#This Row],[Rol del Cargo]]</f>
        <v>C - I 4</v>
      </c>
      <c r="C174" s="199" t="s">
        <v>118</v>
      </c>
      <c r="D174" s="199" t="s">
        <v>78</v>
      </c>
      <c r="E174" s="199" t="s">
        <v>81</v>
      </c>
      <c r="F174" s="199">
        <v>4</v>
      </c>
      <c r="G174" s="199">
        <v>92</v>
      </c>
    </row>
    <row r="175" spans="2:7" hidden="1">
      <c r="B175" s="199" t="str">
        <f>Factor_1[[#This Row],[Conocimientos]]&amp;" "&amp;Factor_1[[#This Row],[Tendencia]]&amp;" "&amp;Factor_1[[#This Row],[Habilidad Gerencial]]&amp;" "&amp;Factor_1[[#This Row],[Rol del Cargo]]</f>
        <v>C o I 1</v>
      </c>
      <c r="C175" s="199" t="s">
        <v>118</v>
      </c>
      <c r="D175" s="199" t="s">
        <v>97</v>
      </c>
      <c r="E175" s="199" t="s">
        <v>81</v>
      </c>
      <c r="F175" s="199">
        <v>1</v>
      </c>
      <c r="G175" s="199">
        <v>84</v>
      </c>
    </row>
    <row r="176" spans="2:7" hidden="1">
      <c r="B176" s="199" t="str">
        <f>Factor_1[[#This Row],[Conocimientos]]&amp;" "&amp;Factor_1[[#This Row],[Tendencia]]&amp;" "&amp;Factor_1[[#This Row],[Habilidad Gerencial]]&amp;" "&amp;Factor_1[[#This Row],[Rol del Cargo]]</f>
        <v>C o I 2</v>
      </c>
      <c r="C176" s="199" t="s">
        <v>118</v>
      </c>
      <c r="D176" s="199" t="s">
        <v>97</v>
      </c>
      <c r="E176" s="199" t="s">
        <v>81</v>
      </c>
      <c r="F176" s="199">
        <v>2</v>
      </c>
      <c r="G176" s="199">
        <v>89</v>
      </c>
    </row>
    <row r="177" spans="2:7" hidden="1">
      <c r="B177" s="199" t="str">
        <f>Factor_1[[#This Row],[Conocimientos]]&amp;" "&amp;Factor_1[[#This Row],[Tendencia]]&amp;" "&amp;Factor_1[[#This Row],[Habilidad Gerencial]]&amp;" "&amp;Factor_1[[#This Row],[Rol del Cargo]]</f>
        <v>C o I 3</v>
      </c>
      <c r="C177" s="199" t="s">
        <v>118</v>
      </c>
      <c r="D177" s="199" t="s">
        <v>97</v>
      </c>
      <c r="E177" s="199" t="s">
        <v>81</v>
      </c>
      <c r="F177" s="199">
        <v>3</v>
      </c>
      <c r="G177" s="199">
        <v>97</v>
      </c>
    </row>
    <row r="178" spans="2:7" hidden="1">
      <c r="B178" s="199" t="str">
        <f>Factor_1[[#This Row],[Conocimientos]]&amp;" "&amp;Factor_1[[#This Row],[Tendencia]]&amp;" "&amp;Factor_1[[#This Row],[Habilidad Gerencial]]&amp;" "&amp;Factor_1[[#This Row],[Rol del Cargo]]</f>
        <v>C o I 4</v>
      </c>
      <c r="C178" s="199" t="s">
        <v>118</v>
      </c>
      <c r="D178" s="199" t="s">
        <v>97</v>
      </c>
      <c r="E178" s="199" t="s">
        <v>81</v>
      </c>
      <c r="F178" s="199">
        <v>4</v>
      </c>
      <c r="G178" s="199">
        <v>104</v>
      </c>
    </row>
    <row r="179" spans="2:7" hidden="1">
      <c r="B179" s="199" t="str">
        <f>Factor_1[[#This Row],[Conocimientos]]&amp;" "&amp;Factor_1[[#This Row],[Tendencia]]&amp;" "&amp;Factor_1[[#This Row],[Habilidad Gerencial]]&amp;" "&amp;Factor_1[[#This Row],[Rol del Cargo]]</f>
        <v>C + I 1</v>
      </c>
      <c r="C179" s="199" t="s">
        <v>118</v>
      </c>
      <c r="D179" s="199" t="s">
        <v>117</v>
      </c>
      <c r="E179" s="199" t="s">
        <v>81</v>
      </c>
      <c r="F179" s="199">
        <v>1</v>
      </c>
      <c r="G179" s="199">
        <v>98</v>
      </c>
    </row>
    <row r="180" spans="2:7" hidden="1">
      <c r="B180" s="199" t="str">
        <f>Factor_1[[#This Row],[Conocimientos]]&amp;" "&amp;Factor_1[[#This Row],[Tendencia]]&amp;" "&amp;Factor_1[[#This Row],[Habilidad Gerencial]]&amp;" "&amp;Factor_1[[#This Row],[Rol del Cargo]]</f>
        <v>C + I 2</v>
      </c>
      <c r="C180" s="199" t="s">
        <v>118</v>
      </c>
      <c r="D180" s="199" t="s">
        <v>117</v>
      </c>
      <c r="E180" s="199" t="s">
        <v>81</v>
      </c>
      <c r="F180" s="199">
        <v>2</v>
      </c>
      <c r="G180" s="199">
        <v>103</v>
      </c>
    </row>
    <row r="181" spans="2:7" hidden="1">
      <c r="B181" s="199" t="str">
        <f>Factor_1[[#This Row],[Conocimientos]]&amp;" "&amp;Factor_1[[#This Row],[Tendencia]]&amp;" "&amp;Factor_1[[#This Row],[Habilidad Gerencial]]&amp;" "&amp;Factor_1[[#This Row],[Rol del Cargo]]</f>
        <v>C + I 3</v>
      </c>
      <c r="C181" s="199" t="s">
        <v>118</v>
      </c>
      <c r="D181" s="199" t="s">
        <v>117</v>
      </c>
      <c r="E181" s="199" t="s">
        <v>81</v>
      </c>
      <c r="F181" s="199">
        <v>3</v>
      </c>
      <c r="G181" s="199">
        <v>111</v>
      </c>
    </row>
    <row r="182" spans="2:7" hidden="1">
      <c r="B182" s="199" t="str">
        <f>Factor_1[[#This Row],[Conocimientos]]&amp;" "&amp;Factor_1[[#This Row],[Tendencia]]&amp;" "&amp;Factor_1[[#This Row],[Habilidad Gerencial]]&amp;" "&amp;Factor_1[[#This Row],[Rol del Cargo]]</f>
        <v>C + I 4</v>
      </c>
      <c r="C182" s="199" t="s">
        <v>118</v>
      </c>
      <c r="D182" s="199" t="s">
        <v>117</v>
      </c>
      <c r="E182" s="199" t="s">
        <v>81</v>
      </c>
      <c r="F182" s="199">
        <v>4</v>
      </c>
      <c r="G182" s="199">
        <v>118</v>
      </c>
    </row>
    <row r="183" spans="2:7" hidden="1">
      <c r="B183" s="199" t="str">
        <f>Factor_1[[#This Row],[Conocimientos]]&amp;" "&amp;Factor_1[[#This Row],[Tendencia]]&amp;" "&amp;Factor_1[[#This Row],[Habilidad Gerencial]]&amp;" "&amp;Factor_1[[#This Row],[Rol del Cargo]]</f>
        <v>C - II 1</v>
      </c>
      <c r="C183" s="199" t="s">
        <v>118</v>
      </c>
      <c r="D183" s="199" t="s">
        <v>78</v>
      </c>
      <c r="E183" s="199" t="s">
        <v>100</v>
      </c>
      <c r="F183" s="199">
        <v>1</v>
      </c>
      <c r="G183" s="199">
        <v>92</v>
      </c>
    </row>
    <row r="184" spans="2:7" hidden="1">
      <c r="B184" s="199" t="str">
        <f>Factor_1[[#This Row],[Conocimientos]]&amp;" "&amp;Factor_1[[#This Row],[Tendencia]]&amp;" "&amp;Factor_1[[#This Row],[Habilidad Gerencial]]&amp;" "&amp;Factor_1[[#This Row],[Rol del Cargo]]</f>
        <v>C - II 2</v>
      </c>
      <c r="C184" s="199" t="s">
        <v>118</v>
      </c>
      <c r="D184" s="199" t="s">
        <v>78</v>
      </c>
      <c r="E184" s="199" t="s">
        <v>100</v>
      </c>
      <c r="F184" s="199">
        <v>2</v>
      </c>
      <c r="G184" s="199">
        <v>96</v>
      </c>
    </row>
    <row r="185" spans="2:7" hidden="1">
      <c r="B185" s="199" t="str">
        <f>Factor_1[[#This Row],[Conocimientos]]&amp;" "&amp;Factor_1[[#This Row],[Tendencia]]&amp;" "&amp;Factor_1[[#This Row],[Habilidad Gerencial]]&amp;" "&amp;Factor_1[[#This Row],[Rol del Cargo]]</f>
        <v>C - II 3</v>
      </c>
      <c r="C185" s="199" t="s">
        <v>118</v>
      </c>
      <c r="D185" s="199" t="s">
        <v>78</v>
      </c>
      <c r="E185" s="199" t="s">
        <v>100</v>
      </c>
      <c r="F185" s="199">
        <v>3</v>
      </c>
      <c r="G185" s="199">
        <v>100</v>
      </c>
    </row>
    <row r="186" spans="2:7" hidden="1">
      <c r="B186" s="199" t="str">
        <f>Factor_1[[#This Row],[Conocimientos]]&amp;" "&amp;Factor_1[[#This Row],[Tendencia]]&amp;" "&amp;Factor_1[[#This Row],[Habilidad Gerencial]]&amp;" "&amp;Factor_1[[#This Row],[Rol del Cargo]]</f>
        <v>C - II 4</v>
      </c>
      <c r="C186" s="199" t="s">
        <v>118</v>
      </c>
      <c r="D186" s="199" t="s">
        <v>78</v>
      </c>
      <c r="E186" s="199" t="s">
        <v>100</v>
      </c>
      <c r="F186" s="199">
        <v>4</v>
      </c>
      <c r="G186" s="199">
        <v>105</v>
      </c>
    </row>
    <row r="187" spans="2:7" hidden="1">
      <c r="B187" s="199" t="str">
        <f>Factor_1[[#This Row],[Conocimientos]]&amp;" "&amp;Factor_1[[#This Row],[Tendencia]]&amp;" "&amp;Factor_1[[#This Row],[Habilidad Gerencial]]&amp;" "&amp;Factor_1[[#This Row],[Rol del Cargo]]</f>
        <v>C o II 1</v>
      </c>
      <c r="C187" s="199" t="s">
        <v>118</v>
      </c>
      <c r="D187" s="199" t="s">
        <v>97</v>
      </c>
      <c r="E187" s="199" t="s">
        <v>100</v>
      </c>
      <c r="F187" s="199">
        <v>1</v>
      </c>
      <c r="G187" s="199">
        <v>104</v>
      </c>
    </row>
    <row r="188" spans="2:7" hidden="1">
      <c r="B188" s="199" t="str">
        <f>Factor_1[[#This Row],[Conocimientos]]&amp;" "&amp;Factor_1[[#This Row],[Tendencia]]&amp;" "&amp;Factor_1[[#This Row],[Habilidad Gerencial]]&amp;" "&amp;Factor_1[[#This Row],[Rol del Cargo]]</f>
        <v>C o II 2</v>
      </c>
      <c r="C188" s="199" t="s">
        <v>118</v>
      </c>
      <c r="D188" s="199" t="s">
        <v>97</v>
      </c>
      <c r="E188" s="199" t="s">
        <v>100</v>
      </c>
      <c r="F188" s="199">
        <v>2</v>
      </c>
      <c r="G188" s="199">
        <v>108</v>
      </c>
    </row>
    <row r="189" spans="2:7" hidden="1">
      <c r="B189" s="199" t="str">
        <f>Factor_1[[#This Row],[Conocimientos]]&amp;" "&amp;Factor_1[[#This Row],[Tendencia]]&amp;" "&amp;Factor_1[[#This Row],[Habilidad Gerencial]]&amp;" "&amp;Factor_1[[#This Row],[Rol del Cargo]]</f>
        <v>C o II 3</v>
      </c>
      <c r="C189" s="199" t="s">
        <v>118</v>
      </c>
      <c r="D189" s="199" t="s">
        <v>97</v>
      </c>
      <c r="E189" s="199" t="s">
        <v>100</v>
      </c>
      <c r="F189" s="199">
        <v>3</v>
      </c>
      <c r="G189" s="199">
        <v>112</v>
      </c>
    </row>
    <row r="190" spans="2:7" hidden="1">
      <c r="B190" s="199" t="str">
        <f>Factor_1[[#This Row],[Conocimientos]]&amp;" "&amp;Factor_1[[#This Row],[Tendencia]]&amp;" "&amp;Factor_1[[#This Row],[Habilidad Gerencial]]&amp;" "&amp;Factor_1[[#This Row],[Rol del Cargo]]</f>
        <v>C o II 4</v>
      </c>
      <c r="C190" s="199" t="s">
        <v>118</v>
      </c>
      <c r="D190" s="199" t="s">
        <v>97</v>
      </c>
      <c r="E190" s="199" t="s">
        <v>100</v>
      </c>
      <c r="F190" s="199">
        <v>4</v>
      </c>
      <c r="G190" s="199">
        <v>117</v>
      </c>
    </row>
    <row r="191" spans="2:7" hidden="1">
      <c r="B191" s="199" t="str">
        <f>Factor_1[[#This Row],[Conocimientos]]&amp;" "&amp;Factor_1[[#This Row],[Tendencia]]&amp;" "&amp;Factor_1[[#This Row],[Habilidad Gerencial]]&amp;" "&amp;Factor_1[[#This Row],[Rol del Cargo]]</f>
        <v>C + II 1</v>
      </c>
      <c r="C191" s="199" t="s">
        <v>118</v>
      </c>
      <c r="D191" s="199" t="s">
        <v>117</v>
      </c>
      <c r="E191" s="199" t="s">
        <v>100</v>
      </c>
      <c r="F191" s="199">
        <v>1</v>
      </c>
      <c r="G191" s="199">
        <v>118</v>
      </c>
    </row>
    <row r="192" spans="2:7" hidden="1">
      <c r="B192" s="199" t="str">
        <f>Factor_1[[#This Row],[Conocimientos]]&amp;" "&amp;Factor_1[[#This Row],[Tendencia]]&amp;" "&amp;Factor_1[[#This Row],[Habilidad Gerencial]]&amp;" "&amp;Factor_1[[#This Row],[Rol del Cargo]]</f>
        <v>C + II 2</v>
      </c>
      <c r="C192" s="199" t="s">
        <v>118</v>
      </c>
      <c r="D192" s="199" t="s">
        <v>117</v>
      </c>
      <c r="E192" s="199" t="s">
        <v>100</v>
      </c>
      <c r="F192" s="199">
        <v>2</v>
      </c>
      <c r="G192" s="199">
        <v>122</v>
      </c>
    </row>
    <row r="193" spans="2:7" hidden="1">
      <c r="B193" s="199" t="str">
        <f>Factor_1[[#This Row],[Conocimientos]]&amp;" "&amp;Factor_1[[#This Row],[Tendencia]]&amp;" "&amp;Factor_1[[#This Row],[Habilidad Gerencial]]&amp;" "&amp;Factor_1[[#This Row],[Rol del Cargo]]</f>
        <v>C + II 3</v>
      </c>
      <c r="C193" s="199" t="s">
        <v>118</v>
      </c>
      <c r="D193" s="199" t="s">
        <v>117</v>
      </c>
      <c r="E193" s="199" t="s">
        <v>100</v>
      </c>
      <c r="F193" s="199">
        <v>3</v>
      </c>
      <c r="G193" s="199">
        <v>126</v>
      </c>
    </row>
    <row r="194" spans="2:7" hidden="1">
      <c r="B194" s="199" t="str">
        <f>Factor_1[[#This Row],[Conocimientos]]&amp;" "&amp;Factor_1[[#This Row],[Tendencia]]&amp;" "&amp;Factor_1[[#This Row],[Habilidad Gerencial]]&amp;" "&amp;Factor_1[[#This Row],[Rol del Cargo]]</f>
        <v>C + II 4</v>
      </c>
      <c r="C194" s="199" t="s">
        <v>118</v>
      </c>
      <c r="D194" s="199" t="s">
        <v>117</v>
      </c>
      <c r="E194" s="199" t="s">
        <v>100</v>
      </c>
      <c r="F194" s="199">
        <v>4</v>
      </c>
      <c r="G194" s="199">
        <v>131</v>
      </c>
    </row>
    <row r="195" spans="2:7" hidden="1">
      <c r="B195" s="199" t="str">
        <f>Factor_1[[#This Row],[Conocimientos]]&amp;" "&amp;Factor_1[[#This Row],[Tendencia]]&amp;" "&amp;Factor_1[[#This Row],[Habilidad Gerencial]]&amp;" "&amp;Factor_1[[#This Row],[Rol del Cargo]]</f>
        <v>C - III 1</v>
      </c>
      <c r="C195" s="199" t="s">
        <v>118</v>
      </c>
      <c r="D195" s="199" t="s">
        <v>78</v>
      </c>
      <c r="E195" s="199" t="s">
        <v>120</v>
      </c>
      <c r="F195" s="199">
        <v>1</v>
      </c>
      <c r="G195" s="199">
        <v>105</v>
      </c>
    </row>
    <row r="196" spans="2:7" hidden="1">
      <c r="B196" s="199" t="str">
        <f>Factor_1[[#This Row],[Conocimientos]]&amp;" "&amp;Factor_1[[#This Row],[Tendencia]]&amp;" "&amp;Factor_1[[#This Row],[Habilidad Gerencial]]&amp;" "&amp;Factor_1[[#This Row],[Rol del Cargo]]</f>
        <v>C - III 2</v>
      </c>
      <c r="C196" s="199" t="s">
        <v>118</v>
      </c>
      <c r="D196" s="199" t="s">
        <v>78</v>
      </c>
      <c r="E196" s="199" t="s">
        <v>120</v>
      </c>
      <c r="F196" s="199">
        <v>2</v>
      </c>
      <c r="G196" s="199">
        <v>110</v>
      </c>
    </row>
    <row r="197" spans="2:7" hidden="1">
      <c r="B197" s="199" t="str">
        <f>Factor_1[[#This Row],[Conocimientos]]&amp;" "&amp;Factor_1[[#This Row],[Tendencia]]&amp;" "&amp;Factor_1[[#This Row],[Habilidad Gerencial]]&amp;" "&amp;Factor_1[[#This Row],[Rol del Cargo]]</f>
        <v>C - III 3</v>
      </c>
      <c r="C197" s="199" t="s">
        <v>118</v>
      </c>
      <c r="D197" s="199" t="s">
        <v>78</v>
      </c>
      <c r="E197" s="199" t="s">
        <v>120</v>
      </c>
      <c r="F197" s="199">
        <v>3</v>
      </c>
      <c r="G197" s="199">
        <v>117</v>
      </c>
    </row>
    <row r="198" spans="2:7" hidden="1">
      <c r="B198" s="199" t="str">
        <f>Factor_1[[#This Row],[Conocimientos]]&amp;" "&amp;Factor_1[[#This Row],[Tendencia]]&amp;" "&amp;Factor_1[[#This Row],[Habilidad Gerencial]]&amp;" "&amp;Factor_1[[#This Row],[Rol del Cargo]]</f>
        <v>C - III 4</v>
      </c>
      <c r="C198" s="199" t="s">
        <v>118</v>
      </c>
      <c r="D198" s="199" t="s">
        <v>78</v>
      </c>
      <c r="E198" s="199" t="s">
        <v>120</v>
      </c>
      <c r="F198" s="199">
        <v>4</v>
      </c>
      <c r="G198" s="199">
        <v>125</v>
      </c>
    </row>
    <row r="199" spans="2:7" hidden="1">
      <c r="B199" s="199" t="str">
        <f>Factor_1[[#This Row],[Conocimientos]]&amp;" "&amp;Factor_1[[#This Row],[Tendencia]]&amp;" "&amp;Factor_1[[#This Row],[Habilidad Gerencial]]&amp;" "&amp;Factor_1[[#This Row],[Rol del Cargo]]</f>
        <v>C o III 1</v>
      </c>
      <c r="C199" s="199" t="s">
        <v>118</v>
      </c>
      <c r="D199" s="199" t="s">
        <v>97</v>
      </c>
      <c r="E199" s="199" t="s">
        <v>120</v>
      </c>
      <c r="F199" s="199">
        <v>1</v>
      </c>
      <c r="G199" s="199">
        <v>117</v>
      </c>
    </row>
    <row r="200" spans="2:7" hidden="1">
      <c r="B200" s="199" t="str">
        <f>Factor_1[[#This Row],[Conocimientos]]&amp;" "&amp;Factor_1[[#This Row],[Tendencia]]&amp;" "&amp;Factor_1[[#This Row],[Habilidad Gerencial]]&amp;" "&amp;Factor_1[[#This Row],[Rol del Cargo]]</f>
        <v>C o III 2</v>
      </c>
      <c r="C200" s="199" t="s">
        <v>118</v>
      </c>
      <c r="D200" s="199" t="s">
        <v>97</v>
      </c>
      <c r="E200" s="199" t="s">
        <v>120</v>
      </c>
      <c r="F200" s="199">
        <v>2</v>
      </c>
      <c r="G200" s="199">
        <v>122</v>
      </c>
    </row>
    <row r="201" spans="2:7" hidden="1">
      <c r="B201" s="199" t="str">
        <f>Factor_1[[#This Row],[Conocimientos]]&amp;" "&amp;Factor_1[[#This Row],[Tendencia]]&amp;" "&amp;Factor_1[[#This Row],[Habilidad Gerencial]]&amp;" "&amp;Factor_1[[#This Row],[Rol del Cargo]]</f>
        <v>C o III 3</v>
      </c>
      <c r="C201" s="199" t="s">
        <v>118</v>
      </c>
      <c r="D201" s="199" t="s">
        <v>97</v>
      </c>
      <c r="E201" s="199" t="s">
        <v>120</v>
      </c>
      <c r="F201" s="199">
        <v>3</v>
      </c>
      <c r="G201" s="199">
        <v>129</v>
      </c>
    </row>
    <row r="202" spans="2:7" hidden="1">
      <c r="B202" s="199" t="str">
        <f>Factor_1[[#This Row],[Conocimientos]]&amp;" "&amp;Factor_1[[#This Row],[Tendencia]]&amp;" "&amp;Factor_1[[#This Row],[Habilidad Gerencial]]&amp;" "&amp;Factor_1[[#This Row],[Rol del Cargo]]</f>
        <v>C o III 4</v>
      </c>
      <c r="C202" s="199" t="s">
        <v>118</v>
      </c>
      <c r="D202" s="199" t="s">
        <v>97</v>
      </c>
      <c r="E202" s="199" t="s">
        <v>120</v>
      </c>
      <c r="F202" s="199">
        <v>4</v>
      </c>
      <c r="G202" s="199">
        <v>137</v>
      </c>
    </row>
    <row r="203" spans="2:7" hidden="1">
      <c r="B203" s="199" t="str">
        <f>Factor_1[[#This Row],[Conocimientos]]&amp;" "&amp;Factor_1[[#This Row],[Tendencia]]&amp;" "&amp;Factor_1[[#This Row],[Habilidad Gerencial]]&amp;" "&amp;Factor_1[[#This Row],[Rol del Cargo]]</f>
        <v>C + III 1</v>
      </c>
      <c r="C203" s="199" t="s">
        <v>118</v>
      </c>
      <c r="D203" s="199" t="s">
        <v>117</v>
      </c>
      <c r="E203" s="199" t="s">
        <v>120</v>
      </c>
      <c r="F203" s="199">
        <v>1</v>
      </c>
      <c r="G203" s="199">
        <v>131</v>
      </c>
    </row>
    <row r="204" spans="2:7" hidden="1">
      <c r="B204" s="199" t="str">
        <f>Factor_1[[#This Row],[Conocimientos]]&amp;" "&amp;Factor_1[[#This Row],[Tendencia]]&amp;" "&amp;Factor_1[[#This Row],[Habilidad Gerencial]]&amp;" "&amp;Factor_1[[#This Row],[Rol del Cargo]]</f>
        <v>C + III 2</v>
      </c>
      <c r="C204" s="199" t="s">
        <v>118</v>
      </c>
      <c r="D204" s="199" t="s">
        <v>117</v>
      </c>
      <c r="E204" s="199" t="s">
        <v>120</v>
      </c>
      <c r="F204" s="199">
        <v>2</v>
      </c>
      <c r="G204" s="199">
        <v>137</v>
      </c>
    </row>
    <row r="205" spans="2:7" hidden="1">
      <c r="B205" s="199" t="str">
        <f>Factor_1[[#This Row],[Conocimientos]]&amp;" "&amp;Factor_1[[#This Row],[Tendencia]]&amp;" "&amp;Factor_1[[#This Row],[Habilidad Gerencial]]&amp;" "&amp;Factor_1[[#This Row],[Rol del Cargo]]</f>
        <v>C + III 3</v>
      </c>
      <c r="C205" s="199" t="s">
        <v>118</v>
      </c>
      <c r="D205" s="199" t="s">
        <v>117</v>
      </c>
      <c r="E205" s="199" t="s">
        <v>120</v>
      </c>
      <c r="F205" s="199">
        <v>3</v>
      </c>
      <c r="G205" s="199">
        <v>143</v>
      </c>
    </row>
    <row r="206" spans="2:7" hidden="1">
      <c r="B206" s="199" t="str">
        <f>Factor_1[[#This Row],[Conocimientos]]&amp;" "&amp;Factor_1[[#This Row],[Tendencia]]&amp;" "&amp;Factor_1[[#This Row],[Habilidad Gerencial]]&amp;" "&amp;Factor_1[[#This Row],[Rol del Cargo]]</f>
        <v>C + III 4</v>
      </c>
      <c r="C206" s="199" t="s">
        <v>118</v>
      </c>
      <c r="D206" s="199" t="s">
        <v>117</v>
      </c>
      <c r="E206" s="199" t="s">
        <v>120</v>
      </c>
      <c r="F206" s="199">
        <v>4</v>
      </c>
      <c r="G206" s="199">
        <v>151</v>
      </c>
    </row>
    <row r="207" spans="2:7" hidden="1">
      <c r="B207" s="199" t="str">
        <f>Factor_1[[#This Row],[Conocimientos]]&amp;" "&amp;Factor_1[[#This Row],[Tendencia]]&amp;" "&amp;Factor_1[[#This Row],[Habilidad Gerencial]]&amp;" "&amp;Factor_1[[#This Row],[Rol del Cargo]]</f>
        <v>C - IV 1</v>
      </c>
      <c r="C207" s="199" t="s">
        <v>118</v>
      </c>
      <c r="D207" s="199" t="s">
        <v>78</v>
      </c>
      <c r="E207" s="199" t="s">
        <v>139</v>
      </c>
      <c r="F207" s="199">
        <v>1</v>
      </c>
      <c r="G207" s="199">
        <v>125</v>
      </c>
    </row>
    <row r="208" spans="2:7" hidden="1">
      <c r="B208" s="199" t="str">
        <f>Factor_1[[#This Row],[Conocimientos]]&amp;" "&amp;Factor_1[[#This Row],[Tendencia]]&amp;" "&amp;Factor_1[[#This Row],[Habilidad Gerencial]]&amp;" "&amp;Factor_1[[#This Row],[Rol del Cargo]]</f>
        <v>C - IV 2</v>
      </c>
      <c r="C208" s="199" t="s">
        <v>118</v>
      </c>
      <c r="D208" s="199" t="s">
        <v>78</v>
      </c>
      <c r="E208" s="199" t="s">
        <v>139</v>
      </c>
      <c r="F208" s="199">
        <v>2</v>
      </c>
      <c r="G208" s="199">
        <v>134</v>
      </c>
    </row>
    <row r="209" spans="2:7" hidden="1">
      <c r="B209" s="199" t="str">
        <f>Factor_1[[#This Row],[Conocimientos]]&amp;" "&amp;Factor_1[[#This Row],[Tendencia]]&amp;" "&amp;Factor_1[[#This Row],[Habilidad Gerencial]]&amp;" "&amp;Factor_1[[#This Row],[Rol del Cargo]]</f>
        <v>C - IV 3</v>
      </c>
      <c r="C209" s="199" t="s">
        <v>118</v>
      </c>
      <c r="D209" s="199" t="s">
        <v>78</v>
      </c>
      <c r="E209" s="199" t="s">
        <v>139</v>
      </c>
      <c r="F209" s="199">
        <v>3</v>
      </c>
      <c r="G209" s="199">
        <v>144</v>
      </c>
    </row>
    <row r="210" spans="2:7" hidden="1">
      <c r="B210" s="199" t="str">
        <f>Factor_1[[#This Row],[Conocimientos]]&amp;" "&amp;Factor_1[[#This Row],[Tendencia]]&amp;" "&amp;Factor_1[[#This Row],[Habilidad Gerencial]]&amp;" "&amp;Factor_1[[#This Row],[Rol del Cargo]]</f>
        <v>C - IV 4</v>
      </c>
      <c r="C210" s="199" t="s">
        <v>118</v>
      </c>
      <c r="D210" s="199" t="s">
        <v>78</v>
      </c>
      <c r="E210" s="199" t="s">
        <v>139</v>
      </c>
      <c r="F210" s="199">
        <v>4</v>
      </c>
      <c r="G210" s="199">
        <v>157</v>
      </c>
    </row>
    <row r="211" spans="2:7" hidden="1">
      <c r="B211" s="199" t="str">
        <f>Factor_1[[#This Row],[Conocimientos]]&amp;" "&amp;Factor_1[[#This Row],[Tendencia]]&amp;" "&amp;Factor_1[[#This Row],[Habilidad Gerencial]]&amp;" "&amp;Factor_1[[#This Row],[Rol del Cargo]]</f>
        <v>C o IV 1</v>
      </c>
      <c r="C211" s="199" t="s">
        <v>118</v>
      </c>
      <c r="D211" s="199" t="s">
        <v>97</v>
      </c>
      <c r="E211" s="199" t="s">
        <v>139</v>
      </c>
      <c r="F211" s="199">
        <v>1</v>
      </c>
      <c r="G211" s="199">
        <v>137</v>
      </c>
    </row>
    <row r="212" spans="2:7" hidden="1">
      <c r="B212" s="199" t="str">
        <f>Factor_1[[#This Row],[Conocimientos]]&amp;" "&amp;Factor_1[[#This Row],[Tendencia]]&amp;" "&amp;Factor_1[[#This Row],[Habilidad Gerencial]]&amp;" "&amp;Factor_1[[#This Row],[Rol del Cargo]]</f>
        <v>C o IV 2</v>
      </c>
      <c r="C212" s="199" t="s">
        <v>118</v>
      </c>
      <c r="D212" s="199" t="s">
        <v>97</v>
      </c>
      <c r="E212" s="199" t="s">
        <v>139</v>
      </c>
      <c r="F212" s="199">
        <v>2</v>
      </c>
      <c r="G212" s="199">
        <v>146</v>
      </c>
    </row>
    <row r="213" spans="2:7" hidden="1">
      <c r="B213" s="199" t="str">
        <f>Factor_1[[#This Row],[Conocimientos]]&amp;" "&amp;Factor_1[[#This Row],[Tendencia]]&amp;" "&amp;Factor_1[[#This Row],[Habilidad Gerencial]]&amp;" "&amp;Factor_1[[#This Row],[Rol del Cargo]]</f>
        <v>C o IV 3</v>
      </c>
      <c r="C213" s="199" t="s">
        <v>118</v>
      </c>
      <c r="D213" s="199" t="s">
        <v>97</v>
      </c>
      <c r="E213" s="199" t="s">
        <v>139</v>
      </c>
      <c r="F213" s="199">
        <v>3</v>
      </c>
      <c r="G213" s="199">
        <v>157</v>
      </c>
    </row>
    <row r="214" spans="2:7" hidden="1">
      <c r="B214" s="199" t="str">
        <f>Factor_1[[#This Row],[Conocimientos]]&amp;" "&amp;Factor_1[[#This Row],[Tendencia]]&amp;" "&amp;Factor_1[[#This Row],[Habilidad Gerencial]]&amp;" "&amp;Factor_1[[#This Row],[Rol del Cargo]]</f>
        <v>C o IV 4</v>
      </c>
      <c r="C214" s="199" t="s">
        <v>118</v>
      </c>
      <c r="D214" s="199" t="s">
        <v>97</v>
      </c>
      <c r="E214" s="199" t="s">
        <v>139</v>
      </c>
      <c r="F214" s="199">
        <v>4</v>
      </c>
      <c r="G214" s="199">
        <v>169</v>
      </c>
    </row>
    <row r="215" spans="2:7" hidden="1">
      <c r="B215" s="199" t="str">
        <f>Factor_1[[#This Row],[Conocimientos]]&amp;" "&amp;Factor_1[[#This Row],[Tendencia]]&amp;" "&amp;Factor_1[[#This Row],[Habilidad Gerencial]]&amp;" "&amp;Factor_1[[#This Row],[Rol del Cargo]]</f>
        <v>C + IV 1</v>
      </c>
      <c r="C215" s="199" t="s">
        <v>118</v>
      </c>
      <c r="D215" s="199" t="s">
        <v>117</v>
      </c>
      <c r="E215" s="199" t="s">
        <v>139</v>
      </c>
      <c r="F215" s="199">
        <v>1</v>
      </c>
      <c r="G215" s="199">
        <v>151</v>
      </c>
    </row>
    <row r="216" spans="2:7" hidden="1">
      <c r="B216" s="199" t="str">
        <f>Factor_1[[#This Row],[Conocimientos]]&amp;" "&amp;Factor_1[[#This Row],[Tendencia]]&amp;" "&amp;Factor_1[[#This Row],[Habilidad Gerencial]]&amp;" "&amp;Factor_1[[#This Row],[Rol del Cargo]]</f>
        <v>C + IV 2</v>
      </c>
      <c r="C216" s="199" t="s">
        <v>118</v>
      </c>
      <c r="D216" s="199" t="s">
        <v>117</v>
      </c>
      <c r="E216" s="199" t="s">
        <v>139</v>
      </c>
      <c r="F216" s="199">
        <v>2</v>
      </c>
      <c r="G216" s="199">
        <v>160</v>
      </c>
    </row>
    <row r="217" spans="2:7" hidden="1">
      <c r="B217" s="199" t="str">
        <f>Factor_1[[#This Row],[Conocimientos]]&amp;" "&amp;Factor_1[[#This Row],[Tendencia]]&amp;" "&amp;Factor_1[[#This Row],[Habilidad Gerencial]]&amp;" "&amp;Factor_1[[#This Row],[Rol del Cargo]]</f>
        <v>C + IV 3</v>
      </c>
      <c r="C217" s="199" t="s">
        <v>118</v>
      </c>
      <c r="D217" s="199" t="s">
        <v>117</v>
      </c>
      <c r="E217" s="199" t="s">
        <v>139</v>
      </c>
      <c r="F217" s="199">
        <v>3</v>
      </c>
      <c r="G217" s="199">
        <v>171</v>
      </c>
    </row>
    <row r="218" spans="2:7" hidden="1">
      <c r="B218" s="199" t="str">
        <f>Factor_1[[#This Row],[Conocimientos]]&amp;" "&amp;Factor_1[[#This Row],[Tendencia]]&amp;" "&amp;Factor_1[[#This Row],[Habilidad Gerencial]]&amp;" "&amp;Factor_1[[#This Row],[Rol del Cargo]]</f>
        <v>C + IV 4</v>
      </c>
      <c r="C218" s="199" t="s">
        <v>118</v>
      </c>
      <c r="D218" s="199" t="s">
        <v>117</v>
      </c>
      <c r="E218" s="199" t="s">
        <v>139</v>
      </c>
      <c r="F218" s="199">
        <v>4</v>
      </c>
      <c r="G218" s="199">
        <v>183</v>
      </c>
    </row>
    <row r="219" spans="2:7" hidden="1">
      <c r="B219" s="199" t="str">
        <f>Factor_1[[#This Row],[Conocimientos]]&amp;" "&amp;Factor_1[[#This Row],[Tendencia]]&amp;" "&amp;Factor_1[[#This Row],[Habilidad Gerencial]]&amp;" "&amp;Factor_1[[#This Row],[Rol del Cargo]]</f>
        <v>C - V 1</v>
      </c>
      <c r="C219" s="199" t="s">
        <v>118</v>
      </c>
      <c r="D219" s="199" t="s">
        <v>78</v>
      </c>
      <c r="E219" s="199" t="s">
        <v>157</v>
      </c>
      <c r="F219" s="199">
        <v>1</v>
      </c>
      <c r="G219" s="199">
        <v>157</v>
      </c>
    </row>
    <row r="220" spans="2:7" hidden="1">
      <c r="B220" s="199" t="str">
        <f>Factor_1[[#This Row],[Conocimientos]]&amp;" "&amp;Factor_1[[#This Row],[Tendencia]]&amp;" "&amp;Factor_1[[#This Row],[Habilidad Gerencial]]&amp;" "&amp;Factor_1[[#This Row],[Rol del Cargo]]</f>
        <v>C - V 2</v>
      </c>
      <c r="C220" s="199" t="s">
        <v>118</v>
      </c>
      <c r="D220" s="199" t="s">
        <v>78</v>
      </c>
      <c r="E220" s="199" t="s">
        <v>157</v>
      </c>
      <c r="F220" s="199">
        <v>2</v>
      </c>
      <c r="G220" s="199">
        <v>171</v>
      </c>
    </row>
    <row r="221" spans="2:7" hidden="1">
      <c r="B221" s="199" t="str">
        <f>Factor_1[[#This Row],[Conocimientos]]&amp;" "&amp;Factor_1[[#This Row],[Tendencia]]&amp;" "&amp;Factor_1[[#This Row],[Habilidad Gerencial]]&amp;" "&amp;Factor_1[[#This Row],[Rol del Cargo]]</f>
        <v>C - V 3</v>
      </c>
      <c r="C221" s="199" t="s">
        <v>118</v>
      </c>
      <c r="D221" s="199" t="s">
        <v>78</v>
      </c>
      <c r="E221" s="199" t="s">
        <v>157</v>
      </c>
      <c r="F221" s="199">
        <v>3</v>
      </c>
      <c r="G221" s="199">
        <v>188</v>
      </c>
    </row>
    <row r="222" spans="2:7" hidden="1">
      <c r="B222" s="199" t="str">
        <f>Factor_1[[#This Row],[Conocimientos]]&amp;" "&amp;Factor_1[[#This Row],[Tendencia]]&amp;" "&amp;Factor_1[[#This Row],[Habilidad Gerencial]]&amp;" "&amp;Factor_1[[#This Row],[Rol del Cargo]]</f>
        <v>C - V 4</v>
      </c>
      <c r="C222" s="199" t="s">
        <v>118</v>
      </c>
      <c r="D222" s="199" t="s">
        <v>78</v>
      </c>
      <c r="E222" s="199" t="s">
        <v>157</v>
      </c>
      <c r="F222" s="199">
        <v>4</v>
      </c>
      <c r="G222" s="199">
        <v>208</v>
      </c>
    </row>
    <row r="223" spans="2:7" hidden="1">
      <c r="B223" s="199" t="str">
        <f>Factor_1[[#This Row],[Conocimientos]]&amp;" "&amp;Factor_1[[#This Row],[Tendencia]]&amp;" "&amp;Factor_1[[#This Row],[Habilidad Gerencial]]&amp;" "&amp;Factor_1[[#This Row],[Rol del Cargo]]</f>
        <v>C o V 1</v>
      </c>
      <c r="C223" s="199" t="s">
        <v>118</v>
      </c>
      <c r="D223" s="199" t="s">
        <v>97</v>
      </c>
      <c r="E223" s="199" t="s">
        <v>157</v>
      </c>
      <c r="F223" s="199">
        <v>1</v>
      </c>
      <c r="G223" s="199">
        <v>169</v>
      </c>
    </row>
    <row r="224" spans="2:7" hidden="1">
      <c r="B224" s="199" t="str">
        <f>Factor_1[[#This Row],[Conocimientos]]&amp;" "&amp;Factor_1[[#This Row],[Tendencia]]&amp;" "&amp;Factor_1[[#This Row],[Habilidad Gerencial]]&amp;" "&amp;Factor_1[[#This Row],[Rol del Cargo]]</f>
        <v>C o V 2</v>
      </c>
      <c r="C224" s="199" t="s">
        <v>118</v>
      </c>
      <c r="D224" s="199" t="s">
        <v>97</v>
      </c>
      <c r="E224" s="199" t="s">
        <v>157</v>
      </c>
      <c r="F224" s="199">
        <v>2</v>
      </c>
      <c r="G224" s="199">
        <v>184</v>
      </c>
    </row>
    <row r="225" spans="2:7" hidden="1">
      <c r="B225" s="199" t="str">
        <f>Factor_1[[#This Row],[Conocimientos]]&amp;" "&amp;Factor_1[[#This Row],[Tendencia]]&amp;" "&amp;Factor_1[[#This Row],[Habilidad Gerencial]]&amp;" "&amp;Factor_1[[#This Row],[Rol del Cargo]]</f>
        <v>C o V 3</v>
      </c>
      <c r="C225" s="199" t="s">
        <v>118</v>
      </c>
      <c r="D225" s="199" t="s">
        <v>97</v>
      </c>
      <c r="E225" s="199" t="s">
        <v>157</v>
      </c>
      <c r="F225" s="199">
        <v>3</v>
      </c>
      <c r="G225" s="199">
        <v>201</v>
      </c>
    </row>
    <row r="226" spans="2:7" hidden="1">
      <c r="B226" s="199" t="str">
        <f>Factor_1[[#This Row],[Conocimientos]]&amp;" "&amp;Factor_1[[#This Row],[Tendencia]]&amp;" "&amp;Factor_1[[#This Row],[Habilidad Gerencial]]&amp;" "&amp;Factor_1[[#This Row],[Rol del Cargo]]</f>
        <v>C o V 4</v>
      </c>
      <c r="C226" s="199" t="s">
        <v>118</v>
      </c>
      <c r="D226" s="199" t="s">
        <v>97</v>
      </c>
      <c r="E226" s="199" t="s">
        <v>157</v>
      </c>
      <c r="F226" s="199">
        <v>4</v>
      </c>
      <c r="G226" s="199">
        <v>221</v>
      </c>
    </row>
    <row r="227" spans="2:7" hidden="1">
      <c r="B227" s="199" t="str">
        <f>Factor_1[[#This Row],[Conocimientos]]&amp;" "&amp;Factor_1[[#This Row],[Tendencia]]&amp;" "&amp;Factor_1[[#This Row],[Habilidad Gerencial]]&amp;" "&amp;Factor_1[[#This Row],[Rol del Cargo]]</f>
        <v>C + V 1</v>
      </c>
      <c r="C227" s="199" t="s">
        <v>118</v>
      </c>
      <c r="D227" s="199" t="s">
        <v>117</v>
      </c>
      <c r="E227" s="199" t="s">
        <v>157</v>
      </c>
      <c r="F227" s="199">
        <v>1</v>
      </c>
      <c r="G227" s="199">
        <v>183</v>
      </c>
    </row>
    <row r="228" spans="2:7" hidden="1">
      <c r="B228" s="199" t="str">
        <f>Factor_1[[#This Row],[Conocimientos]]&amp;" "&amp;Factor_1[[#This Row],[Tendencia]]&amp;" "&amp;Factor_1[[#This Row],[Habilidad Gerencial]]&amp;" "&amp;Factor_1[[#This Row],[Rol del Cargo]]</f>
        <v>C + V 2</v>
      </c>
      <c r="C228" s="199" t="s">
        <v>118</v>
      </c>
      <c r="D228" s="199" t="s">
        <v>117</v>
      </c>
      <c r="E228" s="199" t="s">
        <v>157</v>
      </c>
      <c r="F228" s="199">
        <v>2</v>
      </c>
      <c r="G228" s="199">
        <v>198</v>
      </c>
    </row>
    <row r="229" spans="2:7" hidden="1">
      <c r="B229" s="199" t="str">
        <f>Factor_1[[#This Row],[Conocimientos]]&amp;" "&amp;Factor_1[[#This Row],[Tendencia]]&amp;" "&amp;Factor_1[[#This Row],[Habilidad Gerencial]]&amp;" "&amp;Factor_1[[#This Row],[Rol del Cargo]]</f>
        <v>C + V 3</v>
      </c>
      <c r="C229" s="199" t="s">
        <v>118</v>
      </c>
      <c r="D229" s="199" t="s">
        <v>117</v>
      </c>
      <c r="E229" s="199" t="s">
        <v>157</v>
      </c>
      <c r="F229" s="199">
        <v>3</v>
      </c>
      <c r="G229" s="199">
        <v>215</v>
      </c>
    </row>
    <row r="230" spans="2:7" hidden="1">
      <c r="B230" s="199" t="str">
        <f>Factor_1[[#This Row],[Conocimientos]]&amp;" "&amp;Factor_1[[#This Row],[Tendencia]]&amp;" "&amp;Factor_1[[#This Row],[Habilidad Gerencial]]&amp;" "&amp;Factor_1[[#This Row],[Rol del Cargo]]</f>
        <v>C + V 4</v>
      </c>
      <c r="C230" s="199" t="s">
        <v>118</v>
      </c>
      <c r="D230" s="199" t="s">
        <v>117</v>
      </c>
      <c r="E230" s="199" t="s">
        <v>157</v>
      </c>
      <c r="F230" s="199">
        <v>4</v>
      </c>
      <c r="G230" s="199">
        <v>235</v>
      </c>
    </row>
    <row r="231" spans="2:7" hidden="1">
      <c r="B231" s="199" t="str">
        <f>Factor_1[[#This Row],[Conocimientos]]&amp;" "&amp;Factor_1[[#This Row],[Tendencia]]&amp;" "&amp;Factor_1[[#This Row],[Habilidad Gerencial]]&amp;" "&amp;Factor_1[[#This Row],[Rol del Cargo]]</f>
        <v>C - VI 1</v>
      </c>
      <c r="C231" s="199" t="s">
        <v>118</v>
      </c>
      <c r="D231" s="199" t="s">
        <v>78</v>
      </c>
      <c r="E231" s="199" t="s">
        <v>171</v>
      </c>
      <c r="F231" s="199">
        <v>1</v>
      </c>
      <c r="G231" s="199">
        <v>208</v>
      </c>
    </row>
    <row r="232" spans="2:7" hidden="1">
      <c r="B232" s="199" t="str">
        <f>Factor_1[[#This Row],[Conocimientos]]&amp;" "&amp;Factor_1[[#This Row],[Tendencia]]&amp;" "&amp;Factor_1[[#This Row],[Habilidad Gerencial]]&amp;" "&amp;Factor_1[[#This Row],[Rol del Cargo]]</f>
        <v>C - VI 2</v>
      </c>
      <c r="C232" s="199" t="s">
        <v>118</v>
      </c>
      <c r="D232" s="199" t="s">
        <v>78</v>
      </c>
      <c r="E232" s="199" t="s">
        <v>171</v>
      </c>
      <c r="F232" s="199">
        <v>2</v>
      </c>
      <c r="G232" s="199">
        <v>232</v>
      </c>
    </row>
    <row r="233" spans="2:7" hidden="1">
      <c r="B233" s="199" t="str">
        <f>Factor_1[[#This Row],[Conocimientos]]&amp;" "&amp;Factor_1[[#This Row],[Tendencia]]&amp;" "&amp;Factor_1[[#This Row],[Habilidad Gerencial]]&amp;" "&amp;Factor_1[[#This Row],[Rol del Cargo]]</f>
        <v>C - VI 3</v>
      </c>
      <c r="C233" s="199" t="s">
        <v>118</v>
      </c>
      <c r="D233" s="199" t="s">
        <v>78</v>
      </c>
      <c r="E233" s="199" t="s">
        <v>171</v>
      </c>
      <c r="F233" s="199">
        <v>3</v>
      </c>
      <c r="G233" s="199">
        <v>259</v>
      </c>
    </row>
    <row r="234" spans="2:7" hidden="1">
      <c r="B234" s="199" t="str">
        <f>Factor_1[[#This Row],[Conocimientos]]&amp;" "&amp;Factor_1[[#This Row],[Tendencia]]&amp;" "&amp;Factor_1[[#This Row],[Habilidad Gerencial]]&amp;" "&amp;Factor_1[[#This Row],[Rol del Cargo]]</f>
        <v>C - VI 4</v>
      </c>
      <c r="C234" s="199" t="s">
        <v>118</v>
      </c>
      <c r="D234" s="199" t="s">
        <v>78</v>
      </c>
      <c r="E234" s="199" t="s">
        <v>171</v>
      </c>
      <c r="F234" s="199">
        <v>4</v>
      </c>
      <c r="G234" s="199">
        <v>291</v>
      </c>
    </row>
    <row r="235" spans="2:7" hidden="1">
      <c r="B235" s="199" t="str">
        <f>Factor_1[[#This Row],[Conocimientos]]&amp;" "&amp;Factor_1[[#This Row],[Tendencia]]&amp;" "&amp;Factor_1[[#This Row],[Habilidad Gerencial]]&amp;" "&amp;Factor_1[[#This Row],[Rol del Cargo]]</f>
        <v>C o VI 1</v>
      </c>
      <c r="C235" s="199" t="s">
        <v>118</v>
      </c>
      <c r="D235" s="199" t="s">
        <v>97</v>
      </c>
      <c r="E235" s="199" t="s">
        <v>171</v>
      </c>
      <c r="F235" s="199">
        <v>1</v>
      </c>
      <c r="G235" s="199">
        <v>221</v>
      </c>
    </row>
    <row r="236" spans="2:7" hidden="1">
      <c r="B236" s="199" t="str">
        <f>Factor_1[[#This Row],[Conocimientos]]&amp;" "&amp;Factor_1[[#This Row],[Tendencia]]&amp;" "&amp;Factor_1[[#This Row],[Habilidad Gerencial]]&amp;" "&amp;Factor_1[[#This Row],[Rol del Cargo]]</f>
        <v>C o VI 2</v>
      </c>
      <c r="C236" s="199" t="s">
        <v>118</v>
      </c>
      <c r="D236" s="199" t="s">
        <v>97</v>
      </c>
      <c r="E236" s="199" t="s">
        <v>171</v>
      </c>
      <c r="F236" s="199">
        <v>2</v>
      </c>
      <c r="G236" s="199">
        <v>244</v>
      </c>
    </row>
    <row r="237" spans="2:7" hidden="1">
      <c r="B237" s="199" t="str">
        <f>Factor_1[[#This Row],[Conocimientos]]&amp;" "&amp;Factor_1[[#This Row],[Tendencia]]&amp;" "&amp;Factor_1[[#This Row],[Habilidad Gerencial]]&amp;" "&amp;Factor_1[[#This Row],[Rol del Cargo]]</f>
        <v>C o VI 3</v>
      </c>
      <c r="C237" s="199" t="s">
        <v>118</v>
      </c>
      <c r="D237" s="199" t="s">
        <v>97</v>
      </c>
      <c r="E237" s="199" t="s">
        <v>171</v>
      </c>
      <c r="F237" s="199">
        <v>3</v>
      </c>
      <c r="G237" s="199">
        <v>271</v>
      </c>
    </row>
    <row r="238" spans="2:7" hidden="1">
      <c r="B238" s="199" t="str">
        <f>Factor_1[[#This Row],[Conocimientos]]&amp;" "&amp;Factor_1[[#This Row],[Tendencia]]&amp;" "&amp;Factor_1[[#This Row],[Habilidad Gerencial]]&amp;" "&amp;Factor_1[[#This Row],[Rol del Cargo]]</f>
        <v>C o VI 4</v>
      </c>
      <c r="C238" s="199" t="s">
        <v>118</v>
      </c>
      <c r="D238" s="199" t="s">
        <v>97</v>
      </c>
      <c r="E238" s="199" t="s">
        <v>171</v>
      </c>
      <c r="F238" s="199">
        <v>4</v>
      </c>
      <c r="G238" s="199">
        <v>303</v>
      </c>
    </row>
    <row r="239" spans="2:7" hidden="1">
      <c r="B239" s="199" t="str">
        <f>Factor_1[[#This Row],[Conocimientos]]&amp;" "&amp;Factor_1[[#This Row],[Tendencia]]&amp;" "&amp;Factor_1[[#This Row],[Habilidad Gerencial]]&amp;" "&amp;Factor_1[[#This Row],[Rol del Cargo]]</f>
        <v>C + VI 1</v>
      </c>
      <c r="C239" s="199" t="s">
        <v>118</v>
      </c>
      <c r="D239" s="199" t="s">
        <v>117</v>
      </c>
      <c r="E239" s="199" t="s">
        <v>171</v>
      </c>
      <c r="F239" s="199">
        <v>1</v>
      </c>
      <c r="G239" s="199">
        <v>235</v>
      </c>
    </row>
    <row r="240" spans="2:7" hidden="1">
      <c r="B240" s="199" t="str">
        <f>Factor_1[[#This Row],[Conocimientos]]&amp;" "&amp;Factor_1[[#This Row],[Tendencia]]&amp;" "&amp;Factor_1[[#This Row],[Habilidad Gerencial]]&amp;" "&amp;Factor_1[[#This Row],[Rol del Cargo]]</f>
        <v>C + VI 2</v>
      </c>
      <c r="C240" s="199" t="s">
        <v>118</v>
      </c>
      <c r="D240" s="199" t="s">
        <v>117</v>
      </c>
      <c r="E240" s="199" t="s">
        <v>171</v>
      </c>
      <c r="F240" s="199">
        <v>2</v>
      </c>
      <c r="G240" s="199">
        <v>258</v>
      </c>
    </row>
    <row r="241" spans="2:7" hidden="1">
      <c r="B241" s="199" t="str">
        <f>Factor_1[[#This Row],[Conocimientos]]&amp;" "&amp;Factor_1[[#This Row],[Tendencia]]&amp;" "&amp;Factor_1[[#This Row],[Habilidad Gerencial]]&amp;" "&amp;Factor_1[[#This Row],[Rol del Cargo]]</f>
        <v>C + VI 3</v>
      </c>
      <c r="C241" s="199" t="s">
        <v>118</v>
      </c>
      <c r="D241" s="199" t="s">
        <v>117</v>
      </c>
      <c r="E241" s="199" t="s">
        <v>171</v>
      </c>
      <c r="F241" s="199">
        <v>3</v>
      </c>
      <c r="G241" s="199">
        <v>285</v>
      </c>
    </row>
    <row r="242" spans="2:7" hidden="1">
      <c r="B242" s="199" t="str">
        <f>Factor_1[[#This Row],[Conocimientos]]&amp;" "&amp;Factor_1[[#This Row],[Tendencia]]&amp;" "&amp;Factor_1[[#This Row],[Habilidad Gerencial]]&amp;" "&amp;Factor_1[[#This Row],[Rol del Cargo]]</f>
        <v>C + VI 4</v>
      </c>
      <c r="C242" s="199" t="s">
        <v>118</v>
      </c>
      <c r="D242" s="199" t="s">
        <v>117</v>
      </c>
      <c r="E242" s="199" t="s">
        <v>171</v>
      </c>
      <c r="F242" s="199">
        <v>4</v>
      </c>
      <c r="G242" s="199">
        <v>317</v>
      </c>
    </row>
    <row r="243" spans="2:7" hidden="1">
      <c r="B243" s="199" t="str">
        <f>Factor_1[[#This Row],[Conocimientos]]&amp;" "&amp;Factor_1[[#This Row],[Tendencia]]&amp;" "&amp;Factor_1[[#This Row],[Habilidad Gerencial]]&amp;" "&amp;Factor_1[[#This Row],[Rol del Cargo]]</f>
        <v>C - VII 1</v>
      </c>
      <c r="C243" s="199" t="s">
        <v>118</v>
      </c>
      <c r="D243" s="199" t="s">
        <v>78</v>
      </c>
      <c r="E243" s="199" t="s">
        <v>179</v>
      </c>
      <c r="F243" s="199">
        <v>1</v>
      </c>
      <c r="G243" s="199">
        <v>291</v>
      </c>
    </row>
    <row r="244" spans="2:7" hidden="1">
      <c r="B244" s="199" t="str">
        <f>Factor_1[[#This Row],[Conocimientos]]&amp;" "&amp;Factor_1[[#This Row],[Tendencia]]&amp;" "&amp;Factor_1[[#This Row],[Habilidad Gerencial]]&amp;" "&amp;Factor_1[[#This Row],[Rol del Cargo]]</f>
        <v>C - VII 2</v>
      </c>
      <c r="C244" s="199" t="s">
        <v>118</v>
      </c>
      <c r="D244" s="199" t="s">
        <v>78</v>
      </c>
      <c r="E244" s="199" t="s">
        <v>179</v>
      </c>
      <c r="F244" s="199">
        <v>2</v>
      </c>
      <c r="G244" s="199">
        <v>328</v>
      </c>
    </row>
    <row r="245" spans="2:7" hidden="1">
      <c r="B245" s="199" t="str">
        <f>Factor_1[[#This Row],[Conocimientos]]&amp;" "&amp;Factor_1[[#This Row],[Tendencia]]&amp;" "&amp;Factor_1[[#This Row],[Habilidad Gerencial]]&amp;" "&amp;Factor_1[[#This Row],[Rol del Cargo]]</f>
        <v>C - VII 3</v>
      </c>
      <c r="C245" s="199" t="s">
        <v>118</v>
      </c>
      <c r="D245" s="199" t="s">
        <v>78</v>
      </c>
      <c r="E245" s="199" t="s">
        <v>179</v>
      </c>
      <c r="F245" s="199">
        <v>3</v>
      </c>
      <c r="G245" s="199">
        <v>372</v>
      </c>
    </row>
    <row r="246" spans="2:7" hidden="1">
      <c r="B246" s="199" t="str">
        <f>Factor_1[[#This Row],[Conocimientos]]&amp;" "&amp;Factor_1[[#This Row],[Tendencia]]&amp;" "&amp;Factor_1[[#This Row],[Habilidad Gerencial]]&amp;" "&amp;Factor_1[[#This Row],[Rol del Cargo]]</f>
        <v>C - VII 4</v>
      </c>
      <c r="C246" s="199" t="s">
        <v>118</v>
      </c>
      <c r="D246" s="199" t="s">
        <v>78</v>
      </c>
      <c r="E246" s="199" t="s">
        <v>179</v>
      </c>
      <c r="F246" s="199">
        <v>4</v>
      </c>
      <c r="G246" s="199">
        <v>423</v>
      </c>
    </row>
    <row r="247" spans="2:7" hidden="1">
      <c r="B247" s="199" t="str">
        <f>Factor_1[[#This Row],[Conocimientos]]&amp;" "&amp;Factor_1[[#This Row],[Tendencia]]&amp;" "&amp;Factor_1[[#This Row],[Habilidad Gerencial]]&amp;" "&amp;Factor_1[[#This Row],[Rol del Cargo]]</f>
        <v>C o VII 1</v>
      </c>
      <c r="C247" s="199" t="s">
        <v>118</v>
      </c>
      <c r="D247" s="199" t="s">
        <v>97</v>
      </c>
      <c r="E247" s="199" t="s">
        <v>179</v>
      </c>
      <c r="F247" s="199">
        <v>1</v>
      </c>
      <c r="G247" s="199">
        <v>303</v>
      </c>
    </row>
    <row r="248" spans="2:7" hidden="1">
      <c r="B248" s="199" t="str">
        <f>Factor_1[[#This Row],[Conocimientos]]&amp;" "&amp;Factor_1[[#This Row],[Tendencia]]&amp;" "&amp;Factor_1[[#This Row],[Habilidad Gerencial]]&amp;" "&amp;Factor_1[[#This Row],[Rol del Cargo]]</f>
        <v>C o VII 2</v>
      </c>
      <c r="C248" s="199" t="s">
        <v>118</v>
      </c>
      <c r="D248" s="199" t="s">
        <v>97</v>
      </c>
      <c r="E248" s="199" t="s">
        <v>179</v>
      </c>
      <c r="F248" s="199">
        <v>2</v>
      </c>
      <c r="G248" s="199">
        <v>340</v>
      </c>
    </row>
    <row r="249" spans="2:7" hidden="1">
      <c r="B249" s="199" t="str">
        <f>Factor_1[[#This Row],[Conocimientos]]&amp;" "&amp;Factor_1[[#This Row],[Tendencia]]&amp;" "&amp;Factor_1[[#This Row],[Habilidad Gerencial]]&amp;" "&amp;Factor_1[[#This Row],[Rol del Cargo]]</f>
        <v>C o VII 3</v>
      </c>
      <c r="C249" s="199" t="s">
        <v>118</v>
      </c>
      <c r="D249" s="199" t="s">
        <v>97</v>
      </c>
      <c r="E249" s="199" t="s">
        <v>179</v>
      </c>
      <c r="F249" s="199">
        <v>3</v>
      </c>
      <c r="G249" s="199">
        <v>384</v>
      </c>
    </row>
    <row r="250" spans="2:7" hidden="1">
      <c r="B250" s="199" t="str">
        <f>Factor_1[[#This Row],[Conocimientos]]&amp;" "&amp;Factor_1[[#This Row],[Tendencia]]&amp;" "&amp;Factor_1[[#This Row],[Habilidad Gerencial]]&amp;" "&amp;Factor_1[[#This Row],[Rol del Cargo]]</f>
        <v>C o VII 4</v>
      </c>
      <c r="C250" s="199" t="s">
        <v>118</v>
      </c>
      <c r="D250" s="199" t="s">
        <v>97</v>
      </c>
      <c r="E250" s="199" t="s">
        <v>179</v>
      </c>
      <c r="F250" s="199">
        <v>4</v>
      </c>
      <c r="G250" s="199">
        <v>435</v>
      </c>
    </row>
    <row r="251" spans="2:7" hidden="1">
      <c r="B251" s="199" t="str">
        <f>Factor_1[[#This Row],[Conocimientos]]&amp;" "&amp;Factor_1[[#This Row],[Tendencia]]&amp;" "&amp;Factor_1[[#This Row],[Habilidad Gerencial]]&amp;" "&amp;Factor_1[[#This Row],[Rol del Cargo]]</f>
        <v>C + VII 1</v>
      </c>
      <c r="C251" s="199" t="s">
        <v>118</v>
      </c>
      <c r="D251" s="199" t="s">
        <v>117</v>
      </c>
      <c r="E251" s="199" t="s">
        <v>179</v>
      </c>
      <c r="F251" s="199">
        <v>1</v>
      </c>
      <c r="G251" s="199">
        <v>317</v>
      </c>
    </row>
    <row r="252" spans="2:7" hidden="1">
      <c r="B252" s="199" t="str">
        <f>Factor_1[[#This Row],[Conocimientos]]&amp;" "&amp;Factor_1[[#This Row],[Tendencia]]&amp;" "&amp;Factor_1[[#This Row],[Habilidad Gerencial]]&amp;" "&amp;Factor_1[[#This Row],[Rol del Cargo]]</f>
        <v>C + VII 2</v>
      </c>
      <c r="C252" s="199" t="s">
        <v>118</v>
      </c>
      <c r="D252" s="199" t="s">
        <v>117</v>
      </c>
      <c r="E252" s="199" t="s">
        <v>179</v>
      </c>
      <c r="F252" s="199">
        <v>2</v>
      </c>
      <c r="G252" s="199">
        <v>355</v>
      </c>
    </row>
    <row r="253" spans="2:7" hidden="1">
      <c r="B253" s="199" t="str">
        <f>Factor_1[[#This Row],[Conocimientos]]&amp;" "&amp;Factor_1[[#This Row],[Tendencia]]&amp;" "&amp;Factor_1[[#This Row],[Habilidad Gerencial]]&amp;" "&amp;Factor_1[[#This Row],[Rol del Cargo]]</f>
        <v>C + VII 3</v>
      </c>
      <c r="C253" s="199" t="s">
        <v>118</v>
      </c>
      <c r="D253" s="199" t="s">
        <v>117</v>
      </c>
      <c r="E253" s="199" t="s">
        <v>179</v>
      </c>
      <c r="F253" s="199">
        <v>3</v>
      </c>
      <c r="G253" s="199">
        <v>398</v>
      </c>
    </row>
    <row r="254" spans="2:7" hidden="1">
      <c r="B254" s="199" t="str">
        <f>Factor_1[[#This Row],[Conocimientos]]&amp;" "&amp;Factor_1[[#This Row],[Tendencia]]&amp;" "&amp;Factor_1[[#This Row],[Habilidad Gerencial]]&amp;" "&amp;Factor_1[[#This Row],[Rol del Cargo]]</f>
        <v>C + VII 4</v>
      </c>
      <c r="C254" s="199" t="s">
        <v>118</v>
      </c>
      <c r="D254" s="199" t="s">
        <v>117</v>
      </c>
      <c r="E254" s="199" t="s">
        <v>179</v>
      </c>
      <c r="F254" s="199">
        <v>4</v>
      </c>
      <c r="G254" s="199">
        <v>450</v>
      </c>
    </row>
    <row r="255" spans="2:7" hidden="1">
      <c r="B255" s="199" t="str">
        <f>Factor_1[[#This Row],[Conocimientos]]&amp;" "&amp;Factor_1[[#This Row],[Tendencia]]&amp;" "&amp;Factor_1[[#This Row],[Habilidad Gerencial]]&amp;" "&amp;Factor_1[[#This Row],[Rol del Cargo]]</f>
        <v>D - I 1</v>
      </c>
      <c r="C255" s="199" t="s">
        <v>137</v>
      </c>
      <c r="D255" s="199" t="s">
        <v>78</v>
      </c>
      <c r="E255" s="199" t="s">
        <v>81</v>
      </c>
      <c r="F255" s="199">
        <v>1</v>
      </c>
      <c r="G255" s="199">
        <v>98</v>
      </c>
    </row>
    <row r="256" spans="2:7" hidden="1">
      <c r="B256" s="199" t="str">
        <f>Factor_1[[#This Row],[Conocimientos]]&amp;" "&amp;Factor_1[[#This Row],[Tendencia]]&amp;" "&amp;Factor_1[[#This Row],[Habilidad Gerencial]]&amp;" "&amp;Factor_1[[#This Row],[Rol del Cargo]]</f>
        <v>D - I 2</v>
      </c>
      <c r="C256" s="199" t="s">
        <v>137</v>
      </c>
      <c r="D256" s="199" t="s">
        <v>78</v>
      </c>
      <c r="E256" s="199" t="s">
        <v>81</v>
      </c>
      <c r="F256" s="199">
        <v>2</v>
      </c>
      <c r="G256" s="199">
        <v>103</v>
      </c>
    </row>
    <row r="257" spans="2:7" hidden="1">
      <c r="B257" s="199" t="str">
        <f>Factor_1[[#This Row],[Conocimientos]]&amp;" "&amp;Factor_1[[#This Row],[Tendencia]]&amp;" "&amp;Factor_1[[#This Row],[Habilidad Gerencial]]&amp;" "&amp;Factor_1[[#This Row],[Rol del Cargo]]</f>
        <v>D - I 3</v>
      </c>
      <c r="C257" s="199" t="s">
        <v>137</v>
      </c>
      <c r="D257" s="199" t="s">
        <v>78</v>
      </c>
      <c r="E257" s="199" t="s">
        <v>81</v>
      </c>
      <c r="F257" s="199">
        <v>3</v>
      </c>
      <c r="G257" s="199">
        <v>111</v>
      </c>
    </row>
    <row r="258" spans="2:7" hidden="1">
      <c r="B258" s="199" t="str">
        <f>Factor_1[[#This Row],[Conocimientos]]&amp;" "&amp;Factor_1[[#This Row],[Tendencia]]&amp;" "&amp;Factor_1[[#This Row],[Habilidad Gerencial]]&amp;" "&amp;Factor_1[[#This Row],[Rol del Cargo]]</f>
        <v>D - I 4</v>
      </c>
      <c r="C258" s="199" t="s">
        <v>137</v>
      </c>
      <c r="D258" s="199" t="s">
        <v>78</v>
      </c>
      <c r="E258" s="199" t="s">
        <v>81</v>
      </c>
      <c r="F258" s="199">
        <v>4</v>
      </c>
      <c r="G258" s="199">
        <v>118</v>
      </c>
    </row>
    <row r="259" spans="2:7" hidden="1">
      <c r="B259" s="199" t="str">
        <f>Factor_1[[#This Row],[Conocimientos]]&amp;" "&amp;Factor_1[[#This Row],[Tendencia]]&amp;" "&amp;Factor_1[[#This Row],[Habilidad Gerencial]]&amp;" "&amp;Factor_1[[#This Row],[Rol del Cargo]]</f>
        <v>D o I 1</v>
      </c>
      <c r="C259" s="199" t="s">
        <v>137</v>
      </c>
      <c r="D259" s="199" t="s">
        <v>97</v>
      </c>
      <c r="E259" s="199" t="s">
        <v>81</v>
      </c>
      <c r="F259" s="199">
        <v>1</v>
      </c>
      <c r="G259" s="199">
        <v>114</v>
      </c>
    </row>
    <row r="260" spans="2:7" hidden="1">
      <c r="B260" s="199" t="str">
        <f>Factor_1[[#This Row],[Conocimientos]]&amp;" "&amp;Factor_1[[#This Row],[Tendencia]]&amp;" "&amp;Factor_1[[#This Row],[Habilidad Gerencial]]&amp;" "&amp;Factor_1[[#This Row],[Rol del Cargo]]</f>
        <v>D o I 2</v>
      </c>
      <c r="C260" s="199" t="s">
        <v>137</v>
      </c>
      <c r="D260" s="199" t="s">
        <v>97</v>
      </c>
      <c r="E260" s="199" t="s">
        <v>81</v>
      </c>
      <c r="F260" s="199">
        <v>2</v>
      </c>
      <c r="G260" s="199">
        <v>120</v>
      </c>
    </row>
    <row r="261" spans="2:7" hidden="1">
      <c r="B261" s="199" t="str">
        <f>Factor_1[[#This Row],[Conocimientos]]&amp;" "&amp;Factor_1[[#This Row],[Tendencia]]&amp;" "&amp;Factor_1[[#This Row],[Habilidad Gerencial]]&amp;" "&amp;Factor_1[[#This Row],[Rol del Cargo]]</f>
        <v>D o I 3</v>
      </c>
      <c r="C261" s="199" t="s">
        <v>137</v>
      </c>
      <c r="D261" s="199" t="s">
        <v>97</v>
      </c>
      <c r="E261" s="199" t="s">
        <v>81</v>
      </c>
      <c r="F261" s="199">
        <v>3</v>
      </c>
      <c r="G261" s="199">
        <v>128</v>
      </c>
    </row>
    <row r="262" spans="2:7" hidden="1">
      <c r="B262" s="199" t="str">
        <f>Factor_1[[#This Row],[Conocimientos]]&amp;" "&amp;Factor_1[[#This Row],[Tendencia]]&amp;" "&amp;Factor_1[[#This Row],[Habilidad Gerencial]]&amp;" "&amp;Factor_1[[#This Row],[Rol del Cargo]]</f>
        <v>D o I 4</v>
      </c>
      <c r="C262" s="199" t="s">
        <v>137</v>
      </c>
      <c r="D262" s="199" t="s">
        <v>97</v>
      </c>
      <c r="E262" s="199" t="s">
        <v>81</v>
      </c>
      <c r="F262" s="199">
        <v>4</v>
      </c>
      <c r="G262" s="199">
        <v>135</v>
      </c>
    </row>
    <row r="263" spans="2:7" hidden="1">
      <c r="B263" s="199" t="str">
        <f>Factor_1[[#This Row],[Conocimientos]]&amp;" "&amp;Factor_1[[#This Row],[Tendencia]]&amp;" "&amp;Factor_1[[#This Row],[Habilidad Gerencial]]&amp;" "&amp;Factor_1[[#This Row],[Rol del Cargo]]</f>
        <v>D + I 1</v>
      </c>
      <c r="C263" s="199" t="s">
        <v>137</v>
      </c>
      <c r="D263" s="199" t="s">
        <v>117</v>
      </c>
      <c r="E263" s="199" t="s">
        <v>81</v>
      </c>
      <c r="F263" s="199">
        <v>1</v>
      </c>
      <c r="G263" s="199">
        <v>134</v>
      </c>
    </row>
    <row r="264" spans="2:7" hidden="1">
      <c r="B264" s="199" t="str">
        <f>Factor_1[[#This Row],[Conocimientos]]&amp;" "&amp;Factor_1[[#This Row],[Tendencia]]&amp;" "&amp;Factor_1[[#This Row],[Habilidad Gerencial]]&amp;" "&amp;Factor_1[[#This Row],[Rol del Cargo]]</f>
        <v>D + I 2</v>
      </c>
      <c r="C264" s="199" t="s">
        <v>137</v>
      </c>
      <c r="D264" s="199" t="s">
        <v>117</v>
      </c>
      <c r="E264" s="199" t="s">
        <v>81</v>
      </c>
      <c r="F264" s="199">
        <v>2</v>
      </c>
      <c r="G264" s="199">
        <v>139</v>
      </c>
    </row>
    <row r="265" spans="2:7" hidden="1">
      <c r="B265" s="199" t="str">
        <f>Factor_1[[#This Row],[Conocimientos]]&amp;" "&amp;Factor_1[[#This Row],[Tendencia]]&amp;" "&amp;Factor_1[[#This Row],[Habilidad Gerencial]]&amp;" "&amp;Factor_1[[#This Row],[Rol del Cargo]]</f>
        <v>D + I 3</v>
      </c>
      <c r="C265" s="199" t="s">
        <v>137</v>
      </c>
      <c r="D265" s="199" t="s">
        <v>117</v>
      </c>
      <c r="E265" s="199" t="s">
        <v>81</v>
      </c>
      <c r="F265" s="199">
        <v>3</v>
      </c>
      <c r="G265" s="199">
        <v>147</v>
      </c>
    </row>
    <row r="266" spans="2:7" hidden="1">
      <c r="B266" s="199" t="str">
        <f>Factor_1[[#This Row],[Conocimientos]]&amp;" "&amp;Factor_1[[#This Row],[Tendencia]]&amp;" "&amp;Factor_1[[#This Row],[Habilidad Gerencial]]&amp;" "&amp;Factor_1[[#This Row],[Rol del Cargo]]</f>
        <v>D + I 4</v>
      </c>
      <c r="C266" s="199" t="s">
        <v>137</v>
      </c>
      <c r="D266" s="199" t="s">
        <v>117</v>
      </c>
      <c r="E266" s="199" t="s">
        <v>81</v>
      </c>
      <c r="F266" s="199">
        <v>4</v>
      </c>
      <c r="G266" s="199">
        <v>154</v>
      </c>
    </row>
    <row r="267" spans="2:7" hidden="1">
      <c r="B267" s="199" t="str">
        <f>Factor_1[[#This Row],[Conocimientos]]&amp;" "&amp;Factor_1[[#This Row],[Tendencia]]&amp;" "&amp;Factor_1[[#This Row],[Habilidad Gerencial]]&amp;" "&amp;Factor_1[[#This Row],[Rol del Cargo]]</f>
        <v>D - II 1</v>
      </c>
      <c r="C267" s="199" t="s">
        <v>137</v>
      </c>
      <c r="D267" s="199" t="s">
        <v>78</v>
      </c>
      <c r="E267" s="199" t="s">
        <v>100</v>
      </c>
      <c r="F267" s="199">
        <v>1</v>
      </c>
      <c r="G267" s="199">
        <v>118</v>
      </c>
    </row>
    <row r="268" spans="2:7" hidden="1">
      <c r="B268" s="199" t="str">
        <f>Factor_1[[#This Row],[Conocimientos]]&amp;" "&amp;Factor_1[[#This Row],[Tendencia]]&amp;" "&amp;Factor_1[[#This Row],[Habilidad Gerencial]]&amp;" "&amp;Factor_1[[#This Row],[Rol del Cargo]]</f>
        <v>D - II 2</v>
      </c>
      <c r="C268" s="199" t="s">
        <v>137</v>
      </c>
      <c r="D268" s="199" t="s">
        <v>78</v>
      </c>
      <c r="E268" s="199" t="s">
        <v>100</v>
      </c>
      <c r="F268" s="199">
        <v>2</v>
      </c>
      <c r="G268" s="199">
        <v>122</v>
      </c>
    </row>
    <row r="269" spans="2:7" hidden="1">
      <c r="B269" s="199" t="str">
        <f>Factor_1[[#This Row],[Conocimientos]]&amp;" "&amp;Factor_1[[#This Row],[Tendencia]]&amp;" "&amp;Factor_1[[#This Row],[Habilidad Gerencial]]&amp;" "&amp;Factor_1[[#This Row],[Rol del Cargo]]</f>
        <v>D - II 3</v>
      </c>
      <c r="C269" s="199" t="s">
        <v>137</v>
      </c>
      <c r="D269" s="199" t="s">
        <v>78</v>
      </c>
      <c r="E269" s="199" t="s">
        <v>100</v>
      </c>
      <c r="F269" s="199">
        <v>3</v>
      </c>
      <c r="G269" s="199">
        <v>126</v>
      </c>
    </row>
    <row r="270" spans="2:7" hidden="1">
      <c r="B270" s="199" t="str">
        <f>Factor_1[[#This Row],[Conocimientos]]&amp;" "&amp;Factor_1[[#This Row],[Tendencia]]&amp;" "&amp;Factor_1[[#This Row],[Habilidad Gerencial]]&amp;" "&amp;Factor_1[[#This Row],[Rol del Cargo]]</f>
        <v>D - II 4</v>
      </c>
      <c r="C270" s="199" t="s">
        <v>137</v>
      </c>
      <c r="D270" s="199" t="s">
        <v>78</v>
      </c>
      <c r="E270" s="199" t="s">
        <v>100</v>
      </c>
      <c r="F270" s="199">
        <v>4</v>
      </c>
      <c r="G270" s="199">
        <v>131</v>
      </c>
    </row>
    <row r="271" spans="2:7" hidden="1">
      <c r="B271" s="199" t="str">
        <f>Factor_1[[#This Row],[Conocimientos]]&amp;" "&amp;Factor_1[[#This Row],[Tendencia]]&amp;" "&amp;Factor_1[[#This Row],[Habilidad Gerencial]]&amp;" "&amp;Factor_1[[#This Row],[Rol del Cargo]]</f>
        <v>D o II 1</v>
      </c>
      <c r="C271" s="199" t="s">
        <v>137</v>
      </c>
      <c r="D271" s="199" t="s">
        <v>97</v>
      </c>
      <c r="E271" s="199" t="s">
        <v>100</v>
      </c>
      <c r="F271" s="199">
        <v>1</v>
      </c>
      <c r="G271" s="199">
        <v>135</v>
      </c>
    </row>
    <row r="272" spans="2:7" hidden="1">
      <c r="B272" s="199" t="str">
        <f>Factor_1[[#This Row],[Conocimientos]]&amp;" "&amp;Factor_1[[#This Row],[Tendencia]]&amp;" "&amp;Factor_1[[#This Row],[Habilidad Gerencial]]&amp;" "&amp;Factor_1[[#This Row],[Rol del Cargo]]</f>
        <v>D o II 2</v>
      </c>
      <c r="C272" s="199" t="s">
        <v>137</v>
      </c>
      <c r="D272" s="199" t="s">
        <v>97</v>
      </c>
      <c r="E272" s="199" t="s">
        <v>100</v>
      </c>
      <c r="F272" s="199">
        <v>2</v>
      </c>
      <c r="G272" s="199">
        <v>138</v>
      </c>
    </row>
    <row r="273" spans="2:7" hidden="1">
      <c r="B273" s="199" t="str">
        <f>Factor_1[[#This Row],[Conocimientos]]&amp;" "&amp;Factor_1[[#This Row],[Tendencia]]&amp;" "&amp;Factor_1[[#This Row],[Habilidad Gerencial]]&amp;" "&amp;Factor_1[[#This Row],[Rol del Cargo]]</f>
        <v>D o II 3</v>
      </c>
      <c r="C273" s="199" t="s">
        <v>137</v>
      </c>
      <c r="D273" s="199" t="s">
        <v>97</v>
      </c>
      <c r="E273" s="199" t="s">
        <v>100</v>
      </c>
      <c r="F273" s="199">
        <v>3</v>
      </c>
      <c r="G273" s="199">
        <v>143</v>
      </c>
    </row>
    <row r="274" spans="2:7" hidden="1">
      <c r="B274" s="199" t="str">
        <f>Factor_1[[#This Row],[Conocimientos]]&amp;" "&amp;Factor_1[[#This Row],[Tendencia]]&amp;" "&amp;Factor_1[[#This Row],[Habilidad Gerencial]]&amp;" "&amp;Factor_1[[#This Row],[Rol del Cargo]]</f>
        <v>D o II 4</v>
      </c>
      <c r="C274" s="199" t="s">
        <v>137</v>
      </c>
      <c r="D274" s="199" t="s">
        <v>97</v>
      </c>
      <c r="E274" s="199" t="s">
        <v>100</v>
      </c>
      <c r="F274" s="199">
        <v>4</v>
      </c>
      <c r="G274" s="199">
        <v>147</v>
      </c>
    </row>
    <row r="275" spans="2:7" hidden="1">
      <c r="B275" s="199" t="str">
        <f>Factor_1[[#This Row],[Conocimientos]]&amp;" "&amp;Factor_1[[#This Row],[Tendencia]]&amp;" "&amp;Factor_1[[#This Row],[Habilidad Gerencial]]&amp;" "&amp;Factor_1[[#This Row],[Rol del Cargo]]</f>
        <v>D + II 1</v>
      </c>
      <c r="C275" s="199" t="s">
        <v>137</v>
      </c>
      <c r="D275" s="199" t="s">
        <v>117</v>
      </c>
      <c r="E275" s="199" t="s">
        <v>100</v>
      </c>
      <c r="F275" s="199">
        <v>1</v>
      </c>
      <c r="G275" s="199">
        <v>154</v>
      </c>
    </row>
    <row r="276" spans="2:7" hidden="1">
      <c r="B276" s="199" t="str">
        <f>Factor_1[[#This Row],[Conocimientos]]&amp;" "&amp;Factor_1[[#This Row],[Tendencia]]&amp;" "&amp;Factor_1[[#This Row],[Habilidad Gerencial]]&amp;" "&amp;Factor_1[[#This Row],[Rol del Cargo]]</f>
        <v>D + II 2</v>
      </c>
      <c r="C276" s="199" t="s">
        <v>137</v>
      </c>
      <c r="D276" s="199" t="s">
        <v>117</v>
      </c>
      <c r="E276" s="199" t="s">
        <v>100</v>
      </c>
      <c r="F276" s="199">
        <v>2</v>
      </c>
      <c r="G276" s="199">
        <v>158</v>
      </c>
    </row>
    <row r="277" spans="2:7" hidden="1">
      <c r="B277" s="199" t="str">
        <f>Factor_1[[#This Row],[Conocimientos]]&amp;" "&amp;Factor_1[[#This Row],[Tendencia]]&amp;" "&amp;Factor_1[[#This Row],[Habilidad Gerencial]]&amp;" "&amp;Factor_1[[#This Row],[Rol del Cargo]]</f>
        <v>D + II 3</v>
      </c>
      <c r="C277" s="199" t="s">
        <v>137</v>
      </c>
      <c r="D277" s="199" t="s">
        <v>117</v>
      </c>
      <c r="E277" s="199" t="s">
        <v>100</v>
      </c>
      <c r="F277" s="199">
        <v>3</v>
      </c>
      <c r="G277" s="199">
        <v>162</v>
      </c>
    </row>
    <row r="278" spans="2:7" hidden="1">
      <c r="B278" s="199" t="str">
        <f>Factor_1[[#This Row],[Conocimientos]]&amp;" "&amp;Factor_1[[#This Row],[Tendencia]]&amp;" "&amp;Factor_1[[#This Row],[Habilidad Gerencial]]&amp;" "&amp;Factor_1[[#This Row],[Rol del Cargo]]</f>
        <v>D + II 4</v>
      </c>
      <c r="C278" s="199" t="s">
        <v>137</v>
      </c>
      <c r="D278" s="199" t="s">
        <v>117</v>
      </c>
      <c r="E278" s="199" t="s">
        <v>100</v>
      </c>
      <c r="F278" s="199">
        <v>4</v>
      </c>
      <c r="G278" s="199">
        <v>167</v>
      </c>
    </row>
    <row r="279" spans="2:7" hidden="1">
      <c r="B279" s="199" t="str">
        <f>Factor_1[[#This Row],[Conocimientos]]&amp;" "&amp;Factor_1[[#This Row],[Tendencia]]&amp;" "&amp;Factor_1[[#This Row],[Habilidad Gerencial]]&amp;" "&amp;Factor_1[[#This Row],[Rol del Cargo]]</f>
        <v>D - III 1</v>
      </c>
      <c r="C279" s="199" t="s">
        <v>137</v>
      </c>
      <c r="D279" s="199" t="s">
        <v>78</v>
      </c>
      <c r="E279" s="199" t="s">
        <v>120</v>
      </c>
      <c r="F279" s="199">
        <v>1</v>
      </c>
      <c r="G279" s="199">
        <v>131</v>
      </c>
    </row>
    <row r="280" spans="2:7" hidden="1">
      <c r="B280" s="199" t="str">
        <f>Factor_1[[#This Row],[Conocimientos]]&amp;" "&amp;Factor_1[[#This Row],[Tendencia]]&amp;" "&amp;Factor_1[[#This Row],[Habilidad Gerencial]]&amp;" "&amp;Factor_1[[#This Row],[Rol del Cargo]]</f>
        <v>D - III 2</v>
      </c>
      <c r="C280" s="199" t="s">
        <v>137</v>
      </c>
      <c r="D280" s="199" t="s">
        <v>78</v>
      </c>
      <c r="E280" s="199" t="s">
        <v>120</v>
      </c>
      <c r="F280" s="199">
        <v>2</v>
      </c>
      <c r="G280" s="199">
        <v>137</v>
      </c>
    </row>
    <row r="281" spans="2:7" hidden="1">
      <c r="B281" s="199" t="str">
        <f>Factor_1[[#This Row],[Conocimientos]]&amp;" "&amp;Factor_1[[#This Row],[Tendencia]]&amp;" "&amp;Factor_1[[#This Row],[Habilidad Gerencial]]&amp;" "&amp;Factor_1[[#This Row],[Rol del Cargo]]</f>
        <v>D - III 3</v>
      </c>
      <c r="C281" s="199" t="s">
        <v>137</v>
      </c>
      <c r="D281" s="199" t="s">
        <v>78</v>
      </c>
      <c r="E281" s="199" t="s">
        <v>120</v>
      </c>
      <c r="F281" s="199">
        <v>3</v>
      </c>
      <c r="G281" s="199">
        <v>143</v>
      </c>
    </row>
    <row r="282" spans="2:7" hidden="1">
      <c r="B282" s="199" t="str">
        <f>Factor_1[[#This Row],[Conocimientos]]&amp;" "&amp;Factor_1[[#This Row],[Tendencia]]&amp;" "&amp;Factor_1[[#This Row],[Habilidad Gerencial]]&amp;" "&amp;Factor_1[[#This Row],[Rol del Cargo]]</f>
        <v>D - III 4</v>
      </c>
      <c r="C282" s="199" t="s">
        <v>137</v>
      </c>
      <c r="D282" s="199" t="s">
        <v>78</v>
      </c>
      <c r="E282" s="199" t="s">
        <v>120</v>
      </c>
      <c r="F282" s="199">
        <v>4</v>
      </c>
      <c r="G282" s="199">
        <v>151</v>
      </c>
    </row>
    <row r="283" spans="2:7" hidden="1">
      <c r="B283" s="199" t="str">
        <f>Factor_1[[#This Row],[Conocimientos]]&amp;" "&amp;Factor_1[[#This Row],[Tendencia]]&amp;" "&amp;Factor_1[[#This Row],[Habilidad Gerencial]]&amp;" "&amp;Factor_1[[#This Row],[Rol del Cargo]]</f>
        <v>D o III 1</v>
      </c>
      <c r="C283" s="199" t="s">
        <v>137</v>
      </c>
      <c r="D283" s="199" t="s">
        <v>97</v>
      </c>
      <c r="E283" s="199" t="s">
        <v>120</v>
      </c>
      <c r="F283" s="199">
        <v>1</v>
      </c>
      <c r="G283" s="199">
        <v>147</v>
      </c>
    </row>
    <row r="284" spans="2:7" hidden="1">
      <c r="B284" s="199" t="str">
        <f>Factor_1[[#This Row],[Conocimientos]]&amp;" "&amp;Factor_1[[#This Row],[Tendencia]]&amp;" "&amp;Factor_1[[#This Row],[Habilidad Gerencial]]&amp;" "&amp;Factor_1[[#This Row],[Rol del Cargo]]</f>
        <v>D o III 2</v>
      </c>
      <c r="C284" s="199" t="s">
        <v>137</v>
      </c>
      <c r="D284" s="199" t="s">
        <v>97</v>
      </c>
      <c r="E284" s="199" t="s">
        <v>120</v>
      </c>
      <c r="F284" s="199">
        <v>2</v>
      </c>
      <c r="G284" s="199">
        <v>153</v>
      </c>
    </row>
    <row r="285" spans="2:7" hidden="1">
      <c r="B285" s="199" t="str">
        <f>Factor_1[[#This Row],[Conocimientos]]&amp;" "&amp;Factor_1[[#This Row],[Tendencia]]&amp;" "&amp;Factor_1[[#This Row],[Habilidad Gerencial]]&amp;" "&amp;Factor_1[[#This Row],[Rol del Cargo]]</f>
        <v>D o III 3</v>
      </c>
      <c r="C285" s="199" t="s">
        <v>137</v>
      </c>
      <c r="D285" s="199" t="s">
        <v>97</v>
      </c>
      <c r="E285" s="199" t="s">
        <v>120</v>
      </c>
      <c r="F285" s="199">
        <v>3</v>
      </c>
      <c r="G285" s="199">
        <v>160</v>
      </c>
    </row>
    <row r="286" spans="2:7" hidden="1">
      <c r="B286" s="199" t="str">
        <f>Factor_1[[#This Row],[Conocimientos]]&amp;" "&amp;Factor_1[[#This Row],[Tendencia]]&amp;" "&amp;Factor_1[[#This Row],[Habilidad Gerencial]]&amp;" "&amp;Factor_1[[#This Row],[Rol del Cargo]]</f>
        <v>D o III 4</v>
      </c>
      <c r="C286" s="199" t="s">
        <v>137</v>
      </c>
      <c r="D286" s="199" t="s">
        <v>97</v>
      </c>
      <c r="E286" s="199" t="s">
        <v>120</v>
      </c>
      <c r="F286" s="199">
        <v>4</v>
      </c>
      <c r="G286" s="199">
        <v>168</v>
      </c>
    </row>
    <row r="287" spans="2:7" hidden="1">
      <c r="B287" s="199" t="str">
        <f>Factor_1[[#This Row],[Conocimientos]]&amp;" "&amp;Factor_1[[#This Row],[Tendencia]]&amp;" "&amp;Factor_1[[#This Row],[Habilidad Gerencial]]&amp;" "&amp;Factor_1[[#This Row],[Rol del Cargo]]</f>
        <v>D + III 1</v>
      </c>
      <c r="C287" s="199" t="s">
        <v>137</v>
      </c>
      <c r="D287" s="199" t="s">
        <v>117</v>
      </c>
      <c r="E287" s="199" t="s">
        <v>120</v>
      </c>
      <c r="F287" s="199">
        <v>1</v>
      </c>
      <c r="G287" s="199">
        <v>167</v>
      </c>
    </row>
    <row r="288" spans="2:7" hidden="1">
      <c r="B288" s="199" t="str">
        <f>Factor_1[[#This Row],[Conocimientos]]&amp;" "&amp;Factor_1[[#This Row],[Tendencia]]&amp;" "&amp;Factor_1[[#This Row],[Habilidad Gerencial]]&amp;" "&amp;Factor_1[[#This Row],[Rol del Cargo]]</f>
        <v>D + III 2</v>
      </c>
      <c r="C288" s="199" t="s">
        <v>137</v>
      </c>
      <c r="D288" s="199" t="s">
        <v>117</v>
      </c>
      <c r="E288" s="199" t="s">
        <v>120</v>
      </c>
      <c r="F288" s="199">
        <v>2</v>
      </c>
      <c r="G288" s="199">
        <v>173</v>
      </c>
    </row>
    <row r="289" spans="2:7" hidden="1">
      <c r="B289" s="199" t="str">
        <f>Factor_1[[#This Row],[Conocimientos]]&amp;" "&amp;Factor_1[[#This Row],[Tendencia]]&amp;" "&amp;Factor_1[[#This Row],[Habilidad Gerencial]]&amp;" "&amp;Factor_1[[#This Row],[Rol del Cargo]]</f>
        <v>D + III 3</v>
      </c>
      <c r="C289" s="199" t="s">
        <v>137</v>
      </c>
      <c r="D289" s="199" t="s">
        <v>117</v>
      </c>
      <c r="E289" s="199" t="s">
        <v>120</v>
      </c>
      <c r="F289" s="199">
        <v>3</v>
      </c>
      <c r="G289" s="199">
        <v>179</v>
      </c>
    </row>
    <row r="290" spans="2:7" hidden="1">
      <c r="B290" s="199" t="str">
        <f>Factor_1[[#This Row],[Conocimientos]]&amp;" "&amp;Factor_1[[#This Row],[Tendencia]]&amp;" "&amp;Factor_1[[#This Row],[Habilidad Gerencial]]&amp;" "&amp;Factor_1[[#This Row],[Rol del Cargo]]</f>
        <v>D + III 4</v>
      </c>
      <c r="C290" s="199" t="s">
        <v>137</v>
      </c>
      <c r="D290" s="199" t="s">
        <v>117</v>
      </c>
      <c r="E290" s="199" t="s">
        <v>120</v>
      </c>
      <c r="F290" s="199">
        <v>4</v>
      </c>
      <c r="G290" s="199">
        <v>187</v>
      </c>
    </row>
    <row r="291" spans="2:7" hidden="1">
      <c r="B291" s="199" t="str">
        <f>Factor_1[[#This Row],[Conocimientos]]&amp;" "&amp;Factor_1[[#This Row],[Tendencia]]&amp;" "&amp;Factor_1[[#This Row],[Habilidad Gerencial]]&amp;" "&amp;Factor_1[[#This Row],[Rol del Cargo]]</f>
        <v>D - IV 1</v>
      </c>
      <c r="C291" s="199" t="s">
        <v>137</v>
      </c>
      <c r="D291" s="199" t="s">
        <v>78</v>
      </c>
      <c r="E291" s="199" t="s">
        <v>139</v>
      </c>
      <c r="F291" s="199">
        <v>1</v>
      </c>
      <c r="G291" s="199">
        <v>151</v>
      </c>
    </row>
    <row r="292" spans="2:7" hidden="1">
      <c r="B292" s="199" t="str">
        <f>Factor_1[[#This Row],[Conocimientos]]&amp;" "&amp;Factor_1[[#This Row],[Tendencia]]&amp;" "&amp;Factor_1[[#This Row],[Habilidad Gerencial]]&amp;" "&amp;Factor_1[[#This Row],[Rol del Cargo]]</f>
        <v>D - IV 2</v>
      </c>
      <c r="C292" s="199" t="s">
        <v>137</v>
      </c>
      <c r="D292" s="199" t="s">
        <v>78</v>
      </c>
      <c r="E292" s="199" t="s">
        <v>139</v>
      </c>
      <c r="F292" s="199">
        <v>2</v>
      </c>
      <c r="G292" s="199">
        <v>160</v>
      </c>
    </row>
    <row r="293" spans="2:7" hidden="1">
      <c r="B293" s="199" t="str">
        <f>Factor_1[[#This Row],[Conocimientos]]&amp;" "&amp;Factor_1[[#This Row],[Tendencia]]&amp;" "&amp;Factor_1[[#This Row],[Habilidad Gerencial]]&amp;" "&amp;Factor_1[[#This Row],[Rol del Cargo]]</f>
        <v>D - IV 3</v>
      </c>
      <c r="C293" s="199" t="s">
        <v>137</v>
      </c>
      <c r="D293" s="199" t="s">
        <v>78</v>
      </c>
      <c r="E293" s="199" t="s">
        <v>139</v>
      </c>
      <c r="F293" s="199">
        <v>3</v>
      </c>
      <c r="G293" s="199">
        <v>171</v>
      </c>
    </row>
    <row r="294" spans="2:7" hidden="1">
      <c r="B294" s="199" t="str">
        <f>Factor_1[[#This Row],[Conocimientos]]&amp;" "&amp;Factor_1[[#This Row],[Tendencia]]&amp;" "&amp;Factor_1[[#This Row],[Habilidad Gerencial]]&amp;" "&amp;Factor_1[[#This Row],[Rol del Cargo]]</f>
        <v>D - IV 4</v>
      </c>
      <c r="C294" s="199" t="s">
        <v>137</v>
      </c>
      <c r="D294" s="199" t="s">
        <v>78</v>
      </c>
      <c r="E294" s="199" t="s">
        <v>139</v>
      </c>
      <c r="F294" s="199">
        <v>4</v>
      </c>
      <c r="G294" s="199">
        <v>183</v>
      </c>
    </row>
    <row r="295" spans="2:7" hidden="1">
      <c r="B295" s="199" t="str">
        <f>Factor_1[[#This Row],[Conocimientos]]&amp;" "&amp;Factor_1[[#This Row],[Tendencia]]&amp;" "&amp;Factor_1[[#This Row],[Habilidad Gerencial]]&amp;" "&amp;Factor_1[[#This Row],[Rol del Cargo]]</f>
        <v>D o IV 1</v>
      </c>
      <c r="C295" s="199" t="s">
        <v>137</v>
      </c>
      <c r="D295" s="199" t="s">
        <v>97</v>
      </c>
      <c r="E295" s="199" t="s">
        <v>139</v>
      </c>
      <c r="F295" s="199">
        <v>1</v>
      </c>
      <c r="G295" s="199">
        <v>168</v>
      </c>
    </row>
    <row r="296" spans="2:7" hidden="1">
      <c r="B296" s="199" t="str">
        <f>Factor_1[[#This Row],[Conocimientos]]&amp;" "&amp;Factor_1[[#This Row],[Tendencia]]&amp;" "&amp;Factor_1[[#This Row],[Habilidad Gerencial]]&amp;" "&amp;Factor_1[[#This Row],[Rol del Cargo]]</f>
        <v>D o IV 2</v>
      </c>
      <c r="C296" s="199" t="s">
        <v>137</v>
      </c>
      <c r="D296" s="199" t="s">
        <v>97</v>
      </c>
      <c r="E296" s="199" t="s">
        <v>139</v>
      </c>
      <c r="F296" s="199">
        <v>2</v>
      </c>
      <c r="G296" s="199">
        <v>177</v>
      </c>
    </row>
    <row r="297" spans="2:7" hidden="1">
      <c r="B297" s="199" t="str">
        <f>Factor_1[[#This Row],[Conocimientos]]&amp;" "&amp;Factor_1[[#This Row],[Tendencia]]&amp;" "&amp;Factor_1[[#This Row],[Habilidad Gerencial]]&amp;" "&amp;Factor_1[[#This Row],[Rol del Cargo]]</f>
        <v>D o IV 3</v>
      </c>
      <c r="C297" s="199" t="s">
        <v>137</v>
      </c>
      <c r="D297" s="199" t="s">
        <v>97</v>
      </c>
      <c r="E297" s="199" t="s">
        <v>139</v>
      </c>
      <c r="F297" s="199">
        <v>3</v>
      </c>
      <c r="G297" s="199">
        <v>187</v>
      </c>
    </row>
    <row r="298" spans="2:7" hidden="1">
      <c r="B298" s="199" t="str">
        <f>Factor_1[[#This Row],[Conocimientos]]&amp;" "&amp;Factor_1[[#This Row],[Tendencia]]&amp;" "&amp;Factor_1[[#This Row],[Habilidad Gerencial]]&amp;" "&amp;Factor_1[[#This Row],[Rol del Cargo]]</f>
        <v>D o IV 4</v>
      </c>
      <c r="C298" s="199" t="s">
        <v>137</v>
      </c>
      <c r="D298" s="199" t="s">
        <v>97</v>
      </c>
      <c r="E298" s="199" t="s">
        <v>139</v>
      </c>
      <c r="F298" s="199">
        <v>4</v>
      </c>
      <c r="G298" s="199">
        <v>200</v>
      </c>
    </row>
    <row r="299" spans="2:7" hidden="1">
      <c r="B299" s="199" t="str">
        <f>Factor_1[[#This Row],[Conocimientos]]&amp;" "&amp;Factor_1[[#This Row],[Tendencia]]&amp;" "&amp;Factor_1[[#This Row],[Habilidad Gerencial]]&amp;" "&amp;Factor_1[[#This Row],[Rol del Cargo]]</f>
        <v>D + IV 1</v>
      </c>
      <c r="C299" s="199" t="s">
        <v>137</v>
      </c>
      <c r="D299" s="199" t="s">
        <v>117</v>
      </c>
      <c r="E299" s="199" t="s">
        <v>139</v>
      </c>
      <c r="F299" s="199">
        <v>1</v>
      </c>
      <c r="G299" s="199">
        <v>187</v>
      </c>
    </row>
    <row r="300" spans="2:7" hidden="1">
      <c r="B300" s="199" t="str">
        <f>Factor_1[[#This Row],[Conocimientos]]&amp;" "&amp;Factor_1[[#This Row],[Tendencia]]&amp;" "&amp;Factor_1[[#This Row],[Habilidad Gerencial]]&amp;" "&amp;Factor_1[[#This Row],[Rol del Cargo]]</f>
        <v>D + IV 2</v>
      </c>
      <c r="C300" s="199" t="s">
        <v>137</v>
      </c>
      <c r="D300" s="199" t="s">
        <v>117</v>
      </c>
      <c r="E300" s="199" t="s">
        <v>139</v>
      </c>
      <c r="F300" s="199">
        <v>2</v>
      </c>
      <c r="G300" s="199">
        <v>196</v>
      </c>
    </row>
    <row r="301" spans="2:7" hidden="1">
      <c r="B301" s="199" t="str">
        <f>Factor_1[[#This Row],[Conocimientos]]&amp;" "&amp;Factor_1[[#This Row],[Tendencia]]&amp;" "&amp;Factor_1[[#This Row],[Habilidad Gerencial]]&amp;" "&amp;Factor_1[[#This Row],[Rol del Cargo]]</f>
        <v>D + IV 3</v>
      </c>
      <c r="C301" s="199" t="s">
        <v>137</v>
      </c>
      <c r="D301" s="199" t="s">
        <v>117</v>
      </c>
      <c r="E301" s="199" t="s">
        <v>139</v>
      </c>
      <c r="F301" s="199">
        <v>3</v>
      </c>
      <c r="G301" s="199">
        <v>207</v>
      </c>
    </row>
    <row r="302" spans="2:7" hidden="1">
      <c r="B302" s="199" t="str">
        <f>Factor_1[[#This Row],[Conocimientos]]&amp;" "&amp;Factor_1[[#This Row],[Tendencia]]&amp;" "&amp;Factor_1[[#This Row],[Habilidad Gerencial]]&amp;" "&amp;Factor_1[[#This Row],[Rol del Cargo]]</f>
        <v>D + IV 4</v>
      </c>
      <c r="C302" s="199" t="s">
        <v>137</v>
      </c>
      <c r="D302" s="199" t="s">
        <v>117</v>
      </c>
      <c r="E302" s="199" t="s">
        <v>139</v>
      </c>
      <c r="F302" s="199">
        <v>4</v>
      </c>
      <c r="G302" s="199">
        <v>219</v>
      </c>
    </row>
    <row r="303" spans="2:7" hidden="1">
      <c r="B303" s="199" t="str">
        <f>Factor_1[[#This Row],[Conocimientos]]&amp;" "&amp;Factor_1[[#This Row],[Tendencia]]&amp;" "&amp;Factor_1[[#This Row],[Habilidad Gerencial]]&amp;" "&amp;Factor_1[[#This Row],[Rol del Cargo]]</f>
        <v>D - V 1</v>
      </c>
      <c r="C303" s="199" t="s">
        <v>137</v>
      </c>
      <c r="D303" s="199" t="s">
        <v>78</v>
      </c>
      <c r="E303" s="199" t="s">
        <v>157</v>
      </c>
      <c r="F303" s="199">
        <v>1</v>
      </c>
      <c r="G303" s="199">
        <v>183</v>
      </c>
    </row>
    <row r="304" spans="2:7" hidden="1">
      <c r="B304" s="199" t="str">
        <f>Factor_1[[#This Row],[Conocimientos]]&amp;" "&amp;Factor_1[[#This Row],[Tendencia]]&amp;" "&amp;Factor_1[[#This Row],[Habilidad Gerencial]]&amp;" "&amp;Factor_1[[#This Row],[Rol del Cargo]]</f>
        <v>D - V 2</v>
      </c>
      <c r="C304" s="199" t="s">
        <v>137</v>
      </c>
      <c r="D304" s="199" t="s">
        <v>78</v>
      </c>
      <c r="E304" s="199" t="s">
        <v>157</v>
      </c>
      <c r="F304" s="199">
        <v>2</v>
      </c>
      <c r="G304" s="199">
        <v>198</v>
      </c>
    </row>
    <row r="305" spans="2:7" hidden="1">
      <c r="B305" s="199" t="str">
        <f>Factor_1[[#This Row],[Conocimientos]]&amp;" "&amp;Factor_1[[#This Row],[Tendencia]]&amp;" "&amp;Factor_1[[#This Row],[Habilidad Gerencial]]&amp;" "&amp;Factor_1[[#This Row],[Rol del Cargo]]</f>
        <v>D - V 3</v>
      </c>
      <c r="C305" s="199" t="s">
        <v>137</v>
      </c>
      <c r="D305" s="199" t="s">
        <v>78</v>
      </c>
      <c r="E305" s="199" t="s">
        <v>157</v>
      </c>
      <c r="F305" s="199">
        <v>3</v>
      </c>
      <c r="G305" s="199">
        <v>215</v>
      </c>
    </row>
    <row r="306" spans="2:7" hidden="1">
      <c r="B306" s="199" t="str">
        <f>Factor_1[[#This Row],[Conocimientos]]&amp;" "&amp;Factor_1[[#This Row],[Tendencia]]&amp;" "&amp;Factor_1[[#This Row],[Habilidad Gerencial]]&amp;" "&amp;Factor_1[[#This Row],[Rol del Cargo]]</f>
        <v>D - V 4</v>
      </c>
      <c r="C306" s="199" t="s">
        <v>137</v>
      </c>
      <c r="D306" s="199" t="s">
        <v>78</v>
      </c>
      <c r="E306" s="199" t="s">
        <v>157</v>
      </c>
      <c r="F306" s="199">
        <v>4</v>
      </c>
      <c r="G306" s="199">
        <v>235</v>
      </c>
    </row>
    <row r="307" spans="2:7" hidden="1">
      <c r="B307" s="199" t="str">
        <f>Factor_1[[#This Row],[Conocimientos]]&amp;" "&amp;Factor_1[[#This Row],[Tendencia]]&amp;" "&amp;Factor_1[[#This Row],[Habilidad Gerencial]]&amp;" "&amp;Factor_1[[#This Row],[Rol del Cargo]]</f>
        <v>D o V 1</v>
      </c>
      <c r="C307" s="199" t="s">
        <v>137</v>
      </c>
      <c r="D307" s="199" t="s">
        <v>97</v>
      </c>
      <c r="E307" s="199" t="s">
        <v>157</v>
      </c>
      <c r="F307" s="199">
        <v>1</v>
      </c>
      <c r="G307" s="199">
        <v>200</v>
      </c>
    </row>
    <row r="308" spans="2:7" hidden="1">
      <c r="B308" s="199" t="str">
        <f>Factor_1[[#This Row],[Conocimientos]]&amp;" "&amp;Factor_1[[#This Row],[Tendencia]]&amp;" "&amp;Factor_1[[#This Row],[Habilidad Gerencial]]&amp;" "&amp;Factor_1[[#This Row],[Rol del Cargo]]</f>
        <v>D o V 2</v>
      </c>
      <c r="C308" s="199" t="s">
        <v>137</v>
      </c>
      <c r="D308" s="199" t="s">
        <v>97</v>
      </c>
      <c r="E308" s="199" t="s">
        <v>157</v>
      </c>
      <c r="F308" s="199">
        <v>2</v>
      </c>
      <c r="G308" s="199">
        <v>214</v>
      </c>
    </row>
    <row r="309" spans="2:7" hidden="1">
      <c r="B309" s="199" t="str">
        <f>Factor_1[[#This Row],[Conocimientos]]&amp;" "&amp;Factor_1[[#This Row],[Tendencia]]&amp;" "&amp;Factor_1[[#This Row],[Habilidad Gerencial]]&amp;" "&amp;Factor_1[[#This Row],[Rol del Cargo]]</f>
        <v>D o V 3</v>
      </c>
      <c r="C309" s="199" t="s">
        <v>137</v>
      </c>
      <c r="D309" s="199" t="s">
        <v>97</v>
      </c>
      <c r="E309" s="199" t="s">
        <v>157</v>
      </c>
      <c r="F309" s="199">
        <v>3</v>
      </c>
      <c r="G309" s="199">
        <v>231</v>
      </c>
    </row>
    <row r="310" spans="2:7" hidden="1">
      <c r="B310" s="199" t="str">
        <f>Factor_1[[#This Row],[Conocimientos]]&amp;" "&amp;Factor_1[[#This Row],[Tendencia]]&amp;" "&amp;Factor_1[[#This Row],[Habilidad Gerencial]]&amp;" "&amp;Factor_1[[#This Row],[Rol del Cargo]]</f>
        <v>D o V 4</v>
      </c>
      <c r="C310" s="199" t="s">
        <v>137</v>
      </c>
      <c r="D310" s="199" t="s">
        <v>97</v>
      </c>
      <c r="E310" s="199" t="s">
        <v>157</v>
      </c>
      <c r="F310" s="199">
        <v>4</v>
      </c>
      <c r="G310" s="199">
        <v>251</v>
      </c>
    </row>
    <row r="311" spans="2:7" hidden="1">
      <c r="B311" s="199" t="str">
        <f>Factor_1[[#This Row],[Conocimientos]]&amp;" "&amp;Factor_1[[#This Row],[Tendencia]]&amp;" "&amp;Factor_1[[#This Row],[Habilidad Gerencial]]&amp;" "&amp;Factor_1[[#This Row],[Rol del Cargo]]</f>
        <v>D + V 1</v>
      </c>
      <c r="C311" s="199" t="s">
        <v>137</v>
      </c>
      <c r="D311" s="199" t="s">
        <v>117</v>
      </c>
      <c r="E311" s="199" t="s">
        <v>157</v>
      </c>
      <c r="F311" s="199">
        <v>1</v>
      </c>
      <c r="G311" s="199">
        <v>219</v>
      </c>
    </row>
    <row r="312" spans="2:7" hidden="1">
      <c r="B312" s="199" t="str">
        <f>Factor_1[[#This Row],[Conocimientos]]&amp;" "&amp;Factor_1[[#This Row],[Tendencia]]&amp;" "&amp;Factor_1[[#This Row],[Habilidad Gerencial]]&amp;" "&amp;Factor_1[[#This Row],[Rol del Cargo]]</f>
        <v>D + V 2</v>
      </c>
      <c r="C312" s="199" t="s">
        <v>137</v>
      </c>
      <c r="D312" s="199" t="s">
        <v>117</v>
      </c>
      <c r="E312" s="199" t="s">
        <v>157</v>
      </c>
      <c r="F312" s="199">
        <v>2</v>
      </c>
      <c r="G312" s="199">
        <v>234</v>
      </c>
    </row>
    <row r="313" spans="2:7" hidden="1">
      <c r="B313" s="199" t="str">
        <f>Factor_1[[#This Row],[Conocimientos]]&amp;" "&amp;Factor_1[[#This Row],[Tendencia]]&amp;" "&amp;Factor_1[[#This Row],[Habilidad Gerencial]]&amp;" "&amp;Factor_1[[#This Row],[Rol del Cargo]]</f>
        <v>D + V 3</v>
      </c>
      <c r="C313" s="199" t="s">
        <v>137</v>
      </c>
      <c r="D313" s="199" t="s">
        <v>117</v>
      </c>
      <c r="E313" s="199" t="s">
        <v>157</v>
      </c>
      <c r="F313" s="199">
        <v>3</v>
      </c>
      <c r="G313" s="199">
        <v>251</v>
      </c>
    </row>
    <row r="314" spans="2:7" hidden="1">
      <c r="B314" s="199" t="str">
        <f>Factor_1[[#This Row],[Conocimientos]]&amp;" "&amp;Factor_1[[#This Row],[Tendencia]]&amp;" "&amp;Factor_1[[#This Row],[Habilidad Gerencial]]&amp;" "&amp;Factor_1[[#This Row],[Rol del Cargo]]</f>
        <v>D + V 4</v>
      </c>
      <c r="C314" s="199" t="s">
        <v>137</v>
      </c>
      <c r="D314" s="199" t="s">
        <v>117</v>
      </c>
      <c r="E314" s="199" t="s">
        <v>157</v>
      </c>
      <c r="F314" s="199">
        <v>4</v>
      </c>
      <c r="G314" s="199">
        <v>271</v>
      </c>
    </row>
    <row r="315" spans="2:7" hidden="1">
      <c r="B315" s="199" t="str">
        <f>Factor_1[[#This Row],[Conocimientos]]&amp;" "&amp;Factor_1[[#This Row],[Tendencia]]&amp;" "&amp;Factor_1[[#This Row],[Habilidad Gerencial]]&amp;" "&amp;Factor_1[[#This Row],[Rol del Cargo]]</f>
        <v>D - VI 1</v>
      </c>
      <c r="C315" s="199" t="s">
        <v>137</v>
      </c>
      <c r="D315" s="199" t="s">
        <v>78</v>
      </c>
      <c r="E315" s="199" t="s">
        <v>171</v>
      </c>
      <c r="F315" s="199">
        <v>1</v>
      </c>
      <c r="G315" s="199">
        <v>235</v>
      </c>
    </row>
    <row r="316" spans="2:7" hidden="1">
      <c r="B316" s="199" t="str">
        <f>Factor_1[[#This Row],[Conocimientos]]&amp;" "&amp;Factor_1[[#This Row],[Tendencia]]&amp;" "&amp;Factor_1[[#This Row],[Habilidad Gerencial]]&amp;" "&amp;Factor_1[[#This Row],[Rol del Cargo]]</f>
        <v>D - VI 2</v>
      </c>
      <c r="C316" s="199" t="s">
        <v>137</v>
      </c>
      <c r="D316" s="199" t="s">
        <v>78</v>
      </c>
      <c r="E316" s="199" t="s">
        <v>171</v>
      </c>
      <c r="F316" s="199">
        <v>2</v>
      </c>
      <c r="G316" s="199">
        <v>258</v>
      </c>
    </row>
    <row r="317" spans="2:7" hidden="1">
      <c r="B317" s="199" t="str">
        <f>Factor_1[[#This Row],[Conocimientos]]&amp;" "&amp;Factor_1[[#This Row],[Tendencia]]&amp;" "&amp;Factor_1[[#This Row],[Habilidad Gerencial]]&amp;" "&amp;Factor_1[[#This Row],[Rol del Cargo]]</f>
        <v>D - VI 3</v>
      </c>
      <c r="C317" s="199" t="s">
        <v>137</v>
      </c>
      <c r="D317" s="199" t="s">
        <v>78</v>
      </c>
      <c r="E317" s="199" t="s">
        <v>171</v>
      </c>
      <c r="F317" s="199">
        <v>3</v>
      </c>
      <c r="G317" s="199">
        <v>285</v>
      </c>
    </row>
    <row r="318" spans="2:7" hidden="1">
      <c r="B318" s="199" t="str">
        <f>Factor_1[[#This Row],[Conocimientos]]&amp;" "&amp;Factor_1[[#This Row],[Tendencia]]&amp;" "&amp;Factor_1[[#This Row],[Habilidad Gerencial]]&amp;" "&amp;Factor_1[[#This Row],[Rol del Cargo]]</f>
        <v>D - VI 4</v>
      </c>
      <c r="C318" s="199" t="s">
        <v>137</v>
      </c>
      <c r="D318" s="199" t="s">
        <v>78</v>
      </c>
      <c r="E318" s="199" t="s">
        <v>171</v>
      </c>
      <c r="F318" s="199">
        <v>4</v>
      </c>
      <c r="G318" s="199">
        <v>317</v>
      </c>
    </row>
    <row r="319" spans="2:7" hidden="1">
      <c r="B319" s="199" t="str">
        <f>Factor_1[[#This Row],[Conocimientos]]&amp;" "&amp;Factor_1[[#This Row],[Tendencia]]&amp;" "&amp;Factor_1[[#This Row],[Habilidad Gerencial]]&amp;" "&amp;Factor_1[[#This Row],[Rol del Cargo]]</f>
        <v>D o VI 1</v>
      </c>
      <c r="C319" s="199" t="s">
        <v>137</v>
      </c>
      <c r="D319" s="199" t="s">
        <v>97</v>
      </c>
      <c r="E319" s="199" t="s">
        <v>171</v>
      </c>
      <c r="F319" s="199">
        <v>1</v>
      </c>
      <c r="G319" s="199">
        <v>251</v>
      </c>
    </row>
    <row r="320" spans="2:7" hidden="1">
      <c r="B320" s="199" t="str">
        <f>Factor_1[[#This Row],[Conocimientos]]&amp;" "&amp;Factor_1[[#This Row],[Tendencia]]&amp;" "&amp;Factor_1[[#This Row],[Habilidad Gerencial]]&amp;" "&amp;Factor_1[[#This Row],[Rol del Cargo]]</f>
        <v>D o VI 2</v>
      </c>
      <c r="C320" s="199" t="s">
        <v>137</v>
      </c>
      <c r="D320" s="199" t="s">
        <v>97</v>
      </c>
      <c r="E320" s="199" t="s">
        <v>171</v>
      </c>
      <c r="F320" s="199">
        <v>2</v>
      </c>
      <c r="G320" s="199">
        <v>275</v>
      </c>
    </row>
    <row r="321" spans="2:7" hidden="1">
      <c r="B321" s="199" t="str">
        <f>Factor_1[[#This Row],[Conocimientos]]&amp;" "&amp;Factor_1[[#This Row],[Tendencia]]&amp;" "&amp;Factor_1[[#This Row],[Habilidad Gerencial]]&amp;" "&amp;Factor_1[[#This Row],[Rol del Cargo]]</f>
        <v>D o VI 3</v>
      </c>
      <c r="C321" s="199" t="s">
        <v>137</v>
      </c>
      <c r="D321" s="199" t="s">
        <v>97</v>
      </c>
      <c r="E321" s="199" t="s">
        <v>171</v>
      </c>
      <c r="F321" s="199">
        <v>3</v>
      </c>
      <c r="G321" s="199">
        <v>302</v>
      </c>
    </row>
    <row r="322" spans="2:7" hidden="1">
      <c r="B322" s="199" t="str">
        <f>Factor_1[[#This Row],[Conocimientos]]&amp;" "&amp;Factor_1[[#This Row],[Tendencia]]&amp;" "&amp;Factor_1[[#This Row],[Habilidad Gerencial]]&amp;" "&amp;Factor_1[[#This Row],[Rol del Cargo]]</f>
        <v>D o VI 4</v>
      </c>
      <c r="C322" s="199" t="s">
        <v>137</v>
      </c>
      <c r="D322" s="199" t="s">
        <v>97</v>
      </c>
      <c r="E322" s="199" t="s">
        <v>171</v>
      </c>
      <c r="F322" s="199">
        <v>4</v>
      </c>
      <c r="G322" s="199">
        <v>334</v>
      </c>
    </row>
    <row r="323" spans="2:7" hidden="1">
      <c r="B323" s="199" t="str">
        <f>Factor_1[[#This Row],[Conocimientos]]&amp;" "&amp;Factor_1[[#This Row],[Tendencia]]&amp;" "&amp;Factor_1[[#This Row],[Habilidad Gerencial]]&amp;" "&amp;Factor_1[[#This Row],[Rol del Cargo]]</f>
        <v>D + VI 1</v>
      </c>
      <c r="C323" s="199" t="s">
        <v>137</v>
      </c>
      <c r="D323" s="199" t="s">
        <v>117</v>
      </c>
      <c r="E323" s="199" t="s">
        <v>171</v>
      </c>
      <c r="F323" s="199">
        <v>1</v>
      </c>
      <c r="G323" s="199">
        <v>271</v>
      </c>
    </row>
    <row r="324" spans="2:7" hidden="1">
      <c r="B324" s="199" t="str">
        <f>Factor_1[[#This Row],[Conocimientos]]&amp;" "&amp;Factor_1[[#This Row],[Tendencia]]&amp;" "&amp;Factor_1[[#This Row],[Habilidad Gerencial]]&amp;" "&amp;Factor_1[[#This Row],[Rol del Cargo]]</f>
        <v>D + VI 2</v>
      </c>
      <c r="C324" s="199" t="s">
        <v>137</v>
      </c>
      <c r="D324" s="199" t="s">
        <v>117</v>
      </c>
      <c r="E324" s="199" t="s">
        <v>171</v>
      </c>
      <c r="F324" s="199">
        <v>2</v>
      </c>
      <c r="G324" s="199">
        <v>294</v>
      </c>
    </row>
    <row r="325" spans="2:7" hidden="1">
      <c r="B325" s="199" t="str">
        <f>Factor_1[[#This Row],[Conocimientos]]&amp;" "&amp;Factor_1[[#This Row],[Tendencia]]&amp;" "&amp;Factor_1[[#This Row],[Habilidad Gerencial]]&amp;" "&amp;Factor_1[[#This Row],[Rol del Cargo]]</f>
        <v>D + VI 3</v>
      </c>
      <c r="C325" s="199" t="s">
        <v>137</v>
      </c>
      <c r="D325" s="199" t="s">
        <v>117</v>
      </c>
      <c r="E325" s="199" t="s">
        <v>171</v>
      </c>
      <c r="F325" s="199">
        <v>3</v>
      </c>
      <c r="G325" s="199">
        <v>321</v>
      </c>
    </row>
    <row r="326" spans="2:7" hidden="1">
      <c r="B326" s="199" t="str">
        <f>Factor_1[[#This Row],[Conocimientos]]&amp;" "&amp;Factor_1[[#This Row],[Tendencia]]&amp;" "&amp;Factor_1[[#This Row],[Habilidad Gerencial]]&amp;" "&amp;Factor_1[[#This Row],[Rol del Cargo]]</f>
        <v>D + VI 4</v>
      </c>
      <c r="C326" s="199" t="s">
        <v>137</v>
      </c>
      <c r="D326" s="199" t="s">
        <v>117</v>
      </c>
      <c r="E326" s="199" t="s">
        <v>171</v>
      </c>
      <c r="F326" s="199">
        <v>4</v>
      </c>
      <c r="G326" s="199">
        <v>353</v>
      </c>
    </row>
    <row r="327" spans="2:7" hidden="1">
      <c r="B327" s="199" t="str">
        <f>Factor_1[[#This Row],[Conocimientos]]&amp;" "&amp;Factor_1[[#This Row],[Tendencia]]&amp;" "&amp;Factor_1[[#This Row],[Habilidad Gerencial]]&amp;" "&amp;Factor_1[[#This Row],[Rol del Cargo]]</f>
        <v>D - VII 1</v>
      </c>
      <c r="C327" s="199" t="s">
        <v>137</v>
      </c>
      <c r="D327" s="199" t="s">
        <v>78</v>
      </c>
      <c r="E327" s="199" t="s">
        <v>179</v>
      </c>
      <c r="F327" s="199">
        <v>1</v>
      </c>
      <c r="G327" s="199">
        <v>317</v>
      </c>
    </row>
    <row r="328" spans="2:7" hidden="1">
      <c r="B328" s="199" t="str">
        <f>Factor_1[[#This Row],[Conocimientos]]&amp;" "&amp;Factor_1[[#This Row],[Tendencia]]&amp;" "&amp;Factor_1[[#This Row],[Habilidad Gerencial]]&amp;" "&amp;Factor_1[[#This Row],[Rol del Cargo]]</f>
        <v>D - VII 2</v>
      </c>
      <c r="C328" s="199" t="s">
        <v>137</v>
      </c>
      <c r="D328" s="199" t="s">
        <v>78</v>
      </c>
      <c r="E328" s="199" t="s">
        <v>179</v>
      </c>
      <c r="F328" s="199">
        <v>2</v>
      </c>
      <c r="G328" s="199">
        <v>355</v>
      </c>
    </row>
    <row r="329" spans="2:7" hidden="1">
      <c r="B329" s="199" t="str">
        <f>Factor_1[[#This Row],[Conocimientos]]&amp;" "&amp;Factor_1[[#This Row],[Tendencia]]&amp;" "&amp;Factor_1[[#This Row],[Habilidad Gerencial]]&amp;" "&amp;Factor_1[[#This Row],[Rol del Cargo]]</f>
        <v>D - VII 3</v>
      </c>
      <c r="C329" s="199" t="s">
        <v>137</v>
      </c>
      <c r="D329" s="199" t="s">
        <v>78</v>
      </c>
      <c r="E329" s="199" t="s">
        <v>179</v>
      </c>
      <c r="F329" s="199">
        <v>3</v>
      </c>
      <c r="G329" s="199">
        <v>398</v>
      </c>
    </row>
    <row r="330" spans="2:7" hidden="1">
      <c r="B330" s="199" t="str">
        <f>Factor_1[[#This Row],[Conocimientos]]&amp;" "&amp;Factor_1[[#This Row],[Tendencia]]&amp;" "&amp;Factor_1[[#This Row],[Habilidad Gerencial]]&amp;" "&amp;Factor_1[[#This Row],[Rol del Cargo]]</f>
        <v>D - VII 4</v>
      </c>
      <c r="C330" s="199" t="s">
        <v>137</v>
      </c>
      <c r="D330" s="199" t="s">
        <v>78</v>
      </c>
      <c r="E330" s="199" t="s">
        <v>179</v>
      </c>
      <c r="F330" s="199">
        <v>4</v>
      </c>
      <c r="G330" s="199">
        <v>450</v>
      </c>
    </row>
    <row r="331" spans="2:7" hidden="1">
      <c r="B331" s="199" t="str">
        <f>Factor_1[[#This Row],[Conocimientos]]&amp;" "&amp;Factor_1[[#This Row],[Tendencia]]&amp;" "&amp;Factor_1[[#This Row],[Habilidad Gerencial]]&amp;" "&amp;Factor_1[[#This Row],[Rol del Cargo]]</f>
        <v>D o VII 1</v>
      </c>
      <c r="C331" s="199" t="s">
        <v>137</v>
      </c>
      <c r="D331" s="199" t="s">
        <v>97</v>
      </c>
      <c r="E331" s="199" t="s">
        <v>179</v>
      </c>
      <c r="F331" s="199">
        <v>1</v>
      </c>
      <c r="G331" s="199">
        <v>334</v>
      </c>
    </row>
    <row r="332" spans="2:7" hidden="1">
      <c r="B332" s="199" t="str">
        <f>Factor_1[[#This Row],[Conocimientos]]&amp;" "&amp;Factor_1[[#This Row],[Tendencia]]&amp;" "&amp;Factor_1[[#This Row],[Habilidad Gerencial]]&amp;" "&amp;Factor_1[[#This Row],[Rol del Cargo]]</f>
        <v>D o VII 2</v>
      </c>
      <c r="C332" s="199" t="s">
        <v>137</v>
      </c>
      <c r="D332" s="199" t="s">
        <v>97</v>
      </c>
      <c r="E332" s="199" t="s">
        <v>179</v>
      </c>
      <c r="F332" s="199">
        <v>2</v>
      </c>
      <c r="G332" s="199">
        <v>371</v>
      </c>
    </row>
    <row r="333" spans="2:7" hidden="1">
      <c r="B333" s="199" t="str">
        <f>Factor_1[[#This Row],[Conocimientos]]&amp;" "&amp;Factor_1[[#This Row],[Tendencia]]&amp;" "&amp;Factor_1[[#This Row],[Habilidad Gerencial]]&amp;" "&amp;Factor_1[[#This Row],[Rol del Cargo]]</f>
        <v>D o VII 3</v>
      </c>
      <c r="C333" s="199" t="s">
        <v>137</v>
      </c>
      <c r="D333" s="199" t="s">
        <v>97</v>
      </c>
      <c r="E333" s="199" t="s">
        <v>179</v>
      </c>
      <c r="F333" s="199">
        <v>3</v>
      </c>
      <c r="G333" s="199">
        <v>415</v>
      </c>
    </row>
    <row r="334" spans="2:7" hidden="1">
      <c r="B334" s="199" t="str">
        <f>Factor_1[[#This Row],[Conocimientos]]&amp;" "&amp;Factor_1[[#This Row],[Tendencia]]&amp;" "&amp;Factor_1[[#This Row],[Habilidad Gerencial]]&amp;" "&amp;Factor_1[[#This Row],[Rol del Cargo]]</f>
        <v>D o VII 4</v>
      </c>
      <c r="C334" s="199" t="s">
        <v>137</v>
      </c>
      <c r="D334" s="199" t="s">
        <v>97</v>
      </c>
      <c r="E334" s="199" t="s">
        <v>179</v>
      </c>
      <c r="F334" s="199">
        <v>4</v>
      </c>
      <c r="G334" s="199">
        <v>466</v>
      </c>
    </row>
    <row r="335" spans="2:7" hidden="1">
      <c r="B335" s="199" t="str">
        <f>Factor_1[[#This Row],[Conocimientos]]&amp;" "&amp;Factor_1[[#This Row],[Tendencia]]&amp;" "&amp;Factor_1[[#This Row],[Habilidad Gerencial]]&amp;" "&amp;Factor_1[[#This Row],[Rol del Cargo]]</f>
        <v>D + VII 1</v>
      </c>
      <c r="C335" s="199" t="s">
        <v>137</v>
      </c>
      <c r="D335" s="199" t="s">
        <v>117</v>
      </c>
      <c r="E335" s="199" t="s">
        <v>179</v>
      </c>
      <c r="F335" s="199">
        <v>1</v>
      </c>
      <c r="G335" s="199">
        <v>353</v>
      </c>
    </row>
    <row r="336" spans="2:7" hidden="1">
      <c r="B336" s="199" t="str">
        <f>Factor_1[[#This Row],[Conocimientos]]&amp;" "&amp;Factor_1[[#This Row],[Tendencia]]&amp;" "&amp;Factor_1[[#This Row],[Habilidad Gerencial]]&amp;" "&amp;Factor_1[[#This Row],[Rol del Cargo]]</f>
        <v>D + VII 2</v>
      </c>
      <c r="C336" s="199" t="s">
        <v>137</v>
      </c>
      <c r="D336" s="199" t="s">
        <v>117</v>
      </c>
      <c r="E336" s="199" t="s">
        <v>179</v>
      </c>
      <c r="F336" s="199">
        <v>2</v>
      </c>
      <c r="G336" s="199">
        <v>391</v>
      </c>
    </row>
    <row r="337" spans="2:7" hidden="1">
      <c r="B337" s="199" t="str">
        <f>Factor_1[[#This Row],[Conocimientos]]&amp;" "&amp;Factor_1[[#This Row],[Tendencia]]&amp;" "&amp;Factor_1[[#This Row],[Habilidad Gerencial]]&amp;" "&amp;Factor_1[[#This Row],[Rol del Cargo]]</f>
        <v>D + VII 3</v>
      </c>
      <c r="C337" s="199" t="s">
        <v>137</v>
      </c>
      <c r="D337" s="199" t="s">
        <v>117</v>
      </c>
      <c r="E337" s="199" t="s">
        <v>179</v>
      </c>
      <c r="F337" s="199">
        <v>3</v>
      </c>
      <c r="G337" s="199">
        <v>434</v>
      </c>
    </row>
    <row r="338" spans="2:7" hidden="1">
      <c r="B338" s="199" t="str">
        <f>Factor_1[[#This Row],[Conocimientos]]&amp;" "&amp;Factor_1[[#This Row],[Tendencia]]&amp;" "&amp;Factor_1[[#This Row],[Habilidad Gerencial]]&amp;" "&amp;Factor_1[[#This Row],[Rol del Cargo]]</f>
        <v>D + VII 4</v>
      </c>
      <c r="C338" s="199" t="s">
        <v>137</v>
      </c>
      <c r="D338" s="199" t="s">
        <v>117</v>
      </c>
      <c r="E338" s="199" t="s">
        <v>179</v>
      </c>
      <c r="F338" s="199">
        <v>4</v>
      </c>
      <c r="G338" s="199">
        <v>486</v>
      </c>
    </row>
    <row r="339" spans="2:7" hidden="1">
      <c r="B339" s="199" t="str">
        <f>Factor_1[[#This Row],[Conocimientos]]&amp;" "&amp;Factor_1[[#This Row],[Tendencia]]&amp;" "&amp;Factor_1[[#This Row],[Habilidad Gerencial]]&amp;" "&amp;Factor_1[[#This Row],[Rol del Cargo]]</f>
        <v>E - I 1</v>
      </c>
      <c r="C339" s="199" t="s">
        <v>155</v>
      </c>
      <c r="D339" s="199" t="s">
        <v>78</v>
      </c>
      <c r="E339" s="199" t="s">
        <v>81</v>
      </c>
      <c r="F339" s="199">
        <v>1</v>
      </c>
      <c r="G339" s="199">
        <v>134</v>
      </c>
    </row>
    <row r="340" spans="2:7" hidden="1">
      <c r="B340" s="199" t="str">
        <f>Factor_1[[#This Row],[Conocimientos]]&amp;" "&amp;Factor_1[[#This Row],[Tendencia]]&amp;" "&amp;Factor_1[[#This Row],[Habilidad Gerencial]]&amp;" "&amp;Factor_1[[#This Row],[Rol del Cargo]]</f>
        <v>E - I 2</v>
      </c>
      <c r="C340" s="199" t="s">
        <v>155</v>
      </c>
      <c r="D340" s="199" t="s">
        <v>78</v>
      </c>
      <c r="E340" s="199" t="s">
        <v>81</v>
      </c>
      <c r="F340" s="199">
        <v>2</v>
      </c>
      <c r="G340" s="199">
        <v>139</v>
      </c>
    </row>
    <row r="341" spans="2:7" hidden="1">
      <c r="B341" s="199" t="str">
        <f>Factor_1[[#This Row],[Conocimientos]]&amp;" "&amp;Factor_1[[#This Row],[Tendencia]]&amp;" "&amp;Factor_1[[#This Row],[Habilidad Gerencial]]&amp;" "&amp;Factor_1[[#This Row],[Rol del Cargo]]</f>
        <v>E - I 3</v>
      </c>
      <c r="C341" s="199" t="s">
        <v>155</v>
      </c>
      <c r="D341" s="199" t="s">
        <v>78</v>
      </c>
      <c r="E341" s="199" t="s">
        <v>81</v>
      </c>
      <c r="F341" s="199">
        <v>3</v>
      </c>
      <c r="G341" s="199">
        <v>147</v>
      </c>
    </row>
    <row r="342" spans="2:7" hidden="1">
      <c r="B342" s="199" t="str">
        <f>Factor_1[[#This Row],[Conocimientos]]&amp;" "&amp;Factor_1[[#This Row],[Tendencia]]&amp;" "&amp;Factor_1[[#This Row],[Habilidad Gerencial]]&amp;" "&amp;Factor_1[[#This Row],[Rol del Cargo]]</f>
        <v>E - I 4</v>
      </c>
      <c r="C342" s="199" t="s">
        <v>155</v>
      </c>
      <c r="D342" s="199" t="s">
        <v>78</v>
      </c>
      <c r="E342" s="199" t="s">
        <v>81</v>
      </c>
      <c r="F342" s="199">
        <v>4</v>
      </c>
      <c r="G342" s="199">
        <v>154</v>
      </c>
    </row>
    <row r="343" spans="2:7" hidden="1">
      <c r="B343" s="199" t="str">
        <f>Factor_1[[#This Row],[Conocimientos]]&amp;" "&amp;Factor_1[[#This Row],[Tendencia]]&amp;" "&amp;Factor_1[[#This Row],[Habilidad Gerencial]]&amp;" "&amp;Factor_1[[#This Row],[Rol del Cargo]]</f>
        <v>E o I 1</v>
      </c>
      <c r="C343" s="199" t="s">
        <v>155</v>
      </c>
      <c r="D343" s="199" t="s">
        <v>97</v>
      </c>
      <c r="E343" s="199" t="s">
        <v>81</v>
      </c>
      <c r="F343" s="199">
        <v>1</v>
      </c>
      <c r="G343" s="199">
        <v>157</v>
      </c>
    </row>
    <row r="344" spans="2:7" hidden="1">
      <c r="B344" s="199" t="str">
        <f>Factor_1[[#This Row],[Conocimientos]]&amp;" "&amp;Factor_1[[#This Row],[Tendencia]]&amp;" "&amp;Factor_1[[#This Row],[Habilidad Gerencial]]&amp;" "&amp;Factor_1[[#This Row],[Rol del Cargo]]</f>
        <v>E o I 2</v>
      </c>
      <c r="C344" s="199" t="s">
        <v>155</v>
      </c>
      <c r="D344" s="199" t="s">
        <v>97</v>
      </c>
      <c r="E344" s="199" t="s">
        <v>81</v>
      </c>
      <c r="F344" s="199">
        <v>2</v>
      </c>
      <c r="G344" s="199">
        <v>162</v>
      </c>
    </row>
    <row r="345" spans="2:7" hidden="1">
      <c r="B345" s="199" t="str">
        <f>Factor_1[[#This Row],[Conocimientos]]&amp;" "&amp;Factor_1[[#This Row],[Tendencia]]&amp;" "&amp;Factor_1[[#This Row],[Habilidad Gerencial]]&amp;" "&amp;Factor_1[[#This Row],[Rol del Cargo]]</f>
        <v>E o I 3</v>
      </c>
      <c r="C345" s="199" t="s">
        <v>155</v>
      </c>
      <c r="D345" s="199" t="s">
        <v>97</v>
      </c>
      <c r="E345" s="199" t="s">
        <v>81</v>
      </c>
      <c r="F345" s="199">
        <v>3</v>
      </c>
      <c r="G345" s="199">
        <v>170</v>
      </c>
    </row>
    <row r="346" spans="2:7" hidden="1">
      <c r="B346" s="199" t="str">
        <f>Factor_1[[#This Row],[Conocimientos]]&amp;" "&amp;Factor_1[[#This Row],[Tendencia]]&amp;" "&amp;Factor_1[[#This Row],[Habilidad Gerencial]]&amp;" "&amp;Factor_1[[#This Row],[Rol del Cargo]]</f>
        <v>E o I 4</v>
      </c>
      <c r="C346" s="199" t="s">
        <v>155</v>
      </c>
      <c r="D346" s="199" t="s">
        <v>97</v>
      </c>
      <c r="E346" s="199" t="s">
        <v>81</v>
      </c>
      <c r="F346" s="199">
        <v>4</v>
      </c>
      <c r="G346" s="199">
        <v>177</v>
      </c>
    </row>
    <row r="347" spans="2:7" hidden="1">
      <c r="B347" s="199" t="str">
        <f>Factor_1[[#This Row],[Conocimientos]]&amp;" "&amp;Factor_1[[#This Row],[Tendencia]]&amp;" "&amp;Factor_1[[#This Row],[Habilidad Gerencial]]&amp;" "&amp;Factor_1[[#This Row],[Rol del Cargo]]</f>
        <v>E + I 1</v>
      </c>
      <c r="C347" s="199" t="s">
        <v>155</v>
      </c>
      <c r="D347" s="199" t="s">
        <v>117</v>
      </c>
      <c r="E347" s="199" t="s">
        <v>81</v>
      </c>
      <c r="F347" s="199">
        <v>1</v>
      </c>
      <c r="G347" s="199">
        <v>183</v>
      </c>
    </row>
    <row r="348" spans="2:7" hidden="1">
      <c r="B348" s="199" t="str">
        <f>Factor_1[[#This Row],[Conocimientos]]&amp;" "&amp;Factor_1[[#This Row],[Tendencia]]&amp;" "&amp;Factor_1[[#This Row],[Habilidad Gerencial]]&amp;" "&amp;Factor_1[[#This Row],[Rol del Cargo]]</f>
        <v>E + I 2</v>
      </c>
      <c r="C348" s="199" t="s">
        <v>155</v>
      </c>
      <c r="D348" s="199" t="s">
        <v>117</v>
      </c>
      <c r="E348" s="199" t="s">
        <v>81</v>
      </c>
      <c r="F348" s="199">
        <v>2</v>
      </c>
      <c r="G348" s="199">
        <v>188</v>
      </c>
    </row>
    <row r="349" spans="2:7" hidden="1">
      <c r="B349" s="199" t="str">
        <f>Factor_1[[#This Row],[Conocimientos]]&amp;" "&amp;Factor_1[[#This Row],[Tendencia]]&amp;" "&amp;Factor_1[[#This Row],[Habilidad Gerencial]]&amp;" "&amp;Factor_1[[#This Row],[Rol del Cargo]]</f>
        <v>E + I 3</v>
      </c>
      <c r="C349" s="199" t="s">
        <v>155</v>
      </c>
      <c r="D349" s="199" t="s">
        <v>117</v>
      </c>
      <c r="E349" s="199" t="s">
        <v>81</v>
      </c>
      <c r="F349" s="199">
        <v>3</v>
      </c>
      <c r="G349" s="199">
        <v>197</v>
      </c>
    </row>
    <row r="350" spans="2:7" hidden="1">
      <c r="B350" s="199" t="str">
        <f>Factor_1[[#This Row],[Conocimientos]]&amp;" "&amp;Factor_1[[#This Row],[Tendencia]]&amp;" "&amp;Factor_1[[#This Row],[Habilidad Gerencial]]&amp;" "&amp;Factor_1[[#This Row],[Rol del Cargo]]</f>
        <v>E + I 4</v>
      </c>
      <c r="C350" s="199" t="s">
        <v>155</v>
      </c>
      <c r="D350" s="199" t="s">
        <v>117</v>
      </c>
      <c r="E350" s="199" t="s">
        <v>81</v>
      </c>
      <c r="F350" s="199">
        <v>4</v>
      </c>
      <c r="G350" s="199">
        <v>204</v>
      </c>
    </row>
    <row r="351" spans="2:7" hidden="1">
      <c r="B351" s="199" t="str">
        <f>Factor_1[[#This Row],[Conocimientos]]&amp;" "&amp;Factor_1[[#This Row],[Tendencia]]&amp;" "&amp;Factor_1[[#This Row],[Habilidad Gerencial]]&amp;" "&amp;Factor_1[[#This Row],[Rol del Cargo]]</f>
        <v>E - II 1</v>
      </c>
      <c r="C351" s="199" t="s">
        <v>155</v>
      </c>
      <c r="D351" s="199" t="s">
        <v>78</v>
      </c>
      <c r="E351" s="199" t="s">
        <v>100</v>
      </c>
      <c r="F351" s="199">
        <v>1</v>
      </c>
      <c r="G351" s="199">
        <v>154</v>
      </c>
    </row>
    <row r="352" spans="2:7" hidden="1">
      <c r="B352" s="199" t="str">
        <f>Factor_1[[#This Row],[Conocimientos]]&amp;" "&amp;Factor_1[[#This Row],[Tendencia]]&amp;" "&amp;Factor_1[[#This Row],[Habilidad Gerencial]]&amp;" "&amp;Factor_1[[#This Row],[Rol del Cargo]]</f>
        <v>E - II 2</v>
      </c>
      <c r="C352" s="199" t="s">
        <v>155</v>
      </c>
      <c r="D352" s="199" t="s">
        <v>78</v>
      </c>
      <c r="E352" s="199" t="s">
        <v>100</v>
      </c>
      <c r="F352" s="199">
        <v>2</v>
      </c>
      <c r="G352" s="199">
        <v>158</v>
      </c>
    </row>
    <row r="353" spans="2:7" hidden="1">
      <c r="B353" s="199" t="str">
        <f>Factor_1[[#This Row],[Conocimientos]]&amp;" "&amp;Factor_1[[#This Row],[Tendencia]]&amp;" "&amp;Factor_1[[#This Row],[Habilidad Gerencial]]&amp;" "&amp;Factor_1[[#This Row],[Rol del Cargo]]</f>
        <v>E - II 3</v>
      </c>
      <c r="C353" s="199" t="s">
        <v>155</v>
      </c>
      <c r="D353" s="199" t="s">
        <v>78</v>
      </c>
      <c r="E353" s="199" t="s">
        <v>100</v>
      </c>
      <c r="F353" s="199">
        <v>3</v>
      </c>
      <c r="G353" s="199">
        <v>162</v>
      </c>
    </row>
    <row r="354" spans="2:7" hidden="1">
      <c r="B354" s="199" t="str">
        <f>Factor_1[[#This Row],[Conocimientos]]&amp;" "&amp;Factor_1[[#This Row],[Tendencia]]&amp;" "&amp;Factor_1[[#This Row],[Habilidad Gerencial]]&amp;" "&amp;Factor_1[[#This Row],[Rol del Cargo]]</f>
        <v>E - II 4</v>
      </c>
      <c r="C354" s="199" t="s">
        <v>155</v>
      </c>
      <c r="D354" s="199" t="s">
        <v>78</v>
      </c>
      <c r="E354" s="199" t="s">
        <v>100</v>
      </c>
      <c r="F354" s="199">
        <v>4</v>
      </c>
      <c r="G354" s="199">
        <v>167</v>
      </c>
    </row>
    <row r="355" spans="2:7" hidden="1">
      <c r="B355" s="199" t="str">
        <f>Factor_1[[#This Row],[Conocimientos]]&amp;" "&amp;Factor_1[[#This Row],[Tendencia]]&amp;" "&amp;Factor_1[[#This Row],[Habilidad Gerencial]]&amp;" "&amp;Factor_1[[#This Row],[Rol del Cargo]]</f>
        <v>E o II 1</v>
      </c>
      <c r="C355" s="199" t="s">
        <v>155</v>
      </c>
      <c r="D355" s="199" t="s">
        <v>97</v>
      </c>
      <c r="E355" s="199" t="s">
        <v>100</v>
      </c>
      <c r="F355" s="199">
        <v>1</v>
      </c>
      <c r="G355" s="199">
        <v>177</v>
      </c>
    </row>
    <row r="356" spans="2:7" hidden="1">
      <c r="B356" s="199" t="str">
        <f>Factor_1[[#This Row],[Conocimientos]]&amp;" "&amp;Factor_1[[#This Row],[Tendencia]]&amp;" "&amp;Factor_1[[#This Row],[Habilidad Gerencial]]&amp;" "&amp;Factor_1[[#This Row],[Rol del Cargo]]</f>
        <v>E o II 2</v>
      </c>
      <c r="C356" s="199" t="s">
        <v>155</v>
      </c>
      <c r="D356" s="199" t="s">
        <v>97</v>
      </c>
      <c r="E356" s="199" t="s">
        <v>100</v>
      </c>
      <c r="F356" s="199">
        <v>2</v>
      </c>
      <c r="G356" s="199">
        <v>181</v>
      </c>
    </row>
    <row r="357" spans="2:7" hidden="1">
      <c r="B357" s="199" t="str">
        <f>Factor_1[[#This Row],[Conocimientos]]&amp;" "&amp;Factor_1[[#This Row],[Tendencia]]&amp;" "&amp;Factor_1[[#This Row],[Habilidad Gerencial]]&amp;" "&amp;Factor_1[[#This Row],[Rol del Cargo]]</f>
        <v>E o II 3</v>
      </c>
      <c r="C357" s="199" t="s">
        <v>155</v>
      </c>
      <c r="D357" s="199" t="s">
        <v>97</v>
      </c>
      <c r="E357" s="199" t="s">
        <v>100</v>
      </c>
      <c r="F357" s="199">
        <v>3</v>
      </c>
      <c r="G357" s="199">
        <v>185</v>
      </c>
    </row>
    <row r="358" spans="2:7" hidden="1">
      <c r="B358" s="199" t="str">
        <f>Factor_1[[#This Row],[Conocimientos]]&amp;" "&amp;Factor_1[[#This Row],[Tendencia]]&amp;" "&amp;Factor_1[[#This Row],[Habilidad Gerencial]]&amp;" "&amp;Factor_1[[#This Row],[Rol del Cargo]]</f>
        <v>E o II 4</v>
      </c>
      <c r="C358" s="199" t="s">
        <v>155</v>
      </c>
      <c r="D358" s="199" t="s">
        <v>97</v>
      </c>
      <c r="E358" s="199" t="s">
        <v>100</v>
      </c>
      <c r="F358" s="199">
        <v>4</v>
      </c>
      <c r="G358" s="199">
        <v>190</v>
      </c>
    </row>
    <row r="359" spans="2:7" hidden="1">
      <c r="B359" s="199" t="str">
        <f>Factor_1[[#This Row],[Conocimientos]]&amp;" "&amp;Factor_1[[#This Row],[Tendencia]]&amp;" "&amp;Factor_1[[#This Row],[Habilidad Gerencial]]&amp;" "&amp;Factor_1[[#This Row],[Rol del Cargo]]</f>
        <v>E + II 1</v>
      </c>
      <c r="C359" s="199" t="s">
        <v>155</v>
      </c>
      <c r="D359" s="199" t="s">
        <v>117</v>
      </c>
      <c r="E359" s="199" t="s">
        <v>100</v>
      </c>
      <c r="F359" s="199">
        <v>1</v>
      </c>
      <c r="G359" s="199">
        <v>204</v>
      </c>
    </row>
    <row r="360" spans="2:7" hidden="1">
      <c r="B360" s="199" t="str">
        <f>Factor_1[[#This Row],[Conocimientos]]&amp;" "&amp;Factor_1[[#This Row],[Tendencia]]&amp;" "&amp;Factor_1[[#This Row],[Habilidad Gerencial]]&amp;" "&amp;Factor_1[[#This Row],[Rol del Cargo]]</f>
        <v>E + II 2</v>
      </c>
      <c r="C360" s="199" t="s">
        <v>155</v>
      </c>
      <c r="D360" s="199" t="s">
        <v>117</v>
      </c>
      <c r="E360" s="199" t="s">
        <v>100</v>
      </c>
      <c r="F360" s="199">
        <v>2</v>
      </c>
      <c r="G360" s="199">
        <v>207</v>
      </c>
    </row>
    <row r="361" spans="2:7" hidden="1">
      <c r="B361" s="199" t="str">
        <f>Factor_1[[#This Row],[Conocimientos]]&amp;" "&amp;Factor_1[[#This Row],[Tendencia]]&amp;" "&amp;Factor_1[[#This Row],[Habilidad Gerencial]]&amp;" "&amp;Factor_1[[#This Row],[Rol del Cargo]]</f>
        <v>E + II 3</v>
      </c>
      <c r="C361" s="199" t="s">
        <v>155</v>
      </c>
      <c r="D361" s="199" t="s">
        <v>117</v>
      </c>
      <c r="E361" s="199" t="s">
        <v>100</v>
      </c>
      <c r="F361" s="199">
        <v>3</v>
      </c>
      <c r="G361" s="199">
        <v>211</v>
      </c>
    </row>
    <row r="362" spans="2:7" hidden="1">
      <c r="B362" s="199" t="str">
        <f>Factor_1[[#This Row],[Conocimientos]]&amp;" "&amp;Factor_1[[#This Row],[Tendencia]]&amp;" "&amp;Factor_1[[#This Row],[Habilidad Gerencial]]&amp;" "&amp;Factor_1[[#This Row],[Rol del Cargo]]</f>
        <v>E + II 4</v>
      </c>
      <c r="C362" s="199" t="s">
        <v>155</v>
      </c>
      <c r="D362" s="199" t="s">
        <v>117</v>
      </c>
      <c r="E362" s="199" t="s">
        <v>100</v>
      </c>
      <c r="F362" s="199">
        <v>4</v>
      </c>
      <c r="G362" s="199">
        <v>216</v>
      </c>
    </row>
    <row r="363" spans="2:7" hidden="1">
      <c r="B363" s="199" t="str">
        <f>Factor_1[[#This Row],[Conocimientos]]&amp;" "&amp;Factor_1[[#This Row],[Tendencia]]&amp;" "&amp;Factor_1[[#This Row],[Habilidad Gerencial]]&amp;" "&amp;Factor_1[[#This Row],[Rol del Cargo]]</f>
        <v>E - III 1</v>
      </c>
      <c r="C363" s="199" t="s">
        <v>155</v>
      </c>
      <c r="D363" s="199" t="s">
        <v>78</v>
      </c>
      <c r="E363" s="199" t="s">
        <v>120</v>
      </c>
      <c r="F363" s="199">
        <v>1</v>
      </c>
      <c r="G363" s="199">
        <v>167</v>
      </c>
    </row>
    <row r="364" spans="2:7" hidden="1">
      <c r="B364" s="199" t="str">
        <f>Factor_1[[#This Row],[Conocimientos]]&amp;" "&amp;Factor_1[[#This Row],[Tendencia]]&amp;" "&amp;Factor_1[[#This Row],[Habilidad Gerencial]]&amp;" "&amp;Factor_1[[#This Row],[Rol del Cargo]]</f>
        <v>E - III 2</v>
      </c>
      <c r="C364" s="199" t="s">
        <v>155</v>
      </c>
      <c r="D364" s="199" t="s">
        <v>78</v>
      </c>
      <c r="E364" s="199" t="s">
        <v>120</v>
      </c>
      <c r="F364" s="199">
        <v>2</v>
      </c>
      <c r="G364" s="199">
        <v>173</v>
      </c>
    </row>
    <row r="365" spans="2:7" hidden="1">
      <c r="B365" s="199" t="str">
        <f>Factor_1[[#This Row],[Conocimientos]]&amp;" "&amp;Factor_1[[#This Row],[Tendencia]]&amp;" "&amp;Factor_1[[#This Row],[Habilidad Gerencial]]&amp;" "&amp;Factor_1[[#This Row],[Rol del Cargo]]</f>
        <v>E - III 3</v>
      </c>
      <c r="C365" s="199" t="s">
        <v>155</v>
      </c>
      <c r="D365" s="199" t="s">
        <v>78</v>
      </c>
      <c r="E365" s="199" t="s">
        <v>120</v>
      </c>
      <c r="F365" s="199">
        <v>3</v>
      </c>
      <c r="G365" s="199">
        <v>179</v>
      </c>
    </row>
    <row r="366" spans="2:7" hidden="1">
      <c r="B366" s="199" t="str">
        <f>Factor_1[[#This Row],[Conocimientos]]&amp;" "&amp;Factor_1[[#This Row],[Tendencia]]&amp;" "&amp;Factor_1[[#This Row],[Habilidad Gerencial]]&amp;" "&amp;Factor_1[[#This Row],[Rol del Cargo]]</f>
        <v>E - III 4</v>
      </c>
      <c r="C366" s="199" t="s">
        <v>155</v>
      </c>
      <c r="D366" s="199" t="s">
        <v>78</v>
      </c>
      <c r="E366" s="199" t="s">
        <v>120</v>
      </c>
      <c r="F366" s="199">
        <v>4</v>
      </c>
      <c r="G366" s="199">
        <v>187</v>
      </c>
    </row>
    <row r="367" spans="2:7" hidden="1">
      <c r="B367" s="199" t="str">
        <f>Factor_1[[#This Row],[Conocimientos]]&amp;" "&amp;Factor_1[[#This Row],[Tendencia]]&amp;" "&amp;Factor_1[[#This Row],[Habilidad Gerencial]]&amp;" "&amp;Factor_1[[#This Row],[Rol del Cargo]]</f>
        <v>E o III 1</v>
      </c>
      <c r="C367" s="199" t="s">
        <v>155</v>
      </c>
      <c r="D367" s="199" t="s">
        <v>97</v>
      </c>
      <c r="E367" s="199" t="s">
        <v>120</v>
      </c>
      <c r="F367" s="199">
        <v>1</v>
      </c>
      <c r="G367" s="199">
        <v>190</v>
      </c>
    </row>
    <row r="368" spans="2:7" hidden="1">
      <c r="B368" s="199" t="str">
        <f>Factor_1[[#This Row],[Conocimientos]]&amp;" "&amp;Factor_1[[#This Row],[Tendencia]]&amp;" "&amp;Factor_1[[#This Row],[Habilidad Gerencial]]&amp;" "&amp;Factor_1[[#This Row],[Rol del Cargo]]</f>
        <v>E o III 2</v>
      </c>
      <c r="C368" s="199" t="s">
        <v>155</v>
      </c>
      <c r="D368" s="199" t="s">
        <v>97</v>
      </c>
      <c r="E368" s="199" t="s">
        <v>120</v>
      </c>
      <c r="F368" s="199">
        <v>2</v>
      </c>
      <c r="G368" s="199">
        <v>195</v>
      </c>
    </row>
    <row r="369" spans="2:7" hidden="1">
      <c r="B369" s="199" t="str">
        <f>Factor_1[[#This Row],[Conocimientos]]&amp;" "&amp;Factor_1[[#This Row],[Tendencia]]&amp;" "&amp;Factor_1[[#This Row],[Habilidad Gerencial]]&amp;" "&amp;Factor_1[[#This Row],[Rol del Cargo]]</f>
        <v>E o III 3</v>
      </c>
      <c r="C369" s="199" t="s">
        <v>155</v>
      </c>
      <c r="D369" s="199" t="s">
        <v>97</v>
      </c>
      <c r="E369" s="199" t="s">
        <v>120</v>
      </c>
      <c r="F369" s="199">
        <v>3</v>
      </c>
      <c r="G369" s="199">
        <v>202</v>
      </c>
    </row>
    <row r="370" spans="2:7" hidden="1">
      <c r="B370" s="199" t="str">
        <f>Factor_1[[#This Row],[Conocimientos]]&amp;" "&amp;Factor_1[[#This Row],[Tendencia]]&amp;" "&amp;Factor_1[[#This Row],[Habilidad Gerencial]]&amp;" "&amp;Factor_1[[#This Row],[Rol del Cargo]]</f>
        <v>E o III 4</v>
      </c>
      <c r="C370" s="199" t="s">
        <v>155</v>
      </c>
      <c r="D370" s="199" t="s">
        <v>97</v>
      </c>
      <c r="E370" s="199" t="s">
        <v>120</v>
      </c>
      <c r="F370" s="199">
        <v>4</v>
      </c>
      <c r="G370" s="199">
        <v>210</v>
      </c>
    </row>
    <row r="371" spans="2:7" hidden="1">
      <c r="B371" s="199" t="str">
        <f>Factor_1[[#This Row],[Conocimientos]]&amp;" "&amp;Factor_1[[#This Row],[Tendencia]]&amp;" "&amp;Factor_1[[#This Row],[Habilidad Gerencial]]&amp;" "&amp;Factor_1[[#This Row],[Rol del Cargo]]</f>
        <v>E + III 1</v>
      </c>
      <c r="C371" s="199" t="s">
        <v>155</v>
      </c>
      <c r="D371" s="199" t="s">
        <v>117</v>
      </c>
      <c r="E371" s="199" t="s">
        <v>120</v>
      </c>
      <c r="F371" s="199">
        <v>1</v>
      </c>
      <c r="G371" s="199">
        <v>216</v>
      </c>
    </row>
    <row r="372" spans="2:7" hidden="1">
      <c r="B372" s="199" t="str">
        <f>Factor_1[[#This Row],[Conocimientos]]&amp;" "&amp;Factor_1[[#This Row],[Tendencia]]&amp;" "&amp;Factor_1[[#This Row],[Habilidad Gerencial]]&amp;" "&amp;Factor_1[[#This Row],[Rol del Cargo]]</f>
        <v>E + III 2</v>
      </c>
      <c r="C372" s="199" t="s">
        <v>155</v>
      </c>
      <c r="D372" s="199" t="s">
        <v>117</v>
      </c>
      <c r="E372" s="199" t="s">
        <v>120</v>
      </c>
      <c r="F372" s="199">
        <v>2</v>
      </c>
      <c r="G372" s="199">
        <v>222</v>
      </c>
    </row>
    <row r="373" spans="2:7" hidden="1">
      <c r="B373" s="199" t="str">
        <f>Factor_1[[#This Row],[Conocimientos]]&amp;" "&amp;Factor_1[[#This Row],[Tendencia]]&amp;" "&amp;Factor_1[[#This Row],[Habilidad Gerencial]]&amp;" "&amp;Factor_1[[#This Row],[Rol del Cargo]]</f>
        <v>E + III 3</v>
      </c>
      <c r="C373" s="199" t="s">
        <v>155</v>
      </c>
      <c r="D373" s="199" t="s">
        <v>117</v>
      </c>
      <c r="E373" s="199" t="s">
        <v>120</v>
      </c>
      <c r="F373" s="199">
        <v>3</v>
      </c>
      <c r="G373" s="199">
        <v>228</v>
      </c>
    </row>
    <row r="374" spans="2:7" hidden="1">
      <c r="B374" s="199" t="str">
        <f>Factor_1[[#This Row],[Conocimientos]]&amp;" "&amp;Factor_1[[#This Row],[Tendencia]]&amp;" "&amp;Factor_1[[#This Row],[Habilidad Gerencial]]&amp;" "&amp;Factor_1[[#This Row],[Rol del Cargo]]</f>
        <v>E + III 4</v>
      </c>
      <c r="C374" s="199" t="s">
        <v>155</v>
      </c>
      <c r="D374" s="199" t="s">
        <v>117</v>
      </c>
      <c r="E374" s="199" t="s">
        <v>120</v>
      </c>
      <c r="F374" s="199">
        <v>4</v>
      </c>
      <c r="G374" s="199">
        <v>236</v>
      </c>
    </row>
    <row r="375" spans="2:7" hidden="1">
      <c r="B375" s="199" t="str">
        <f>Factor_1[[#This Row],[Conocimientos]]&amp;" "&amp;Factor_1[[#This Row],[Tendencia]]&amp;" "&amp;Factor_1[[#This Row],[Habilidad Gerencial]]&amp;" "&amp;Factor_1[[#This Row],[Rol del Cargo]]</f>
        <v>E - IV 1</v>
      </c>
      <c r="C375" s="199" t="s">
        <v>155</v>
      </c>
      <c r="D375" s="199" t="s">
        <v>78</v>
      </c>
      <c r="E375" s="199" t="s">
        <v>139</v>
      </c>
      <c r="F375" s="199">
        <v>1</v>
      </c>
      <c r="G375" s="199">
        <v>187</v>
      </c>
    </row>
    <row r="376" spans="2:7" hidden="1">
      <c r="B376" s="199" t="str">
        <f>Factor_1[[#This Row],[Conocimientos]]&amp;" "&amp;Factor_1[[#This Row],[Tendencia]]&amp;" "&amp;Factor_1[[#This Row],[Habilidad Gerencial]]&amp;" "&amp;Factor_1[[#This Row],[Rol del Cargo]]</f>
        <v>E - IV 2</v>
      </c>
      <c r="C376" s="199" t="s">
        <v>155</v>
      </c>
      <c r="D376" s="199" t="s">
        <v>78</v>
      </c>
      <c r="E376" s="199" t="s">
        <v>139</v>
      </c>
      <c r="F376" s="199">
        <v>2</v>
      </c>
      <c r="G376" s="199">
        <v>196</v>
      </c>
    </row>
    <row r="377" spans="2:7" hidden="1">
      <c r="B377" s="199" t="str">
        <f>Factor_1[[#This Row],[Conocimientos]]&amp;" "&amp;Factor_1[[#This Row],[Tendencia]]&amp;" "&amp;Factor_1[[#This Row],[Habilidad Gerencial]]&amp;" "&amp;Factor_1[[#This Row],[Rol del Cargo]]</f>
        <v>E - IV 3</v>
      </c>
      <c r="C377" s="199" t="s">
        <v>155</v>
      </c>
      <c r="D377" s="199" t="s">
        <v>78</v>
      </c>
      <c r="E377" s="199" t="s">
        <v>139</v>
      </c>
      <c r="F377" s="199">
        <v>3</v>
      </c>
      <c r="G377" s="199">
        <v>207</v>
      </c>
    </row>
    <row r="378" spans="2:7" hidden="1">
      <c r="B378" s="199" t="str">
        <f>Factor_1[[#This Row],[Conocimientos]]&amp;" "&amp;Factor_1[[#This Row],[Tendencia]]&amp;" "&amp;Factor_1[[#This Row],[Habilidad Gerencial]]&amp;" "&amp;Factor_1[[#This Row],[Rol del Cargo]]</f>
        <v>E - IV 4</v>
      </c>
      <c r="C378" s="199" t="s">
        <v>155</v>
      </c>
      <c r="D378" s="199" t="s">
        <v>78</v>
      </c>
      <c r="E378" s="199" t="s">
        <v>139</v>
      </c>
      <c r="F378" s="199">
        <v>4</v>
      </c>
      <c r="G378" s="199">
        <v>219</v>
      </c>
    </row>
    <row r="379" spans="2:7" hidden="1">
      <c r="B379" s="199" t="str">
        <f>Factor_1[[#This Row],[Conocimientos]]&amp;" "&amp;Factor_1[[#This Row],[Tendencia]]&amp;" "&amp;Factor_1[[#This Row],[Habilidad Gerencial]]&amp;" "&amp;Factor_1[[#This Row],[Rol del Cargo]]</f>
        <v>E o IV 1</v>
      </c>
      <c r="C379" s="199" t="s">
        <v>155</v>
      </c>
      <c r="D379" s="199" t="s">
        <v>97</v>
      </c>
      <c r="E379" s="199" t="s">
        <v>139</v>
      </c>
      <c r="F379" s="199">
        <v>1</v>
      </c>
      <c r="G379" s="199">
        <v>210</v>
      </c>
    </row>
    <row r="380" spans="2:7" hidden="1">
      <c r="B380" s="199" t="str">
        <f>Factor_1[[#This Row],[Conocimientos]]&amp;" "&amp;Factor_1[[#This Row],[Tendencia]]&amp;" "&amp;Factor_1[[#This Row],[Habilidad Gerencial]]&amp;" "&amp;Factor_1[[#This Row],[Rol del Cargo]]</f>
        <v>E o IV 2</v>
      </c>
      <c r="C380" s="199" t="s">
        <v>155</v>
      </c>
      <c r="D380" s="199" t="s">
        <v>97</v>
      </c>
      <c r="E380" s="199" t="s">
        <v>139</v>
      </c>
      <c r="F380" s="199">
        <v>2</v>
      </c>
      <c r="G380" s="199">
        <v>219</v>
      </c>
    </row>
    <row r="381" spans="2:7" hidden="1">
      <c r="B381" s="199" t="str">
        <f>Factor_1[[#This Row],[Conocimientos]]&amp;" "&amp;Factor_1[[#This Row],[Tendencia]]&amp;" "&amp;Factor_1[[#This Row],[Habilidad Gerencial]]&amp;" "&amp;Factor_1[[#This Row],[Rol del Cargo]]</f>
        <v>E o IV 3</v>
      </c>
      <c r="C381" s="199" t="s">
        <v>155</v>
      </c>
      <c r="D381" s="199" t="s">
        <v>97</v>
      </c>
      <c r="E381" s="199" t="s">
        <v>139</v>
      </c>
      <c r="F381" s="199">
        <v>3</v>
      </c>
      <c r="G381" s="199">
        <v>229</v>
      </c>
    </row>
    <row r="382" spans="2:7" hidden="1">
      <c r="B382" s="199" t="str">
        <f>Factor_1[[#This Row],[Conocimientos]]&amp;" "&amp;Factor_1[[#This Row],[Tendencia]]&amp;" "&amp;Factor_1[[#This Row],[Habilidad Gerencial]]&amp;" "&amp;Factor_1[[#This Row],[Rol del Cargo]]</f>
        <v>E o IV 4</v>
      </c>
      <c r="C382" s="199" t="s">
        <v>155</v>
      </c>
      <c r="D382" s="199" t="s">
        <v>97</v>
      </c>
      <c r="E382" s="199" t="s">
        <v>139</v>
      </c>
      <c r="F382" s="199">
        <v>4</v>
      </c>
      <c r="G382" s="199">
        <v>242</v>
      </c>
    </row>
    <row r="383" spans="2:7" hidden="1">
      <c r="B383" s="199" t="str">
        <f>Factor_1[[#This Row],[Conocimientos]]&amp;" "&amp;Factor_1[[#This Row],[Tendencia]]&amp;" "&amp;Factor_1[[#This Row],[Habilidad Gerencial]]&amp;" "&amp;Factor_1[[#This Row],[Rol del Cargo]]</f>
        <v>E + IV 1</v>
      </c>
      <c r="C383" s="199" t="s">
        <v>155</v>
      </c>
      <c r="D383" s="199" t="s">
        <v>117</v>
      </c>
      <c r="E383" s="199" t="s">
        <v>139</v>
      </c>
      <c r="F383" s="199">
        <v>1</v>
      </c>
      <c r="G383" s="199">
        <v>236</v>
      </c>
    </row>
    <row r="384" spans="2:7" hidden="1">
      <c r="B384" s="199" t="str">
        <f>Factor_1[[#This Row],[Conocimientos]]&amp;" "&amp;Factor_1[[#This Row],[Tendencia]]&amp;" "&amp;Factor_1[[#This Row],[Habilidad Gerencial]]&amp;" "&amp;Factor_1[[#This Row],[Rol del Cargo]]</f>
        <v>E + IV 2</v>
      </c>
      <c r="C384" s="199" t="s">
        <v>155</v>
      </c>
      <c r="D384" s="199" t="s">
        <v>117</v>
      </c>
      <c r="E384" s="199" t="s">
        <v>139</v>
      </c>
      <c r="F384" s="199">
        <v>2</v>
      </c>
      <c r="G384" s="199">
        <v>245</v>
      </c>
    </row>
    <row r="385" spans="2:7" hidden="1">
      <c r="B385" s="199" t="str">
        <f>Factor_1[[#This Row],[Conocimientos]]&amp;" "&amp;Factor_1[[#This Row],[Tendencia]]&amp;" "&amp;Factor_1[[#This Row],[Habilidad Gerencial]]&amp;" "&amp;Factor_1[[#This Row],[Rol del Cargo]]</f>
        <v>E + IV 3</v>
      </c>
      <c r="C385" s="199" t="s">
        <v>155</v>
      </c>
      <c r="D385" s="199" t="s">
        <v>117</v>
      </c>
      <c r="E385" s="199" t="s">
        <v>139</v>
      </c>
      <c r="F385" s="199">
        <v>3</v>
      </c>
      <c r="G385" s="199">
        <v>256</v>
      </c>
    </row>
    <row r="386" spans="2:7" hidden="1">
      <c r="B386" s="199" t="str">
        <f>Factor_1[[#This Row],[Conocimientos]]&amp;" "&amp;Factor_1[[#This Row],[Tendencia]]&amp;" "&amp;Factor_1[[#This Row],[Habilidad Gerencial]]&amp;" "&amp;Factor_1[[#This Row],[Rol del Cargo]]</f>
        <v>E + IV 4</v>
      </c>
      <c r="C386" s="199" t="s">
        <v>155</v>
      </c>
      <c r="D386" s="199" t="s">
        <v>117</v>
      </c>
      <c r="E386" s="199" t="s">
        <v>139</v>
      </c>
      <c r="F386" s="199">
        <v>4</v>
      </c>
      <c r="G386" s="199">
        <v>268</v>
      </c>
    </row>
    <row r="387" spans="2:7" hidden="1">
      <c r="B387" s="199" t="str">
        <f>Factor_1[[#This Row],[Conocimientos]]&amp;" "&amp;Factor_1[[#This Row],[Tendencia]]&amp;" "&amp;Factor_1[[#This Row],[Habilidad Gerencial]]&amp;" "&amp;Factor_1[[#This Row],[Rol del Cargo]]</f>
        <v>E - V 1</v>
      </c>
      <c r="C387" s="199" t="s">
        <v>155</v>
      </c>
      <c r="D387" s="199" t="s">
        <v>78</v>
      </c>
      <c r="E387" s="199" t="s">
        <v>157</v>
      </c>
      <c r="F387" s="199">
        <v>1</v>
      </c>
      <c r="G387" s="199">
        <v>219</v>
      </c>
    </row>
    <row r="388" spans="2:7" hidden="1">
      <c r="B388" s="199" t="str">
        <f>Factor_1[[#This Row],[Conocimientos]]&amp;" "&amp;Factor_1[[#This Row],[Tendencia]]&amp;" "&amp;Factor_1[[#This Row],[Habilidad Gerencial]]&amp;" "&amp;Factor_1[[#This Row],[Rol del Cargo]]</f>
        <v>E - V 2</v>
      </c>
      <c r="C388" s="199" t="s">
        <v>155</v>
      </c>
      <c r="D388" s="199" t="s">
        <v>78</v>
      </c>
      <c r="E388" s="199" t="s">
        <v>157</v>
      </c>
      <c r="F388" s="199">
        <v>2</v>
      </c>
      <c r="G388" s="199">
        <v>234</v>
      </c>
    </row>
    <row r="389" spans="2:7" hidden="1">
      <c r="B389" s="199" t="str">
        <f>Factor_1[[#This Row],[Conocimientos]]&amp;" "&amp;Factor_1[[#This Row],[Tendencia]]&amp;" "&amp;Factor_1[[#This Row],[Habilidad Gerencial]]&amp;" "&amp;Factor_1[[#This Row],[Rol del Cargo]]</f>
        <v>E - V 3</v>
      </c>
      <c r="C389" s="199" t="s">
        <v>155</v>
      </c>
      <c r="D389" s="199" t="s">
        <v>78</v>
      </c>
      <c r="E389" s="199" t="s">
        <v>157</v>
      </c>
      <c r="F389" s="199">
        <v>3</v>
      </c>
      <c r="G389" s="199">
        <v>251</v>
      </c>
    </row>
    <row r="390" spans="2:7" hidden="1">
      <c r="B390" s="199" t="str">
        <f>Factor_1[[#This Row],[Conocimientos]]&amp;" "&amp;Factor_1[[#This Row],[Tendencia]]&amp;" "&amp;Factor_1[[#This Row],[Habilidad Gerencial]]&amp;" "&amp;Factor_1[[#This Row],[Rol del Cargo]]</f>
        <v>E - V 4</v>
      </c>
      <c r="C390" s="199" t="s">
        <v>155</v>
      </c>
      <c r="D390" s="199" t="s">
        <v>78</v>
      </c>
      <c r="E390" s="199" t="s">
        <v>157</v>
      </c>
      <c r="F390" s="199">
        <v>4</v>
      </c>
      <c r="G390" s="199">
        <v>271</v>
      </c>
    </row>
    <row r="391" spans="2:7" hidden="1">
      <c r="B391" s="199" t="str">
        <f>Factor_1[[#This Row],[Conocimientos]]&amp;" "&amp;Factor_1[[#This Row],[Tendencia]]&amp;" "&amp;Factor_1[[#This Row],[Habilidad Gerencial]]&amp;" "&amp;Factor_1[[#This Row],[Rol del Cargo]]</f>
        <v>E o V 1</v>
      </c>
      <c r="C391" s="199" t="s">
        <v>155</v>
      </c>
      <c r="D391" s="199" t="s">
        <v>97</v>
      </c>
      <c r="E391" s="199" t="s">
        <v>157</v>
      </c>
      <c r="F391" s="199">
        <v>1</v>
      </c>
      <c r="G391" s="199">
        <v>242</v>
      </c>
    </row>
    <row r="392" spans="2:7" hidden="1">
      <c r="B392" s="199" t="str">
        <f>Factor_1[[#This Row],[Conocimientos]]&amp;" "&amp;Factor_1[[#This Row],[Tendencia]]&amp;" "&amp;Factor_1[[#This Row],[Habilidad Gerencial]]&amp;" "&amp;Factor_1[[#This Row],[Rol del Cargo]]</f>
        <v>E o V 2</v>
      </c>
      <c r="C392" s="199" t="s">
        <v>155</v>
      </c>
      <c r="D392" s="199" t="s">
        <v>97</v>
      </c>
      <c r="E392" s="199" t="s">
        <v>157</v>
      </c>
      <c r="F392" s="199">
        <v>2</v>
      </c>
      <c r="G392" s="199">
        <v>256</v>
      </c>
    </row>
    <row r="393" spans="2:7" hidden="1">
      <c r="B393" s="199" t="str">
        <f>Factor_1[[#This Row],[Conocimientos]]&amp;" "&amp;Factor_1[[#This Row],[Tendencia]]&amp;" "&amp;Factor_1[[#This Row],[Habilidad Gerencial]]&amp;" "&amp;Factor_1[[#This Row],[Rol del Cargo]]</f>
        <v>E o V 3</v>
      </c>
      <c r="C393" s="199" t="s">
        <v>155</v>
      </c>
      <c r="D393" s="199" t="s">
        <v>97</v>
      </c>
      <c r="E393" s="199" t="s">
        <v>157</v>
      </c>
      <c r="F393" s="199">
        <v>3</v>
      </c>
      <c r="G393" s="199">
        <v>273</v>
      </c>
    </row>
    <row r="394" spans="2:7" hidden="1">
      <c r="B394" s="199" t="str">
        <f>Factor_1[[#This Row],[Conocimientos]]&amp;" "&amp;Factor_1[[#This Row],[Tendencia]]&amp;" "&amp;Factor_1[[#This Row],[Habilidad Gerencial]]&amp;" "&amp;Factor_1[[#This Row],[Rol del Cargo]]</f>
        <v>E o V 4</v>
      </c>
      <c r="C394" s="199" t="s">
        <v>155</v>
      </c>
      <c r="D394" s="199" t="s">
        <v>97</v>
      </c>
      <c r="E394" s="199" t="s">
        <v>157</v>
      </c>
      <c r="F394" s="199">
        <v>4</v>
      </c>
      <c r="G394" s="199">
        <v>293</v>
      </c>
    </row>
    <row r="395" spans="2:7" hidden="1">
      <c r="B395" s="199" t="str">
        <f>Factor_1[[#This Row],[Conocimientos]]&amp;" "&amp;Factor_1[[#This Row],[Tendencia]]&amp;" "&amp;Factor_1[[#This Row],[Habilidad Gerencial]]&amp;" "&amp;Factor_1[[#This Row],[Rol del Cargo]]</f>
        <v>E + V 1</v>
      </c>
      <c r="C395" s="199" t="s">
        <v>155</v>
      </c>
      <c r="D395" s="199" t="s">
        <v>117</v>
      </c>
      <c r="E395" s="199" t="s">
        <v>157</v>
      </c>
      <c r="F395" s="199">
        <v>1</v>
      </c>
      <c r="G395" s="199">
        <v>268</v>
      </c>
    </row>
    <row r="396" spans="2:7" hidden="1">
      <c r="B396" s="199" t="str">
        <f>Factor_1[[#This Row],[Conocimientos]]&amp;" "&amp;Factor_1[[#This Row],[Tendencia]]&amp;" "&amp;Factor_1[[#This Row],[Habilidad Gerencial]]&amp;" "&amp;Factor_1[[#This Row],[Rol del Cargo]]</f>
        <v>E + V 2</v>
      </c>
      <c r="C396" s="199" t="s">
        <v>155</v>
      </c>
      <c r="D396" s="199" t="s">
        <v>117</v>
      </c>
      <c r="E396" s="199" t="s">
        <v>157</v>
      </c>
      <c r="F396" s="199">
        <v>2</v>
      </c>
      <c r="G396" s="199">
        <v>283</v>
      </c>
    </row>
    <row r="397" spans="2:7" hidden="1">
      <c r="B397" s="199" t="str">
        <f>Factor_1[[#This Row],[Conocimientos]]&amp;" "&amp;Factor_1[[#This Row],[Tendencia]]&amp;" "&amp;Factor_1[[#This Row],[Habilidad Gerencial]]&amp;" "&amp;Factor_1[[#This Row],[Rol del Cargo]]</f>
        <v>E + V 3</v>
      </c>
      <c r="C397" s="199" t="s">
        <v>155</v>
      </c>
      <c r="D397" s="199" t="s">
        <v>117</v>
      </c>
      <c r="E397" s="199" t="s">
        <v>157</v>
      </c>
      <c r="F397" s="199">
        <v>3</v>
      </c>
      <c r="G397" s="199">
        <v>300</v>
      </c>
    </row>
    <row r="398" spans="2:7" hidden="1">
      <c r="B398" s="199" t="str">
        <f>Factor_1[[#This Row],[Conocimientos]]&amp;" "&amp;Factor_1[[#This Row],[Tendencia]]&amp;" "&amp;Factor_1[[#This Row],[Habilidad Gerencial]]&amp;" "&amp;Factor_1[[#This Row],[Rol del Cargo]]</f>
        <v>E + V 4</v>
      </c>
      <c r="C398" s="199" t="s">
        <v>155</v>
      </c>
      <c r="D398" s="199" t="s">
        <v>117</v>
      </c>
      <c r="E398" s="199" t="s">
        <v>157</v>
      </c>
      <c r="F398" s="199">
        <v>4</v>
      </c>
      <c r="G398" s="199">
        <v>320</v>
      </c>
    </row>
    <row r="399" spans="2:7" hidden="1">
      <c r="B399" s="199" t="str">
        <f>Factor_1[[#This Row],[Conocimientos]]&amp;" "&amp;Factor_1[[#This Row],[Tendencia]]&amp;" "&amp;Factor_1[[#This Row],[Habilidad Gerencial]]&amp;" "&amp;Factor_1[[#This Row],[Rol del Cargo]]</f>
        <v>E - VI 1</v>
      </c>
      <c r="C399" s="199" t="s">
        <v>155</v>
      </c>
      <c r="D399" s="199" t="s">
        <v>78</v>
      </c>
      <c r="E399" s="199" t="s">
        <v>171</v>
      </c>
      <c r="F399" s="199">
        <v>1</v>
      </c>
      <c r="G399" s="199">
        <v>271</v>
      </c>
    </row>
    <row r="400" spans="2:7" hidden="1">
      <c r="B400" s="199" t="str">
        <f>Factor_1[[#This Row],[Conocimientos]]&amp;" "&amp;Factor_1[[#This Row],[Tendencia]]&amp;" "&amp;Factor_1[[#This Row],[Habilidad Gerencial]]&amp;" "&amp;Factor_1[[#This Row],[Rol del Cargo]]</f>
        <v>E - VI 2</v>
      </c>
      <c r="C400" s="199" t="s">
        <v>155</v>
      </c>
      <c r="D400" s="199" t="s">
        <v>78</v>
      </c>
      <c r="E400" s="199" t="s">
        <v>171</v>
      </c>
      <c r="F400" s="199">
        <v>2</v>
      </c>
      <c r="G400" s="199">
        <v>294</v>
      </c>
    </row>
    <row r="401" spans="2:7" hidden="1">
      <c r="B401" s="199" t="str">
        <f>Factor_1[[#This Row],[Conocimientos]]&amp;" "&amp;Factor_1[[#This Row],[Tendencia]]&amp;" "&amp;Factor_1[[#This Row],[Habilidad Gerencial]]&amp;" "&amp;Factor_1[[#This Row],[Rol del Cargo]]</f>
        <v>E - VI 3</v>
      </c>
      <c r="C401" s="199" t="s">
        <v>155</v>
      </c>
      <c r="D401" s="199" t="s">
        <v>78</v>
      </c>
      <c r="E401" s="199" t="s">
        <v>171</v>
      </c>
      <c r="F401" s="199">
        <v>3</v>
      </c>
      <c r="G401" s="199">
        <v>321</v>
      </c>
    </row>
    <row r="402" spans="2:7" hidden="1">
      <c r="B402" s="199" t="str">
        <f>Factor_1[[#This Row],[Conocimientos]]&amp;" "&amp;Factor_1[[#This Row],[Tendencia]]&amp;" "&amp;Factor_1[[#This Row],[Habilidad Gerencial]]&amp;" "&amp;Factor_1[[#This Row],[Rol del Cargo]]</f>
        <v>E - VI 4</v>
      </c>
      <c r="C402" s="199" t="s">
        <v>155</v>
      </c>
      <c r="D402" s="199" t="s">
        <v>78</v>
      </c>
      <c r="E402" s="199" t="s">
        <v>171</v>
      </c>
      <c r="F402" s="199">
        <v>4</v>
      </c>
      <c r="G402" s="199">
        <v>353</v>
      </c>
    </row>
    <row r="403" spans="2:7" hidden="1">
      <c r="B403" s="199" t="str">
        <f>Factor_1[[#This Row],[Conocimientos]]&amp;" "&amp;Factor_1[[#This Row],[Tendencia]]&amp;" "&amp;Factor_1[[#This Row],[Habilidad Gerencial]]&amp;" "&amp;Factor_1[[#This Row],[Rol del Cargo]]</f>
        <v>E o VI 1</v>
      </c>
      <c r="C403" s="199" t="s">
        <v>155</v>
      </c>
      <c r="D403" s="199" t="s">
        <v>97</v>
      </c>
      <c r="E403" s="199" t="s">
        <v>171</v>
      </c>
      <c r="F403" s="199">
        <v>1</v>
      </c>
      <c r="G403" s="199">
        <v>293</v>
      </c>
    </row>
    <row r="404" spans="2:7" hidden="1">
      <c r="B404" s="199" t="str">
        <f>Factor_1[[#This Row],[Conocimientos]]&amp;" "&amp;Factor_1[[#This Row],[Tendencia]]&amp;" "&amp;Factor_1[[#This Row],[Habilidad Gerencial]]&amp;" "&amp;Factor_1[[#This Row],[Rol del Cargo]]</f>
        <v>E o VI 2</v>
      </c>
      <c r="C404" s="199" t="s">
        <v>155</v>
      </c>
      <c r="D404" s="199" t="s">
        <v>97</v>
      </c>
      <c r="E404" s="199" t="s">
        <v>171</v>
      </c>
      <c r="F404" s="199">
        <v>2</v>
      </c>
      <c r="G404" s="199">
        <v>317</v>
      </c>
    </row>
    <row r="405" spans="2:7" hidden="1">
      <c r="B405" s="199" t="str">
        <f>Factor_1[[#This Row],[Conocimientos]]&amp;" "&amp;Factor_1[[#This Row],[Tendencia]]&amp;" "&amp;Factor_1[[#This Row],[Habilidad Gerencial]]&amp;" "&amp;Factor_1[[#This Row],[Rol del Cargo]]</f>
        <v>E o VI 3</v>
      </c>
      <c r="C405" s="199" t="s">
        <v>155</v>
      </c>
      <c r="D405" s="199" t="s">
        <v>97</v>
      </c>
      <c r="E405" s="199" t="s">
        <v>171</v>
      </c>
      <c r="F405" s="199">
        <v>3</v>
      </c>
      <c r="G405" s="199">
        <v>344</v>
      </c>
    </row>
    <row r="406" spans="2:7" hidden="1">
      <c r="B406" s="199" t="str">
        <f>Factor_1[[#This Row],[Conocimientos]]&amp;" "&amp;Factor_1[[#This Row],[Tendencia]]&amp;" "&amp;Factor_1[[#This Row],[Habilidad Gerencial]]&amp;" "&amp;Factor_1[[#This Row],[Rol del Cargo]]</f>
        <v>E o VI 4</v>
      </c>
      <c r="C406" s="199" t="s">
        <v>155</v>
      </c>
      <c r="D406" s="199" t="s">
        <v>97</v>
      </c>
      <c r="E406" s="199" t="s">
        <v>171</v>
      </c>
      <c r="F406" s="199">
        <v>4</v>
      </c>
      <c r="G406" s="199">
        <v>376</v>
      </c>
    </row>
    <row r="407" spans="2:7" hidden="1">
      <c r="B407" s="199" t="str">
        <f>Factor_1[[#This Row],[Conocimientos]]&amp;" "&amp;Factor_1[[#This Row],[Tendencia]]&amp;" "&amp;Factor_1[[#This Row],[Habilidad Gerencial]]&amp;" "&amp;Factor_1[[#This Row],[Rol del Cargo]]</f>
        <v>E + VI 1</v>
      </c>
      <c r="C407" s="199" t="s">
        <v>155</v>
      </c>
      <c r="D407" s="199" t="s">
        <v>117</v>
      </c>
      <c r="E407" s="199" t="s">
        <v>171</v>
      </c>
      <c r="F407" s="199">
        <v>1</v>
      </c>
      <c r="G407" s="199">
        <v>320</v>
      </c>
    </row>
    <row r="408" spans="2:7" hidden="1">
      <c r="B408" s="199" t="str">
        <f>Factor_1[[#This Row],[Conocimientos]]&amp;" "&amp;Factor_1[[#This Row],[Tendencia]]&amp;" "&amp;Factor_1[[#This Row],[Habilidad Gerencial]]&amp;" "&amp;Factor_1[[#This Row],[Rol del Cargo]]</f>
        <v>E + VI 2</v>
      </c>
      <c r="C408" s="199" t="s">
        <v>155</v>
      </c>
      <c r="D408" s="199" t="s">
        <v>117</v>
      </c>
      <c r="E408" s="199" t="s">
        <v>171</v>
      </c>
      <c r="F408" s="199">
        <v>2</v>
      </c>
      <c r="G408" s="199">
        <v>343</v>
      </c>
    </row>
    <row r="409" spans="2:7" hidden="1">
      <c r="B409" s="199" t="str">
        <f>Factor_1[[#This Row],[Conocimientos]]&amp;" "&amp;Factor_1[[#This Row],[Tendencia]]&amp;" "&amp;Factor_1[[#This Row],[Habilidad Gerencial]]&amp;" "&amp;Factor_1[[#This Row],[Rol del Cargo]]</f>
        <v>E + VI 3</v>
      </c>
      <c r="C409" s="199" t="s">
        <v>155</v>
      </c>
      <c r="D409" s="199" t="s">
        <v>117</v>
      </c>
      <c r="E409" s="199" t="s">
        <v>171</v>
      </c>
      <c r="F409" s="199">
        <v>3</v>
      </c>
      <c r="G409" s="199">
        <v>371</v>
      </c>
    </row>
    <row r="410" spans="2:7" hidden="1">
      <c r="B410" s="199" t="str">
        <f>Factor_1[[#This Row],[Conocimientos]]&amp;" "&amp;Factor_1[[#This Row],[Tendencia]]&amp;" "&amp;Factor_1[[#This Row],[Habilidad Gerencial]]&amp;" "&amp;Factor_1[[#This Row],[Rol del Cargo]]</f>
        <v>E + VI 4</v>
      </c>
      <c r="C410" s="199" t="s">
        <v>155</v>
      </c>
      <c r="D410" s="199" t="s">
        <v>117</v>
      </c>
      <c r="E410" s="199" t="s">
        <v>171</v>
      </c>
      <c r="F410" s="199">
        <v>4</v>
      </c>
      <c r="G410" s="199">
        <v>403</v>
      </c>
    </row>
    <row r="411" spans="2:7" hidden="1">
      <c r="B411" s="199" t="str">
        <f>Factor_1[[#This Row],[Conocimientos]]&amp;" "&amp;Factor_1[[#This Row],[Tendencia]]&amp;" "&amp;Factor_1[[#This Row],[Habilidad Gerencial]]&amp;" "&amp;Factor_1[[#This Row],[Rol del Cargo]]</f>
        <v>E - VII 1</v>
      </c>
      <c r="C411" s="199" t="s">
        <v>155</v>
      </c>
      <c r="D411" s="199" t="s">
        <v>78</v>
      </c>
      <c r="E411" s="199" t="s">
        <v>179</v>
      </c>
      <c r="F411" s="199">
        <v>1</v>
      </c>
      <c r="G411" s="199">
        <v>353</v>
      </c>
    </row>
    <row r="412" spans="2:7" hidden="1">
      <c r="B412" s="199" t="str">
        <f>Factor_1[[#This Row],[Conocimientos]]&amp;" "&amp;Factor_1[[#This Row],[Tendencia]]&amp;" "&amp;Factor_1[[#This Row],[Habilidad Gerencial]]&amp;" "&amp;Factor_1[[#This Row],[Rol del Cargo]]</f>
        <v>E - VII 2</v>
      </c>
      <c r="C412" s="199" t="s">
        <v>155</v>
      </c>
      <c r="D412" s="199" t="s">
        <v>78</v>
      </c>
      <c r="E412" s="199" t="s">
        <v>179</v>
      </c>
      <c r="F412" s="199">
        <v>2</v>
      </c>
      <c r="G412" s="199">
        <v>391</v>
      </c>
    </row>
    <row r="413" spans="2:7" hidden="1">
      <c r="B413" s="199" t="str">
        <f>Factor_1[[#This Row],[Conocimientos]]&amp;" "&amp;Factor_1[[#This Row],[Tendencia]]&amp;" "&amp;Factor_1[[#This Row],[Habilidad Gerencial]]&amp;" "&amp;Factor_1[[#This Row],[Rol del Cargo]]</f>
        <v>E - VII 3</v>
      </c>
      <c r="C413" s="199" t="s">
        <v>155</v>
      </c>
      <c r="D413" s="199" t="s">
        <v>78</v>
      </c>
      <c r="E413" s="199" t="s">
        <v>179</v>
      </c>
      <c r="F413" s="199">
        <v>3</v>
      </c>
      <c r="G413" s="199">
        <v>434</v>
      </c>
    </row>
    <row r="414" spans="2:7" hidden="1">
      <c r="B414" s="199" t="str">
        <f>Factor_1[[#This Row],[Conocimientos]]&amp;" "&amp;Factor_1[[#This Row],[Tendencia]]&amp;" "&amp;Factor_1[[#This Row],[Habilidad Gerencial]]&amp;" "&amp;Factor_1[[#This Row],[Rol del Cargo]]</f>
        <v>E - VII 4</v>
      </c>
      <c r="C414" s="199" t="s">
        <v>155</v>
      </c>
      <c r="D414" s="199" t="s">
        <v>78</v>
      </c>
      <c r="E414" s="199" t="s">
        <v>179</v>
      </c>
      <c r="F414" s="199">
        <v>4</v>
      </c>
      <c r="G414" s="199">
        <v>486</v>
      </c>
    </row>
    <row r="415" spans="2:7" hidden="1">
      <c r="B415" s="199" t="str">
        <f>Factor_1[[#This Row],[Conocimientos]]&amp;" "&amp;Factor_1[[#This Row],[Tendencia]]&amp;" "&amp;Factor_1[[#This Row],[Habilidad Gerencial]]&amp;" "&amp;Factor_1[[#This Row],[Rol del Cargo]]</f>
        <v>E o VII 1</v>
      </c>
      <c r="C415" s="199" t="s">
        <v>155</v>
      </c>
      <c r="D415" s="199" t="s">
        <v>97</v>
      </c>
      <c r="E415" s="199" t="s">
        <v>179</v>
      </c>
      <c r="F415" s="199">
        <v>1</v>
      </c>
      <c r="G415" s="199">
        <v>376</v>
      </c>
    </row>
    <row r="416" spans="2:7" hidden="1">
      <c r="B416" s="199" t="str">
        <f>Factor_1[[#This Row],[Conocimientos]]&amp;" "&amp;Factor_1[[#This Row],[Tendencia]]&amp;" "&amp;Factor_1[[#This Row],[Habilidad Gerencial]]&amp;" "&amp;Factor_1[[#This Row],[Rol del Cargo]]</f>
        <v>E o VII 2</v>
      </c>
      <c r="C416" s="199" t="s">
        <v>155</v>
      </c>
      <c r="D416" s="199" t="s">
        <v>97</v>
      </c>
      <c r="E416" s="199" t="s">
        <v>179</v>
      </c>
      <c r="F416" s="199">
        <v>2</v>
      </c>
      <c r="G416" s="199">
        <v>413</v>
      </c>
    </row>
    <row r="417" spans="2:7" hidden="1">
      <c r="B417" s="199" t="str">
        <f>Factor_1[[#This Row],[Conocimientos]]&amp;" "&amp;Factor_1[[#This Row],[Tendencia]]&amp;" "&amp;Factor_1[[#This Row],[Habilidad Gerencial]]&amp;" "&amp;Factor_1[[#This Row],[Rol del Cargo]]</f>
        <v>E o VII 3</v>
      </c>
      <c r="C417" s="199" t="s">
        <v>155</v>
      </c>
      <c r="D417" s="199" t="s">
        <v>97</v>
      </c>
      <c r="E417" s="199" t="s">
        <v>179</v>
      </c>
      <c r="F417" s="199">
        <v>3</v>
      </c>
      <c r="G417" s="199">
        <v>457</v>
      </c>
    </row>
    <row r="418" spans="2:7" hidden="1">
      <c r="B418" s="199" t="str">
        <f>Factor_1[[#This Row],[Conocimientos]]&amp;" "&amp;Factor_1[[#This Row],[Tendencia]]&amp;" "&amp;Factor_1[[#This Row],[Habilidad Gerencial]]&amp;" "&amp;Factor_1[[#This Row],[Rol del Cargo]]</f>
        <v>E o VII 4</v>
      </c>
      <c r="C418" s="199" t="s">
        <v>155</v>
      </c>
      <c r="D418" s="199" t="s">
        <v>97</v>
      </c>
      <c r="E418" s="199" t="s">
        <v>179</v>
      </c>
      <c r="F418" s="199">
        <v>4</v>
      </c>
      <c r="G418" s="199">
        <v>508</v>
      </c>
    </row>
    <row r="419" spans="2:7" hidden="1">
      <c r="B419" s="199" t="str">
        <f>Factor_1[[#This Row],[Conocimientos]]&amp;" "&amp;Factor_1[[#This Row],[Tendencia]]&amp;" "&amp;Factor_1[[#This Row],[Habilidad Gerencial]]&amp;" "&amp;Factor_1[[#This Row],[Rol del Cargo]]</f>
        <v>E + VII 1</v>
      </c>
      <c r="C419" s="199" t="s">
        <v>155</v>
      </c>
      <c r="D419" s="199" t="s">
        <v>117</v>
      </c>
      <c r="E419" s="199" t="s">
        <v>179</v>
      </c>
      <c r="F419" s="199">
        <v>1</v>
      </c>
      <c r="G419" s="199">
        <v>403</v>
      </c>
    </row>
    <row r="420" spans="2:7" hidden="1">
      <c r="B420" s="199" t="str">
        <f>Factor_1[[#This Row],[Conocimientos]]&amp;" "&amp;Factor_1[[#This Row],[Tendencia]]&amp;" "&amp;Factor_1[[#This Row],[Habilidad Gerencial]]&amp;" "&amp;Factor_1[[#This Row],[Rol del Cargo]]</f>
        <v>E + VII 2</v>
      </c>
      <c r="C420" s="199" t="s">
        <v>155</v>
      </c>
      <c r="D420" s="199" t="s">
        <v>117</v>
      </c>
      <c r="E420" s="199" t="s">
        <v>179</v>
      </c>
      <c r="F420" s="199">
        <v>2</v>
      </c>
      <c r="G420" s="199">
        <v>440</v>
      </c>
    </row>
    <row r="421" spans="2:7" hidden="1">
      <c r="B421" s="199" t="str">
        <f>Factor_1[[#This Row],[Conocimientos]]&amp;" "&amp;Factor_1[[#This Row],[Tendencia]]&amp;" "&amp;Factor_1[[#This Row],[Habilidad Gerencial]]&amp;" "&amp;Factor_1[[#This Row],[Rol del Cargo]]</f>
        <v>E + VII 3</v>
      </c>
      <c r="C421" s="199" t="s">
        <v>155</v>
      </c>
      <c r="D421" s="199" t="s">
        <v>117</v>
      </c>
      <c r="E421" s="199" t="s">
        <v>179</v>
      </c>
      <c r="F421" s="199">
        <v>3</v>
      </c>
      <c r="G421" s="199">
        <v>484</v>
      </c>
    </row>
    <row r="422" spans="2:7" hidden="1">
      <c r="B422" s="199" t="str">
        <f>Factor_1[[#This Row],[Conocimientos]]&amp;" "&amp;Factor_1[[#This Row],[Tendencia]]&amp;" "&amp;Factor_1[[#This Row],[Habilidad Gerencial]]&amp;" "&amp;Factor_1[[#This Row],[Rol del Cargo]]</f>
        <v>E + VII 4</v>
      </c>
      <c r="C422" s="199" t="s">
        <v>155</v>
      </c>
      <c r="D422" s="199" t="s">
        <v>117</v>
      </c>
      <c r="E422" s="199" t="s">
        <v>179</v>
      </c>
      <c r="F422" s="199">
        <v>4</v>
      </c>
      <c r="G422" s="199">
        <v>535</v>
      </c>
    </row>
    <row r="423" spans="2:7" hidden="1">
      <c r="B423" s="199" t="str">
        <f>Factor_1[[#This Row],[Conocimientos]]&amp;" "&amp;Factor_1[[#This Row],[Tendencia]]&amp;" "&amp;Factor_1[[#This Row],[Habilidad Gerencial]]&amp;" "&amp;Factor_1[[#This Row],[Rol del Cargo]]</f>
        <v>F - I 1</v>
      </c>
      <c r="C423" s="199" t="s">
        <v>169</v>
      </c>
      <c r="D423" s="199" t="s">
        <v>78</v>
      </c>
      <c r="E423" s="199" t="s">
        <v>81</v>
      </c>
      <c r="F423" s="199">
        <v>1</v>
      </c>
      <c r="G423" s="199">
        <v>183</v>
      </c>
    </row>
    <row r="424" spans="2:7" hidden="1">
      <c r="B424" s="199" t="str">
        <f>Factor_1[[#This Row],[Conocimientos]]&amp;" "&amp;Factor_1[[#This Row],[Tendencia]]&amp;" "&amp;Factor_1[[#This Row],[Habilidad Gerencial]]&amp;" "&amp;Factor_1[[#This Row],[Rol del Cargo]]</f>
        <v>F - I 2</v>
      </c>
      <c r="C424" s="199" t="s">
        <v>169</v>
      </c>
      <c r="D424" s="199" t="s">
        <v>78</v>
      </c>
      <c r="E424" s="199" t="s">
        <v>81</v>
      </c>
      <c r="F424" s="199">
        <v>2</v>
      </c>
      <c r="G424" s="199">
        <v>188</v>
      </c>
    </row>
    <row r="425" spans="2:7" hidden="1">
      <c r="B425" s="199" t="str">
        <f>Factor_1[[#This Row],[Conocimientos]]&amp;" "&amp;Factor_1[[#This Row],[Tendencia]]&amp;" "&amp;Factor_1[[#This Row],[Habilidad Gerencial]]&amp;" "&amp;Factor_1[[#This Row],[Rol del Cargo]]</f>
        <v>F - I 3</v>
      </c>
      <c r="C425" s="199" t="s">
        <v>169</v>
      </c>
      <c r="D425" s="199" t="s">
        <v>78</v>
      </c>
      <c r="E425" s="199" t="s">
        <v>81</v>
      </c>
      <c r="F425" s="199">
        <v>3</v>
      </c>
      <c r="G425" s="199">
        <v>197</v>
      </c>
    </row>
    <row r="426" spans="2:7" hidden="1">
      <c r="B426" s="199" t="str">
        <f>Factor_1[[#This Row],[Conocimientos]]&amp;" "&amp;Factor_1[[#This Row],[Tendencia]]&amp;" "&amp;Factor_1[[#This Row],[Habilidad Gerencial]]&amp;" "&amp;Factor_1[[#This Row],[Rol del Cargo]]</f>
        <v>F - I 4</v>
      </c>
      <c r="C426" s="199" t="s">
        <v>169</v>
      </c>
      <c r="D426" s="199" t="s">
        <v>78</v>
      </c>
      <c r="E426" s="199" t="s">
        <v>81</v>
      </c>
      <c r="F426" s="199">
        <v>4</v>
      </c>
      <c r="G426" s="199">
        <v>204</v>
      </c>
    </row>
    <row r="427" spans="2:7" hidden="1">
      <c r="B427" s="199" t="str">
        <f>Factor_1[[#This Row],[Conocimientos]]&amp;" "&amp;Factor_1[[#This Row],[Tendencia]]&amp;" "&amp;Factor_1[[#This Row],[Habilidad Gerencial]]&amp;" "&amp;Factor_1[[#This Row],[Rol del Cargo]]</f>
        <v>F o I 1</v>
      </c>
      <c r="C427" s="199" t="s">
        <v>169</v>
      </c>
      <c r="D427" s="199" t="s">
        <v>97</v>
      </c>
      <c r="E427" s="199" t="s">
        <v>81</v>
      </c>
      <c r="F427" s="199">
        <v>1</v>
      </c>
      <c r="G427" s="199">
        <v>214</v>
      </c>
    </row>
    <row r="428" spans="2:7" hidden="1">
      <c r="B428" s="199" t="str">
        <f>Factor_1[[#This Row],[Conocimientos]]&amp;" "&amp;Factor_1[[#This Row],[Tendencia]]&amp;" "&amp;Factor_1[[#This Row],[Habilidad Gerencial]]&amp;" "&amp;Factor_1[[#This Row],[Rol del Cargo]]</f>
        <v>F o I 2</v>
      </c>
      <c r="C428" s="199" t="s">
        <v>169</v>
      </c>
      <c r="D428" s="199" t="s">
        <v>97</v>
      </c>
      <c r="E428" s="199" t="s">
        <v>81</v>
      </c>
      <c r="F428" s="199">
        <v>2</v>
      </c>
      <c r="G428" s="199">
        <v>219</v>
      </c>
    </row>
    <row r="429" spans="2:7" hidden="1">
      <c r="B429" s="199" t="str">
        <f>Factor_1[[#This Row],[Conocimientos]]&amp;" "&amp;Factor_1[[#This Row],[Tendencia]]&amp;" "&amp;Factor_1[[#This Row],[Habilidad Gerencial]]&amp;" "&amp;Factor_1[[#This Row],[Rol del Cargo]]</f>
        <v>F o I 3</v>
      </c>
      <c r="C429" s="199" t="s">
        <v>169</v>
      </c>
      <c r="D429" s="199" t="s">
        <v>97</v>
      </c>
      <c r="E429" s="199" t="s">
        <v>81</v>
      </c>
      <c r="F429" s="199">
        <v>3</v>
      </c>
      <c r="G429" s="199">
        <v>228</v>
      </c>
    </row>
    <row r="430" spans="2:7" hidden="1">
      <c r="B430" s="199" t="str">
        <f>Factor_1[[#This Row],[Conocimientos]]&amp;" "&amp;Factor_1[[#This Row],[Tendencia]]&amp;" "&amp;Factor_1[[#This Row],[Habilidad Gerencial]]&amp;" "&amp;Factor_1[[#This Row],[Rol del Cargo]]</f>
        <v>F o I 4</v>
      </c>
      <c r="C430" s="199" t="s">
        <v>169</v>
      </c>
      <c r="D430" s="199" t="s">
        <v>97</v>
      </c>
      <c r="E430" s="199" t="s">
        <v>81</v>
      </c>
      <c r="F430" s="199">
        <v>4</v>
      </c>
      <c r="G430" s="199">
        <v>235</v>
      </c>
    </row>
    <row r="431" spans="2:7" hidden="1">
      <c r="B431" s="199" t="str">
        <f>Factor_1[[#This Row],[Conocimientos]]&amp;" "&amp;Factor_1[[#This Row],[Tendencia]]&amp;" "&amp;Factor_1[[#This Row],[Habilidad Gerencial]]&amp;" "&amp;Factor_1[[#This Row],[Rol del Cargo]]</f>
        <v>F + I 1</v>
      </c>
      <c r="C431" s="199" t="s">
        <v>169</v>
      </c>
      <c r="D431" s="199" t="s">
        <v>117</v>
      </c>
      <c r="E431" s="199" t="s">
        <v>81</v>
      </c>
      <c r="F431" s="199">
        <v>1</v>
      </c>
      <c r="G431" s="199">
        <v>251</v>
      </c>
    </row>
    <row r="432" spans="2:7" hidden="1">
      <c r="B432" s="199" t="str">
        <f>Factor_1[[#This Row],[Conocimientos]]&amp;" "&amp;Factor_1[[#This Row],[Tendencia]]&amp;" "&amp;Factor_1[[#This Row],[Habilidad Gerencial]]&amp;" "&amp;Factor_1[[#This Row],[Rol del Cargo]]</f>
        <v>F + I 2</v>
      </c>
      <c r="C432" s="199" t="s">
        <v>169</v>
      </c>
      <c r="D432" s="199" t="s">
        <v>117</v>
      </c>
      <c r="E432" s="199" t="s">
        <v>81</v>
      </c>
      <c r="F432" s="199">
        <v>2</v>
      </c>
      <c r="G432" s="199">
        <v>256</v>
      </c>
    </row>
    <row r="433" spans="2:7" hidden="1">
      <c r="B433" s="199" t="str">
        <f>Factor_1[[#This Row],[Conocimientos]]&amp;" "&amp;Factor_1[[#This Row],[Tendencia]]&amp;" "&amp;Factor_1[[#This Row],[Habilidad Gerencial]]&amp;" "&amp;Factor_1[[#This Row],[Rol del Cargo]]</f>
        <v>F + I 3</v>
      </c>
      <c r="C433" s="199" t="s">
        <v>169</v>
      </c>
      <c r="D433" s="199" t="s">
        <v>117</v>
      </c>
      <c r="E433" s="199" t="s">
        <v>81</v>
      </c>
      <c r="F433" s="199">
        <v>3</v>
      </c>
      <c r="G433" s="199">
        <v>264</v>
      </c>
    </row>
    <row r="434" spans="2:7" hidden="1">
      <c r="B434" s="199" t="str">
        <f>Factor_1[[#This Row],[Conocimientos]]&amp;" "&amp;Factor_1[[#This Row],[Tendencia]]&amp;" "&amp;Factor_1[[#This Row],[Habilidad Gerencial]]&amp;" "&amp;Factor_1[[#This Row],[Rol del Cargo]]</f>
        <v>F + I 4</v>
      </c>
      <c r="C434" s="199" t="s">
        <v>169</v>
      </c>
      <c r="D434" s="199" t="s">
        <v>117</v>
      </c>
      <c r="E434" s="199" t="s">
        <v>81</v>
      </c>
      <c r="F434" s="199">
        <v>4</v>
      </c>
      <c r="G434" s="199">
        <v>271</v>
      </c>
    </row>
    <row r="435" spans="2:7" hidden="1">
      <c r="B435" s="199" t="str">
        <f>Factor_1[[#This Row],[Conocimientos]]&amp;" "&amp;Factor_1[[#This Row],[Tendencia]]&amp;" "&amp;Factor_1[[#This Row],[Habilidad Gerencial]]&amp;" "&amp;Factor_1[[#This Row],[Rol del Cargo]]</f>
        <v>F - II 1</v>
      </c>
      <c r="C435" s="199" t="s">
        <v>169</v>
      </c>
      <c r="D435" s="199" t="s">
        <v>78</v>
      </c>
      <c r="E435" s="199" t="s">
        <v>100</v>
      </c>
      <c r="F435" s="199">
        <v>1</v>
      </c>
      <c r="G435" s="199">
        <v>204</v>
      </c>
    </row>
    <row r="436" spans="2:7" hidden="1">
      <c r="B436" s="199" t="str">
        <f>Factor_1[[#This Row],[Conocimientos]]&amp;" "&amp;Factor_1[[#This Row],[Tendencia]]&amp;" "&amp;Factor_1[[#This Row],[Habilidad Gerencial]]&amp;" "&amp;Factor_1[[#This Row],[Rol del Cargo]]</f>
        <v>F - II 2</v>
      </c>
      <c r="C436" s="199" t="s">
        <v>169</v>
      </c>
      <c r="D436" s="199" t="s">
        <v>78</v>
      </c>
      <c r="E436" s="199" t="s">
        <v>100</v>
      </c>
      <c r="F436" s="199">
        <v>2</v>
      </c>
      <c r="G436" s="199">
        <v>207</v>
      </c>
    </row>
    <row r="437" spans="2:7" hidden="1">
      <c r="B437" s="199" t="str">
        <f>Factor_1[[#This Row],[Conocimientos]]&amp;" "&amp;Factor_1[[#This Row],[Tendencia]]&amp;" "&amp;Factor_1[[#This Row],[Habilidad Gerencial]]&amp;" "&amp;Factor_1[[#This Row],[Rol del Cargo]]</f>
        <v>F - II 3</v>
      </c>
      <c r="C437" s="199" t="s">
        <v>169</v>
      </c>
      <c r="D437" s="199" t="s">
        <v>78</v>
      </c>
      <c r="E437" s="199" t="s">
        <v>100</v>
      </c>
      <c r="F437" s="199">
        <v>3</v>
      </c>
      <c r="G437" s="199">
        <v>211</v>
      </c>
    </row>
    <row r="438" spans="2:7" hidden="1">
      <c r="B438" s="199" t="str">
        <f>Factor_1[[#This Row],[Conocimientos]]&amp;" "&amp;Factor_1[[#This Row],[Tendencia]]&amp;" "&amp;Factor_1[[#This Row],[Habilidad Gerencial]]&amp;" "&amp;Factor_1[[#This Row],[Rol del Cargo]]</f>
        <v>F - II 4</v>
      </c>
      <c r="C438" s="199" t="s">
        <v>169</v>
      </c>
      <c r="D438" s="199" t="s">
        <v>78</v>
      </c>
      <c r="E438" s="199" t="s">
        <v>100</v>
      </c>
      <c r="F438" s="199">
        <v>4</v>
      </c>
      <c r="G438" s="199">
        <v>216</v>
      </c>
    </row>
    <row r="439" spans="2:7" hidden="1">
      <c r="B439" s="199" t="str">
        <f>Factor_1[[#This Row],[Conocimientos]]&amp;" "&amp;Factor_1[[#This Row],[Tendencia]]&amp;" "&amp;Factor_1[[#This Row],[Habilidad Gerencial]]&amp;" "&amp;Factor_1[[#This Row],[Rol del Cargo]]</f>
        <v>F o II 1</v>
      </c>
      <c r="C439" s="199" t="s">
        <v>169</v>
      </c>
      <c r="D439" s="199" t="s">
        <v>97</v>
      </c>
      <c r="E439" s="199" t="s">
        <v>100</v>
      </c>
      <c r="F439" s="199">
        <v>1</v>
      </c>
      <c r="G439" s="199">
        <v>235</v>
      </c>
    </row>
    <row r="440" spans="2:7" hidden="1">
      <c r="B440" s="199" t="str">
        <f>Factor_1[[#This Row],[Conocimientos]]&amp;" "&amp;Factor_1[[#This Row],[Tendencia]]&amp;" "&amp;Factor_1[[#This Row],[Habilidad Gerencial]]&amp;" "&amp;Factor_1[[#This Row],[Rol del Cargo]]</f>
        <v>F o II 2</v>
      </c>
      <c r="C440" s="199" t="s">
        <v>169</v>
      </c>
      <c r="D440" s="199" t="s">
        <v>97</v>
      </c>
      <c r="E440" s="199" t="s">
        <v>100</v>
      </c>
      <c r="F440" s="199">
        <v>2</v>
      </c>
      <c r="G440" s="199">
        <v>238</v>
      </c>
    </row>
    <row r="441" spans="2:7" hidden="1">
      <c r="B441" s="199" t="str">
        <f>Factor_1[[#This Row],[Conocimientos]]&amp;" "&amp;Factor_1[[#This Row],[Tendencia]]&amp;" "&amp;Factor_1[[#This Row],[Habilidad Gerencial]]&amp;" "&amp;Factor_1[[#This Row],[Rol del Cargo]]</f>
        <v>F o II 3</v>
      </c>
      <c r="C441" s="199" t="s">
        <v>169</v>
      </c>
      <c r="D441" s="199" t="s">
        <v>97</v>
      </c>
      <c r="E441" s="199" t="s">
        <v>100</v>
      </c>
      <c r="F441" s="199">
        <v>3</v>
      </c>
      <c r="G441" s="199">
        <v>242</v>
      </c>
    </row>
    <row r="442" spans="2:7" hidden="1">
      <c r="B442" s="199" t="str">
        <f>Factor_1[[#This Row],[Conocimientos]]&amp;" "&amp;Factor_1[[#This Row],[Tendencia]]&amp;" "&amp;Factor_1[[#This Row],[Habilidad Gerencial]]&amp;" "&amp;Factor_1[[#This Row],[Rol del Cargo]]</f>
        <v>F o II 4</v>
      </c>
      <c r="C442" s="199" t="s">
        <v>169</v>
      </c>
      <c r="D442" s="199" t="s">
        <v>97</v>
      </c>
      <c r="E442" s="199" t="s">
        <v>100</v>
      </c>
      <c r="F442" s="199">
        <v>4</v>
      </c>
      <c r="G442" s="199">
        <v>247</v>
      </c>
    </row>
    <row r="443" spans="2:7" hidden="1">
      <c r="B443" s="199" t="str">
        <f>Factor_1[[#This Row],[Conocimientos]]&amp;" "&amp;Factor_1[[#This Row],[Tendencia]]&amp;" "&amp;Factor_1[[#This Row],[Habilidad Gerencial]]&amp;" "&amp;Factor_1[[#This Row],[Rol del Cargo]]</f>
        <v>F + II 1</v>
      </c>
      <c r="C443" s="199" t="s">
        <v>169</v>
      </c>
      <c r="D443" s="199" t="s">
        <v>117</v>
      </c>
      <c r="E443" s="199" t="s">
        <v>100</v>
      </c>
      <c r="F443" s="199">
        <v>1</v>
      </c>
      <c r="G443" s="199">
        <v>271</v>
      </c>
    </row>
    <row r="444" spans="2:7" hidden="1">
      <c r="B444" s="199" t="str">
        <f>Factor_1[[#This Row],[Conocimientos]]&amp;" "&amp;Factor_1[[#This Row],[Tendencia]]&amp;" "&amp;Factor_1[[#This Row],[Habilidad Gerencial]]&amp;" "&amp;Factor_1[[#This Row],[Rol del Cargo]]</f>
        <v>F + II 2</v>
      </c>
      <c r="C444" s="199" t="s">
        <v>169</v>
      </c>
      <c r="D444" s="199" t="s">
        <v>117</v>
      </c>
      <c r="E444" s="199" t="s">
        <v>100</v>
      </c>
      <c r="F444" s="199">
        <v>2</v>
      </c>
      <c r="G444" s="199">
        <v>275</v>
      </c>
    </row>
    <row r="445" spans="2:7" hidden="1">
      <c r="B445" s="199" t="str">
        <f>Factor_1[[#This Row],[Conocimientos]]&amp;" "&amp;Factor_1[[#This Row],[Tendencia]]&amp;" "&amp;Factor_1[[#This Row],[Habilidad Gerencial]]&amp;" "&amp;Factor_1[[#This Row],[Rol del Cargo]]</f>
        <v>F + II 3</v>
      </c>
      <c r="C445" s="199" t="s">
        <v>169</v>
      </c>
      <c r="D445" s="199" t="s">
        <v>117</v>
      </c>
      <c r="E445" s="199" t="s">
        <v>100</v>
      </c>
      <c r="F445" s="199">
        <v>3</v>
      </c>
      <c r="G445" s="199">
        <v>279</v>
      </c>
    </row>
    <row r="446" spans="2:7" hidden="1">
      <c r="B446" s="199" t="str">
        <f>Factor_1[[#This Row],[Conocimientos]]&amp;" "&amp;Factor_1[[#This Row],[Tendencia]]&amp;" "&amp;Factor_1[[#This Row],[Habilidad Gerencial]]&amp;" "&amp;Factor_1[[#This Row],[Rol del Cargo]]</f>
        <v>F + II 4</v>
      </c>
      <c r="C446" s="199" t="s">
        <v>169</v>
      </c>
      <c r="D446" s="199" t="s">
        <v>117</v>
      </c>
      <c r="E446" s="199" t="s">
        <v>100</v>
      </c>
      <c r="F446" s="199">
        <v>4</v>
      </c>
      <c r="G446" s="199">
        <v>284</v>
      </c>
    </row>
    <row r="447" spans="2:7" hidden="1">
      <c r="B447" s="199" t="str">
        <f>Factor_1[[#This Row],[Conocimientos]]&amp;" "&amp;Factor_1[[#This Row],[Tendencia]]&amp;" "&amp;Factor_1[[#This Row],[Habilidad Gerencial]]&amp;" "&amp;Factor_1[[#This Row],[Rol del Cargo]]</f>
        <v>F - III 1</v>
      </c>
      <c r="C447" s="199" t="s">
        <v>169</v>
      </c>
      <c r="D447" s="199" t="s">
        <v>78</v>
      </c>
      <c r="E447" s="199" t="s">
        <v>120</v>
      </c>
      <c r="F447" s="199">
        <v>1</v>
      </c>
      <c r="G447" s="199">
        <v>216</v>
      </c>
    </row>
    <row r="448" spans="2:7" hidden="1">
      <c r="B448" s="199" t="str">
        <f>Factor_1[[#This Row],[Conocimientos]]&amp;" "&amp;Factor_1[[#This Row],[Tendencia]]&amp;" "&amp;Factor_1[[#This Row],[Habilidad Gerencial]]&amp;" "&amp;Factor_1[[#This Row],[Rol del Cargo]]</f>
        <v>F - III 2</v>
      </c>
      <c r="C448" s="199" t="s">
        <v>169</v>
      </c>
      <c r="D448" s="199" t="s">
        <v>78</v>
      </c>
      <c r="E448" s="199" t="s">
        <v>120</v>
      </c>
      <c r="F448" s="199">
        <v>2</v>
      </c>
      <c r="G448" s="199">
        <v>222</v>
      </c>
    </row>
    <row r="449" spans="2:7" hidden="1">
      <c r="B449" s="199" t="str">
        <f>Factor_1[[#This Row],[Conocimientos]]&amp;" "&amp;Factor_1[[#This Row],[Tendencia]]&amp;" "&amp;Factor_1[[#This Row],[Habilidad Gerencial]]&amp;" "&amp;Factor_1[[#This Row],[Rol del Cargo]]</f>
        <v>F - III 3</v>
      </c>
      <c r="C449" s="199" t="s">
        <v>169</v>
      </c>
      <c r="D449" s="199" t="s">
        <v>78</v>
      </c>
      <c r="E449" s="199" t="s">
        <v>120</v>
      </c>
      <c r="F449" s="199">
        <v>3</v>
      </c>
      <c r="G449" s="199">
        <v>228</v>
      </c>
    </row>
    <row r="450" spans="2:7" hidden="1">
      <c r="B450" s="199" t="str">
        <f>Factor_1[[#This Row],[Conocimientos]]&amp;" "&amp;Factor_1[[#This Row],[Tendencia]]&amp;" "&amp;Factor_1[[#This Row],[Habilidad Gerencial]]&amp;" "&amp;Factor_1[[#This Row],[Rol del Cargo]]</f>
        <v>F - III 4</v>
      </c>
      <c r="C450" s="199" t="s">
        <v>169</v>
      </c>
      <c r="D450" s="199" t="s">
        <v>78</v>
      </c>
      <c r="E450" s="199" t="s">
        <v>120</v>
      </c>
      <c r="F450" s="199">
        <v>4</v>
      </c>
      <c r="G450" s="199">
        <v>236</v>
      </c>
    </row>
    <row r="451" spans="2:7" hidden="1">
      <c r="B451" s="199" t="str">
        <f>Factor_1[[#This Row],[Conocimientos]]&amp;" "&amp;Factor_1[[#This Row],[Tendencia]]&amp;" "&amp;Factor_1[[#This Row],[Habilidad Gerencial]]&amp;" "&amp;Factor_1[[#This Row],[Rol del Cargo]]</f>
        <v>F o III 1</v>
      </c>
      <c r="C451" s="199" t="s">
        <v>169</v>
      </c>
      <c r="D451" s="199" t="s">
        <v>97</v>
      </c>
      <c r="E451" s="199" t="s">
        <v>120</v>
      </c>
      <c r="F451" s="199">
        <v>1</v>
      </c>
      <c r="G451" s="199">
        <v>247</v>
      </c>
    </row>
    <row r="452" spans="2:7" hidden="1">
      <c r="B452" s="199" t="str">
        <f>Factor_1[[#This Row],[Conocimientos]]&amp;" "&amp;Factor_1[[#This Row],[Tendencia]]&amp;" "&amp;Factor_1[[#This Row],[Habilidad Gerencial]]&amp;" "&amp;Factor_1[[#This Row],[Rol del Cargo]]</f>
        <v>F o III 2</v>
      </c>
      <c r="C452" s="199" t="s">
        <v>169</v>
      </c>
      <c r="D452" s="199" t="s">
        <v>97</v>
      </c>
      <c r="E452" s="199" t="s">
        <v>120</v>
      </c>
      <c r="F452" s="199">
        <v>2</v>
      </c>
      <c r="G452" s="199">
        <v>253</v>
      </c>
    </row>
    <row r="453" spans="2:7" hidden="1">
      <c r="B453" s="199" t="str">
        <f>Factor_1[[#This Row],[Conocimientos]]&amp;" "&amp;Factor_1[[#This Row],[Tendencia]]&amp;" "&amp;Factor_1[[#This Row],[Habilidad Gerencial]]&amp;" "&amp;Factor_1[[#This Row],[Rol del Cargo]]</f>
        <v>F o III 3</v>
      </c>
      <c r="C453" s="199" t="s">
        <v>169</v>
      </c>
      <c r="D453" s="199" t="s">
        <v>97</v>
      </c>
      <c r="E453" s="199" t="s">
        <v>120</v>
      </c>
      <c r="F453" s="199">
        <v>3</v>
      </c>
      <c r="G453" s="199">
        <v>259</v>
      </c>
    </row>
    <row r="454" spans="2:7" hidden="1">
      <c r="B454" s="199" t="str">
        <f>Factor_1[[#This Row],[Conocimientos]]&amp;" "&amp;Factor_1[[#This Row],[Tendencia]]&amp;" "&amp;Factor_1[[#This Row],[Habilidad Gerencial]]&amp;" "&amp;Factor_1[[#This Row],[Rol del Cargo]]</f>
        <v>F o III 4</v>
      </c>
      <c r="C454" s="199" t="s">
        <v>169</v>
      </c>
      <c r="D454" s="199" t="s">
        <v>97</v>
      </c>
      <c r="E454" s="199" t="s">
        <v>120</v>
      </c>
      <c r="F454" s="199">
        <v>4</v>
      </c>
      <c r="G454" s="199">
        <v>267</v>
      </c>
    </row>
    <row r="455" spans="2:7" hidden="1">
      <c r="B455" s="199" t="str">
        <f>Factor_1[[#This Row],[Conocimientos]]&amp;" "&amp;Factor_1[[#This Row],[Tendencia]]&amp;" "&amp;Factor_1[[#This Row],[Habilidad Gerencial]]&amp;" "&amp;Factor_1[[#This Row],[Rol del Cargo]]</f>
        <v>F + III 1</v>
      </c>
      <c r="C455" s="199" t="s">
        <v>169</v>
      </c>
      <c r="D455" s="199" t="s">
        <v>117</v>
      </c>
      <c r="E455" s="199" t="s">
        <v>120</v>
      </c>
      <c r="F455" s="199">
        <v>1</v>
      </c>
      <c r="G455" s="199">
        <v>284</v>
      </c>
    </row>
    <row r="456" spans="2:7" hidden="1">
      <c r="B456" s="199" t="str">
        <f>Factor_1[[#This Row],[Conocimientos]]&amp;" "&amp;Factor_1[[#This Row],[Tendencia]]&amp;" "&amp;Factor_1[[#This Row],[Habilidad Gerencial]]&amp;" "&amp;Factor_1[[#This Row],[Rol del Cargo]]</f>
        <v>F + III 2</v>
      </c>
      <c r="C456" s="199" t="s">
        <v>169</v>
      </c>
      <c r="D456" s="199" t="s">
        <v>117</v>
      </c>
      <c r="E456" s="199" t="s">
        <v>120</v>
      </c>
      <c r="F456" s="199">
        <v>2</v>
      </c>
      <c r="G456" s="199">
        <v>289</v>
      </c>
    </row>
    <row r="457" spans="2:7" hidden="1">
      <c r="B457" s="199" t="str">
        <f>Factor_1[[#This Row],[Conocimientos]]&amp;" "&amp;Factor_1[[#This Row],[Tendencia]]&amp;" "&amp;Factor_1[[#This Row],[Habilidad Gerencial]]&amp;" "&amp;Factor_1[[#This Row],[Rol del Cargo]]</f>
        <v>F + III 3</v>
      </c>
      <c r="C457" s="199" t="s">
        <v>169</v>
      </c>
      <c r="D457" s="199" t="s">
        <v>117</v>
      </c>
      <c r="E457" s="199" t="s">
        <v>120</v>
      </c>
      <c r="F457" s="199">
        <v>3</v>
      </c>
      <c r="G457" s="199">
        <v>296</v>
      </c>
    </row>
    <row r="458" spans="2:7" hidden="1">
      <c r="B458" s="199" t="str">
        <f>Factor_1[[#This Row],[Conocimientos]]&amp;" "&amp;Factor_1[[#This Row],[Tendencia]]&amp;" "&amp;Factor_1[[#This Row],[Habilidad Gerencial]]&amp;" "&amp;Factor_1[[#This Row],[Rol del Cargo]]</f>
        <v>F + III 4</v>
      </c>
      <c r="C458" s="199" t="s">
        <v>169</v>
      </c>
      <c r="D458" s="199" t="s">
        <v>117</v>
      </c>
      <c r="E458" s="199" t="s">
        <v>120</v>
      </c>
      <c r="F458" s="199">
        <v>4</v>
      </c>
      <c r="G458" s="199">
        <v>304</v>
      </c>
    </row>
    <row r="459" spans="2:7" hidden="1">
      <c r="B459" s="199" t="str">
        <f>Factor_1[[#This Row],[Conocimientos]]&amp;" "&amp;Factor_1[[#This Row],[Tendencia]]&amp;" "&amp;Factor_1[[#This Row],[Habilidad Gerencial]]&amp;" "&amp;Factor_1[[#This Row],[Rol del Cargo]]</f>
        <v>F - IV 1</v>
      </c>
      <c r="C459" s="199" t="s">
        <v>169</v>
      </c>
      <c r="D459" s="199" t="s">
        <v>78</v>
      </c>
      <c r="E459" s="199" t="s">
        <v>139</v>
      </c>
      <c r="F459" s="199">
        <v>1</v>
      </c>
      <c r="G459" s="199">
        <v>236</v>
      </c>
    </row>
    <row r="460" spans="2:7" hidden="1">
      <c r="B460" s="199" t="str">
        <f>Factor_1[[#This Row],[Conocimientos]]&amp;" "&amp;Factor_1[[#This Row],[Tendencia]]&amp;" "&amp;Factor_1[[#This Row],[Habilidad Gerencial]]&amp;" "&amp;Factor_1[[#This Row],[Rol del Cargo]]</f>
        <v>F - IV 2</v>
      </c>
      <c r="C460" s="199" t="s">
        <v>169</v>
      </c>
      <c r="D460" s="199" t="s">
        <v>78</v>
      </c>
      <c r="E460" s="199" t="s">
        <v>139</v>
      </c>
      <c r="F460" s="199">
        <v>2</v>
      </c>
      <c r="G460" s="199">
        <v>245</v>
      </c>
    </row>
    <row r="461" spans="2:7" hidden="1">
      <c r="B461" s="199" t="str">
        <f>Factor_1[[#This Row],[Conocimientos]]&amp;" "&amp;Factor_1[[#This Row],[Tendencia]]&amp;" "&amp;Factor_1[[#This Row],[Habilidad Gerencial]]&amp;" "&amp;Factor_1[[#This Row],[Rol del Cargo]]</f>
        <v>F - IV 3</v>
      </c>
      <c r="C461" s="199" t="s">
        <v>169</v>
      </c>
      <c r="D461" s="199" t="s">
        <v>78</v>
      </c>
      <c r="E461" s="199" t="s">
        <v>139</v>
      </c>
      <c r="F461" s="199">
        <v>3</v>
      </c>
      <c r="G461" s="199">
        <v>256</v>
      </c>
    </row>
    <row r="462" spans="2:7" hidden="1">
      <c r="B462" s="199" t="str">
        <f>Factor_1[[#This Row],[Conocimientos]]&amp;" "&amp;Factor_1[[#This Row],[Tendencia]]&amp;" "&amp;Factor_1[[#This Row],[Habilidad Gerencial]]&amp;" "&amp;Factor_1[[#This Row],[Rol del Cargo]]</f>
        <v>F - IV 4</v>
      </c>
      <c r="C462" s="199" t="s">
        <v>169</v>
      </c>
      <c r="D462" s="199" t="s">
        <v>78</v>
      </c>
      <c r="E462" s="199" t="s">
        <v>139</v>
      </c>
      <c r="F462" s="199">
        <v>4</v>
      </c>
      <c r="G462" s="199">
        <v>268</v>
      </c>
    </row>
    <row r="463" spans="2:7" hidden="1">
      <c r="B463" s="199" t="str">
        <f>Factor_1[[#This Row],[Conocimientos]]&amp;" "&amp;Factor_1[[#This Row],[Tendencia]]&amp;" "&amp;Factor_1[[#This Row],[Habilidad Gerencial]]&amp;" "&amp;Factor_1[[#This Row],[Rol del Cargo]]</f>
        <v>F o IV 1</v>
      </c>
      <c r="C463" s="199" t="s">
        <v>169</v>
      </c>
      <c r="D463" s="199" t="s">
        <v>97</v>
      </c>
      <c r="E463" s="199" t="s">
        <v>139</v>
      </c>
      <c r="F463" s="199">
        <v>1</v>
      </c>
      <c r="G463" s="199">
        <v>267</v>
      </c>
    </row>
    <row r="464" spans="2:7" hidden="1">
      <c r="B464" s="199" t="str">
        <f>Factor_1[[#This Row],[Conocimientos]]&amp;" "&amp;Factor_1[[#This Row],[Tendencia]]&amp;" "&amp;Factor_1[[#This Row],[Habilidad Gerencial]]&amp;" "&amp;Factor_1[[#This Row],[Rol del Cargo]]</f>
        <v>F o IV 2</v>
      </c>
      <c r="C464" s="199" t="s">
        <v>169</v>
      </c>
      <c r="D464" s="199" t="s">
        <v>97</v>
      </c>
      <c r="E464" s="199" t="s">
        <v>139</v>
      </c>
      <c r="F464" s="199">
        <v>2</v>
      </c>
      <c r="G464" s="199">
        <v>276</v>
      </c>
    </row>
    <row r="465" spans="2:7" hidden="1">
      <c r="B465" s="199" t="str">
        <f>Factor_1[[#This Row],[Conocimientos]]&amp;" "&amp;Factor_1[[#This Row],[Tendencia]]&amp;" "&amp;Factor_1[[#This Row],[Habilidad Gerencial]]&amp;" "&amp;Factor_1[[#This Row],[Rol del Cargo]]</f>
        <v>F o IV 3</v>
      </c>
      <c r="C465" s="199" t="s">
        <v>169</v>
      </c>
      <c r="D465" s="199" t="s">
        <v>97</v>
      </c>
      <c r="E465" s="199" t="s">
        <v>139</v>
      </c>
      <c r="F465" s="199">
        <v>3</v>
      </c>
      <c r="G465" s="199">
        <v>287</v>
      </c>
    </row>
    <row r="466" spans="2:7" hidden="1">
      <c r="B466" s="199" t="str">
        <f>Factor_1[[#This Row],[Conocimientos]]&amp;" "&amp;Factor_1[[#This Row],[Tendencia]]&amp;" "&amp;Factor_1[[#This Row],[Habilidad Gerencial]]&amp;" "&amp;Factor_1[[#This Row],[Rol del Cargo]]</f>
        <v>F o IV 4</v>
      </c>
      <c r="C466" s="199" t="s">
        <v>169</v>
      </c>
      <c r="D466" s="199" t="s">
        <v>97</v>
      </c>
      <c r="E466" s="199" t="s">
        <v>139</v>
      </c>
      <c r="F466" s="199">
        <v>4</v>
      </c>
      <c r="G466" s="199">
        <v>299</v>
      </c>
    </row>
    <row r="467" spans="2:7" hidden="1">
      <c r="B467" s="199" t="str">
        <f>Factor_1[[#This Row],[Conocimientos]]&amp;" "&amp;Factor_1[[#This Row],[Tendencia]]&amp;" "&amp;Factor_1[[#This Row],[Habilidad Gerencial]]&amp;" "&amp;Factor_1[[#This Row],[Rol del Cargo]]</f>
        <v>F + IV 1</v>
      </c>
      <c r="C467" s="199" t="s">
        <v>169</v>
      </c>
      <c r="D467" s="199" t="s">
        <v>117</v>
      </c>
      <c r="E467" s="199" t="s">
        <v>139</v>
      </c>
      <c r="F467" s="199">
        <v>1</v>
      </c>
      <c r="G467" s="199">
        <v>304</v>
      </c>
    </row>
    <row r="468" spans="2:7" hidden="1">
      <c r="B468" s="199" t="str">
        <f>Factor_1[[#This Row],[Conocimientos]]&amp;" "&amp;Factor_1[[#This Row],[Tendencia]]&amp;" "&amp;Factor_1[[#This Row],[Habilidad Gerencial]]&amp;" "&amp;Factor_1[[#This Row],[Rol del Cargo]]</f>
        <v>F + IV 2</v>
      </c>
      <c r="C468" s="199" t="s">
        <v>169</v>
      </c>
      <c r="D468" s="199" t="s">
        <v>117</v>
      </c>
      <c r="E468" s="199" t="s">
        <v>139</v>
      </c>
      <c r="F468" s="199">
        <v>2</v>
      </c>
      <c r="G468" s="199">
        <v>313</v>
      </c>
    </row>
    <row r="469" spans="2:7" hidden="1">
      <c r="B469" s="199" t="str">
        <f>Factor_1[[#This Row],[Conocimientos]]&amp;" "&amp;Factor_1[[#This Row],[Tendencia]]&amp;" "&amp;Factor_1[[#This Row],[Habilidad Gerencial]]&amp;" "&amp;Factor_1[[#This Row],[Rol del Cargo]]</f>
        <v>F + IV 3</v>
      </c>
      <c r="C469" s="199" t="s">
        <v>169</v>
      </c>
      <c r="D469" s="199" t="s">
        <v>117</v>
      </c>
      <c r="E469" s="199" t="s">
        <v>139</v>
      </c>
      <c r="F469" s="199">
        <v>3</v>
      </c>
      <c r="G469" s="199">
        <v>323</v>
      </c>
    </row>
    <row r="470" spans="2:7" hidden="1">
      <c r="B470" s="199" t="str">
        <f>Factor_1[[#This Row],[Conocimientos]]&amp;" "&amp;Factor_1[[#This Row],[Tendencia]]&amp;" "&amp;Factor_1[[#This Row],[Habilidad Gerencial]]&amp;" "&amp;Factor_1[[#This Row],[Rol del Cargo]]</f>
        <v>F + IV 4</v>
      </c>
      <c r="C470" s="199" t="s">
        <v>169</v>
      </c>
      <c r="D470" s="199" t="s">
        <v>117</v>
      </c>
      <c r="E470" s="199" t="s">
        <v>139</v>
      </c>
      <c r="F470" s="199">
        <v>4</v>
      </c>
      <c r="G470" s="199">
        <v>336</v>
      </c>
    </row>
    <row r="471" spans="2:7" hidden="1">
      <c r="B471" s="199" t="str">
        <f>Factor_1[[#This Row],[Conocimientos]]&amp;" "&amp;Factor_1[[#This Row],[Tendencia]]&amp;" "&amp;Factor_1[[#This Row],[Habilidad Gerencial]]&amp;" "&amp;Factor_1[[#This Row],[Rol del Cargo]]</f>
        <v>F - V 1</v>
      </c>
      <c r="C471" s="199" t="s">
        <v>169</v>
      </c>
      <c r="D471" s="199" t="s">
        <v>78</v>
      </c>
      <c r="E471" s="199" t="s">
        <v>157</v>
      </c>
      <c r="F471" s="199">
        <v>1</v>
      </c>
      <c r="G471" s="199">
        <v>268</v>
      </c>
    </row>
    <row r="472" spans="2:7" hidden="1">
      <c r="B472" s="199" t="str">
        <f>Factor_1[[#This Row],[Conocimientos]]&amp;" "&amp;Factor_1[[#This Row],[Tendencia]]&amp;" "&amp;Factor_1[[#This Row],[Habilidad Gerencial]]&amp;" "&amp;Factor_1[[#This Row],[Rol del Cargo]]</f>
        <v>F - V 2</v>
      </c>
      <c r="C472" s="199" t="s">
        <v>169</v>
      </c>
      <c r="D472" s="199" t="s">
        <v>78</v>
      </c>
      <c r="E472" s="199" t="s">
        <v>157</v>
      </c>
      <c r="F472" s="199">
        <v>2</v>
      </c>
      <c r="G472" s="199">
        <v>283</v>
      </c>
    </row>
    <row r="473" spans="2:7" hidden="1">
      <c r="B473" s="199" t="str">
        <f>Factor_1[[#This Row],[Conocimientos]]&amp;" "&amp;Factor_1[[#This Row],[Tendencia]]&amp;" "&amp;Factor_1[[#This Row],[Habilidad Gerencial]]&amp;" "&amp;Factor_1[[#This Row],[Rol del Cargo]]</f>
        <v>F - V 3</v>
      </c>
      <c r="C473" s="199" t="s">
        <v>169</v>
      </c>
      <c r="D473" s="199" t="s">
        <v>78</v>
      </c>
      <c r="E473" s="199" t="s">
        <v>157</v>
      </c>
      <c r="F473" s="199">
        <v>3</v>
      </c>
      <c r="G473" s="199">
        <v>300</v>
      </c>
    </row>
    <row r="474" spans="2:7" hidden="1">
      <c r="B474" s="199" t="str">
        <f>Factor_1[[#This Row],[Conocimientos]]&amp;" "&amp;Factor_1[[#This Row],[Tendencia]]&amp;" "&amp;Factor_1[[#This Row],[Habilidad Gerencial]]&amp;" "&amp;Factor_1[[#This Row],[Rol del Cargo]]</f>
        <v>F - V 4</v>
      </c>
      <c r="C474" s="199" t="s">
        <v>169</v>
      </c>
      <c r="D474" s="199" t="s">
        <v>78</v>
      </c>
      <c r="E474" s="199" t="s">
        <v>157</v>
      </c>
      <c r="F474" s="199">
        <v>4</v>
      </c>
      <c r="G474" s="199">
        <v>320</v>
      </c>
    </row>
    <row r="475" spans="2:7" hidden="1">
      <c r="B475" s="199" t="str">
        <f>Factor_1[[#This Row],[Conocimientos]]&amp;" "&amp;Factor_1[[#This Row],[Tendencia]]&amp;" "&amp;Factor_1[[#This Row],[Habilidad Gerencial]]&amp;" "&amp;Factor_1[[#This Row],[Rol del Cargo]]</f>
        <v>F o V 1</v>
      </c>
      <c r="C475" s="199" t="s">
        <v>169</v>
      </c>
      <c r="D475" s="199" t="s">
        <v>97</v>
      </c>
      <c r="E475" s="199" t="s">
        <v>157</v>
      </c>
      <c r="F475" s="199">
        <v>1</v>
      </c>
      <c r="G475" s="199">
        <v>299</v>
      </c>
    </row>
    <row r="476" spans="2:7" hidden="1">
      <c r="B476" s="199" t="str">
        <f>Factor_1[[#This Row],[Conocimientos]]&amp;" "&amp;Factor_1[[#This Row],[Tendencia]]&amp;" "&amp;Factor_1[[#This Row],[Habilidad Gerencial]]&amp;" "&amp;Factor_1[[#This Row],[Rol del Cargo]]</f>
        <v>F o V 2</v>
      </c>
      <c r="C476" s="199" t="s">
        <v>169</v>
      </c>
      <c r="D476" s="199" t="s">
        <v>97</v>
      </c>
      <c r="E476" s="199" t="s">
        <v>157</v>
      </c>
      <c r="F476" s="199">
        <v>2</v>
      </c>
      <c r="G476" s="199">
        <v>314</v>
      </c>
    </row>
    <row r="477" spans="2:7" hidden="1">
      <c r="B477" s="199" t="str">
        <f>Factor_1[[#This Row],[Conocimientos]]&amp;" "&amp;Factor_1[[#This Row],[Tendencia]]&amp;" "&amp;Factor_1[[#This Row],[Habilidad Gerencial]]&amp;" "&amp;Factor_1[[#This Row],[Rol del Cargo]]</f>
        <v>F o V 3</v>
      </c>
      <c r="C477" s="199" t="s">
        <v>169</v>
      </c>
      <c r="D477" s="199" t="s">
        <v>97</v>
      </c>
      <c r="E477" s="199" t="s">
        <v>157</v>
      </c>
      <c r="F477" s="199">
        <v>3</v>
      </c>
      <c r="G477" s="199">
        <v>331</v>
      </c>
    </row>
    <row r="478" spans="2:7" hidden="1">
      <c r="B478" s="199" t="str">
        <f>Factor_1[[#This Row],[Conocimientos]]&amp;" "&amp;Factor_1[[#This Row],[Tendencia]]&amp;" "&amp;Factor_1[[#This Row],[Habilidad Gerencial]]&amp;" "&amp;Factor_1[[#This Row],[Rol del Cargo]]</f>
        <v>F o V 4</v>
      </c>
      <c r="C478" s="199" t="s">
        <v>169</v>
      </c>
      <c r="D478" s="199" t="s">
        <v>97</v>
      </c>
      <c r="E478" s="199" t="s">
        <v>157</v>
      </c>
      <c r="F478" s="199">
        <v>4</v>
      </c>
      <c r="G478" s="199">
        <v>351</v>
      </c>
    </row>
    <row r="479" spans="2:7" hidden="1">
      <c r="B479" s="199" t="str">
        <f>Factor_1[[#This Row],[Conocimientos]]&amp;" "&amp;Factor_1[[#This Row],[Tendencia]]&amp;" "&amp;Factor_1[[#This Row],[Habilidad Gerencial]]&amp;" "&amp;Factor_1[[#This Row],[Rol del Cargo]]</f>
        <v>F + V 1</v>
      </c>
      <c r="C479" s="199" t="s">
        <v>169</v>
      </c>
      <c r="D479" s="199" t="s">
        <v>117</v>
      </c>
      <c r="E479" s="199" t="s">
        <v>157</v>
      </c>
      <c r="F479" s="199">
        <v>1</v>
      </c>
      <c r="G479" s="199">
        <v>336</v>
      </c>
    </row>
    <row r="480" spans="2:7" hidden="1">
      <c r="B480" s="199" t="str">
        <f>Factor_1[[#This Row],[Conocimientos]]&amp;" "&amp;Factor_1[[#This Row],[Tendencia]]&amp;" "&amp;Factor_1[[#This Row],[Habilidad Gerencial]]&amp;" "&amp;Factor_1[[#This Row],[Rol del Cargo]]</f>
        <v>F + V 2</v>
      </c>
      <c r="C480" s="199" t="s">
        <v>169</v>
      </c>
      <c r="D480" s="199" t="s">
        <v>117</v>
      </c>
      <c r="E480" s="199" t="s">
        <v>157</v>
      </c>
      <c r="F480" s="199">
        <v>2</v>
      </c>
      <c r="G480" s="199">
        <v>350</v>
      </c>
    </row>
    <row r="481" spans="2:7" hidden="1">
      <c r="B481" s="199" t="str">
        <f>Factor_1[[#This Row],[Conocimientos]]&amp;" "&amp;Factor_1[[#This Row],[Tendencia]]&amp;" "&amp;Factor_1[[#This Row],[Habilidad Gerencial]]&amp;" "&amp;Factor_1[[#This Row],[Rol del Cargo]]</f>
        <v>F + V 3</v>
      </c>
      <c r="C481" s="199" t="s">
        <v>169</v>
      </c>
      <c r="D481" s="199" t="s">
        <v>117</v>
      </c>
      <c r="E481" s="199" t="s">
        <v>157</v>
      </c>
      <c r="F481" s="199">
        <v>3</v>
      </c>
      <c r="G481" s="199">
        <v>367</v>
      </c>
    </row>
    <row r="482" spans="2:7" hidden="1">
      <c r="B482" s="199" t="str">
        <f>Factor_1[[#This Row],[Conocimientos]]&amp;" "&amp;Factor_1[[#This Row],[Tendencia]]&amp;" "&amp;Factor_1[[#This Row],[Habilidad Gerencial]]&amp;" "&amp;Factor_1[[#This Row],[Rol del Cargo]]</f>
        <v>F + V 4</v>
      </c>
      <c r="C482" s="199" t="s">
        <v>169</v>
      </c>
      <c r="D482" s="199" t="s">
        <v>117</v>
      </c>
      <c r="E482" s="199" t="s">
        <v>157</v>
      </c>
      <c r="F482" s="199">
        <v>4</v>
      </c>
      <c r="G482" s="199">
        <v>387</v>
      </c>
    </row>
    <row r="483" spans="2:7" hidden="1">
      <c r="B483" s="199" t="str">
        <f>Factor_1[[#This Row],[Conocimientos]]&amp;" "&amp;Factor_1[[#This Row],[Tendencia]]&amp;" "&amp;Factor_1[[#This Row],[Habilidad Gerencial]]&amp;" "&amp;Factor_1[[#This Row],[Rol del Cargo]]</f>
        <v>F - VI 1</v>
      </c>
      <c r="C483" s="199" t="s">
        <v>169</v>
      </c>
      <c r="D483" s="199" t="s">
        <v>78</v>
      </c>
      <c r="E483" s="199" t="s">
        <v>171</v>
      </c>
      <c r="F483" s="199">
        <v>1</v>
      </c>
      <c r="G483" s="199">
        <v>320</v>
      </c>
    </row>
    <row r="484" spans="2:7" hidden="1">
      <c r="B484" s="199" t="str">
        <f>Factor_1[[#This Row],[Conocimientos]]&amp;" "&amp;Factor_1[[#This Row],[Tendencia]]&amp;" "&amp;Factor_1[[#This Row],[Habilidad Gerencial]]&amp;" "&amp;Factor_1[[#This Row],[Rol del Cargo]]</f>
        <v>F - VI 2</v>
      </c>
      <c r="C484" s="199" t="s">
        <v>169</v>
      </c>
      <c r="D484" s="199" t="s">
        <v>78</v>
      </c>
      <c r="E484" s="199" t="s">
        <v>171</v>
      </c>
      <c r="F484" s="199">
        <v>2</v>
      </c>
      <c r="G484" s="199">
        <v>343</v>
      </c>
    </row>
    <row r="485" spans="2:7" hidden="1">
      <c r="B485" s="199" t="str">
        <f>Factor_1[[#This Row],[Conocimientos]]&amp;" "&amp;Factor_1[[#This Row],[Tendencia]]&amp;" "&amp;Factor_1[[#This Row],[Habilidad Gerencial]]&amp;" "&amp;Factor_1[[#This Row],[Rol del Cargo]]</f>
        <v>F - VI 3</v>
      </c>
      <c r="C485" s="199" t="s">
        <v>169</v>
      </c>
      <c r="D485" s="199" t="s">
        <v>78</v>
      </c>
      <c r="E485" s="199" t="s">
        <v>171</v>
      </c>
      <c r="F485" s="199">
        <v>3</v>
      </c>
      <c r="G485" s="199">
        <v>371</v>
      </c>
    </row>
    <row r="486" spans="2:7" hidden="1">
      <c r="B486" s="199" t="str">
        <f>Factor_1[[#This Row],[Conocimientos]]&amp;" "&amp;Factor_1[[#This Row],[Tendencia]]&amp;" "&amp;Factor_1[[#This Row],[Habilidad Gerencial]]&amp;" "&amp;Factor_1[[#This Row],[Rol del Cargo]]</f>
        <v>F - VI 4</v>
      </c>
      <c r="C486" s="199" t="s">
        <v>169</v>
      </c>
      <c r="D486" s="199" t="s">
        <v>78</v>
      </c>
      <c r="E486" s="199" t="s">
        <v>171</v>
      </c>
      <c r="F486" s="199">
        <v>4</v>
      </c>
      <c r="G486" s="199">
        <v>403</v>
      </c>
    </row>
    <row r="487" spans="2:7" hidden="1">
      <c r="B487" s="199" t="str">
        <f>Factor_1[[#This Row],[Conocimientos]]&amp;" "&amp;Factor_1[[#This Row],[Tendencia]]&amp;" "&amp;Factor_1[[#This Row],[Habilidad Gerencial]]&amp;" "&amp;Factor_1[[#This Row],[Rol del Cargo]]</f>
        <v>F o VI 1</v>
      </c>
      <c r="C487" s="199" t="s">
        <v>169</v>
      </c>
      <c r="D487" s="199" t="s">
        <v>97</v>
      </c>
      <c r="E487" s="199" t="s">
        <v>171</v>
      </c>
      <c r="F487" s="199">
        <v>1</v>
      </c>
      <c r="G487" s="199">
        <v>351</v>
      </c>
    </row>
    <row r="488" spans="2:7" hidden="1">
      <c r="B488" s="199" t="str">
        <f>Factor_1[[#This Row],[Conocimientos]]&amp;" "&amp;Factor_1[[#This Row],[Tendencia]]&amp;" "&amp;Factor_1[[#This Row],[Habilidad Gerencial]]&amp;" "&amp;Factor_1[[#This Row],[Rol del Cargo]]</f>
        <v>F o VI 2</v>
      </c>
      <c r="C488" s="199" t="s">
        <v>169</v>
      </c>
      <c r="D488" s="199" t="s">
        <v>97</v>
      </c>
      <c r="E488" s="199" t="s">
        <v>171</v>
      </c>
      <c r="F488" s="199">
        <v>2</v>
      </c>
      <c r="G488" s="199">
        <v>374</v>
      </c>
    </row>
    <row r="489" spans="2:7" hidden="1">
      <c r="B489" s="199" t="str">
        <f>Factor_1[[#This Row],[Conocimientos]]&amp;" "&amp;Factor_1[[#This Row],[Tendencia]]&amp;" "&amp;Factor_1[[#This Row],[Habilidad Gerencial]]&amp;" "&amp;Factor_1[[#This Row],[Rol del Cargo]]</f>
        <v>F o VI 3</v>
      </c>
      <c r="C489" s="199" t="s">
        <v>169</v>
      </c>
      <c r="D489" s="199" t="s">
        <v>97</v>
      </c>
      <c r="E489" s="199" t="s">
        <v>171</v>
      </c>
      <c r="F489" s="199">
        <v>3</v>
      </c>
      <c r="G489" s="199">
        <v>402</v>
      </c>
    </row>
    <row r="490" spans="2:7" hidden="1">
      <c r="B490" s="199" t="str">
        <f>Factor_1[[#This Row],[Conocimientos]]&amp;" "&amp;Factor_1[[#This Row],[Tendencia]]&amp;" "&amp;Factor_1[[#This Row],[Habilidad Gerencial]]&amp;" "&amp;Factor_1[[#This Row],[Rol del Cargo]]</f>
        <v>F o VI 4</v>
      </c>
      <c r="C490" s="199" t="s">
        <v>169</v>
      </c>
      <c r="D490" s="199" t="s">
        <v>97</v>
      </c>
      <c r="E490" s="199" t="s">
        <v>171</v>
      </c>
      <c r="F490" s="199">
        <v>4</v>
      </c>
      <c r="G490" s="199">
        <v>434</v>
      </c>
    </row>
    <row r="491" spans="2:7" hidden="1">
      <c r="B491" s="199" t="str">
        <f>Factor_1[[#This Row],[Conocimientos]]&amp;" "&amp;Factor_1[[#This Row],[Tendencia]]&amp;" "&amp;Factor_1[[#This Row],[Habilidad Gerencial]]&amp;" "&amp;Factor_1[[#This Row],[Rol del Cargo]]</f>
        <v>F + VI 1</v>
      </c>
      <c r="C491" s="199" t="s">
        <v>169</v>
      </c>
      <c r="D491" s="199" t="s">
        <v>117</v>
      </c>
      <c r="E491" s="199" t="s">
        <v>171</v>
      </c>
      <c r="F491" s="199">
        <v>1</v>
      </c>
      <c r="G491" s="199">
        <v>387</v>
      </c>
    </row>
    <row r="492" spans="2:7" hidden="1">
      <c r="B492" s="199" t="str">
        <f>Factor_1[[#This Row],[Conocimientos]]&amp;" "&amp;Factor_1[[#This Row],[Tendencia]]&amp;" "&amp;Factor_1[[#This Row],[Habilidad Gerencial]]&amp;" "&amp;Factor_1[[#This Row],[Rol del Cargo]]</f>
        <v>F + VI 2</v>
      </c>
      <c r="C492" s="199" t="s">
        <v>169</v>
      </c>
      <c r="D492" s="199" t="s">
        <v>117</v>
      </c>
      <c r="E492" s="199" t="s">
        <v>171</v>
      </c>
      <c r="F492" s="199">
        <v>2</v>
      </c>
      <c r="G492" s="199">
        <v>411</v>
      </c>
    </row>
    <row r="493" spans="2:7" hidden="1">
      <c r="B493" s="199" t="str">
        <f>Factor_1[[#This Row],[Conocimientos]]&amp;" "&amp;Factor_1[[#This Row],[Tendencia]]&amp;" "&amp;Factor_1[[#This Row],[Habilidad Gerencial]]&amp;" "&amp;Factor_1[[#This Row],[Rol del Cargo]]</f>
        <v>F + VI 3</v>
      </c>
      <c r="C493" s="199" t="s">
        <v>169</v>
      </c>
      <c r="D493" s="199" t="s">
        <v>117</v>
      </c>
      <c r="E493" s="199" t="s">
        <v>171</v>
      </c>
      <c r="F493" s="199">
        <v>3</v>
      </c>
      <c r="G493" s="199">
        <v>438</v>
      </c>
    </row>
    <row r="494" spans="2:7" hidden="1">
      <c r="B494" s="199" t="str">
        <f>Factor_1[[#This Row],[Conocimientos]]&amp;" "&amp;Factor_1[[#This Row],[Tendencia]]&amp;" "&amp;Factor_1[[#This Row],[Habilidad Gerencial]]&amp;" "&amp;Factor_1[[#This Row],[Rol del Cargo]]</f>
        <v>F + VI 4</v>
      </c>
      <c r="C494" s="199" t="s">
        <v>169</v>
      </c>
      <c r="D494" s="199" t="s">
        <v>117</v>
      </c>
      <c r="E494" s="199" t="s">
        <v>171</v>
      </c>
      <c r="F494" s="199">
        <v>4</v>
      </c>
      <c r="G494" s="199">
        <v>470</v>
      </c>
    </row>
    <row r="495" spans="2:7" hidden="1">
      <c r="B495" s="199" t="str">
        <f>Factor_1[[#This Row],[Conocimientos]]&amp;" "&amp;Factor_1[[#This Row],[Tendencia]]&amp;" "&amp;Factor_1[[#This Row],[Habilidad Gerencial]]&amp;" "&amp;Factor_1[[#This Row],[Rol del Cargo]]</f>
        <v>F - VII 1</v>
      </c>
      <c r="C495" s="199" t="s">
        <v>169</v>
      </c>
      <c r="D495" s="199" t="s">
        <v>78</v>
      </c>
      <c r="E495" s="199" t="s">
        <v>179</v>
      </c>
      <c r="F495" s="199">
        <v>1</v>
      </c>
      <c r="G495" s="199">
        <v>403</v>
      </c>
    </row>
    <row r="496" spans="2:7" hidden="1">
      <c r="B496" s="199" t="str">
        <f>Factor_1[[#This Row],[Conocimientos]]&amp;" "&amp;Factor_1[[#This Row],[Tendencia]]&amp;" "&amp;Factor_1[[#This Row],[Habilidad Gerencial]]&amp;" "&amp;Factor_1[[#This Row],[Rol del Cargo]]</f>
        <v>F - VII 2</v>
      </c>
      <c r="C496" s="199" t="s">
        <v>169</v>
      </c>
      <c r="D496" s="199" t="s">
        <v>78</v>
      </c>
      <c r="E496" s="199" t="s">
        <v>179</v>
      </c>
      <c r="F496" s="199">
        <v>2</v>
      </c>
      <c r="G496" s="199">
        <v>440</v>
      </c>
    </row>
    <row r="497" spans="2:7" hidden="1">
      <c r="B497" s="199" t="str">
        <f>Factor_1[[#This Row],[Conocimientos]]&amp;" "&amp;Factor_1[[#This Row],[Tendencia]]&amp;" "&amp;Factor_1[[#This Row],[Habilidad Gerencial]]&amp;" "&amp;Factor_1[[#This Row],[Rol del Cargo]]</f>
        <v>F - VII 3</v>
      </c>
      <c r="C497" s="199" t="s">
        <v>169</v>
      </c>
      <c r="D497" s="199" t="s">
        <v>78</v>
      </c>
      <c r="E497" s="199" t="s">
        <v>179</v>
      </c>
      <c r="F497" s="199">
        <v>3</v>
      </c>
      <c r="G497" s="199">
        <v>484</v>
      </c>
    </row>
    <row r="498" spans="2:7" hidden="1">
      <c r="B498" s="199" t="str">
        <f>Factor_1[[#This Row],[Conocimientos]]&amp;" "&amp;Factor_1[[#This Row],[Tendencia]]&amp;" "&amp;Factor_1[[#This Row],[Habilidad Gerencial]]&amp;" "&amp;Factor_1[[#This Row],[Rol del Cargo]]</f>
        <v>F - VII 4</v>
      </c>
      <c r="C498" s="199" t="s">
        <v>169</v>
      </c>
      <c r="D498" s="199" t="s">
        <v>78</v>
      </c>
      <c r="E498" s="199" t="s">
        <v>179</v>
      </c>
      <c r="F498" s="199">
        <v>4</v>
      </c>
      <c r="G498" s="199">
        <v>535</v>
      </c>
    </row>
    <row r="499" spans="2:7" hidden="1">
      <c r="B499" s="199" t="str">
        <f>Factor_1[[#This Row],[Conocimientos]]&amp;" "&amp;Factor_1[[#This Row],[Tendencia]]&amp;" "&amp;Factor_1[[#This Row],[Habilidad Gerencial]]&amp;" "&amp;Factor_1[[#This Row],[Rol del Cargo]]</f>
        <v>F o VII 1</v>
      </c>
      <c r="C499" s="199" t="s">
        <v>169</v>
      </c>
      <c r="D499" s="199" t="s">
        <v>97</v>
      </c>
      <c r="E499" s="199" t="s">
        <v>179</v>
      </c>
      <c r="F499" s="199">
        <v>1</v>
      </c>
      <c r="G499" s="199">
        <v>434</v>
      </c>
    </row>
    <row r="500" spans="2:7" hidden="1">
      <c r="B500" s="199" t="str">
        <f>Factor_1[[#This Row],[Conocimientos]]&amp;" "&amp;Factor_1[[#This Row],[Tendencia]]&amp;" "&amp;Factor_1[[#This Row],[Habilidad Gerencial]]&amp;" "&amp;Factor_1[[#This Row],[Rol del Cargo]]</f>
        <v>F o VII 2</v>
      </c>
      <c r="C500" s="199" t="s">
        <v>169</v>
      </c>
      <c r="D500" s="199" t="s">
        <v>97</v>
      </c>
      <c r="E500" s="199" t="s">
        <v>179</v>
      </c>
      <c r="F500" s="199">
        <v>2</v>
      </c>
      <c r="G500" s="199">
        <v>471</v>
      </c>
    </row>
    <row r="501" spans="2:7" hidden="1">
      <c r="B501" s="199" t="str">
        <f>Factor_1[[#This Row],[Conocimientos]]&amp;" "&amp;Factor_1[[#This Row],[Tendencia]]&amp;" "&amp;Factor_1[[#This Row],[Habilidad Gerencial]]&amp;" "&amp;Factor_1[[#This Row],[Rol del Cargo]]</f>
        <v>F o VII 3</v>
      </c>
      <c r="C501" s="199" t="s">
        <v>169</v>
      </c>
      <c r="D501" s="199" t="s">
        <v>97</v>
      </c>
      <c r="E501" s="199" t="s">
        <v>179</v>
      </c>
      <c r="F501" s="199">
        <v>3</v>
      </c>
      <c r="G501" s="199">
        <v>515</v>
      </c>
    </row>
    <row r="502" spans="2:7" hidden="1">
      <c r="B502" s="199" t="str">
        <f>Factor_1[[#This Row],[Conocimientos]]&amp;" "&amp;Factor_1[[#This Row],[Tendencia]]&amp;" "&amp;Factor_1[[#This Row],[Habilidad Gerencial]]&amp;" "&amp;Factor_1[[#This Row],[Rol del Cargo]]</f>
        <v>F o VII 4</v>
      </c>
      <c r="C502" s="199" t="s">
        <v>169</v>
      </c>
      <c r="D502" s="199" t="s">
        <v>97</v>
      </c>
      <c r="E502" s="199" t="s">
        <v>179</v>
      </c>
      <c r="F502" s="199">
        <v>4</v>
      </c>
      <c r="G502" s="199">
        <v>566</v>
      </c>
    </row>
    <row r="503" spans="2:7" hidden="1">
      <c r="B503" s="199" t="str">
        <f>Factor_1[[#This Row],[Conocimientos]]&amp;" "&amp;Factor_1[[#This Row],[Tendencia]]&amp;" "&amp;Factor_1[[#This Row],[Habilidad Gerencial]]&amp;" "&amp;Factor_1[[#This Row],[Rol del Cargo]]</f>
        <v>F + VII 1</v>
      </c>
      <c r="C503" s="199" t="s">
        <v>169</v>
      </c>
      <c r="D503" s="199" t="s">
        <v>117</v>
      </c>
      <c r="E503" s="199" t="s">
        <v>179</v>
      </c>
      <c r="F503" s="199">
        <v>1</v>
      </c>
      <c r="G503" s="199">
        <v>470</v>
      </c>
    </row>
    <row r="504" spans="2:7" hidden="1">
      <c r="B504" s="199" t="str">
        <f>Factor_1[[#This Row],[Conocimientos]]&amp;" "&amp;Factor_1[[#This Row],[Tendencia]]&amp;" "&amp;Factor_1[[#This Row],[Habilidad Gerencial]]&amp;" "&amp;Factor_1[[#This Row],[Rol del Cargo]]</f>
        <v>F + VII 2</v>
      </c>
      <c r="C504" s="199" t="s">
        <v>169</v>
      </c>
      <c r="D504" s="199" t="s">
        <v>117</v>
      </c>
      <c r="E504" s="199" t="s">
        <v>179</v>
      </c>
      <c r="F504" s="199">
        <v>2</v>
      </c>
      <c r="G504" s="199">
        <v>507</v>
      </c>
    </row>
    <row r="505" spans="2:7" hidden="1">
      <c r="B505" s="199" t="str">
        <f>Factor_1[[#This Row],[Conocimientos]]&amp;" "&amp;Factor_1[[#This Row],[Tendencia]]&amp;" "&amp;Factor_1[[#This Row],[Habilidad Gerencial]]&amp;" "&amp;Factor_1[[#This Row],[Rol del Cargo]]</f>
        <v>F + VII 3</v>
      </c>
      <c r="C505" s="199" t="s">
        <v>169</v>
      </c>
      <c r="D505" s="199" t="s">
        <v>117</v>
      </c>
      <c r="E505" s="199" t="s">
        <v>179</v>
      </c>
      <c r="F505" s="199">
        <v>3</v>
      </c>
      <c r="G505" s="199">
        <v>551</v>
      </c>
    </row>
    <row r="506" spans="2:7" hidden="1">
      <c r="B506" s="199" t="str">
        <f>Factor_1[[#This Row],[Conocimientos]]&amp;" "&amp;Factor_1[[#This Row],[Tendencia]]&amp;" "&amp;Factor_1[[#This Row],[Habilidad Gerencial]]&amp;" "&amp;Factor_1[[#This Row],[Rol del Cargo]]</f>
        <v>F + VII 4</v>
      </c>
      <c r="C506" s="199" t="s">
        <v>169</v>
      </c>
      <c r="D506" s="199" t="s">
        <v>117</v>
      </c>
      <c r="E506" s="199" t="s">
        <v>179</v>
      </c>
      <c r="F506" s="199">
        <v>4</v>
      </c>
      <c r="G506" s="199">
        <v>602</v>
      </c>
    </row>
    <row r="507" spans="2:7" hidden="1">
      <c r="B507" s="199" t="str">
        <f>Factor_1[[#This Row],[Conocimientos]]&amp;" "&amp;Factor_1[[#This Row],[Tendencia]]&amp;" "&amp;Factor_1[[#This Row],[Habilidad Gerencial]]&amp;" "&amp;Factor_1[[#This Row],[Rol del Cargo]]</f>
        <v>G - I 1</v>
      </c>
      <c r="C507" s="199" t="s">
        <v>18</v>
      </c>
      <c r="D507" s="199" t="s">
        <v>78</v>
      </c>
      <c r="E507" s="199" t="s">
        <v>81</v>
      </c>
      <c r="F507" s="199">
        <v>1</v>
      </c>
      <c r="G507" s="199">
        <v>251</v>
      </c>
    </row>
    <row r="508" spans="2:7" hidden="1">
      <c r="B508" s="199" t="str">
        <f>Factor_1[[#This Row],[Conocimientos]]&amp;" "&amp;Factor_1[[#This Row],[Tendencia]]&amp;" "&amp;Factor_1[[#This Row],[Habilidad Gerencial]]&amp;" "&amp;Factor_1[[#This Row],[Rol del Cargo]]</f>
        <v>G - I 2</v>
      </c>
      <c r="C508" s="199" t="s">
        <v>18</v>
      </c>
      <c r="D508" s="199" t="s">
        <v>78</v>
      </c>
      <c r="E508" s="199" t="s">
        <v>81</v>
      </c>
      <c r="F508" s="199">
        <v>2</v>
      </c>
      <c r="G508" s="199">
        <v>256</v>
      </c>
    </row>
    <row r="509" spans="2:7" hidden="1">
      <c r="B509" s="199" t="str">
        <f>Factor_1[[#This Row],[Conocimientos]]&amp;" "&amp;Factor_1[[#This Row],[Tendencia]]&amp;" "&amp;Factor_1[[#This Row],[Habilidad Gerencial]]&amp;" "&amp;Factor_1[[#This Row],[Rol del Cargo]]</f>
        <v>G - I 3</v>
      </c>
      <c r="C509" s="199" t="s">
        <v>18</v>
      </c>
      <c r="D509" s="199" t="s">
        <v>78</v>
      </c>
      <c r="E509" s="199" t="s">
        <v>81</v>
      </c>
      <c r="F509" s="199">
        <v>3</v>
      </c>
      <c r="G509" s="199">
        <v>264</v>
      </c>
    </row>
    <row r="510" spans="2:7" hidden="1">
      <c r="B510" s="199" t="str">
        <f>Factor_1[[#This Row],[Conocimientos]]&amp;" "&amp;Factor_1[[#This Row],[Tendencia]]&amp;" "&amp;Factor_1[[#This Row],[Habilidad Gerencial]]&amp;" "&amp;Factor_1[[#This Row],[Rol del Cargo]]</f>
        <v>G - I 4</v>
      </c>
      <c r="C510" s="199" t="s">
        <v>18</v>
      </c>
      <c r="D510" s="199" t="s">
        <v>78</v>
      </c>
      <c r="E510" s="199" t="s">
        <v>81</v>
      </c>
      <c r="F510" s="199">
        <v>4</v>
      </c>
      <c r="G510" s="199">
        <v>271</v>
      </c>
    </row>
    <row r="511" spans="2:7" hidden="1">
      <c r="B511" s="199" t="str">
        <f>Factor_1[[#This Row],[Conocimientos]]&amp;" "&amp;Factor_1[[#This Row],[Tendencia]]&amp;" "&amp;Factor_1[[#This Row],[Habilidad Gerencial]]&amp;" "&amp;Factor_1[[#This Row],[Rol del Cargo]]</f>
        <v>G o I 1</v>
      </c>
      <c r="C511" s="199" t="s">
        <v>18</v>
      </c>
      <c r="D511" s="199" t="s">
        <v>97</v>
      </c>
      <c r="E511" s="199" t="s">
        <v>81</v>
      </c>
      <c r="F511" s="199">
        <v>1</v>
      </c>
      <c r="G511" s="199">
        <v>293</v>
      </c>
    </row>
    <row r="512" spans="2:7" hidden="1">
      <c r="B512" s="199" t="str">
        <f>Factor_1[[#This Row],[Conocimientos]]&amp;" "&amp;Factor_1[[#This Row],[Tendencia]]&amp;" "&amp;Factor_1[[#This Row],[Habilidad Gerencial]]&amp;" "&amp;Factor_1[[#This Row],[Rol del Cargo]]</f>
        <v>G o I 2</v>
      </c>
      <c r="C512" s="199" t="s">
        <v>18</v>
      </c>
      <c r="D512" s="199" t="s">
        <v>97</v>
      </c>
      <c r="E512" s="199" t="s">
        <v>81</v>
      </c>
      <c r="F512" s="199">
        <v>2</v>
      </c>
      <c r="G512" s="199">
        <v>298</v>
      </c>
    </row>
    <row r="513" spans="2:7" hidden="1">
      <c r="B513" s="199" t="str">
        <f>Factor_1[[#This Row],[Conocimientos]]&amp;" "&amp;Factor_1[[#This Row],[Tendencia]]&amp;" "&amp;Factor_1[[#This Row],[Habilidad Gerencial]]&amp;" "&amp;Factor_1[[#This Row],[Rol del Cargo]]</f>
        <v>G o I 3</v>
      </c>
      <c r="C513" s="199" t="s">
        <v>18</v>
      </c>
      <c r="D513" s="199" t="s">
        <v>97</v>
      </c>
      <c r="E513" s="199" t="s">
        <v>81</v>
      </c>
      <c r="F513" s="199">
        <v>3</v>
      </c>
      <c r="G513" s="199">
        <v>307</v>
      </c>
    </row>
    <row r="514" spans="2:7" hidden="1">
      <c r="B514" s="199" t="str">
        <f>Factor_1[[#This Row],[Conocimientos]]&amp;" "&amp;Factor_1[[#This Row],[Tendencia]]&amp;" "&amp;Factor_1[[#This Row],[Habilidad Gerencial]]&amp;" "&amp;Factor_1[[#This Row],[Rol del Cargo]]</f>
        <v>G o I 4</v>
      </c>
      <c r="C514" s="199" t="s">
        <v>18</v>
      </c>
      <c r="D514" s="199" t="s">
        <v>97</v>
      </c>
      <c r="E514" s="199" t="s">
        <v>81</v>
      </c>
      <c r="F514" s="199">
        <v>4</v>
      </c>
      <c r="G514" s="199">
        <v>314</v>
      </c>
    </row>
    <row r="515" spans="2:7" hidden="1">
      <c r="B515" s="199" t="str">
        <f>Factor_1[[#This Row],[Conocimientos]]&amp;" "&amp;Factor_1[[#This Row],[Tendencia]]&amp;" "&amp;Factor_1[[#This Row],[Habilidad Gerencial]]&amp;" "&amp;Factor_1[[#This Row],[Rol del Cargo]]</f>
        <v>G + I 1</v>
      </c>
      <c r="C515" s="199" t="s">
        <v>18</v>
      </c>
      <c r="D515" s="199" t="s">
        <v>117</v>
      </c>
      <c r="E515" s="199" t="s">
        <v>81</v>
      </c>
      <c r="F515" s="199">
        <v>1</v>
      </c>
      <c r="G515" s="199">
        <v>343</v>
      </c>
    </row>
    <row r="516" spans="2:7" hidden="1">
      <c r="B516" s="199" t="str">
        <f>Factor_1[[#This Row],[Conocimientos]]&amp;" "&amp;Factor_1[[#This Row],[Tendencia]]&amp;" "&amp;Factor_1[[#This Row],[Habilidad Gerencial]]&amp;" "&amp;Factor_1[[#This Row],[Rol del Cargo]]</f>
        <v>G + I 2</v>
      </c>
      <c r="C516" s="199" t="s">
        <v>18</v>
      </c>
      <c r="D516" s="199" t="s">
        <v>117</v>
      </c>
      <c r="E516" s="199" t="s">
        <v>81</v>
      </c>
      <c r="F516" s="199">
        <v>2</v>
      </c>
      <c r="G516" s="199">
        <v>348</v>
      </c>
    </row>
    <row r="517" spans="2:7" hidden="1">
      <c r="B517" s="199" t="str">
        <f>Factor_1[[#This Row],[Conocimientos]]&amp;" "&amp;Factor_1[[#This Row],[Tendencia]]&amp;" "&amp;Factor_1[[#This Row],[Habilidad Gerencial]]&amp;" "&amp;Factor_1[[#This Row],[Rol del Cargo]]</f>
        <v>G + I 3</v>
      </c>
      <c r="C517" s="199" t="s">
        <v>18</v>
      </c>
      <c r="D517" s="199" t="s">
        <v>117</v>
      </c>
      <c r="E517" s="199" t="s">
        <v>81</v>
      </c>
      <c r="F517" s="199">
        <v>3</v>
      </c>
      <c r="G517" s="199">
        <v>356</v>
      </c>
    </row>
    <row r="518" spans="2:7" hidden="1">
      <c r="B518" s="199" t="str">
        <f>Factor_1[[#This Row],[Conocimientos]]&amp;" "&amp;Factor_1[[#This Row],[Tendencia]]&amp;" "&amp;Factor_1[[#This Row],[Habilidad Gerencial]]&amp;" "&amp;Factor_1[[#This Row],[Rol del Cargo]]</f>
        <v>G + I 4</v>
      </c>
      <c r="C518" s="199" t="s">
        <v>18</v>
      </c>
      <c r="D518" s="199" t="s">
        <v>117</v>
      </c>
      <c r="E518" s="199" t="s">
        <v>81</v>
      </c>
      <c r="F518" s="199">
        <v>4</v>
      </c>
      <c r="G518" s="199">
        <v>363</v>
      </c>
    </row>
    <row r="519" spans="2:7" hidden="1">
      <c r="B519" s="199" t="str">
        <f>Factor_1[[#This Row],[Conocimientos]]&amp;" "&amp;Factor_1[[#This Row],[Tendencia]]&amp;" "&amp;Factor_1[[#This Row],[Habilidad Gerencial]]&amp;" "&amp;Factor_1[[#This Row],[Rol del Cargo]]</f>
        <v>G - II 1</v>
      </c>
      <c r="C519" s="199" t="s">
        <v>18</v>
      </c>
      <c r="D519" s="199" t="s">
        <v>78</v>
      </c>
      <c r="E519" s="199" t="s">
        <v>100</v>
      </c>
      <c r="F519" s="199">
        <v>1</v>
      </c>
      <c r="G519" s="199">
        <v>271</v>
      </c>
    </row>
    <row r="520" spans="2:7" hidden="1">
      <c r="B520" s="199" t="str">
        <f>Factor_1[[#This Row],[Conocimientos]]&amp;" "&amp;Factor_1[[#This Row],[Tendencia]]&amp;" "&amp;Factor_1[[#This Row],[Habilidad Gerencial]]&amp;" "&amp;Factor_1[[#This Row],[Rol del Cargo]]</f>
        <v>G - II 2</v>
      </c>
      <c r="C520" s="199" t="s">
        <v>18</v>
      </c>
      <c r="D520" s="199" t="s">
        <v>78</v>
      </c>
      <c r="E520" s="199" t="s">
        <v>100</v>
      </c>
      <c r="F520" s="199">
        <v>2</v>
      </c>
      <c r="G520" s="199">
        <v>275</v>
      </c>
    </row>
    <row r="521" spans="2:7" hidden="1">
      <c r="B521" s="199" t="str">
        <f>Factor_1[[#This Row],[Conocimientos]]&amp;" "&amp;Factor_1[[#This Row],[Tendencia]]&amp;" "&amp;Factor_1[[#This Row],[Habilidad Gerencial]]&amp;" "&amp;Factor_1[[#This Row],[Rol del Cargo]]</f>
        <v>G - II 3</v>
      </c>
      <c r="C521" s="199" t="s">
        <v>18</v>
      </c>
      <c r="D521" s="199" t="s">
        <v>78</v>
      </c>
      <c r="E521" s="199" t="s">
        <v>100</v>
      </c>
      <c r="F521" s="199">
        <v>3</v>
      </c>
      <c r="G521" s="199">
        <v>279</v>
      </c>
    </row>
    <row r="522" spans="2:7" hidden="1">
      <c r="B522" s="199" t="str">
        <f>Factor_1[[#This Row],[Conocimientos]]&amp;" "&amp;Factor_1[[#This Row],[Tendencia]]&amp;" "&amp;Factor_1[[#This Row],[Habilidad Gerencial]]&amp;" "&amp;Factor_1[[#This Row],[Rol del Cargo]]</f>
        <v>G - II 4</v>
      </c>
      <c r="C522" s="199" t="s">
        <v>18</v>
      </c>
      <c r="D522" s="199" t="s">
        <v>78</v>
      </c>
      <c r="E522" s="199" t="s">
        <v>100</v>
      </c>
      <c r="F522" s="199">
        <v>4</v>
      </c>
      <c r="G522" s="199">
        <v>284</v>
      </c>
    </row>
    <row r="523" spans="2:7" hidden="1">
      <c r="B523" s="199" t="str">
        <f>Factor_1[[#This Row],[Conocimientos]]&amp;" "&amp;Factor_1[[#This Row],[Tendencia]]&amp;" "&amp;Factor_1[[#This Row],[Habilidad Gerencial]]&amp;" "&amp;Factor_1[[#This Row],[Rol del Cargo]]</f>
        <v>G o II 1</v>
      </c>
      <c r="C523" s="199" t="s">
        <v>18</v>
      </c>
      <c r="D523" s="199" t="s">
        <v>97</v>
      </c>
      <c r="E523" s="199" t="s">
        <v>100</v>
      </c>
      <c r="F523" s="199">
        <v>1</v>
      </c>
      <c r="G523" s="199">
        <v>314</v>
      </c>
    </row>
    <row r="524" spans="2:7" hidden="1">
      <c r="B524" s="199" t="str">
        <f>Factor_1[[#This Row],[Conocimientos]]&amp;" "&amp;Factor_1[[#This Row],[Tendencia]]&amp;" "&amp;Factor_1[[#This Row],[Habilidad Gerencial]]&amp;" "&amp;Factor_1[[#This Row],[Rol del Cargo]]</f>
        <v>G o II 2</v>
      </c>
      <c r="C524" s="199" t="s">
        <v>18</v>
      </c>
      <c r="D524" s="199" t="s">
        <v>97</v>
      </c>
      <c r="E524" s="199" t="s">
        <v>100</v>
      </c>
      <c r="F524" s="199">
        <v>2</v>
      </c>
      <c r="G524" s="199">
        <v>317</v>
      </c>
    </row>
    <row r="525" spans="2:7" hidden="1">
      <c r="B525" s="199" t="str">
        <f>Factor_1[[#This Row],[Conocimientos]]&amp;" "&amp;Factor_1[[#This Row],[Tendencia]]&amp;" "&amp;Factor_1[[#This Row],[Habilidad Gerencial]]&amp;" "&amp;Factor_1[[#This Row],[Rol del Cargo]]</f>
        <v>G o II 3</v>
      </c>
      <c r="C525" s="199" t="s">
        <v>18</v>
      </c>
      <c r="D525" s="199" t="s">
        <v>97</v>
      </c>
      <c r="E525" s="199" t="s">
        <v>100</v>
      </c>
      <c r="F525" s="199">
        <v>3</v>
      </c>
      <c r="G525" s="199">
        <v>321</v>
      </c>
    </row>
    <row r="526" spans="2:7" hidden="1">
      <c r="B526" s="199" t="str">
        <f>Factor_1[[#This Row],[Conocimientos]]&amp;" "&amp;Factor_1[[#This Row],[Tendencia]]&amp;" "&amp;Factor_1[[#This Row],[Habilidad Gerencial]]&amp;" "&amp;Factor_1[[#This Row],[Rol del Cargo]]</f>
        <v>G o II 4</v>
      </c>
      <c r="C526" s="199" t="s">
        <v>18</v>
      </c>
      <c r="D526" s="199" t="s">
        <v>97</v>
      </c>
      <c r="E526" s="199" t="s">
        <v>100</v>
      </c>
      <c r="F526" s="199">
        <v>4</v>
      </c>
      <c r="G526" s="199">
        <v>326</v>
      </c>
    </row>
    <row r="527" spans="2:7" hidden="1">
      <c r="B527" s="199" t="str">
        <f>Factor_1[[#This Row],[Conocimientos]]&amp;" "&amp;Factor_1[[#This Row],[Tendencia]]&amp;" "&amp;Factor_1[[#This Row],[Habilidad Gerencial]]&amp;" "&amp;Factor_1[[#This Row],[Rol del Cargo]]</f>
        <v>G + II 1</v>
      </c>
      <c r="C527" s="199" t="s">
        <v>18</v>
      </c>
      <c r="D527" s="199" t="s">
        <v>117</v>
      </c>
      <c r="E527" s="199" t="s">
        <v>100</v>
      </c>
      <c r="F527" s="199">
        <v>1</v>
      </c>
      <c r="G527" s="199">
        <v>363</v>
      </c>
    </row>
    <row r="528" spans="2:7" hidden="1">
      <c r="B528" s="199" t="str">
        <f>Factor_1[[#This Row],[Conocimientos]]&amp;" "&amp;Factor_1[[#This Row],[Tendencia]]&amp;" "&amp;Factor_1[[#This Row],[Habilidad Gerencial]]&amp;" "&amp;Factor_1[[#This Row],[Rol del Cargo]]</f>
        <v>G + II 2</v>
      </c>
      <c r="C528" s="199" t="s">
        <v>18</v>
      </c>
      <c r="D528" s="199" t="s">
        <v>117</v>
      </c>
      <c r="E528" s="199" t="s">
        <v>100</v>
      </c>
      <c r="F528" s="199">
        <v>2</v>
      </c>
      <c r="G528" s="199">
        <v>367</v>
      </c>
    </row>
    <row r="529" spans="2:7" hidden="1">
      <c r="B529" s="199" t="str">
        <f>Factor_1[[#This Row],[Conocimientos]]&amp;" "&amp;Factor_1[[#This Row],[Tendencia]]&amp;" "&amp;Factor_1[[#This Row],[Habilidad Gerencial]]&amp;" "&amp;Factor_1[[#This Row],[Rol del Cargo]]</f>
        <v>G + II 3</v>
      </c>
      <c r="C529" s="199" t="s">
        <v>18</v>
      </c>
      <c r="D529" s="199" t="s">
        <v>117</v>
      </c>
      <c r="E529" s="199" t="s">
        <v>100</v>
      </c>
      <c r="F529" s="199">
        <v>3</v>
      </c>
      <c r="G529" s="199">
        <v>371</v>
      </c>
    </row>
    <row r="530" spans="2:7" hidden="1">
      <c r="B530" s="199" t="str">
        <f>Factor_1[[#This Row],[Conocimientos]]&amp;" "&amp;Factor_1[[#This Row],[Tendencia]]&amp;" "&amp;Factor_1[[#This Row],[Habilidad Gerencial]]&amp;" "&amp;Factor_1[[#This Row],[Rol del Cargo]]</f>
        <v>G + II 4</v>
      </c>
      <c r="C530" s="199" t="s">
        <v>18</v>
      </c>
      <c r="D530" s="199" t="s">
        <v>117</v>
      </c>
      <c r="E530" s="199" t="s">
        <v>100</v>
      </c>
      <c r="F530" s="199">
        <v>4</v>
      </c>
      <c r="G530" s="199">
        <v>376</v>
      </c>
    </row>
    <row r="531" spans="2:7" hidden="1">
      <c r="B531" s="199" t="str">
        <f>Factor_1[[#This Row],[Conocimientos]]&amp;" "&amp;Factor_1[[#This Row],[Tendencia]]&amp;" "&amp;Factor_1[[#This Row],[Habilidad Gerencial]]&amp;" "&amp;Factor_1[[#This Row],[Rol del Cargo]]</f>
        <v>G - III 1</v>
      </c>
      <c r="C531" s="199" t="s">
        <v>18</v>
      </c>
      <c r="D531" s="199" t="s">
        <v>78</v>
      </c>
      <c r="E531" s="199" t="s">
        <v>120</v>
      </c>
      <c r="F531" s="199">
        <v>1</v>
      </c>
      <c r="G531" s="199">
        <v>284</v>
      </c>
    </row>
    <row r="532" spans="2:7" hidden="1">
      <c r="B532" s="199" t="str">
        <f>Factor_1[[#This Row],[Conocimientos]]&amp;" "&amp;Factor_1[[#This Row],[Tendencia]]&amp;" "&amp;Factor_1[[#This Row],[Habilidad Gerencial]]&amp;" "&amp;Factor_1[[#This Row],[Rol del Cargo]]</f>
        <v>G - III 2</v>
      </c>
      <c r="C532" s="199" t="s">
        <v>18</v>
      </c>
      <c r="D532" s="199" t="s">
        <v>78</v>
      </c>
      <c r="E532" s="199" t="s">
        <v>120</v>
      </c>
      <c r="F532" s="199">
        <v>2</v>
      </c>
      <c r="G532" s="199">
        <v>289</v>
      </c>
    </row>
    <row r="533" spans="2:7" hidden="1">
      <c r="B533" s="199" t="str">
        <f>Factor_1[[#This Row],[Conocimientos]]&amp;" "&amp;Factor_1[[#This Row],[Tendencia]]&amp;" "&amp;Factor_1[[#This Row],[Habilidad Gerencial]]&amp;" "&amp;Factor_1[[#This Row],[Rol del Cargo]]</f>
        <v>G - III 3</v>
      </c>
      <c r="C533" s="199" t="s">
        <v>18</v>
      </c>
      <c r="D533" s="199" t="s">
        <v>78</v>
      </c>
      <c r="E533" s="199" t="s">
        <v>120</v>
      </c>
      <c r="F533" s="199">
        <v>3</v>
      </c>
      <c r="G533" s="199">
        <v>296</v>
      </c>
    </row>
    <row r="534" spans="2:7" hidden="1">
      <c r="B534" s="199" t="str">
        <f>Factor_1[[#This Row],[Conocimientos]]&amp;" "&amp;Factor_1[[#This Row],[Tendencia]]&amp;" "&amp;Factor_1[[#This Row],[Habilidad Gerencial]]&amp;" "&amp;Factor_1[[#This Row],[Rol del Cargo]]</f>
        <v>G - III 4</v>
      </c>
      <c r="C534" s="199" t="s">
        <v>18</v>
      </c>
      <c r="D534" s="199" t="s">
        <v>78</v>
      </c>
      <c r="E534" s="199" t="s">
        <v>120</v>
      </c>
      <c r="F534" s="199">
        <v>4</v>
      </c>
      <c r="G534" s="199">
        <v>304</v>
      </c>
    </row>
    <row r="535" spans="2:7" hidden="1">
      <c r="B535" s="199" t="str">
        <f>Factor_1[[#This Row],[Conocimientos]]&amp;" "&amp;Factor_1[[#This Row],[Tendencia]]&amp;" "&amp;Factor_1[[#This Row],[Habilidad Gerencial]]&amp;" "&amp;Factor_1[[#This Row],[Rol del Cargo]]</f>
        <v>G o III 1</v>
      </c>
      <c r="C535" s="199" t="s">
        <v>18</v>
      </c>
      <c r="D535" s="199" t="s">
        <v>97</v>
      </c>
      <c r="E535" s="199" t="s">
        <v>120</v>
      </c>
      <c r="F535" s="199">
        <v>1</v>
      </c>
      <c r="G535" s="199">
        <v>326</v>
      </c>
    </row>
    <row r="536" spans="2:7" hidden="1">
      <c r="B536" s="199" t="str">
        <f>Factor_1[[#This Row],[Conocimientos]]&amp;" "&amp;Factor_1[[#This Row],[Tendencia]]&amp;" "&amp;Factor_1[[#This Row],[Habilidad Gerencial]]&amp;" "&amp;Factor_1[[#This Row],[Rol del Cargo]]</f>
        <v>G o III 2</v>
      </c>
      <c r="C536" s="199" t="s">
        <v>18</v>
      </c>
      <c r="D536" s="199" t="s">
        <v>97</v>
      </c>
      <c r="E536" s="199" t="s">
        <v>120</v>
      </c>
      <c r="F536" s="199">
        <v>2</v>
      </c>
      <c r="G536" s="199">
        <v>332</v>
      </c>
    </row>
    <row r="537" spans="2:7" hidden="1">
      <c r="B537" s="199" t="str">
        <f>Factor_1[[#This Row],[Conocimientos]]&amp;" "&amp;Factor_1[[#This Row],[Tendencia]]&amp;" "&amp;Factor_1[[#This Row],[Habilidad Gerencial]]&amp;" "&amp;Factor_1[[#This Row],[Rol del Cargo]]</f>
        <v>G o III 3</v>
      </c>
      <c r="C537" s="199" t="s">
        <v>18</v>
      </c>
      <c r="D537" s="199" t="s">
        <v>97</v>
      </c>
      <c r="E537" s="199" t="s">
        <v>120</v>
      </c>
      <c r="F537" s="199">
        <v>3</v>
      </c>
      <c r="G537" s="199">
        <v>338</v>
      </c>
    </row>
    <row r="538" spans="2:7" hidden="1">
      <c r="B538" s="199" t="str">
        <f>Factor_1[[#This Row],[Conocimientos]]&amp;" "&amp;Factor_1[[#This Row],[Tendencia]]&amp;" "&amp;Factor_1[[#This Row],[Habilidad Gerencial]]&amp;" "&amp;Factor_1[[#This Row],[Rol del Cargo]]</f>
        <v>G o III 4</v>
      </c>
      <c r="C538" s="199" t="s">
        <v>18</v>
      </c>
      <c r="D538" s="199" t="s">
        <v>97</v>
      </c>
      <c r="E538" s="199" t="s">
        <v>120</v>
      </c>
      <c r="F538" s="199">
        <v>4</v>
      </c>
      <c r="G538" s="199">
        <v>346</v>
      </c>
    </row>
    <row r="539" spans="2:7" hidden="1">
      <c r="B539" s="199" t="str">
        <f>Factor_1[[#This Row],[Conocimientos]]&amp;" "&amp;Factor_1[[#This Row],[Tendencia]]&amp;" "&amp;Factor_1[[#This Row],[Habilidad Gerencial]]&amp;" "&amp;Factor_1[[#This Row],[Rol del Cargo]]</f>
        <v>G + III 1</v>
      </c>
      <c r="C539" s="199" t="s">
        <v>18</v>
      </c>
      <c r="D539" s="199" t="s">
        <v>117</v>
      </c>
      <c r="E539" s="199" t="s">
        <v>120</v>
      </c>
      <c r="F539" s="199">
        <v>1</v>
      </c>
      <c r="G539" s="199">
        <v>376</v>
      </c>
    </row>
    <row r="540" spans="2:7" hidden="1">
      <c r="B540" s="199" t="str">
        <f>Factor_1[[#This Row],[Conocimientos]]&amp;" "&amp;Factor_1[[#This Row],[Tendencia]]&amp;" "&amp;Factor_1[[#This Row],[Habilidad Gerencial]]&amp;" "&amp;Factor_1[[#This Row],[Rol del Cargo]]</f>
        <v>G + III 2</v>
      </c>
      <c r="C540" s="199" t="s">
        <v>18</v>
      </c>
      <c r="D540" s="199" t="s">
        <v>117</v>
      </c>
      <c r="E540" s="199" t="s">
        <v>120</v>
      </c>
      <c r="F540" s="199">
        <v>2</v>
      </c>
      <c r="G540" s="199">
        <v>382</v>
      </c>
    </row>
    <row r="541" spans="2:7" hidden="1">
      <c r="B541" s="199" t="str">
        <f>Factor_1[[#This Row],[Conocimientos]]&amp;" "&amp;Factor_1[[#This Row],[Tendencia]]&amp;" "&amp;Factor_1[[#This Row],[Habilidad Gerencial]]&amp;" "&amp;Factor_1[[#This Row],[Rol del Cargo]]</f>
        <v>G + III 3</v>
      </c>
      <c r="C541" s="199" t="s">
        <v>18</v>
      </c>
      <c r="D541" s="199" t="s">
        <v>117</v>
      </c>
      <c r="E541" s="199" t="s">
        <v>120</v>
      </c>
      <c r="F541" s="199">
        <v>3</v>
      </c>
      <c r="G541" s="199">
        <v>388</v>
      </c>
    </row>
    <row r="542" spans="2:7" hidden="1">
      <c r="B542" s="199" t="str">
        <f>Factor_1[[#This Row],[Conocimientos]]&amp;" "&amp;Factor_1[[#This Row],[Tendencia]]&amp;" "&amp;Factor_1[[#This Row],[Habilidad Gerencial]]&amp;" "&amp;Factor_1[[#This Row],[Rol del Cargo]]</f>
        <v>G + III 4</v>
      </c>
      <c r="C542" s="199" t="s">
        <v>18</v>
      </c>
      <c r="D542" s="199" t="s">
        <v>117</v>
      </c>
      <c r="E542" s="199" t="s">
        <v>120</v>
      </c>
      <c r="F542" s="199">
        <v>4</v>
      </c>
      <c r="G542" s="199">
        <v>396</v>
      </c>
    </row>
    <row r="543" spans="2:7" hidden="1">
      <c r="B543" s="199" t="str">
        <f>Factor_1[[#This Row],[Conocimientos]]&amp;" "&amp;Factor_1[[#This Row],[Tendencia]]&amp;" "&amp;Factor_1[[#This Row],[Habilidad Gerencial]]&amp;" "&amp;Factor_1[[#This Row],[Rol del Cargo]]</f>
        <v>G - IV 1</v>
      </c>
      <c r="C543" s="199" t="s">
        <v>18</v>
      </c>
      <c r="D543" s="199" t="s">
        <v>78</v>
      </c>
      <c r="E543" s="199" t="s">
        <v>139</v>
      </c>
      <c r="F543" s="199">
        <v>1</v>
      </c>
      <c r="G543" s="199">
        <v>304</v>
      </c>
    </row>
    <row r="544" spans="2:7" hidden="1">
      <c r="B544" s="199" t="str">
        <f>Factor_1[[#This Row],[Conocimientos]]&amp;" "&amp;Factor_1[[#This Row],[Tendencia]]&amp;" "&amp;Factor_1[[#This Row],[Habilidad Gerencial]]&amp;" "&amp;Factor_1[[#This Row],[Rol del Cargo]]</f>
        <v>G - IV 2</v>
      </c>
      <c r="C544" s="199" t="s">
        <v>18</v>
      </c>
      <c r="D544" s="199" t="s">
        <v>78</v>
      </c>
      <c r="E544" s="199" t="s">
        <v>139</v>
      </c>
      <c r="F544" s="199">
        <v>2</v>
      </c>
      <c r="G544" s="199">
        <v>313</v>
      </c>
    </row>
    <row r="545" spans="2:7" hidden="1">
      <c r="B545" s="199" t="str">
        <f>Factor_1[[#This Row],[Conocimientos]]&amp;" "&amp;Factor_1[[#This Row],[Tendencia]]&amp;" "&amp;Factor_1[[#This Row],[Habilidad Gerencial]]&amp;" "&amp;Factor_1[[#This Row],[Rol del Cargo]]</f>
        <v>G - IV 3</v>
      </c>
      <c r="C545" s="199" t="s">
        <v>18</v>
      </c>
      <c r="D545" s="199" t="s">
        <v>78</v>
      </c>
      <c r="E545" s="199" t="s">
        <v>139</v>
      </c>
      <c r="F545" s="199">
        <v>3</v>
      </c>
      <c r="G545" s="199">
        <v>323</v>
      </c>
    </row>
    <row r="546" spans="2:7" hidden="1">
      <c r="B546" s="199" t="str">
        <f>Factor_1[[#This Row],[Conocimientos]]&amp;" "&amp;Factor_1[[#This Row],[Tendencia]]&amp;" "&amp;Factor_1[[#This Row],[Habilidad Gerencial]]&amp;" "&amp;Factor_1[[#This Row],[Rol del Cargo]]</f>
        <v>G - IV 4</v>
      </c>
      <c r="C546" s="199" t="s">
        <v>18</v>
      </c>
      <c r="D546" s="199" t="s">
        <v>78</v>
      </c>
      <c r="E546" s="199" t="s">
        <v>139</v>
      </c>
      <c r="F546" s="199">
        <v>4</v>
      </c>
      <c r="G546" s="199">
        <v>336</v>
      </c>
    </row>
    <row r="547" spans="2:7" hidden="1">
      <c r="B547" s="199" t="str">
        <f>Factor_1[[#This Row],[Conocimientos]]&amp;" "&amp;Factor_1[[#This Row],[Tendencia]]&amp;" "&amp;Factor_1[[#This Row],[Habilidad Gerencial]]&amp;" "&amp;Factor_1[[#This Row],[Rol del Cargo]]</f>
        <v>G o IV 1</v>
      </c>
      <c r="C547" s="199" t="s">
        <v>18</v>
      </c>
      <c r="D547" s="199" t="s">
        <v>97</v>
      </c>
      <c r="E547" s="199" t="s">
        <v>139</v>
      </c>
      <c r="F547" s="199">
        <v>1</v>
      </c>
      <c r="G547" s="199">
        <v>346</v>
      </c>
    </row>
    <row r="548" spans="2:7" hidden="1">
      <c r="B548" s="199" t="str">
        <f>Factor_1[[#This Row],[Conocimientos]]&amp;" "&amp;Factor_1[[#This Row],[Tendencia]]&amp;" "&amp;Factor_1[[#This Row],[Habilidad Gerencial]]&amp;" "&amp;Factor_1[[#This Row],[Rol del Cargo]]</f>
        <v>G o IV 2</v>
      </c>
      <c r="C548" s="199" t="s">
        <v>18</v>
      </c>
      <c r="D548" s="199" t="s">
        <v>97</v>
      </c>
      <c r="E548" s="199" t="s">
        <v>139</v>
      </c>
      <c r="F548" s="199">
        <v>2</v>
      </c>
      <c r="G548" s="199">
        <v>355</v>
      </c>
    </row>
    <row r="549" spans="2:7" hidden="1">
      <c r="B549" s="199" t="str">
        <f>Factor_1[[#This Row],[Conocimientos]]&amp;" "&amp;Factor_1[[#This Row],[Tendencia]]&amp;" "&amp;Factor_1[[#This Row],[Habilidad Gerencial]]&amp;" "&amp;Factor_1[[#This Row],[Rol del Cargo]]</f>
        <v>G o IV 3</v>
      </c>
      <c r="C549" s="199" t="s">
        <v>18</v>
      </c>
      <c r="D549" s="199" t="s">
        <v>97</v>
      </c>
      <c r="E549" s="199" t="s">
        <v>139</v>
      </c>
      <c r="F549" s="199">
        <v>3</v>
      </c>
      <c r="G549" s="199">
        <v>366</v>
      </c>
    </row>
    <row r="550" spans="2:7" hidden="1">
      <c r="B550" s="199" t="str">
        <f>Factor_1[[#This Row],[Conocimientos]]&amp;" "&amp;Factor_1[[#This Row],[Tendencia]]&amp;" "&amp;Factor_1[[#This Row],[Habilidad Gerencial]]&amp;" "&amp;Factor_1[[#This Row],[Rol del Cargo]]</f>
        <v>G o IV 4</v>
      </c>
      <c r="C550" s="199" t="s">
        <v>18</v>
      </c>
      <c r="D550" s="199" t="s">
        <v>97</v>
      </c>
      <c r="E550" s="199" t="s">
        <v>139</v>
      </c>
      <c r="F550" s="199">
        <v>4</v>
      </c>
      <c r="G550" s="199">
        <v>378</v>
      </c>
    </row>
    <row r="551" spans="2:7" hidden="1">
      <c r="B551" s="199" t="str">
        <f>Factor_1[[#This Row],[Conocimientos]]&amp;" "&amp;Factor_1[[#This Row],[Tendencia]]&amp;" "&amp;Factor_1[[#This Row],[Habilidad Gerencial]]&amp;" "&amp;Factor_1[[#This Row],[Rol del Cargo]]</f>
        <v>G + IV 1</v>
      </c>
      <c r="C551" s="199" t="s">
        <v>18</v>
      </c>
      <c r="D551" s="199" t="s">
        <v>117</v>
      </c>
      <c r="E551" s="199" t="s">
        <v>139</v>
      </c>
      <c r="F551" s="199">
        <v>1</v>
      </c>
      <c r="G551" s="199">
        <v>396</v>
      </c>
    </row>
    <row r="552" spans="2:7" hidden="1">
      <c r="B552" s="199" t="str">
        <f>Factor_1[[#This Row],[Conocimientos]]&amp;" "&amp;Factor_1[[#This Row],[Tendencia]]&amp;" "&amp;Factor_1[[#This Row],[Habilidad Gerencial]]&amp;" "&amp;Factor_1[[#This Row],[Rol del Cargo]]</f>
        <v>G + IV 2</v>
      </c>
      <c r="C552" s="199" t="s">
        <v>18</v>
      </c>
      <c r="D552" s="199" t="s">
        <v>117</v>
      </c>
      <c r="E552" s="199" t="s">
        <v>139</v>
      </c>
      <c r="F552" s="199">
        <v>2</v>
      </c>
      <c r="G552" s="199">
        <v>405</v>
      </c>
    </row>
    <row r="553" spans="2:7" hidden="1">
      <c r="B553" s="199" t="str">
        <f>Factor_1[[#This Row],[Conocimientos]]&amp;" "&amp;Factor_1[[#This Row],[Tendencia]]&amp;" "&amp;Factor_1[[#This Row],[Habilidad Gerencial]]&amp;" "&amp;Factor_1[[#This Row],[Rol del Cargo]]</f>
        <v>G + IV 3</v>
      </c>
      <c r="C553" s="199" t="s">
        <v>18</v>
      </c>
      <c r="D553" s="199" t="s">
        <v>117</v>
      </c>
      <c r="E553" s="199" t="s">
        <v>139</v>
      </c>
      <c r="F553" s="199">
        <v>3</v>
      </c>
      <c r="G553" s="199">
        <v>416</v>
      </c>
    </row>
    <row r="554" spans="2:7" hidden="1">
      <c r="B554" s="199" t="str">
        <f>Factor_1[[#This Row],[Conocimientos]]&amp;" "&amp;Factor_1[[#This Row],[Tendencia]]&amp;" "&amp;Factor_1[[#This Row],[Habilidad Gerencial]]&amp;" "&amp;Factor_1[[#This Row],[Rol del Cargo]]</f>
        <v>G + IV 4</v>
      </c>
      <c r="C554" s="199" t="s">
        <v>18</v>
      </c>
      <c r="D554" s="199" t="s">
        <v>117</v>
      </c>
      <c r="E554" s="199" t="s">
        <v>139</v>
      </c>
      <c r="F554" s="199">
        <v>4</v>
      </c>
      <c r="G554" s="199">
        <v>428</v>
      </c>
    </row>
    <row r="555" spans="2:7" hidden="1">
      <c r="B555" s="199" t="str">
        <f>Factor_1[[#This Row],[Conocimientos]]&amp;" "&amp;Factor_1[[#This Row],[Tendencia]]&amp;" "&amp;Factor_1[[#This Row],[Habilidad Gerencial]]&amp;" "&amp;Factor_1[[#This Row],[Rol del Cargo]]</f>
        <v>G - V 1</v>
      </c>
      <c r="C555" s="199" t="s">
        <v>18</v>
      </c>
      <c r="D555" s="199" t="s">
        <v>78</v>
      </c>
      <c r="E555" s="199" t="s">
        <v>157</v>
      </c>
      <c r="F555" s="199">
        <v>1</v>
      </c>
      <c r="G555" s="199">
        <v>336</v>
      </c>
    </row>
    <row r="556" spans="2:7" hidden="1">
      <c r="B556" s="199" t="str">
        <f>Factor_1[[#This Row],[Conocimientos]]&amp;" "&amp;Factor_1[[#This Row],[Tendencia]]&amp;" "&amp;Factor_1[[#This Row],[Habilidad Gerencial]]&amp;" "&amp;Factor_1[[#This Row],[Rol del Cargo]]</f>
        <v>G - V 2</v>
      </c>
      <c r="C556" s="199" t="s">
        <v>18</v>
      </c>
      <c r="D556" s="199" t="s">
        <v>78</v>
      </c>
      <c r="E556" s="199" t="s">
        <v>157</v>
      </c>
      <c r="F556" s="199">
        <v>2</v>
      </c>
      <c r="G556" s="199">
        <v>350</v>
      </c>
    </row>
    <row r="557" spans="2:7" hidden="1">
      <c r="B557" s="199" t="str">
        <f>Factor_1[[#This Row],[Conocimientos]]&amp;" "&amp;Factor_1[[#This Row],[Tendencia]]&amp;" "&amp;Factor_1[[#This Row],[Habilidad Gerencial]]&amp;" "&amp;Factor_1[[#This Row],[Rol del Cargo]]</f>
        <v>G - V 3</v>
      </c>
      <c r="C557" s="199" t="s">
        <v>18</v>
      </c>
      <c r="D557" s="199" t="s">
        <v>78</v>
      </c>
      <c r="E557" s="199" t="s">
        <v>157</v>
      </c>
      <c r="F557" s="199">
        <v>3</v>
      </c>
      <c r="G557" s="199">
        <v>367</v>
      </c>
    </row>
    <row r="558" spans="2:7" hidden="1">
      <c r="B558" s="199" t="str">
        <f>Factor_1[[#This Row],[Conocimientos]]&amp;" "&amp;Factor_1[[#This Row],[Tendencia]]&amp;" "&amp;Factor_1[[#This Row],[Habilidad Gerencial]]&amp;" "&amp;Factor_1[[#This Row],[Rol del Cargo]]</f>
        <v>G - V 4</v>
      </c>
      <c r="C558" s="199" t="s">
        <v>18</v>
      </c>
      <c r="D558" s="199" t="s">
        <v>78</v>
      </c>
      <c r="E558" s="199" t="s">
        <v>157</v>
      </c>
      <c r="F558" s="199">
        <v>4</v>
      </c>
      <c r="G558" s="199">
        <v>387</v>
      </c>
    </row>
    <row r="559" spans="2:7" hidden="1">
      <c r="B559" s="199" t="str">
        <f>Factor_1[[#This Row],[Conocimientos]]&amp;" "&amp;Factor_1[[#This Row],[Tendencia]]&amp;" "&amp;Factor_1[[#This Row],[Habilidad Gerencial]]&amp;" "&amp;Factor_1[[#This Row],[Rol del Cargo]]</f>
        <v>G o V 1</v>
      </c>
      <c r="C559" s="199" t="s">
        <v>18</v>
      </c>
      <c r="D559" s="199" t="s">
        <v>97</v>
      </c>
      <c r="E559" s="199" t="s">
        <v>157</v>
      </c>
      <c r="F559" s="199">
        <v>1</v>
      </c>
      <c r="G559" s="199">
        <v>378</v>
      </c>
    </row>
    <row r="560" spans="2:7" hidden="1">
      <c r="B560" s="199" t="str">
        <f>Factor_1[[#This Row],[Conocimientos]]&amp;" "&amp;Factor_1[[#This Row],[Tendencia]]&amp;" "&amp;Factor_1[[#This Row],[Habilidad Gerencial]]&amp;" "&amp;Factor_1[[#This Row],[Rol del Cargo]]</f>
        <v>G o V 2</v>
      </c>
      <c r="C560" s="199" t="s">
        <v>18</v>
      </c>
      <c r="D560" s="199" t="s">
        <v>97</v>
      </c>
      <c r="E560" s="199" t="s">
        <v>157</v>
      </c>
      <c r="F560" s="199">
        <v>2</v>
      </c>
      <c r="G560" s="199">
        <v>393</v>
      </c>
    </row>
    <row r="561" spans="2:7" hidden="1">
      <c r="B561" s="199" t="str">
        <f>Factor_1[[#This Row],[Conocimientos]]&amp;" "&amp;Factor_1[[#This Row],[Tendencia]]&amp;" "&amp;Factor_1[[#This Row],[Habilidad Gerencial]]&amp;" "&amp;Factor_1[[#This Row],[Rol del Cargo]]</f>
        <v>G o V 3</v>
      </c>
      <c r="C561" s="199" t="s">
        <v>18</v>
      </c>
      <c r="D561" s="199" t="s">
        <v>97</v>
      </c>
      <c r="E561" s="199" t="s">
        <v>157</v>
      </c>
      <c r="F561" s="199">
        <v>3</v>
      </c>
      <c r="G561" s="199">
        <v>410</v>
      </c>
    </row>
    <row r="562" spans="2:7" hidden="1">
      <c r="B562" s="199" t="str">
        <f>Factor_1[[#This Row],[Conocimientos]]&amp;" "&amp;Factor_1[[#This Row],[Tendencia]]&amp;" "&amp;Factor_1[[#This Row],[Habilidad Gerencial]]&amp;" "&amp;Factor_1[[#This Row],[Rol del Cargo]]</f>
        <v>G o V 4</v>
      </c>
      <c r="C562" s="199" t="s">
        <v>18</v>
      </c>
      <c r="D562" s="199" t="s">
        <v>97</v>
      </c>
      <c r="E562" s="199" t="s">
        <v>157</v>
      </c>
      <c r="F562" s="199">
        <v>4</v>
      </c>
      <c r="G562" s="199">
        <v>430</v>
      </c>
    </row>
    <row r="563" spans="2:7" hidden="1">
      <c r="B563" s="199" t="str">
        <f>Factor_1[[#This Row],[Conocimientos]]&amp;" "&amp;Factor_1[[#This Row],[Tendencia]]&amp;" "&amp;Factor_1[[#This Row],[Habilidad Gerencial]]&amp;" "&amp;Factor_1[[#This Row],[Rol del Cargo]]</f>
        <v>G + V 1</v>
      </c>
      <c r="C563" s="199" t="s">
        <v>18</v>
      </c>
      <c r="D563" s="199" t="s">
        <v>117</v>
      </c>
      <c r="E563" s="199" t="s">
        <v>157</v>
      </c>
      <c r="F563" s="199">
        <v>1</v>
      </c>
      <c r="G563" s="199">
        <v>428</v>
      </c>
    </row>
    <row r="564" spans="2:7" hidden="1">
      <c r="B564" s="199" t="str">
        <f>Factor_1[[#This Row],[Conocimientos]]&amp;" "&amp;Factor_1[[#This Row],[Tendencia]]&amp;" "&amp;Factor_1[[#This Row],[Habilidad Gerencial]]&amp;" "&amp;Factor_1[[#This Row],[Rol del Cargo]]</f>
        <v>G + V 2</v>
      </c>
      <c r="C564" s="199" t="s">
        <v>18</v>
      </c>
      <c r="D564" s="199" t="s">
        <v>117</v>
      </c>
      <c r="E564" s="199" t="s">
        <v>157</v>
      </c>
      <c r="F564" s="199">
        <v>2</v>
      </c>
      <c r="G564" s="199">
        <v>443</v>
      </c>
    </row>
    <row r="565" spans="2:7" hidden="1">
      <c r="B565" s="199" t="str">
        <f>Factor_1[[#This Row],[Conocimientos]]&amp;" "&amp;Factor_1[[#This Row],[Tendencia]]&amp;" "&amp;Factor_1[[#This Row],[Habilidad Gerencial]]&amp;" "&amp;Factor_1[[#This Row],[Rol del Cargo]]</f>
        <v>G + V 3</v>
      </c>
      <c r="C565" s="199" t="s">
        <v>18</v>
      </c>
      <c r="D565" s="199" t="s">
        <v>117</v>
      </c>
      <c r="E565" s="199" t="s">
        <v>157</v>
      </c>
      <c r="F565" s="199">
        <v>3</v>
      </c>
      <c r="G565" s="199">
        <v>460</v>
      </c>
    </row>
    <row r="566" spans="2:7" hidden="1">
      <c r="B566" s="199" t="str">
        <f>Factor_1[[#This Row],[Conocimientos]]&amp;" "&amp;Factor_1[[#This Row],[Tendencia]]&amp;" "&amp;Factor_1[[#This Row],[Habilidad Gerencial]]&amp;" "&amp;Factor_1[[#This Row],[Rol del Cargo]]</f>
        <v>G + V 4</v>
      </c>
      <c r="C566" s="199" t="s">
        <v>18</v>
      </c>
      <c r="D566" s="199" t="s">
        <v>117</v>
      </c>
      <c r="E566" s="199" t="s">
        <v>157</v>
      </c>
      <c r="F566" s="199">
        <v>4</v>
      </c>
      <c r="G566" s="199">
        <v>480</v>
      </c>
    </row>
    <row r="567" spans="2:7" hidden="1">
      <c r="B567" s="199" t="str">
        <f>Factor_1[[#This Row],[Conocimientos]]&amp;" "&amp;Factor_1[[#This Row],[Tendencia]]&amp;" "&amp;Factor_1[[#This Row],[Habilidad Gerencial]]&amp;" "&amp;Factor_1[[#This Row],[Rol del Cargo]]</f>
        <v>G - VI 1</v>
      </c>
      <c r="C567" s="199" t="s">
        <v>18</v>
      </c>
      <c r="D567" s="199" t="s">
        <v>78</v>
      </c>
      <c r="E567" s="199" t="s">
        <v>171</v>
      </c>
      <c r="F567" s="199">
        <v>1</v>
      </c>
      <c r="G567" s="199">
        <v>387</v>
      </c>
    </row>
    <row r="568" spans="2:7" hidden="1">
      <c r="B568" s="199" t="str">
        <f>Factor_1[[#This Row],[Conocimientos]]&amp;" "&amp;Factor_1[[#This Row],[Tendencia]]&amp;" "&amp;Factor_1[[#This Row],[Habilidad Gerencial]]&amp;" "&amp;Factor_1[[#This Row],[Rol del Cargo]]</f>
        <v>G - VI 2</v>
      </c>
      <c r="C568" s="199" t="s">
        <v>18</v>
      </c>
      <c r="D568" s="199" t="s">
        <v>78</v>
      </c>
      <c r="E568" s="199" t="s">
        <v>171</v>
      </c>
      <c r="F568" s="199">
        <v>2</v>
      </c>
      <c r="G568" s="199">
        <v>411</v>
      </c>
    </row>
    <row r="569" spans="2:7" hidden="1">
      <c r="B569" s="199" t="str">
        <f>Factor_1[[#This Row],[Conocimientos]]&amp;" "&amp;Factor_1[[#This Row],[Tendencia]]&amp;" "&amp;Factor_1[[#This Row],[Habilidad Gerencial]]&amp;" "&amp;Factor_1[[#This Row],[Rol del Cargo]]</f>
        <v>G - VI 3</v>
      </c>
      <c r="C569" s="199" t="s">
        <v>18</v>
      </c>
      <c r="D569" s="199" t="s">
        <v>78</v>
      </c>
      <c r="E569" s="199" t="s">
        <v>171</v>
      </c>
      <c r="F569" s="199">
        <v>3</v>
      </c>
      <c r="G569" s="199">
        <v>438</v>
      </c>
    </row>
    <row r="570" spans="2:7" hidden="1">
      <c r="B570" s="199" t="str">
        <f>Factor_1[[#This Row],[Conocimientos]]&amp;" "&amp;Factor_1[[#This Row],[Tendencia]]&amp;" "&amp;Factor_1[[#This Row],[Habilidad Gerencial]]&amp;" "&amp;Factor_1[[#This Row],[Rol del Cargo]]</f>
        <v>G - VI 4</v>
      </c>
      <c r="C570" s="199" t="s">
        <v>18</v>
      </c>
      <c r="D570" s="199" t="s">
        <v>78</v>
      </c>
      <c r="E570" s="199" t="s">
        <v>171</v>
      </c>
      <c r="F570" s="199">
        <v>4</v>
      </c>
      <c r="G570" s="199">
        <v>470</v>
      </c>
    </row>
    <row r="571" spans="2:7" hidden="1">
      <c r="B571" s="199" t="str">
        <f>Factor_1[[#This Row],[Conocimientos]]&amp;" "&amp;Factor_1[[#This Row],[Tendencia]]&amp;" "&amp;Factor_1[[#This Row],[Habilidad Gerencial]]&amp;" "&amp;Factor_1[[#This Row],[Rol del Cargo]]</f>
        <v>G o VI 1</v>
      </c>
      <c r="C571" s="199" t="s">
        <v>18</v>
      </c>
      <c r="D571" s="199" t="s">
        <v>97</v>
      </c>
      <c r="E571" s="199" t="s">
        <v>171</v>
      </c>
      <c r="F571" s="199">
        <v>1</v>
      </c>
      <c r="G571" s="199">
        <v>430</v>
      </c>
    </row>
    <row r="572" spans="2:7" hidden="1">
      <c r="B572" s="199" t="str">
        <f>Factor_1[[#This Row],[Conocimientos]]&amp;" "&amp;Factor_1[[#This Row],[Tendencia]]&amp;" "&amp;Factor_1[[#This Row],[Habilidad Gerencial]]&amp;" "&amp;Factor_1[[#This Row],[Rol del Cargo]]</f>
        <v>G o VI 2</v>
      </c>
      <c r="C572" s="199" t="s">
        <v>18</v>
      </c>
      <c r="D572" s="199" t="s">
        <v>97</v>
      </c>
      <c r="E572" s="199" t="s">
        <v>171</v>
      </c>
      <c r="F572" s="199">
        <v>2</v>
      </c>
      <c r="G572" s="199">
        <v>453</v>
      </c>
    </row>
    <row r="573" spans="2:7" hidden="1">
      <c r="B573" s="199" t="str">
        <f>Factor_1[[#This Row],[Conocimientos]]&amp;" "&amp;Factor_1[[#This Row],[Tendencia]]&amp;" "&amp;Factor_1[[#This Row],[Habilidad Gerencial]]&amp;" "&amp;Factor_1[[#This Row],[Rol del Cargo]]</f>
        <v>G o VI 3</v>
      </c>
      <c r="C573" s="199" t="s">
        <v>18</v>
      </c>
      <c r="D573" s="199" t="s">
        <v>97</v>
      </c>
      <c r="E573" s="199" t="s">
        <v>171</v>
      </c>
      <c r="F573" s="199">
        <v>3</v>
      </c>
      <c r="G573" s="199">
        <v>481</v>
      </c>
    </row>
    <row r="574" spans="2:7" hidden="1">
      <c r="B574" s="199" t="str">
        <f>Factor_1[[#This Row],[Conocimientos]]&amp;" "&amp;Factor_1[[#This Row],[Tendencia]]&amp;" "&amp;Factor_1[[#This Row],[Habilidad Gerencial]]&amp;" "&amp;Factor_1[[#This Row],[Rol del Cargo]]</f>
        <v>G o VI 4</v>
      </c>
      <c r="C574" s="199" t="s">
        <v>18</v>
      </c>
      <c r="D574" s="199" t="s">
        <v>97</v>
      </c>
      <c r="E574" s="199" t="s">
        <v>171</v>
      </c>
      <c r="F574" s="199">
        <v>4</v>
      </c>
      <c r="G574" s="199">
        <v>513</v>
      </c>
    </row>
    <row r="575" spans="2:7" hidden="1">
      <c r="B575" s="199" t="str">
        <f>Factor_1[[#This Row],[Conocimientos]]&amp;" "&amp;Factor_1[[#This Row],[Tendencia]]&amp;" "&amp;Factor_1[[#This Row],[Habilidad Gerencial]]&amp;" "&amp;Factor_1[[#This Row],[Rol del Cargo]]</f>
        <v>G + VI 1</v>
      </c>
      <c r="C575" s="199" t="s">
        <v>18</v>
      </c>
      <c r="D575" s="199" t="s">
        <v>117</v>
      </c>
      <c r="E575" s="199" t="s">
        <v>171</v>
      </c>
      <c r="F575" s="199">
        <v>1</v>
      </c>
      <c r="G575" s="199">
        <v>480</v>
      </c>
    </row>
    <row r="576" spans="2:7" hidden="1">
      <c r="B576" s="199" t="str">
        <f>Factor_1[[#This Row],[Conocimientos]]&amp;" "&amp;Factor_1[[#This Row],[Tendencia]]&amp;" "&amp;Factor_1[[#This Row],[Habilidad Gerencial]]&amp;" "&amp;Factor_1[[#This Row],[Rol del Cargo]]</f>
        <v>G + VI 2</v>
      </c>
      <c r="C576" s="199" t="s">
        <v>18</v>
      </c>
      <c r="D576" s="199" t="s">
        <v>117</v>
      </c>
      <c r="E576" s="199" t="s">
        <v>171</v>
      </c>
      <c r="F576" s="199">
        <v>2</v>
      </c>
      <c r="G576" s="199">
        <v>503</v>
      </c>
    </row>
    <row r="577" spans="2:7" hidden="1">
      <c r="B577" s="199" t="str">
        <f>Factor_1[[#This Row],[Conocimientos]]&amp;" "&amp;Factor_1[[#This Row],[Tendencia]]&amp;" "&amp;Factor_1[[#This Row],[Habilidad Gerencial]]&amp;" "&amp;Factor_1[[#This Row],[Rol del Cargo]]</f>
        <v>G + VI 3</v>
      </c>
      <c r="C577" s="199" t="s">
        <v>18</v>
      </c>
      <c r="D577" s="199" t="s">
        <v>117</v>
      </c>
      <c r="E577" s="199" t="s">
        <v>171</v>
      </c>
      <c r="F577" s="199">
        <v>3</v>
      </c>
      <c r="G577" s="199">
        <v>530</v>
      </c>
    </row>
    <row r="578" spans="2:7" hidden="1">
      <c r="B578" s="199" t="str">
        <f>Factor_1[[#This Row],[Conocimientos]]&amp;" "&amp;Factor_1[[#This Row],[Tendencia]]&amp;" "&amp;Factor_1[[#This Row],[Habilidad Gerencial]]&amp;" "&amp;Factor_1[[#This Row],[Rol del Cargo]]</f>
        <v>G + VI 4</v>
      </c>
      <c r="C578" s="199" t="s">
        <v>18</v>
      </c>
      <c r="D578" s="199" t="s">
        <v>117</v>
      </c>
      <c r="E578" s="199" t="s">
        <v>171</v>
      </c>
      <c r="F578" s="199">
        <v>4</v>
      </c>
      <c r="G578" s="199">
        <v>562</v>
      </c>
    </row>
    <row r="579" spans="2:7" hidden="1">
      <c r="B579" s="199" t="str">
        <f>Factor_1[[#This Row],[Conocimientos]]&amp;" "&amp;Factor_1[[#This Row],[Tendencia]]&amp;" "&amp;Factor_1[[#This Row],[Habilidad Gerencial]]&amp;" "&amp;Factor_1[[#This Row],[Rol del Cargo]]</f>
        <v>G - VII 1</v>
      </c>
      <c r="C579" s="199" t="s">
        <v>18</v>
      </c>
      <c r="D579" s="199" t="s">
        <v>78</v>
      </c>
      <c r="E579" s="199" t="s">
        <v>179</v>
      </c>
      <c r="F579" s="199">
        <v>1</v>
      </c>
      <c r="G579" s="199">
        <v>470</v>
      </c>
    </row>
    <row r="580" spans="2:7" hidden="1">
      <c r="B580" s="199" t="str">
        <f>Factor_1[[#This Row],[Conocimientos]]&amp;" "&amp;Factor_1[[#This Row],[Tendencia]]&amp;" "&amp;Factor_1[[#This Row],[Habilidad Gerencial]]&amp;" "&amp;Factor_1[[#This Row],[Rol del Cargo]]</f>
        <v>G - VII 2</v>
      </c>
      <c r="C580" s="199" t="s">
        <v>18</v>
      </c>
      <c r="D580" s="199" t="s">
        <v>78</v>
      </c>
      <c r="E580" s="199" t="s">
        <v>179</v>
      </c>
      <c r="F580" s="199">
        <v>2</v>
      </c>
      <c r="G580" s="199">
        <v>507</v>
      </c>
    </row>
    <row r="581" spans="2:7" hidden="1">
      <c r="B581" s="199" t="str">
        <f>Factor_1[[#This Row],[Conocimientos]]&amp;" "&amp;Factor_1[[#This Row],[Tendencia]]&amp;" "&amp;Factor_1[[#This Row],[Habilidad Gerencial]]&amp;" "&amp;Factor_1[[#This Row],[Rol del Cargo]]</f>
        <v>G - VII 3</v>
      </c>
      <c r="C581" s="199" t="s">
        <v>18</v>
      </c>
      <c r="D581" s="199" t="s">
        <v>78</v>
      </c>
      <c r="E581" s="199" t="s">
        <v>179</v>
      </c>
      <c r="F581" s="199">
        <v>3</v>
      </c>
      <c r="G581" s="199">
        <v>551</v>
      </c>
    </row>
    <row r="582" spans="2:7" hidden="1">
      <c r="B582" s="199" t="str">
        <f>Factor_1[[#This Row],[Conocimientos]]&amp;" "&amp;Factor_1[[#This Row],[Tendencia]]&amp;" "&amp;Factor_1[[#This Row],[Habilidad Gerencial]]&amp;" "&amp;Factor_1[[#This Row],[Rol del Cargo]]</f>
        <v>G - VII 4</v>
      </c>
      <c r="C582" s="199" t="s">
        <v>18</v>
      </c>
      <c r="D582" s="199" t="s">
        <v>78</v>
      </c>
      <c r="E582" s="199" t="s">
        <v>179</v>
      </c>
      <c r="F582" s="199">
        <v>4</v>
      </c>
      <c r="G582" s="199">
        <v>602</v>
      </c>
    </row>
    <row r="583" spans="2:7" hidden="1">
      <c r="B583" s="199" t="str">
        <f>Factor_1[[#This Row],[Conocimientos]]&amp;" "&amp;Factor_1[[#This Row],[Tendencia]]&amp;" "&amp;Factor_1[[#This Row],[Habilidad Gerencial]]&amp;" "&amp;Factor_1[[#This Row],[Rol del Cargo]]</f>
        <v>G o VII 1</v>
      </c>
      <c r="C583" s="199" t="s">
        <v>18</v>
      </c>
      <c r="D583" s="199" t="s">
        <v>97</v>
      </c>
      <c r="E583" s="199" t="s">
        <v>179</v>
      </c>
      <c r="F583" s="199">
        <v>1</v>
      </c>
      <c r="G583" s="199">
        <v>513</v>
      </c>
    </row>
    <row r="584" spans="2:7" hidden="1">
      <c r="B584" s="199" t="str">
        <f>Factor_1[[#This Row],[Conocimientos]]&amp;" "&amp;Factor_1[[#This Row],[Tendencia]]&amp;" "&amp;Factor_1[[#This Row],[Habilidad Gerencial]]&amp;" "&amp;Factor_1[[#This Row],[Rol del Cargo]]</f>
        <v>G o VII 2</v>
      </c>
      <c r="C584" s="199" t="s">
        <v>18</v>
      </c>
      <c r="D584" s="199" t="s">
        <v>97</v>
      </c>
      <c r="E584" s="199" t="s">
        <v>179</v>
      </c>
      <c r="F584" s="199">
        <v>2</v>
      </c>
      <c r="G584" s="199">
        <v>550</v>
      </c>
    </row>
    <row r="585" spans="2:7" hidden="1">
      <c r="B585" s="199" t="str">
        <f>Factor_1[[#This Row],[Conocimientos]]&amp;" "&amp;Factor_1[[#This Row],[Tendencia]]&amp;" "&amp;Factor_1[[#This Row],[Habilidad Gerencial]]&amp;" "&amp;Factor_1[[#This Row],[Rol del Cargo]]</f>
        <v>G o VII 3</v>
      </c>
      <c r="C585" s="199" t="s">
        <v>18</v>
      </c>
      <c r="D585" s="199" t="s">
        <v>97</v>
      </c>
      <c r="E585" s="199" t="s">
        <v>179</v>
      </c>
      <c r="F585" s="199">
        <v>3</v>
      </c>
      <c r="G585" s="199">
        <v>594</v>
      </c>
    </row>
    <row r="586" spans="2:7" hidden="1">
      <c r="B586" s="199" t="str">
        <f>Factor_1[[#This Row],[Conocimientos]]&amp;" "&amp;Factor_1[[#This Row],[Tendencia]]&amp;" "&amp;Factor_1[[#This Row],[Habilidad Gerencial]]&amp;" "&amp;Factor_1[[#This Row],[Rol del Cargo]]</f>
        <v>G o VII 4</v>
      </c>
      <c r="C586" s="199" t="s">
        <v>18</v>
      </c>
      <c r="D586" s="199" t="s">
        <v>97</v>
      </c>
      <c r="E586" s="199" t="s">
        <v>179</v>
      </c>
      <c r="F586" s="199">
        <v>4</v>
      </c>
      <c r="G586" s="199">
        <v>645</v>
      </c>
    </row>
    <row r="587" spans="2:7" hidden="1">
      <c r="B587" s="199" t="str">
        <f>Factor_1[[#This Row],[Conocimientos]]&amp;" "&amp;Factor_1[[#This Row],[Tendencia]]&amp;" "&amp;Factor_1[[#This Row],[Habilidad Gerencial]]&amp;" "&amp;Factor_1[[#This Row],[Rol del Cargo]]</f>
        <v>G + VII 1</v>
      </c>
      <c r="C587" s="199" t="s">
        <v>18</v>
      </c>
      <c r="D587" s="199" t="s">
        <v>117</v>
      </c>
      <c r="E587" s="199" t="s">
        <v>179</v>
      </c>
      <c r="F587" s="199">
        <v>1</v>
      </c>
      <c r="G587" s="199">
        <v>562</v>
      </c>
    </row>
    <row r="588" spans="2:7" hidden="1">
      <c r="B588" s="199" t="str">
        <f>Factor_1[[#This Row],[Conocimientos]]&amp;" "&amp;Factor_1[[#This Row],[Tendencia]]&amp;" "&amp;Factor_1[[#This Row],[Habilidad Gerencial]]&amp;" "&amp;Factor_1[[#This Row],[Rol del Cargo]]</f>
        <v>G + VII 2</v>
      </c>
      <c r="C588" s="199" t="s">
        <v>18</v>
      </c>
      <c r="D588" s="199" t="s">
        <v>117</v>
      </c>
      <c r="E588" s="199" t="s">
        <v>179</v>
      </c>
      <c r="F588" s="199">
        <v>2</v>
      </c>
      <c r="G588" s="199">
        <v>600</v>
      </c>
    </row>
    <row r="589" spans="2:7" hidden="1">
      <c r="B589" s="199" t="str">
        <f>Factor_1[[#This Row],[Conocimientos]]&amp;" "&amp;Factor_1[[#This Row],[Tendencia]]&amp;" "&amp;Factor_1[[#This Row],[Habilidad Gerencial]]&amp;" "&amp;Factor_1[[#This Row],[Rol del Cargo]]</f>
        <v>G + VII 3</v>
      </c>
      <c r="C589" s="199" t="s">
        <v>18</v>
      </c>
      <c r="D589" s="199" t="s">
        <v>117</v>
      </c>
      <c r="E589" s="199" t="s">
        <v>179</v>
      </c>
      <c r="F589" s="199">
        <v>3</v>
      </c>
      <c r="G589" s="199">
        <v>643</v>
      </c>
    </row>
    <row r="590" spans="2:7" hidden="1">
      <c r="B590" s="199" t="str">
        <f>Factor_1[[#This Row],[Conocimientos]]&amp;" "&amp;Factor_1[[#This Row],[Tendencia]]&amp;" "&amp;Factor_1[[#This Row],[Habilidad Gerencial]]&amp;" "&amp;Factor_1[[#This Row],[Rol del Cargo]]</f>
        <v>G + VII 4</v>
      </c>
      <c r="C590" s="199" t="s">
        <v>18</v>
      </c>
      <c r="D590" s="199" t="s">
        <v>117</v>
      </c>
      <c r="E590" s="199" t="s">
        <v>179</v>
      </c>
      <c r="F590" s="199">
        <v>4</v>
      </c>
      <c r="G590" s="199">
        <v>695</v>
      </c>
    </row>
    <row r="591" spans="2:7" hidden="1">
      <c r="B591" s="199" t="str">
        <f>Factor_1[[#This Row],[Conocimientos]]&amp;" "&amp;Factor_1[[#This Row],[Tendencia]]&amp;" "&amp;Factor_1[[#This Row],[Habilidad Gerencial]]&amp;" "&amp;Factor_1[[#This Row],[Rol del Cargo]]</f>
        <v>H - I 1</v>
      </c>
      <c r="C591" s="199" t="s">
        <v>186</v>
      </c>
      <c r="D591" s="199" t="s">
        <v>78</v>
      </c>
      <c r="E591" s="199" t="s">
        <v>81</v>
      </c>
      <c r="F591" s="199">
        <v>1</v>
      </c>
      <c r="G591" s="199">
        <v>343</v>
      </c>
    </row>
    <row r="592" spans="2:7" hidden="1">
      <c r="B592" s="199" t="str">
        <f>Factor_1[[#This Row],[Conocimientos]]&amp;" "&amp;Factor_1[[#This Row],[Tendencia]]&amp;" "&amp;Factor_1[[#This Row],[Habilidad Gerencial]]&amp;" "&amp;Factor_1[[#This Row],[Rol del Cargo]]</f>
        <v>H - I 2</v>
      </c>
      <c r="C592" s="199" t="s">
        <v>186</v>
      </c>
      <c r="D592" s="199" t="s">
        <v>78</v>
      </c>
      <c r="E592" s="199" t="s">
        <v>81</v>
      </c>
      <c r="F592" s="199">
        <v>2</v>
      </c>
      <c r="G592" s="199">
        <v>348</v>
      </c>
    </row>
    <row r="593" spans="2:7" hidden="1">
      <c r="B593" s="199" t="str">
        <f>Factor_1[[#This Row],[Conocimientos]]&amp;" "&amp;Factor_1[[#This Row],[Tendencia]]&amp;" "&amp;Factor_1[[#This Row],[Habilidad Gerencial]]&amp;" "&amp;Factor_1[[#This Row],[Rol del Cargo]]</f>
        <v>H - I 3</v>
      </c>
      <c r="C593" s="199" t="s">
        <v>186</v>
      </c>
      <c r="D593" s="199" t="s">
        <v>78</v>
      </c>
      <c r="E593" s="199" t="s">
        <v>81</v>
      </c>
      <c r="F593" s="199">
        <v>3</v>
      </c>
      <c r="G593" s="199">
        <v>356</v>
      </c>
    </row>
    <row r="594" spans="2:7" hidden="1">
      <c r="B594" s="199" t="str">
        <f>Factor_1[[#This Row],[Conocimientos]]&amp;" "&amp;Factor_1[[#This Row],[Tendencia]]&amp;" "&amp;Factor_1[[#This Row],[Habilidad Gerencial]]&amp;" "&amp;Factor_1[[#This Row],[Rol del Cargo]]</f>
        <v>H - I 4</v>
      </c>
      <c r="C594" s="199" t="s">
        <v>186</v>
      </c>
      <c r="D594" s="199" t="s">
        <v>78</v>
      </c>
      <c r="E594" s="199" t="s">
        <v>81</v>
      </c>
      <c r="F594" s="199">
        <v>4</v>
      </c>
      <c r="G594" s="199">
        <v>363</v>
      </c>
    </row>
    <row r="595" spans="2:7" hidden="1">
      <c r="B595" s="199" t="str">
        <f>Factor_1[[#This Row],[Conocimientos]]&amp;" "&amp;Factor_1[[#This Row],[Tendencia]]&amp;" "&amp;Factor_1[[#This Row],[Habilidad Gerencial]]&amp;" "&amp;Factor_1[[#This Row],[Rol del Cargo]]</f>
        <v>H o I 1</v>
      </c>
      <c r="C595" s="199" t="s">
        <v>186</v>
      </c>
      <c r="D595" s="199" t="s">
        <v>97</v>
      </c>
      <c r="E595" s="199" t="s">
        <v>81</v>
      </c>
      <c r="F595" s="199">
        <v>1</v>
      </c>
      <c r="G595" s="199">
        <v>401</v>
      </c>
    </row>
    <row r="596" spans="2:7" hidden="1">
      <c r="B596" s="199" t="str">
        <f>Factor_1[[#This Row],[Conocimientos]]&amp;" "&amp;Factor_1[[#This Row],[Tendencia]]&amp;" "&amp;Factor_1[[#This Row],[Habilidad Gerencial]]&amp;" "&amp;Factor_1[[#This Row],[Rol del Cargo]]</f>
        <v>H o I 2</v>
      </c>
      <c r="C596" s="199" t="s">
        <v>186</v>
      </c>
      <c r="D596" s="199" t="s">
        <v>97</v>
      </c>
      <c r="E596" s="199" t="s">
        <v>81</v>
      </c>
      <c r="F596" s="199">
        <v>2</v>
      </c>
      <c r="G596" s="199">
        <v>406</v>
      </c>
    </row>
    <row r="597" spans="2:7" hidden="1">
      <c r="B597" s="199" t="str">
        <f>Factor_1[[#This Row],[Conocimientos]]&amp;" "&amp;Factor_1[[#This Row],[Tendencia]]&amp;" "&amp;Factor_1[[#This Row],[Habilidad Gerencial]]&amp;" "&amp;Factor_1[[#This Row],[Rol del Cargo]]</f>
        <v>H o I 3</v>
      </c>
      <c r="C597" s="199" t="s">
        <v>186</v>
      </c>
      <c r="D597" s="199" t="s">
        <v>97</v>
      </c>
      <c r="E597" s="199" t="s">
        <v>81</v>
      </c>
      <c r="F597" s="199">
        <v>3</v>
      </c>
      <c r="G597" s="199">
        <v>415</v>
      </c>
    </row>
    <row r="598" spans="2:7" hidden="1">
      <c r="B598" s="199" t="str">
        <f>Factor_1[[#This Row],[Conocimientos]]&amp;" "&amp;Factor_1[[#This Row],[Tendencia]]&amp;" "&amp;Factor_1[[#This Row],[Habilidad Gerencial]]&amp;" "&amp;Factor_1[[#This Row],[Rol del Cargo]]</f>
        <v>H o I 4</v>
      </c>
      <c r="C598" s="199" t="s">
        <v>186</v>
      </c>
      <c r="D598" s="199" t="s">
        <v>97</v>
      </c>
      <c r="E598" s="199" t="s">
        <v>81</v>
      </c>
      <c r="F598" s="199">
        <v>4</v>
      </c>
      <c r="G598" s="199">
        <v>421</v>
      </c>
    </row>
    <row r="599" spans="2:7" hidden="1">
      <c r="B599" s="199" t="str">
        <f>Factor_1[[#This Row],[Conocimientos]]&amp;" "&amp;Factor_1[[#This Row],[Tendencia]]&amp;" "&amp;Factor_1[[#This Row],[Habilidad Gerencial]]&amp;" "&amp;Factor_1[[#This Row],[Rol del Cargo]]</f>
        <v>H + I 1</v>
      </c>
      <c r="C599" s="199" t="s">
        <v>186</v>
      </c>
      <c r="D599" s="199" t="s">
        <v>117</v>
      </c>
      <c r="E599" s="199" t="s">
        <v>81</v>
      </c>
      <c r="F599" s="199">
        <v>1</v>
      </c>
      <c r="G599" s="199">
        <v>469</v>
      </c>
    </row>
    <row r="600" spans="2:7" hidden="1">
      <c r="B600" s="199" t="str">
        <f>Factor_1[[#This Row],[Conocimientos]]&amp;" "&amp;Factor_1[[#This Row],[Tendencia]]&amp;" "&amp;Factor_1[[#This Row],[Habilidad Gerencial]]&amp;" "&amp;Factor_1[[#This Row],[Rol del Cargo]]</f>
        <v>H + I 2</v>
      </c>
      <c r="C600" s="199" t="s">
        <v>186</v>
      </c>
      <c r="D600" s="199" t="s">
        <v>117</v>
      </c>
      <c r="E600" s="199" t="s">
        <v>81</v>
      </c>
      <c r="F600" s="199">
        <v>2</v>
      </c>
      <c r="G600" s="199">
        <v>474</v>
      </c>
    </row>
    <row r="601" spans="2:7" hidden="1">
      <c r="B601" s="199" t="str">
        <f>Factor_1[[#This Row],[Conocimientos]]&amp;" "&amp;Factor_1[[#This Row],[Tendencia]]&amp;" "&amp;Factor_1[[#This Row],[Habilidad Gerencial]]&amp;" "&amp;Factor_1[[#This Row],[Rol del Cargo]]</f>
        <v>H + I 3</v>
      </c>
      <c r="C601" s="199" t="s">
        <v>186</v>
      </c>
      <c r="D601" s="199" t="s">
        <v>117</v>
      </c>
      <c r="E601" s="199" t="s">
        <v>81</v>
      </c>
      <c r="F601" s="199">
        <v>3</v>
      </c>
      <c r="G601" s="199">
        <v>483</v>
      </c>
    </row>
    <row r="602" spans="2:7" hidden="1">
      <c r="B602" s="199" t="str">
        <f>Factor_1[[#This Row],[Conocimientos]]&amp;" "&amp;Factor_1[[#This Row],[Tendencia]]&amp;" "&amp;Factor_1[[#This Row],[Habilidad Gerencial]]&amp;" "&amp;Factor_1[[#This Row],[Rol del Cargo]]</f>
        <v>H + I 4</v>
      </c>
      <c r="C602" s="199" t="s">
        <v>186</v>
      </c>
      <c r="D602" s="199" t="s">
        <v>117</v>
      </c>
      <c r="E602" s="199" t="s">
        <v>81</v>
      </c>
      <c r="F602" s="199">
        <v>4</v>
      </c>
      <c r="G602" s="199">
        <v>490</v>
      </c>
    </row>
    <row r="603" spans="2:7" hidden="1">
      <c r="B603" s="199" t="str">
        <f>Factor_1[[#This Row],[Conocimientos]]&amp;" "&amp;Factor_1[[#This Row],[Tendencia]]&amp;" "&amp;Factor_1[[#This Row],[Habilidad Gerencial]]&amp;" "&amp;Factor_1[[#This Row],[Rol del Cargo]]</f>
        <v>H - II 1</v>
      </c>
      <c r="C603" s="199" t="s">
        <v>186</v>
      </c>
      <c r="D603" s="199" t="s">
        <v>78</v>
      </c>
      <c r="E603" s="199" t="s">
        <v>100</v>
      </c>
      <c r="F603" s="199">
        <v>1</v>
      </c>
      <c r="G603" s="199">
        <v>363</v>
      </c>
    </row>
    <row r="604" spans="2:7" hidden="1">
      <c r="B604" s="199" t="str">
        <f>Factor_1[[#This Row],[Conocimientos]]&amp;" "&amp;Factor_1[[#This Row],[Tendencia]]&amp;" "&amp;Factor_1[[#This Row],[Habilidad Gerencial]]&amp;" "&amp;Factor_1[[#This Row],[Rol del Cargo]]</f>
        <v>H - II 2</v>
      </c>
      <c r="C604" s="199" t="s">
        <v>186</v>
      </c>
      <c r="D604" s="199" t="s">
        <v>78</v>
      </c>
      <c r="E604" s="199" t="s">
        <v>100</v>
      </c>
      <c r="F604" s="199">
        <v>2</v>
      </c>
      <c r="G604" s="199">
        <v>367</v>
      </c>
    </row>
    <row r="605" spans="2:7" hidden="1">
      <c r="B605" s="199" t="str">
        <f>Factor_1[[#This Row],[Conocimientos]]&amp;" "&amp;Factor_1[[#This Row],[Tendencia]]&amp;" "&amp;Factor_1[[#This Row],[Habilidad Gerencial]]&amp;" "&amp;Factor_1[[#This Row],[Rol del Cargo]]</f>
        <v>H - II 3</v>
      </c>
      <c r="C605" s="199" t="s">
        <v>186</v>
      </c>
      <c r="D605" s="199" t="s">
        <v>78</v>
      </c>
      <c r="E605" s="199" t="s">
        <v>100</v>
      </c>
      <c r="F605" s="199">
        <v>3</v>
      </c>
      <c r="G605" s="199">
        <v>371</v>
      </c>
    </row>
    <row r="606" spans="2:7" hidden="1">
      <c r="B606" s="199" t="str">
        <f>Factor_1[[#This Row],[Conocimientos]]&amp;" "&amp;Factor_1[[#This Row],[Tendencia]]&amp;" "&amp;Factor_1[[#This Row],[Habilidad Gerencial]]&amp;" "&amp;Factor_1[[#This Row],[Rol del Cargo]]</f>
        <v>H - II 4</v>
      </c>
      <c r="C606" s="199" t="s">
        <v>186</v>
      </c>
      <c r="D606" s="199" t="s">
        <v>78</v>
      </c>
      <c r="E606" s="199" t="s">
        <v>100</v>
      </c>
      <c r="F606" s="199">
        <v>4</v>
      </c>
      <c r="G606" s="199">
        <v>376</v>
      </c>
    </row>
    <row r="607" spans="2:7" hidden="1">
      <c r="B607" s="199" t="str">
        <f>Factor_1[[#This Row],[Conocimientos]]&amp;" "&amp;Factor_1[[#This Row],[Tendencia]]&amp;" "&amp;Factor_1[[#This Row],[Habilidad Gerencial]]&amp;" "&amp;Factor_1[[#This Row],[Rol del Cargo]]</f>
        <v>H o II 1</v>
      </c>
      <c r="C607" s="199" t="s">
        <v>186</v>
      </c>
      <c r="D607" s="199" t="s">
        <v>97</v>
      </c>
      <c r="E607" s="199" t="s">
        <v>100</v>
      </c>
      <c r="F607" s="199">
        <v>1</v>
      </c>
      <c r="G607" s="199">
        <v>421</v>
      </c>
    </row>
    <row r="608" spans="2:7" hidden="1">
      <c r="B608" s="199" t="str">
        <f>Factor_1[[#This Row],[Conocimientos]]&amp;" "&amp;Factor_1[[#This Row],[Tendencia]]&amp;" "&amp;Factor_1[[#This Row],[Habilidad Gerencial]]&amp;" "&amp;Factor_1[[#This Row],[Rol del Cargo]]</f>
        <v>H o II 2</v>
      </c>
      <c r="C608" s="199" t="s">
        <v>186</v>
      </c>
      <c r="D608" s="199" t="s">
        <v>97</v>
      </c>
      <c r="E608" s="199" t="s">
        <v>100</v>
      </c>
      <c r="F608" s="199">
        <v>2</v>
      </c>
      <c r="G608" s="199">
        <v>425</v>
      </c>
    </row>
    <row r="609" spans="2:7" hidden="1">
      <c r="B609" s="199" t="str">
        <f>Factor_1[[#This Row],[Conocimientos]]&amp;" "&amp;Factor_1[[#This Row],[Tendencia]]&amp;" "&amp;Factor_1[[#This Row],[Habilidad Gerencial]]&amp;" "&amp;Factor_1[[#This Row],[Rol del Cargo]]</f>
        <v>H o II 3</v>
      </c>
      <c r="C609" s="199" t="s">
        <v>186</v>
      </c>
      <c r="D609" s="199" t="s">
        <v>97</v>
      </c>
      <c r="E609" s="199" t="s">
        <v>100</v>
      </c>
      <c r="F609" s="199">
        <v>3</v>
      </c>
      <c r="G609" s="199">
        <v>429</v>
      </c>
    </row>
    <row r="610" spans="2:7" hidden="1">
      <c r="B610" s="199" t="str">
        <f>Factor_1[[#This Row],[Conocimientos]]&amp;" "&amp;Factor_1[[#This Row],[Tendencia]]&amp;" "&amp;Factor_1[[#This Row],[Habilidad Gerencial]]&amp;" "&amp;Factor_1[[#This Row],[Rol del Cargo]]</f>
        <v>H o II 4</v>
      </c>
      <c r="C610" s="199" t="s">
        <v>186</v>
      </c>
      <c r="D610" s="199" t="s">
        <v>97</v>
      </c>
      <c r="E610" s="199" t="s">
        <v>100</v>
      </c>
      <c r="F610" s="199">
        <v>4</v>
      </c>
      <c r="G610" s="199">
        <v>434</v>
      </c>
    </row>
    <row r="611" spans="2:7" hidden="1">
      <c r="B611" s="199" t="str">
        <f>Factor_1[[#This Row],[Conocimientos]]&amp;" "&amp;Factor_1[[#This Row],[Tendencia]]&amp;" "&amp;Factor_1[[#This Row],[Habilidad Gerencial]]&amp;" "&amp;Factor_1[[#This Row],[Rol del Cargo]]</f>
        <v>H + II 1</v>
      </c>
      <c r="C611" s="199" t="s">
        <v>186</v>
      </c>
      <c r="D611" s="199" t="s">
        <v>117</v>
      </c>
      <c r="E611" s="199" t="s">
        <v>100</v>
      </c>
      <c r="F611" s="199">
        <v>1</v>
      </c>
      <c r="G611" s="199">
        <v>490</v>
      </c>
    </row>
    <row r="612" spans="2:7" hidden="1">
      <c r="B612" s="199" t="str">
        <f>Factor_1[[#This Row],[Conocimientos]]&amp;" "&amp;Factor_1[[#This Row],[Tendencia]]&amp;" "&amp;Factor_1[[#This Row],[Habilidad Gerencial]]&amp;" "&amp;Factor_1[[#This Row],[Rol del Cargo]]</f>
        <v>H + II 2</v>
      </c>
      <c r="C612" s="199" t="s">
        <v>186</v>
      </c>
      <c r="D612" s="199" t="s">
        <v>117</v>
      </c>
      <c r="E612" s="199" t="s">
        <v>100</v>
      </c>
      <c r="F612" s="199">
        <v>2</v>
      </c>
      <c r="G612" s="199">
        <v>493</v>
      </c>
    </row>
    <row r="613" spans="2:7" hidden="1">
      <c r="B613" s="199" t="str">
        <f>Factor_1[[#This Row],[Conocimientos]]&amp;" "&amp;Factor_1[[#This Row],[Tendencia]]&amp;" "&amp;Factor_1[[#This Row],[Habilidad Gerencial]]&amp;" "&amp;Factor_1[[#This Row],[Rol del Cargo]]</f>
        <v>H + II 3</v>
      </c>
      <c r="C613" s="199" t="s">
        <v>186</v>
      </c>
      <c r="D613" s="199" t="s">
        <v>117</v>
      </c>
      <c r="E613" s="199" t="s">
        <v>100</v>
      </c>
      <c r="F613" s="199">
        <v>3</v>
      </c>
      <c r="G613" s="199">
        <v>497</v>
      </c>
    </row>
    <row r="614" spans="2:7" hidden="1">
      <c r="B614" s="199" t="str">
        <f>Factor_1[[#This Row],[Conocimientos]]&amp;" "&amp;Factor_1[[#This Row],[Tendencia]]&amp;" "&amp;Factor_1[[#This Row],[Habilidad Gerencial]]&amp;" "&amp;Factor_1[[#This Row],[Rol del Cargo]]</f>
        <v>H + II 4</v>
      </c>
      <c r="C614" s="199" t="s">
        <v>186</v>
      </c>
      <c r="D614" s="199" t="s">
        <v>117</v>
      </c>
      <c r="E614" s="199" t="s">
        <v>100</v>
      </c>
      <c r="F614" s="199">
        <v>4</v>
      </c>
      <c r="G614" s="199">
        <v>502</v>
      </c>
    </row>
    <row r="615" spans="2:7" hidden="1">
      <c r="B615" s="199" t="str">
        <f>Factor_1[[#This Row],[Conocimientos]]&amp;" "&amp;Factor_1[[#This Row],[Tendencia]]&amp;" "&amp;Factor_1[[#This Row],[Habilidad Gerencial]]&amp;" "&amp;Factor_1[[#This Row],[Rol del Cargo]]</f>
        <v>H - III 1</v>
      </c>
      <c r="C615" s="199" t="s">
        <v>186</v>
      </c>
      <c r="D615" s="199" t="s">
        <v>78</v>
      </c>
      <c r="E615" s="199" t="s">
        <v>120</v>
      </c>
      <c r="F615" s="199">
        <v>1</v>
      </c>
      <c r="G615" s="199">
        <v>376</v>
      </c>
    </row>
    <row r="616" spans="2:7" hidden="1">
      <c r="B616" s="199" t="str">
        <f>Factor_1[[#This Row],[Conocimientos]]&amp;" "&amp;Factor_1[[#This Row],[Tendencia]]&amp;" "&amp;Factor_1[[#This Row],[Habilidad Gerencial]]&amp;" "&amp;Factor_1[[#This Row],[Rol del Cargo]]</f>
        <v>H - III 2</v>
      </c>
      <c r="C616" s="199" t="s">
        <v>186</v>
      </c>
      <c r="D616" s="199" t="s">
        <v>78</v>
      </c>
      <c r="E616" s="199" t="s">
        <v>120</v>
      </c>
      <c r="F616" s="199">
        <v>2</v>
      </c>
      <c r="G616" s="199">
        <v>382</v>
      </c>
    </row>
    <row r="617" spans="2:7" hidden="1">
      <c r="B617" s="199" t="str">
        <f>Factor_1[[#This Row],[Conocimientos]]&amp;" "&amp;Factor_1[[#This Row],[Tendencia]]&amp;" "&amp;Factor_1[[#This Row],[Habilidad Gerencial]]&amp;" "&amp;Factor_1[[#This Row],[Rol del Cargo]]</f>
        <v>H - III 3</v>
      </c>
      <c r="C617" s="199" t="s">
        <v>186</v>
      </c>
      <c r="D617" s="199" t="s">
        <v>78</v>
      </c>
      <c r="E617" s="199" t="s">
        <v>120</v>
      </c>
      <c r="F617" s="199">
        <v>3</v>
      </c>
      <c r="G617" s="199">
        <v>388</v>
      </c>
    </row>
    <row r="618" spans="2:7" hidden="1">
      <c r="B618" s="199" t="str">
        <f>Factor_1[[#This Row],[Conocimientos]]&amp;" "&amp;Factor_1[[#This Row],[Tendencia]]&amp;" "&amp;Factor_1[[#This Row],[Habilidad Gerencial]]&amp;" "&amp;Factor_1[[#This Row],[Rol del Cargo]]</f>
        <v>H - III 4</v>
      </c>
      <c r="C618" s="199" t="s">
        <v>186</v>
      </c>
      <c r="D618" s="199" t="s">
        <v>78</v>
      </c>
      <c r="E618" s="199" t="s">
        <v>120</v>
      </c>
      <c r="F618" s="199">
        <v>4</v>
      </c>
      <c r="G618" s="199">
        <v>396</v>
      </c>
    </row>
    <row r="619" spans="2:7" hidden="1">
      <c r="B619" s="199" t="str">
        <f>Factor_1[[#This Row],[Conocimientos]]&amp;" "&amp;Factor_1[[#This Row],[Tendencia]]&amp;" "&amp;Factor_1[[#This Row],[Habilidad Gerencial]]&amp;" "&amp;Factor_1[[#This Row],[Rol del Cargo]]</f>
        <v>H o III 1</v>
      </c>
      <c r="C619" s="199" t="s">
        <v>186</v>
      </c>
      <c r="D619" s="199" t="s">
        <v>97</v>
      </c>
      <c r="E619" s="199" t="s">
        <v>120</v>
      </c>
      <c r="F619" s="199">
        <v>1</v>
      </c>
      <c r="G619" s="199">
        <v>434</v>
      </c>
    </row>
    <row r="620" spans="2:7" hidden="1">
      <c r="B620" s="199" t="str">
        <f>Factor_1[[#This Row],[Conocimientos]]&amp;" "&amp;Factor_1[[#This Row],[Tendencia]]&amp;" "&amp;Factor_1[[#This Row],[Habilidad Gerencial]]&amp;" "&amp;Factor_1[[#This Row],[Rol del Cargo]]</f>
        <v>H o III 2</v>
      </c>
      <c r="C620" s="199" t="s">
        <v>186</v>
      </c>
      <c r="D620" s="199" t="s">
        <v>97</v>
      </c>
      <c r="E620" s="199" t="s">
        <v>120</v>
      </c>
      <c r="F620" s="199">
        <v>2</v>
      </c>
      <c r="G620" s="199">
        <v>440</v>
      </c>
    </row>
    <row r="621" spans="2:7" hidden="1">
      <c r="B621" s="199" t="str">
        <f>Factor_1[[#This Row],[Conocimientos]]&amp;" "&amp;Factor_1[[#This Row],[Tendencia]]&amp;" "&amp;Factor_1[[#This Row],[Habilidad Gerencial]]&amp;" "&amp;Factor_1[[#This Row],[Rol del Cargo]]</f>
        <v>H o III 3</v>
      </c>
      <c r="C621" s="199" t="s">
        <v>186</v>
      </c>
      <c r="D621" s="199" t="s">
        <v>97</v>
      </c>
      <c r="E621" s="199" t="s">
        <v>120</v>
      </c>
      <c r="F621" s="199">
        <v>3</v>
      </c>
      <c r="G621" s="199">
        <v>446</v>
      </c>
    </row>
    <row r="622" spans="2:7" hidden="1">
      <c r="B622" s="199" t="str">
        <f>Factor_1[[#This Row],[Conocimientos]]&amp;" "&amp;Factor_1[[#This Row],[Tendencia]]&amp;" "&amp;Factor_1[[#This Row],[Habilidad Gerencial]]&amp;" "&amp;Factor_1[[#This Row],[Rol del Cargo]]</f>
        <v>H o III 4</v>
      </c>
      <c r="C622" s="199" t="s">
        <v>186</v>
      </c>
      <c r="D622" s="199" t="s">
        <v>97</v>
      </c>
      <c r="E622" s="199" t="s">
        <v>120</v>
      </c>
      <c r="F622" s="199">
        <v>4</v>
      </c>
      <c r="G622" s="199">
        <v>454</v>
      </c>
    </row>
    <row r="623" spans="2:7" hidden="1">
      <c r="B623" s="199" t="str">
        <f>Factor_1[[#This Row],[Conocimientos]]&amp;" "&amp;Factor_1[[#This Row],[Tendencia]]&amp;" "&amp;Factor_1[[#This Row],[Habilidad Gerencial]]&amp;" "&amp;Factor_1[[#This Row],[Rol del Cargo]]</f>
        <v>H + III 1</v>
      </c>
      <c r="C623" s="199" t="s">
        <v>186</v>
      </c>
      <c r="D623" s="199" t="s">
        <v>117</v>
      </c>
      <c r="E623" s="199" t="s">
        <v>120</v>
      </c>
      <c r="F623" s="199">
        <v>1</v>
      </c>
      <c r="G623" s="199">
        <v>502</v>
      </c>
    </row>
    <row r="624" spans="2:7" hidden="1">
      <c r="B624" s="199" t="str">
        <f>Factor_1[[#This Row],[Conocimientos]]&amp;" "&amp;Factor_1[[#This Row],[Tendencia]]&amp;" "&amp;Factor_1[[#This Row],[Habilidad Gerencial]]&amp;" "&amp;Factor_1[[#This Row],[Rol del Cargo]]</f>
        <v>H + III 2</v>
      </c>
      <c r="C624" s="199" t="s">
        <v>186</v>
      </c>
      <c r="D624" s="199" t="s">
        <v>117</v>
      </c>
      <c r="E624" s="199" t="s">
        <v>120</v>
      </c>
      <c r="F624" s="199">
        <v>2</v>
      </c>
      <c r="G624" s="199">
        <v>508</v>
      </c>
    </row>
    <row r="625" spans="2:7" hidden="1">
      <c r="B625" s="199" t="str">
        <f>Factor_1[[#This Row],[Conocimientos]]&amp;" "&amp;Factor_1[[#This Row],[Tendencia]]&amp;" "&amp;Factor_1[[#This Row],[Habilidad Gerencial]]&amp;" "&amp;Factor_1[[#This Row],[Rol del Cargo]]</f>
        <v>H + III 3</v>
      </c>
      <c r="C625" s="199" t="s">
        <v>186</v>
      </c>
      <c r="D625" s="199" t="s">
        <v>117</v>
      </c>
      <c r="E625" s="199" t="s">
        <v>120</v>
      </c>
      <c r="F625" s="199">
        <v>3</v>
      </c>
      <c r="G625" s="199">
        <v>514</v>
      </c>
    </row>
    <row r="626" spans="2:7" hidden="1">
      <c r="B626" s="199" t="str">
        <f>Factor_1[[#This Row],[Conocimientos]]&amp;" "&amp;Factor_1[[#This Row],[Tendencia]]&amp;" "&amp;Factor_1[[#This Row],[Habilidad Gerencial]]&amp;" "&amp;Factor_1[[#This Row],[Rol del Cargo]]</f>
        <v>H + III 4</v>
      </c>
      <c r="C626" s="199" t="s">
        <v>186</v>
      </c>
      <c r="D626" s="199" t="s">
        <v>117</v>
      </c>
      <c r="E626" s="199" t="s">
        <v>120</v>
      </c>
      <c r="F626" s="199">
        <v>4</v>
      </c>
      <c r="G626" s="199">
        <v>522</v>
      </c>
    </row>
    <row r="627" spans="2:7" hidden="1">
      <c r="B627" s="199" t="str">
        <f>Factor_1[[#This Row],[Conocimientos]]&amp;" "&amp;Factor_1[[#This Row],[Tendencia]]&amp;" "&amp;Factor_1[[#This Row],[Habilidad Gerencial]]&amp;" "&amp;Factor_1[[#This Row],[Rol del Cargo]]</f>
        <v>H - IV 1</v>
      </c>
      <c r="C627" s="199" t="s">
        <v>186</v>
      </c>
      <c r="D627" s="199" t="s">
        <v>78</v>
      </c>
      <c r="E627" s="199" t="s">
        <v>139</v>
      </c>
      <c r="F627" s="199">
        <v>1</v>
      </c>
      <c r="G627" s="199">
        <v>396</v>
      </c>
    </row>
    <row r="628" spans="2:7" hidden="1">
      <c r="B628" s="199" t="str">
        <f>Factor_1[[#This Row],[Conocimientos]]&amp;" "&amp;Factor_1[[#This Row],[Tendencia]]&amp;" "&amp;Factor_1[[#This Row],[Habilidad Gerencial]]&amp;" "&amp;Factor_1[[#This Row],[Rol del Cargo]]</f>
        <v>H - IV 2</v>
      </c>
      <c r="C628" s="199" t="s">
        <v>186</v>
      </c>
      <c r="D628" s="199" t="s">
        <v>78</v>
      </c>
      <c r="E628" s="199" t="s">
        <v>139</v>
      </c>
      <c r="F628" s="199">
        <v>2</v>
      </c>
      <c r="G628" s="199">
        <v>405</v>
      </c>
    </row>
    <row r="629" spans="2:7" hidden="1">
      <c r="B629" s="199" t="str">
        <f>Factor_1[[#This Row],[Conocimientos]]&amp;" "&amp;Factor_1[[#This Row],[Tendencia]]&amp;" "&amp;Factor_1[[#This Row],[Habilidad Gerencial]]&amp;" "&amp;Factor_1[[#This Row],[Rol del Cargo]]</f>
        <v>H - IV 3</v>
      </c>
      <c r="C629" s="199" t="s">
        <v>186</v>
      </c>
      <c r="D629" s="199" t="s">
        <v>78</v>
      </c>
      <c r="E629" s="199" t="s">
        <v>139</v>
      </c>
      <c r="F629" s="199">
        <v>3</v>
      </c>
      <c r="G629" s="199">
        <v>416</v>
      </c>
    </row>
    <row r="630" spans="2:7" hidden="1">
      <c r="B630" s="199" t="str">
        <f>Factor_1[[#This Row],[Conocimientos]]&amp;" "&amp;Factor_1[[#This Row],[Tendencia]]&amp;" "&amp;Factor_1[[#This Row],[Habilidad Gerencial]]&amp;" "&amp;Factor_1[[#This Row],[Rol del Cargo]]</f>
        <v>H - IV 4</v>
      </c>
      <c r="C630" s="199" t="s">
        <v>186</v>
      </c>
      <c r="D630" s="199" t="s">
        <v>78</v>
      </c>
      <c r="E630" s="199" t="s">
        <v>139</v>
      </c>
      <c r="F630" s="199">
        <v>4</v>
      </c>
      <c r="G630" s="199">
        <v>428</v>
      </c>
    </row>
    <row r="631" spans="2:7" hidden="1">
      <c r="B631" s="199" t="str">
        <f>Factor_1[[#This Row],[Conocimientos]]&amp;" "&amp;Factor_1[[#This Row],[Tendencia]]&amp;" "&amp;Factor_1[[#This Row],[Habilidad Gerencial]]&amp;" "&amp;Factor_1[[#This Row],[Rol del Cargo]]</f>
        <v>H o IV 1</v>
      </c>
      <c r="C631" s="199" t="s">
        <v>186</v>
      </c>
      <c r="D631" s="199" t="s">
        <v>97</v>
      </c>
      <c r="E631" s="199" t="s">
        <v>139</v>
      </c>
      <c r="F631" s="199">
        <v>1</v>
      </c>
      <c r="G631" s="199">
        <v>454</v>
      </c>
    </row>
    <row r="632" spans="2:7" hidden="1">
      <c r="B632" s="199" t="str">
        <f>Factor_1[[#This Row],[Conocimientos]]&amp;" "&amp;Factor_1[[#This Row],[Tendencia]]&amp;" "&amp;Factor_1[[#This Row],[Habilidad Gerencial]]&amp;" "&amp;Factor_1[[#This Row],[Rol del Cargo]]</f>
        <v>H o IV 2</v>
      </c>
      <c r="C632" s="199" t="s">
        <v>186</v>
      </c>
      <c r="D632" s="199" t="s">
        <v>97</v>
      </c>
      <c r="E632" s="199" t="s">
        <v>139</v>
      </c>
      <c r="F632" s="199">
        <v>2</v>
      </c>
      <c r="G632" s="199">
        <v>463</v>
      </c>
    </row>
    <row r="633" spans="2:7" hidden="1">
      <c r="B633" s="199" t="str">
        <f>Factor_1[[#This Row],[Conocimientos]]&amp;" "&amp;Factor_1[[#This Row],[Tendencia]]&amp;" "&amp;Factor_1[[#This Row],[Habilidad Gerencial]]&amp;" "&amp;Factor_1[[#This Row],[Rol del Cargo]]</f>
        <v>H o IV 3</v>
      </c>
      <c r="C633" s="199" t="s">
        <v>186</v>
      </c>
      <c r="D633" s="199" t="s">
        <v>97</v>
      </c>
      <c r="E633" s="199" t="s">
        <v>139</v>
      </c>
      <c r="F633" s="199">
        <v>3</v>
      </c>
      <c r="G633" s="199">
        <v>474</v>
      </c>
    </row>
    <row r="634" spans="2:7" hidden="1">
      <c r="B634" s="199" t="str">
        <f>Factor_1[[#This Row],[Conocimientos]]&amp;" "&amp;Factor_1[[#This Row],[Tendencia]]&amp;" "&amp;Factor_1[[#This Row],[Habilidad Gerencial]]&amp;" "&amp;Factor_1[[#This Row],[Rol del Cargo]]</f>
        <v>H o IV 4</v>
      </c>
      <c r="C634" s="199" t="s">
        <v>186</v>
      </c>
      <c r="D634" s="199" t="s">
        <v>97</v>
      </c>
      <c r="E634" s="199" t="s">
        <v>139</v>
      </c>
      <c r="F634" s="199">
        <v>4</v>
      </c>
      <c r="G634" s="199">
        <v>486</v>
      </c>
    </row>
    <row r="635" spans="2:7" hidden="1">
      <c r="B635" s="199" t="str">
        <f>Factor_1[[#This Row],[Conocimientos]]&amp;" "&amp;Factor_1[[#This Row],[Tendencia]]&amp;" "&amp;Factor_1[[#This Row],[Habilidad Gerencial]]&amp;" "&amp;Factor_1[[#This Row],[Rol del Cargo]]</f>
        <v>H + IV 1</v>
      </c>
      <c r="C635" s="199" t="s">
        <v>186</v>
      </c>
      <c r="D635" s="199" t="s">
        <v>117</v>
      </c>
      <c r="E635" s="199" t="s">
        <v>139</v>
      </c>
      <c r="F635" s="199">
        <v>1</v>
      </c>
      <c r="G635" s="199">
        <v>522</v>
      </c>
    </row>
    <row r="636" spans="2:7" hidden="1">
      <c r="B636" s="199" t="str">
        <f>Factor_1[[#This Row],[Conocimientos]]&amp;" "&amp;Factor_1[[#This Row],[Tendencia]]&amp;" "&amp;Factor_1[[#This Row],[Habilidad Gerencial]]&amp;" "&amp;Factor_1[[#This Row],[Rol del Cargo]]</f>
        <v>H + IV 2</v>
      </c>
      <c r="C636" s="199" t="s">
        <v>186</v>
      </c>
      <c r="D636" s="199" t="s">
        <v>117</v>
      </c>
      <c r="E636" s="199" t="s">
        <v>139</v>
      </c>
      <c r="F636" s="199">
        <v>2</v>
      </c>
      <c r="G636" s="199">
        <v>531</v>
      </c>
    </row>
    <row r="637" spans="2:7" hidden="1">
      <c r="B637" s="199" t="str">
        <f>Factor_1[[#This Row],[Conocimientos]]&amp;" "&amp;Factor_1[[#This Row],[Tendencia]]&amp;" "&amp;Factor_1[[#This Row],[Habilidad Gerencial]]&amp;" "&amp;Factor_1[[#This Row],[Rol del Cargo]]</f>
        <v>H + IV 3</v>
      </c>
      <c r="C637" s="199" t="s">
        <v>186</v>
      </c>
      <c r="D637" s="199" t="s">
        <v>117</v>
      </c>
      <c r="E637" s="199" t="s">
        <v>139</v>
      </c>
      <c r="F637" s="199">
        <v>3</v>
      </c>
      <c r="G637" s="199">
        <v>542</v>
      </c>
    </row>
    <row r="638" spans="2:7" hidden="1">
      <c r="B638" s="199" t="str">
        <f>Factor_1[[#This Row],[Conocimientos]]&amp;" "&amp;Factor_1[[#This Row],[Tendencia]]&amp;" "&amp;Factor_1[[#This Row],[Habilidad Gerencial]]&amp;" "&amp;Factor_1[[#This Row],[Rol del Cargo]]</f>
        <v>H + IV 4</v>
      </c>
      <c r="C638" s="199" t="s">
        <v>186</v>
      </c>
      <c r="D638" s="199" t="s">
        <v>117</v>
      </c>
      <c r="E638" s="199" t="s">
        <v>139</v>
      </c>
      <c r="F638" s="199">
        <v>4</v>
      </c>
      <c r="G638" s="199">
        <v>554</v>
      </c>
    </row>
    <row r="639" spans="2:7" hidden="1">
      <c r="B639" s="199" t="str">
        <f>Factor_1[[#This Row],[Conocimientos]]&amp;" "&amp;Factor_1[[#This Row],[Tendencia]]&amp;" "&amp;Factor_1[[#This Row],[Habilidad Gerencial]]&amp;" "&amp;Factor_1[[#This Row],[Rol del Cargo]]</f>
        <v>H - V 1</v>
      </c>
      <c r="C639" s="199" t="s">
        <v>186</v>
      </c>
      <c r="D639" s="199" t="s">
        <v>78</v>
      </c>
      <c r="E639" s="199" t="s">
        <v>157</v>
      </c>
      <c r="F639" s="199">
        <v>1</v>
      </c>
      <c r="G639" s="199">
        <v>428</v>
      </c>
    </row>
    <row r="640" spans="2:7" hidden="1">
      <c r="B640" s="199" t="str">
        <f>Factor_1[[#This Row],[Conocimientos]]&amp;" "&amp;Factor_1[[#This Row],[Tendencia]]&amp;" "&amp;Factor_1[[#This Row],[Habilidad Gerencial]]&amp;" "&amp;Factor_1[[#This Row],[Rol del Cargo]]</f>
        <v>H - V 2</v>
      </c>
      <c r="C640" s="199" t="s">
        <v>186</v>
      </c>
      <c r="D640" s="199" t="s">
        <v>78</v>
      </c>
      <c r="E640" s="199" t="s">
        <v>157</v>
      </c>
      <c r="F640" s="199">
        <v>2</v>
      </c>
      <c r="G640" s="199">
        <v>443</v>
      </c>
    </row>
    <row r="641" spans="2:7" hidden="1">
      <c r="B641" s="199" t="str">
        <f>Factor_1[[#This Row],[Conocimientos]]&amp;" "&amp;Factor_1[[#This Row],[Tendencia]]&amp;" "&amp;Factor_1[[#This Row],[Habilidad Gerencial]]&amp;" "&amp;Factor_1[[#This Row],[Rol del Cargo]]</f>
        <v>H - V 3</v>
      </c>
      <c r="C641" s="199" t="s">
        <v>186</v>
      </c>
      <c r="D641" s="199" t="s">
        <v>78</v>
      </c>
      <c r="E641" s="199" t="s">
        <v>157</v>
      </c>
      <c r="F641" s="199">
        <v>3</v>
      </c>
      <c r="G641" s="199">
        <v>460</v>
      </c>
    </row>
    <row r="642" spans="2:7" hidden="1">
      <c r="B642" s="199" t="str">
        <f>Factor_1[[#This Row],[Conocimientos]]&amp;" "&amp;Factor_1[[#This Row],[Tendencia]]&amp;" "&amp;Factor_1[[#This Row],[Habilidad Gerencial]]&amp;" "&amp;Factor_1[[#This Row],[Rol del Cargo]]</f>
        <v>H - V 4</v>
      </c>
      <c r="C642" s="199" t="s">
        <v>186</v>
      </c>
      <c r="D642" s="199" t="s">
        <v>78</v>
      </c>
      <c r="E642" s="199" t="s">
        <v>157</v>
      </c>
      <c r="F642" s="199">
        <v>4</v>
      </c>
      <c r="G642" s="199">
        <v>480</v>
      </c>
    </row>
    <row r="643" spans="2:7" hidden="1">
      <c r="B643" s="199" t="str">
        <f>Factor_1[[#This Row],[Conocimientos]]&amp;" "&amp;Factor_1[[#This Row],[Tendencia]]&amp;" "&amp;Factor_1[[#This Row],[Habilidad Gerencial]]&amp;" "&amp;Factor_1[[#This Row],[Rol del Cargo]]</f>
        <v>H o V 1</v>
      </c>
      <c r="C643" s="199" t="s">
        <v>186</v>
      </c>
      <c r="D643" s="199" t="s">
        <v>97</v>
      </c>
      <c r="E643" s="199" t="s">
        <v>157</v>
      </c>
      <c r="F643" s="199">
        <v>1</v>
      </c>
      <c r="G643" s="199">
        <v>486</v>
      </c>
    </row>
    <row r="644" spans="2:7" hidden="1">
      <c r="B644" s="199" t="str">
        <f>Factor_1[[#This Row],[Conocimientos]]&amp;" "&amp;Factor_1[[#This Row],[Tendencia]]&amp;" "&amp;Factor_1[[#This Row],[Habilidad Gerencial]]&amp;" "&amp;Factor_1[[#This Row],[Rol del Cargo]]</f>
        <v>H o V 2</v>
      </c>
      <c r="C644" s="199" t="s">
        <v>186</v>
      </c>
      <c r="D644" s="199" t="s">
        <v>97</v>
      </c>
      <c r="E644" s="199" t="s">
        <v>157</v>
      </c>
      <c r="F644" s="199">
        <v>2</v>
      </c>
      <c r="G644" s="199">
        <v>501</v>
      </c>
    </row>
    <row r="645" spans="2:7" hidden="1">
      <c r="B645" s="199" t="str">
        <f>Factor_1[[#This Row],[Conocimientos]]&amp;" "&amp;Factor_1[[#This Row],[Tendencia]]&amp;" "&amp;Factor_1[[#This Row],[Habilidad Gerencial]]&amp;" "&amp;Factor_1[[#This Row],[Rol del Cargo]]</f>
        <v>H o V 3</v>
      </c>
      <c r="C645" s="199" t="s">
        <v>186</v>
      </c>
      <c r="D645" s="199" t="s">
        <v>97</v>
      </c>
      <c r="E645" s="199" t="s">
        <v>157</v>
      </c>
      <c r="F645" s="199">
        <v>3</v>
      </c>
      <c r="G645" s="199">
        <v>518</v>
      </c>
    </row>
    <row r="646" spans="2:7" hidden="1">
      <c r="B646" s="199" t="str">
        <f>Factor_1[[#This Row],[Conocimientos]]&amp;" "&amp;Factor_1[[#This Row],[Tendencia]]&amp;" "&amp;Factor_1[[#This Row],[Habilidad Gerencial]]&amp;" "&amp;Factor_1[[#This Row],[Rol del Cargo]]</f>
        <v>H o V 4</v>
      </c>
      <c r="C646" s="199" t="s">
        <v>186</v>
      </c>
      <c r="D646" s="199" t="s">
        <v>97</v>
      </c>
      <c r="E646" s="199" t="s">
        <v>157</v>
      </c>
      <c r="F646" s="199">
        <v>4</v>
      </c>
      <c r="G646" s="199">
        <v>538</v>
      </c>
    </row>
    <row r="647" spans="2:7" hidden="1">
      <c r="B647" s="199" t="str">
        <f>Factor_1[[#This Row],[Conocimientos]]&amp;" "&amp;Factor_1[[#This Row],[Tendencia]]&amp;" "&amp;Factor_1[[#This Row],[Habilidad Gerencial]]&amp;" "&amp;Factor_1[[#This Row],[Rol del Cargo]]</f>
        <v>H + V 1</v>
      </c>
      <c r="C647" s="199" t="s">
        <v>186</v>
      </c>
      <c r="D647" s="199" t="s">
        <v>117</v>
      </c>
      <c r="E647" s="199" t="s">
        <v>157</v>
      </c>
      <c r="F647" s="199">
        <v>1</v>
      </c>
      <c r="G647" s="199">
        <v>554</v>
      </c>
    </row>
    <row r="648" spans="2:7" hidden="1">
      <c r="B648" s="199" t="str">
        <f>Factor_1[[#This Row],[Conocimientos]]&amp;" "&amp;Factor_1[[#This Row],[Tendencia]]&amp;" "&amp;Factor_1[[#This Row],[Habilidad Gerencial]]&amp;" "&amp;Factor_1[[#This Row],[Rol del Cargo]]</f>
        <v>H + V 2</v>
      </c>
      <c r="C648" s="199" t="s">
        <v>186</v>
      </c>
      <c r="D648" s="199" t="s">
        <v>117</v>
      </c>
      <c r="E648" s="199" t="s">
        <v>157</v>
      </c>
      <c r="F648" s="199">
        <v>2</v>
      </c>
      <c r="G648" s="199">
        <v>569</v>
      </c>
    </row>
    <row r="649" spans="2:7" hidden="1">
      <c r="B649" s="199" t="str">
        <f>Factor_1[[#This Row],[Conocimientos]]&amp;" "&amp;Factor_1[[#This Row],[Tendencia]]&amp;" "&amp;Factor_1[[#This Row],[Habilidad Gerencial]]&amp;" "&amp;Factor_1[[#This Row],[Rol del Cargo]]</f>
        <v>H + V 3</v>
      </c>
      <c r="C649" s="199" t="s">
        <v>186</v>
      </c>
      <c r="D649" s="199" t="s">
        <v>117</v>
      </c>
      <c r="E649" s="199" t="s">
        <v>157</v>
      </c>
      <c r="F649" s="199">
        <v>3</v>
      </c>
      <c r="G649" s="199">
        <v>586</v>
      </c>
    </row>
    <row r="650" spans="2:7" hidden="1">
      <c r="B650" s="199" t="str">
        <f>Factor_1[[#This Row],[Conocimientos]]&amp;" "&amp;Factor_1[[#This Row],[Tendencia]]&amp;" "&amp;Factor_1[[#This Row],[Habilidad Gerencial]]&amp;" "&amp;Factor_1[[#This Row],[Rol del Cargo]]</f>
        <v>H + V 4</v>
      </c>
      <c r="C650" s="199" t="s">
        <v>186</v>
      </c>
      <c r="D650" s="199" t="s">
        <v>117</v>
      </c>
      <c r="E650" s="199" t="s">
        <v>157</v>
      </c>
      <c r="F650" s="199">
        <v>4</v>
      </c>
      <c r="G650" s="199">
        <v>606</v>
      </c>
    </row>
    <row r="651" spans="2:7" hidden="1">
      <c r="B651" s="199" t="str">
        <f>Factor_1[[#This Row],[Conocimientos]]&amp;" "&amp;Factor_1[[#This Row],[Tendencia]]&amp;" "&amp;Factor_1[[#This Row],[Habilidad Gerencial]]&amp;" "&amp;Factor_1[[#This Row],[Rol del Cargo]]</f>
        <v>H - VI 1</v>
      </c>
      <c r="C651" s="199" t="s">
        <v>186</v>
      </c>
      <c r="D651" s="199" t="s">
        <v>78</v>
      </c>
      <c r="E651" s="199" t="s">
        <v>171</v>
      </c>
      <c r="F651" s="199">
        <v>1</v>
      </c>
      <c r="G651" s="199">
        <v>480</v>
      </c>
    </row>
    <row r="652" spans="2:7" hidden="1">
      <c r="B652" s="199" t="str">
        <f>Factor_1[[#This Row],[Conocimientos]]&amp;" "&amp;Factor_1[[#This Row],[Tendencia]]&amp;" "&amp;Factor_1[[#This Row],[Habilidad Gerencial]]&amp;" "&amp;Factor_1[[#This Row],[Rol del Cargo]]</f>
        <v>H - VI 2</v>
      </c>
      <c r="C652" s="199" t="s">
        <v>186</v>
      </c>
      <c r="D652" s="199" t="s">
        <v>78</v>
      </c>
      <c r="E652" s="199" t="s">
        <v>171</v>
      </c>
      <c r="F652" s="199">
        <v>2</v>
      </c>
      <c r="G652" s="199">
        <v>503</v>
      </c>
    </row>
    <row r="653" spans="2:7" hidden="1">
      <c r="B653" s="199" t="str">
        <f>Factor_1[[#This Row],[Conocimientos]]&amp;" "&amp;Factor_1[[#This Row],[Tendencia]]&amp;" "&amp;Factor_1[[#This Row],[Habilidad Gerencial]]&amp;" "&amp;Factor_1[[#This Row],[Rol del Cargo]]</f>
        <v>H - VI 3</v>
      </c>
      <c r="C653" s="199" t="s">
        <v>186</v>
      </c>
      <c r="D653" s="199" t="s">
        <v>78</v>
      </c>
      <c r="E653" s="199" t="s">
        <v>171</v>
      </c>
      <c r="F653" s="199">
        <v>3</v>
      </c>
      <c r="G653" s="199">
        <v>530</v>
      </c>
    </row>
    <row r="654" spans="2:7" hidden="1">
      <c r="B654" s="199" t="str">
        <f>Factor_1[[#This Row],[Conocimientos]]&amp;" "&amp;Factor_1[[#This Row],[Tendencia]]&amp;" "&amp;Factor_1[[#This Row],[Habilidad Gerencial]]&amp;" "&amp;Factor_1[[#This Row],[Rol del Cargo]]</f>
        <v>H - VI 4</v>
      </c>
      <c r="C654" s="199" t="s">
        <v>186</v>
      </c>
      <c r="D654" s="199" t="s">
        <v>78</v>
      </c>
      <c r="E654" s="199" t="s">
        <v>171</v>
      </c>
      <c r="F654" s="199">
        <v>4</v>
      </c>
      <c r="G654" s="199">
        <v>562</v>
      </c>
    </row>
    <row r="655" spans="2:7" hidden="1">
      <c r="B655" s="199" t="str">
        <f>Factor_1[[#This Row],[Conocimientos]]&amp;" "&amp;Factor_1[[#This Row],[Tendencia]]&amp;" "&amp;Factor_1[[#This Row],[Habilidad Gerencial]]&amp;" "&amp;Factor_1[[#This Row],[Rol del Cargo]]</f>
        <v>H o VI 1</v>
      </c>
      <c r="C655" s="199" t="s">
        <v>186</v>
      </c>
      <c r="D655" s="199" t="s">
        <v>97</v>
      </c>
      <c r="E655" s="199" t="s">
        <v>171</v>
      </c>
      <c r="F655" s="199">
        <v>1</v>
      </c>
      <c r="G655" s="199">
        <v>538</v>
      </c>
    </row>
    <row r="656" spans="2:7" hidden="1">
      <c r="B656" s="199" t="str">
        <f>Factor_1[[#This Row],[Conocimientos]]&amp;" "&amp;Factor_1[[#This Row],[Tendencia]]&amp;" "&amp;Factor_1[[#This Row],[Habilidad Gerencial]]&amp;" "&amp;Factor_1[[#This Row],[Rol del Cargo]]</f>
        <v>H o VI 2</v>
      </c>
      <c r="C656" s="199" t="s">
        <v>186</v>
      </c>
      <c r="D656" s="199" t="s">
        <v>97</v>
      </c>
      <c r="E656" s="199" t="s">
        <v>171</v>
      </c>
      <c r="F656" s="199">
        <v>2</v>
      </c>
      <c r="G656" s="199">
        <v>561</v>
      </c>
    </row>
    <row r="657" spans="2:7" hidden="1">
      <c r="B657" s="199" t="str">
        <f>Factor_1[[#This Row],[Conocimientos]]&amp;" "&amp;Factor_1[[#This Row],[Tendencia]]&amp;" "&amp;Factor_1[[#This Row],[Habilidad Gerencial]]&amp;" "&amp;Factor_1[[#This Row],[Rol del Cargo]]</f>
        <v>H o VI 3</v>
      </c>
      <c r="C657" s="199" t="s">
        <v>186</v>
      </c>
      <c r="D657" s="199" t="s">
        <v>97</v>
      </c>
      <c r="E657" s="199" t="s">
        <v>171</v>
      </c>
      <c r="F657" s="199">
        <v>3</v>
      </c>
      <c r="G657" s="199">
        <v>588</v>
      </c>
    </row>
    <row r="658" spans="2:7" hidden="1">
      <c r="B658" s="199" t="str">
        <f>Factor_1[[#This Row],[Conocimientos]]&amp;" "&amp;Factor_1[[#This Row],[Tendencia]]&amp;" "&amp;Factor_1[[#This Row],[Habilidad Gerencial]]&amp;" "&amp;Factor_1[[#This Row],[Rol del Cargo]]</f>
        <v>H o VI 4</v>
      </c>
      <c r="C658" s="199" t="s">
        <v>186</v>
      </c>
      <c r="D658" s="199" t="s">
        <v>97</v>
      </c>
      <c r="E658" s="199" t="s">
        <v>171</v>
      </c>
      <c r="F658" s="199">
        <v>4</v>
      </c>
      <c r="G658" s="199">
        <v>620</v>
      </c>
    </row>
    <row r="659" spans="2:7" hidden="1">
      <c r="B659" s="199" t="str">
        <f>Factor_1[[#This Row],[Conocimientos]]&amp;" "&amp;Factor_1[[#This Row],[Tendencia]]&amp;" "&amp;Factor_1[[#This Row],[Habilidad Gerencial]]&amp;" "&amp;Factor_1[[#This Row],[Rol del Cargo]]</f>
        <v>H + VI 1</v>
      </c>
      <c r="C659" s="199" t="s">
        <v>186</v>
      </c>
      <c r="D659" s="199" t="s">
        <v>117</v>
      </c>
      <c r="E659" s="199" t="s">
        <v>171</v>
      </c>
      <c r="F659" s="199">
        <v>1</v>
      </c>
      <c r="G659" s="199">
        <v>606</v>
      </c>
    </row>
    <row r="660" spans="2:7" hidden="1">
      <c r="B660" s="199" t="str">
        <f>Factor_1[[#This Row],[Conocimientos]]&amp;" "&amp;Factor_1[[#This Row],[Tendencia]]&amp;" "&amp;Factor_1[[#This Row],[Habilidad Gerencial]]&amp;" "&amp;Factor_1[[#This Row],[Rol del Cargo]]</f>
        <v>H + VI 2</v>
      </c>
      <c r="C660" s="199" t="s">
        <v>186</v>
      </c>
      <c r="D660" s="199" t="s">
        <v>117</v>
      </c>
      <c r="E660" s="199" t="s">
        <v>171</v>
      </c>
      <c r="F660" s="199">
        <v>2</v>
      </c>
      <c r="G660" s="199">
        <v>629</v>
      </c>
    </row>
    <row r="661" spans="2:7" hidden="1">
      <c r="B661" s="199" t="str">
        <f>Factor_1[[#This Row],[Conocimientos]]&amp;" "&amp;Factor_1[[#This Row],[Tendencia]]&amp;" "&amp;Factor_1[[#This Row],[Habilidad Gerencial]]&amp;" "&amp;Factor_1[[#This Row],[Rol del Cargo]]</f>
        <v>H + VI 3</v>
      </c>
      <c r="C661" s="199" t="s">
        <v>186</v>
      </c>
      <c r="D661" s="199" t="s">
        <v>117</v>
      </c>
      <c r="E661" s="199" t="s">
        <v>171</v>
      </c>
      <c r="F661" s="199">
        <v>3</v>
      </c>
      <c r="G661" s="199">
        <v>657</v>
      </c>
    </row>
    <row r="662" spans="2:7" hidden="1">
      <c r="B662" s="199" t="str">
        <f>Factor_1[[#This Row],[Conocimientos]]&amp;" "&amp;Factor_1[[#This Row],[Tendencia]]&amp;" "&amp;Factor_1[[#This Row],[Habilidad Gerencial]]&amp;" "&amp;Factor_1[[#This Row],[Rol del Cargo]]</f>
        <v>H + VI 4</v>
      </c>
      <c r="C662" s="199" t="s">
        <v>186</v>
      </c>
      <c r="D662" s="199" t="s">
        <v>117</v>
      </c>
      <c r="E662" s="199" t="s">
        <v>171</v>
      </c>
      <c r="F662" s="199">
        <v>4</v>
      </c>
      <c r="G662" s="199">
        <v>689</v>
      </c>
    </row>
    <row r="663" spans="2:7" hidden="1">
      <c r="B663" s="199" t="str">
        <f>Factor_1[[#This Row],[Conocimientos]]&amp;" "&amp;Factor_1[[#This Row],[Tendencia]]&amp;" "&amp;Factor_1[[#This Row],[Habilidad Gerencial]]&amp;" "&amp;Factor_1[[#This Row],[Rol del Cargo]]</f>
        <v>H - VII 1</v>
      </c>
      <c r="C663" s="199" t="s">
        <v>186</v>
      </c>
      <c r="D663" s="199" t="s">
        <v>78</v>
      </c>
      <c r="E663" s="199" t="s">
        <v>179</v>
      </c>
      <c r="F663" s="199">
        <v>1</v>
      </c>
      <c r="G663" s="199">
        <v>562</v>
      </c>
    </row>
    <row r="664" spans="2:7" hidden="1">
      <c r="B664" s="199" t="str">
        <f>Factor_1[[#This Row],[Conocimientos]]&amp;" "&amp;Factor_1[[#This Row],[Tendencia]]&amp;" "&amp;Factor_1[[#This Row],[Habilidad Gerencial]]&amp;" "&amp;Factor_1[[#This Row],[Rol del Cargo]]</f>
        <v>H - VII 2</v>
      </c>
      <c r="C664" s="199" t="s">
        <v>186</v>
      </c>
      <c r="D664" s="199" t="s">
        <v>78</v>
      </c>
      <c r="E664" s="199" t="s">
        <v>179</v>
      </c>
      <c r="F664" s="199">
        <v>2</v>
      </c>
      <c r="G664" s="199">
        <v>600</v>
      </c>
    </row>
    <row r="665" spans="2:7" hidden="1">
      <c r="B665" s="199" t="str">
        <f>Factor_1[[#This Row],[Conocimientos]]&amp;" "&amp;Factor_1[[#This Row],[Tendencia]]&amp;" "&amp;Factor_1[[#This Row],[Habilidad Gerencial]]&amp;" "&amp;Factor_1[[#This Row],[Rol del Cargo]]</f>
        <v>H - VII 3</v>
      </c>
      <c r="C665" s="199" t="s">
        <v>186</v>
      </c>
      <c r="D665" s="199" t="s">
        <v>78</v>
      </c>
      <c r="E665" s="199" t="s">
        <v>179</v>
      </c>
      <c r="F665" s="199">
        <v>3</v>
      </c>
      <c r="G665" s="199">
        <v>643</v>
      </c>
    </row>
    <row r="666" spans="2:7" hidden="1">
      <c r="B666" s="199" t="str">
        <f>Factor_1[[#This Row],[Conocimientos]]&amp;" "&amp;Factor_1[[#This Row],[Tendencia]]&amp;" "&amp;Factor_1[[#This Row],[Habilidad Gerencial]]&amp;" "&amp;Factor_1[[#This Row],[Rol del Cargo]]</f>
        <v>H - VII 4</v>
      </c>
      <c r="C666" s="199" t="s">
        <v>186</v>
      </c>
      <c r="D666" s="199" t="s">
        <v>78</v>
      </c>
      <c r="E666" s="199" t="s">
        <v>179</v>
      </c>
      <c r="F666" s="199">
        <v>4</v>
      </c>
      <c r="G666" s="199">
        <v>695</v>
      </c>
    </row>
    <row r="667" spans="2:7" hidden="1">
      <c r="B667" s="199" t="str">
        <f>Factor_1[[#This Row],[Conocimientos]]&amp;" "&amp;Factor_1[[#This Row],[Tendencia]]&amp;" "&amp;Factor_1[[#This Row],[Habilidad Gerencial]]&amp;" "&amp;Factor_1[[#This Row],[Rol del Cargo]]</f>
        <v>H o VII 1</v>
      </c>
      <c r="C667" s="199" t="s">
        <v>186</v>
      </c>
      <c r="D667" s="199" t="s">
        <v>97</v>
      </c>
      <c r="E667" s="199" t="s">
        <v>179</v>
      </c>
      <c r="F667" s="199">
        <v>1</v>
      </c>
      <c r="G667" s="199">
        <v>620</v>
      </c>
    </row>
    <row r="668" spans="2:7" hidden="1">
      <c r="B668" s="199" t="str">
        <f>Factor_1[[#This Row],[Conocimientos]]&amp;" "&amp;Factor_1[[#This Row],[Tendencia]]&amp;" "&amp;Factor_1[[#This Row],[Habilidad Gerencial]]&amp;" "&amp;Factor_1[[#This Row],[Rol del Cargo]]</f>
        <v>H o VII 2</v>
      </c>
      <c r="C668" s="199" t="s">
        <v>186</v>
      </c>
      <c r="D668" s="199" t="s">
        <v>97</v>
      </c>
      <c r="E668" s="199" t="s">
        <v>179</v>
      </c>
      <c r="F668" s="199">
        <v>2</v>
      </c>
      <c r="G668" s="199">
        <v>658</v>
      </c>
    </row>
    <row r="669" spans="2:7" hidden="1">
      <c r="B669" s="199" t="str">
        <f>Factor_1[[#This Row],[Conocimientos]]&amp;" "&amp;Factor_1[[#This Row],[Tendencia]]&amp;" "&amp;Factor_1[[#This Row],[Habilidad Gerencial]]&amp;" "&amp;Factor_1[[#This Row],[Rol del Cargo]]</f>
        <v>H o VII 3</v>
      </c>
      <c r="C669" s="199" t="s">
        <v>186</v>
      </c>
      <c r="D669" s="199" t="s">
        <v>97</v>
      </c>
      <c r="E669" s="199" t="s">
        <v>179</v>
      </c>
      <c r="F669" s="199">
        <v>3</v>
      </c>
      <c r="G669" s="199">
        <v>701</v>
      </c>
    </row>
    <row r="670" spans="2:7" hidden="1">
      <c r="B670" s="199" t="str">
        <f>Factor_1[[#This Row],[Conocimientos]]&amp;" "&amp;Factor_1[[#This Row],[Tendencia]]&amp;" "&amp;Factor_1[[#This Row],[Habilidad Gerencial]]&amp;" "&amp;Factor_1[[#This Row],[Rol del Cargo]]</f>
        <v>H o VII 4</v>
      </c>
      <c r="C670" s="199" t="s">
        <v>186</v>
      </c>
      <c r="D670" s="199" t="s">
        <v>97</v>
      </c>
      <c r="E670" s="199" t="s">
        <v>179</v>
      </c>
      <c r="F670" s="199">
        <v>4</v>
      </c>
      <c r="G670" s="199">
        <v>753</v>
      </c>
    </row>
    <row r="671" spans="2:7" hidden="1">
      <c r="B671" s="199" t="str">
        <f>Factor_1[[#This Row],[Conocimientos]]&amp;" "&amp;Factor_1[[#This Row],[Tendencia]]&amp;" "&amp;Factor_1[[#This Row],[Habilidad Gerencial]]&amp;" "&amp;Factor_1[[#This Row],[Rol del Cargo]]</f>
        <v>H + VII 1</v>
      </c>
      <c r="C671" s="199" t="s">
        <v>186</v>
      </c>
      <c r="D671" s="199" t="s">
        <v>117</v>
      </c>
      <c r="E671" s="199" t="s">
        <v>179</v>
      </c>
      <c r="F671" s="199">
        <v>1</v>
      </c>
      <c r="G671" s="199">
        <v>689</v>
      </c>
    </row>
    <row r="672" spans="2:7" hidden="1">
      <c r="B672" s="199" t="str">
        <f>Factor_1[[#This Row],[Conocimientos]]&amp;" "&amp;Factor_1[[#This Row],[Tendencia]]&amp;" "&amp;Factor_1[[#This Row],[Habilidad Gerencial]]&amp;" "&amp;Factor_1[[#This Row],[Rol del Cargo]]</f>
        <v>H + VII 2</v>
      </c>
      <c r="C672" s="199" t="s">
        <v>186</v>
      </c>
      <c r="D672" s="199" t="s">
        <v>117</v>
      </c>
      <c r="E672" s="199" t="s">
        <v>179</v>
      </c>
      <c r="F672" s="199">
        <v>2</v>
      </c>
      <c r="G672" s="199">
        <v>726</v>
      </c>
    </row>
    <row r="673" spans="2:7" hidden="1">
      <c r="B673" s="199" t="str">
        <f>Factor_1[[#This Row],[Conocimientos]]&amp;" "&amp;Factor_1[[#This Row],[Tendencia]]&amp;" "&amp;Factor_1[[#This Row],[Habilidad Gerencial]]&amp;" "&amp;Factor_1[[#This Row],[Rol del Cargo]]</f>
        <v>H + VII 3</v>
      </c>
      <c r="C673" s="199" t="s">
        <v>186</v>
      </c>
      <c r="D673" s="199" t="s">
        <v>117</v>
      </c>
      <c r="E673" s="199" t="s">
        <v>179</v>
      </c>
      <c r="F673" s="199">
        <v>3</v>
      </c>
      <c r="G673" s="199">
        <v>770</v>
      </c>
    </row>
    <row r="674" spans="2:7" hidden="1">
      <c r="B674" s="247" t="str">
        <f>Factor_1[[#This Row],[Conocimientos]]&amp;" "&amp;Factor_1[[#This Row],[Tendencia]]&amp;" "&amp;Factor_1[[#This Row],[Habilidad Gerencial]]&amp;" "&amp;Factor_1[[#This Row],[Rol del Cargo]]</f>
        <v>H + VII 4</v>
      </c>
      <c r="C674" s="247" t="s">
        <v>186</v>
      </c>
      <c r="D674" s="247" t="s">
        <v>117</v>
      </c>
      <c r="E674" s="247" t="s">
        <v>179</v>
      </c>
      <c r="F674" s="247">
        <v>4</v>
      </c>
      <c r="G674" s="247">
        <v>821</v>
      </c>
    </row>
    <row r="675" spans="2:7"/>
  </sheetData>
  <sheetProtection password="E91B" sheet="1" objects="1" scenarios="1"/>
  <pageMargins left="0.7" right="0.7" top="0.75" bottom="0.75" header="0.3" footer="0.3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9">
    <tabColor rgb="FF3F80CD"/>
  </sheetPr>
  <dimension ref="A1:G63"/>
  <sheetViews>
    <sheetView workbookViewId="0"/>
  </sheetViews>
  <sheetFormatPr baseColWidth="10" defaultColWidth="0" defaultRowHeight="13.8" zeroHeight="1"/>
  <cols>
    <col min="1" max="1" width="2.5546875" style="13" customWidth="1"/>
    <col min="2" max="6" width="10.5546875" style="16" customWidth="1"/>
    <col min="7" max="7" width="2.5546875" style="13" customWidth="1"/>
    <col min="8" max="16384" width="9.44140625" style="13" hidden="1"/>
  </cols>
  <sheetData>
    <row r="1" spans="2:6"/>
    <row r="2" spans="2:6" ht="34.200000000000003">
      <c r="B2" s="249" t="s">
        <v>889</v>
      </c>
      <c r="C2" s="248" t="s">
        <v>69</v>
      </c>
      <c r="D2" s="250" t="s">
        <v>70</v>
      </c>
      <c r="E2" s="250" t="s">
        <v>71</v>
      </c>
      <c r="F2" s="248" t="s">
        <v>9</v>
      </c>
    </row>
    <row r="3" spans="2:6" hidden="1">
      <c r="B3" s="199" t="str">
        <f>Factor_2[[#This Row],[Contacto]]&amp;" "&amp;Factor_2[[#This Row],[Frecuencia del Contacto]]&amp;" "&amp;Factor_2[[#This Row],[Contenido de las Relaciones]]</f>
        <v>A 1 I</v>
      </c>
      <c r="C3" s="199" t="s">
        <v>79</v>
      </c>
      <c r="D3" s="199">
        <v>1</v>
      </c>
      <c r="E3" s="199" t="s">
        <v>81</v>
      </c>
      <c r="F3" s="199">
        <v>15</v>
      </c>
    </row>
    <row r="4" spans="2:6" hidden="1">
      <c r="B4" s="199" t="str">
        <f>Factor_2[[#This Row],[Contacto]]&amp;" "&amp;Factor_2[[#This Row],[Frecuencia del Contacto]]&amp;" "&amp;Factor_2[[#This Row],[Contenido de las Relaciones]]</f>
        <v>A 1 II</v>
      </c>
      <c r="C4" s="199" t="s">
        <v>79</v>
      </c>
      <c r="D4" s="199">
        <v>1</v>
      </c>
      <c r="E4" s="199" t="s">
        <v>100</v>
      </c>
      <c r="F4" s="199">
        <v>22</v>
      </c>
    </row>
    <row r="5" spans="2:6" hidden="1">
      <c r="B5" s="199" t="str">
        <f>Factor_2[[#This Row],[Contacto]]&amp;" "&amp;Factor_2[[#This Row],[Frecuencia del Contacto]]&amp;" "&amp;Factor_2[[#This Row],[Contenido de las Relaciones]]</f>
        <v>A 1 III</v>
      </c>
      <c r="C5" s="199" t="s">
        <v>79</v>
      </c>
      <c r="D5" s="199">
        <v>1</v>
      </c>
      <c r="E5" s="199" t="s">
        <v>120</v>
      </c>
      <c r="F5" s="199">
        <v>33</v>
      </c>
    </row>
    <row r="6" spans="2:6" hidden="1">
      <c r="B6" s="199" t="str">
        <f>Factor_2[[#This Row],[Contacto]]&amp;" "&amp;Factor_2[[#This Row],[Frecuencia del Contacto]]&amp;" "&amp;Factor_2[[#This Row],[Contenido de las Relaciones]]</f>
        <v>A 1 IV</v>
      </c>
      <c r="C6" s="199" t="s">
        <v>79</v>
      </c>
      <c r="D6" s="199">
        <v>1</v>
      </c>
      <c r="E6" s="199" t="s">
        <v>139</v>
      </c>
      <c r="F6" s="199">
        <v>51</v>
      </c>
    </row>
    <row r="7" spans="2:6" hidden="1">
      <c r="B7" s="199" t="str">
        <f>Factor_2[[#This Row],[Contacto]]&amp;" "&amp;Factor_2[[#This Row],[Frecuencia del Contacto]]&amp;" "&amp;Factor_2[[#This Row],[Contenido de las Relaciones]]</f>
        <v>A 1 V</v>
      </c>
      <c r="C7" s="199" t="s">
        <v>79</v>
      </c>
      <c r="D7" s="199">
        <v>1</v>
      </c>
      <c r="E7" s="199" t="s">
        <v>157</v>
      </c>
      <c r="F7" s="199">
        <v>77</v>
      </c>
    </row>
    <row r="8" spans="2:6" hidden="1">
      <c r="B8" s="199" t="str">
        <f>Factor_2[[#This Row],[Contacto]]&amp;" "&amp;Factor_2[[#This Row],[Frecuencia del Contacto]]&amp;" "&amp;Factor_2[[#This Row],[Contenido de las Relaciones]]</f>
        <v>A 2 I</v>
      </c>
      <c r="C8" s="199" t="s">
        <v>79</v>
      </c>
      <c r="D8" s="199">
        <v>2</v>
      </c>
      <c r="E8" s="199" t="s">
        <v>81</v>
      </c>
      <c r="F8" s="199">
        <v>18</v>
      </c>
    </row>
    <row r="9" spans="2:6" hidden="1">
      <c r="B9" s="199" t="str">
        <f>Factor_2[[#This Row],[Contacto]]&amp;" "&amp;Factor_2[[#This Row],[Frecuencia del Contacto]]&amp;" "&amp;Factor_2[[#This Row],[Contenido de las Relaciones]]</f>
        <v>A 2 II</v>
      </c>
      <c r="C9" s="199" t="s">
        <v>79</v>
      </c>
      <c r="D9" s="199">
        <v>2</v>
      </c>
      <c r="E9" s="199" t="s">
        <v>100</v>
      </c>
      <c r="F9" s="199">
        <v>27</v>
      </c>
    </row>
    <row r="10" spans="2:6" hidden="1">
      <c r="B10" s="199" t="str">
        <f>Factor_2[[#This Row],[Contacto]]&amp;" "&amp;Factor_2[[#This Row],[Frecuencia del Contacto]]&amp;" "&amp;Factor_2[[#This Row],[Contenido de las Relaciones]]</f>
        <v>A 2 III</v>
      </c>
      <c r="C10" s="199" t="s">
        <v>79</v>
      </c>
      <c r="D10" s="199">
        <v>2</v>
      </c>
      <c r="E10" s="199" t="s">
        <v>120</v>
      </c>
      <c r="F10" s="199">
        <v>40</v>
      </c>
    </row>
    <row r="11" spans="2:6" hidden="1">
      <c r="B11" s="199" t="str">
        <f>Factor_2[[#This Row],[Contacto]]&amp;" "&amp;Factor_2[[#This Row],[Frecuencia del Contacto]]&amp;" "&amp;Factor_2[[#This Row],[Contenido de las Relaciones]]</f>
        <v>A 2 IV</v>
      </c>
      <c r="C11" s="199" t="s">
        <v>79</v>
      </c>
      <c r="D11" s="199">
        <v>2</v>
      </c>
      <c r="E11" s="199" t="s">
        <v>139</v>
      </c>
      <c r="F11" s="199">
        <v>61</v>
      </c>
    </row>
    <row r="12" spans="2:6" hidden="1">
      <c r="B12" s="199" t="str">
        <f>Factor_2[[#This Row],[Contacto]]&amp;" "&amp;Factor_2[[#This Row],[Frecuencia del Contacto]]&amp;" "&amp;Factor_2[[#This Row],[Contenido de las Relaciones]]</f>
        <v>A 2 V</v>
      </c>
      <c r="C12" s="199" t="s">
        <v>79</v>
      </c>
      <c r="D12" s="199">
        <v>2</v>
      </c>
      <c r="E12" s="199" t="s">
        <v>157</v>
      </c>
      <c r="F12" s="199">
        <v>92</v>
      </c>
    </row>
    <row r="13" spans="2:6" hidden="1">
      <c r="B13" s="199" t="str">
        <f>Factor_2[[#This Row],[Contacto]]&amp;" "&amp;Factor_2[[#This Row],[Frecuencia del Contacto]]&amp;" "&amp;Factor_2[[#This Row],[Contenido de las Relaciones]]</f>
        <v>A 3 I</v>
      </c>
      <c r="C13" s="199" t="s">
        <v>79</v>
      </c>
      <c r="D13" s="199">
        <v>3</v>
      </c>
      <c r="E13" s="199" t="s">
        <v>81</v>
      </c>
      <c r="F13" s="199">
        <v>21</v>
      </c>
    </row>
    <row r="14" spans="2:6" hidden="1">
      <c r="B14" s="199" t="str">
        <f>Factor_2[[#This Row],[Contacto]]&amp;" "&amp;Factor_2[[#This Row],[Frecuencia del Contacto]]&amp;" "&amp;Factor_2[[#This Row],[Contenido de las Relaciones]]</f>
        <v>A 3 II</v>
      </c>
      <c r="C14" s="199" t="s">
        <v>79</v>
      </c>
      <c r="D14" s="199">
        <v>3</v>
      </c>
      <c r="E14" s="199" t="s">
        <v>100</v>
      </c>
      <c r="F14" s="199">
        <v>32</v>
      </c>
    </row>
    <row r="15" spans="2:6" hidden="1">
      <c r="B15" s="199" t="str">
        <f>Factor_2[[#This Row],[Contacto]]&amp;" "&amp;Factor_2[[#This Row],[Frecuencia del Contacto]]&amp;" "&amp;Factor_2[[#This Row],[Contenido de las Relaciones]]</f>
        <v>A 3 III</v>
      </c>
      <c r="C15" s="199" t="s">
        <v>79</v>
      </c>
      <c r="D15" s="199">
        <v>3</v>
      </c>
      <c r="E15" s="199" t="s">
        <v>120</v>
      </c>
      <c r="F15" s="199">
        <v>48</v>
      </c>
    </row>
    <row r="16" spans="2:6" hidden="1">
      <c r="B16" s="199" t="str">
        <f>Factor_2[[#This Row],[Contacto]]&amp;" "&amp;Factor_2[[#This Row],[Frecuencia del Contacto]]&amp;" "&amp;Factor_2[[#This Row],[Contenido de las Relaciones]]</f>
        <v>A 3 IV</v>
      </c>
      <c r="C16" s="199" t="s">
        <v>79</v>
      </c>
      <c r="D16" s="199">
        <v>3</v>
      </c>
      <c r="E16" s="199" t="s">
        <v>139</v>
      </c>
      <c r="F16" s="199">
        <v>73</v>
      </c>
    </row>
    <row r="17" spans="2:6" hidden="1">
      <c r="B17" s="199" t="str">
        <f>Factor_2[[#This Row],[Contacto]]&amp;" "&amp;Factor_2[[#This Row],[Frecuencia del Contacto]]&amp;" "&amp;Factor_2[[#This Row],[Contenido de las Relaciones]]</f>
        <v>A 3 V</v>
      </c>
      <c r="C17" s="199" t="s">
        <v>79</v>
      </c>
      <c r="D17" s="199">
        <v>3</v>
      </c>
      <c r="E17" s="199" t="s">
        <v>157</v>
      </c>
      <c r="F17" s="199">
        <v>111</v>
      </c>
    </row>
    <row r="18" spans="2:6" hidden="1">
      <c r="B18" s="199" t="str">
        <f>Factor_2[[#This Row],[Contacto]]&amp;" "&amp;Factor_2[[#This Row],[Frecuencia del Contacto]]&amp;" "&amp;Factor_2[[#This Row],[Contenido de las Relaciones]]</f>
        <v>A 4 I</v>
      </c>
      <c r="C18" s="199" t="s">
        <v>79</v>
      </c>
      <c r="D18" s="199">
        <v>4</v>
      </c>
      <c r="E18" s="199" t="s">
        <v>81</v>
      </c>
      <c r="F18" s="199">
        <v>25</v>
      </c>
    </row>
    <row r="19" spans="2:6" hidden="1">
      <c r="B19" s="199" t="str">
        <f>Factor_2[[#This Row],[Contacto]]&amp;" "&amp;Factor_2[[#This Row],[Frecuencia del Contacto]]&amp;" "&amp;Factor_2[[#This Row],[Contenido de las Relaciones]]</f>
        <v>A 4 II</v>
      </c>
      <c r="C19" s="199" t="s">
        <v>79</v>
      </c>
      <c r="D19" s="199">
        <v>4</v>
      </c>
      <c r="E19" s="199" t="s">
        <v>100</v>
      </c>
      <c r="F19" s="199">
        <v>38</v>
      </c>
    </row>
    <row r="20" spans="2:6" hidden="1">
      <c r="B20" s="199" t="str">
        <f>Factor_2[[#This Row],[Contacto]]&amp;" "&amp;Factor_2[[#This Row],[Frecuencia del Contacto]]&amp;" "&amp;Factor_2[[#This Row],[Contenido de las Relaciones]]</f>
        <v>A 4 III</v>
      </c>
      <c r="C20" s="199" t="s">
        <v>79</v>
      </c>
      <c r="D20" s="199">
        <v>4</v>
      </c>
      <c r="E20" s="199" t="s">
        <v>120</v>
      </c>
      <c r="F20" s="199">
        <v>58</v>
      </c>
    </row>
    <row r="21" spans="2:6" hidden="1">
      <c r="B21" s="199" t="str">
        <f>Factor_2[[#This Row],[Contacto]]&amp;" "&amp;Factor_2[[#This Row],[Frecuencia del Contacto]]&amp;" "&amp;Factor_2[[#This Row],[Contenido de las Relaciones]]</f>
        <v>A 4 IV</v>
      </c>
      <c r="C21" s="199" t="s">
        <v>79</v>
      </c>
      <c r="D21" s="199">
        <v>4</v>
      </c>
      <c r="E21" s="199" t="s">
        <v>139</v>
      </c>
      <c r="F21" s="199">
        <v>88</v>
      </c>
    </row>
    <row r="22" spans="2:6" hidden="1">
      <c r="B22" s="199" t="str">
        <f>Factor_2[[#This Row],[Contacto]]&amp;" "&amp;Factor_2[[#This Row],[Frecuencia del Contacto]]&amp;" "&amp;Factor_2[[#This Row],[Contenido de las Relaciones]]</f>
        <v>A 4 V</v>
      </c>
      <c r="C22" s="199" t="s">
        <v>79</v>
      </c>
      <c r="D22" s="199">
        <v>4</v>
      </c>
      <c r="E22" s="199" t="s">
        <v>157</v>
      </c>
      <c r="F22" s="199">
        <v>133</v>
      </c>
    </row>
    <row r="23" spans="2:6" hidden="1">
      <c r="B23" s="199" t="str">
        <f>Factor_2[[#This Row],[Contacto]]&amp;" "&amp;Factor_2[[#This Row],[Frecuencia del Contacto]]&amp;" "&amp;Factor_2[[#This Row],[Contenido de las Relaciones]]</f>
        <v>B 1 I</v>
      </c>
      <c r="C23" s="199" t="s">
        <v>98</v>
      </c>
      <c r="D23" s="199">
        <v>1</v>
      </c>
      <c r="E23" s="199" t="s">
        <v>81</v>
      </c>
      <c r="F23" s="199">
        <v>17</v>
      </c>
    </row>
    <row r="24" spans="2:6" hidden="1">
      <c r="B24" s="199" t="str">
        <f>Factor_2[[#This Row],[Contacto]]&amp;" "&amp;Factor_2[[#This Row],[Frecuencia del Contacto]]&amp;" "&amp;Factor_2[[#This Row],[Contenido de las Relaciones]]</f>
        <v>B 1 II</v>
      </c>
      <c r="C24" s="199" t="s">
        <v>98</v>
      </c>
      <c r="D24" s="199">
        <v>1</v>
      </c>
      <c r="E24" s="199" t="s">
        <v>100</v>
      </c>
      <c r="F24" s="199">
        <v>25</v>
      </c>
    </row>
    <row r="25" spans="2:6" hidden="1">
      <c r="B25" s="199" t="str">
        <f>Factor_2[[#This Row],[Contacto]]&amp;" "&amp;Factor_2[[#This Row],[Frecuencia del Contacto]]&amp;" "&amp;Factor_2[[#This Row],[Contenido de las Relaciones]]</f>
        <v>B 1 III</v>
      </c>
      <c r="C25" s="199" t="s">
        <v>98</v>
      </c>
      <c r="D25" s="199">
        <v>1</v>
      </c>
      <c r="E25" s="199" t="s">
        <v>120</v>
      </c>
      <c r="F25" s="199">
        <v>38</v>
      </c>
    </row>
    <row r="26" spans="2:6" hidden="1">
      <c r="B26" s="199" t="str">
        <f>Factor_2[[#This Row],[Contacto]]&amp;" "&amp;Factor_2[[#This Row],[Frecuencia del Contacto]]&amp;" "&amp;Factor_2[[#This Row],[Contenido de las Relaciones]]</f>
        <v>B 1 IV</v>
      </c>
      <c r="C26" s="199" t="s">
        <v>98</v>
      </c>
      <c r="D26" s="199">
        <v>1</v>
      </c>
      <c r="E26" s="199" t="s">
        <v>139</v>
      </c>
      <c r="F26" s="199">
        <v>58</v>
      </c>
    </row>
    <row r="27" spans="2:6" hidden="1">
      <c r="B27" s="199" t="str">
        <f>Factor_2[[#This Row],[Contacto]]&amp;" "&amp;Factor_2[[#This Row],[Frecuencia del Contacto]]&amp;" "&amp;Factor_2[[#This Row],[Contenido de las Relaciones]]</f>
        <v>B 1 V</v>
      </c>
      <c r="C27" s="199" t="s">
        <v>98</v>
      </c>
      <c r="D27" s="199">
        <v>1</v>
      </c>
      <c r="E27" s="199" t="s">
        <v>157</v>
      </c>
      <c r="F27" s="199">
        <v>88</v>
      </c>
    </row>
    <row r="28" spans="2:6" hidden="1">
      <c r="B28" s="199" t="str">
        <f>Factor_2[[#This Row],[Contacto]]&amp;" "&amp;Factor_2[[#This Row],[Frecuencia del Contacto]]&amp;" "&amp;Factor_2[[#This Row],[Contenido de las Relaciones]]</f>
        <v>B 2 I</v>
      </c>
      <c r="C28" s="199" t="s">
        <v>98</v>
      </c>
      <c r="D28" s="199">
        <v>2</v>
      </c>
      <c r="E28" s="199" t="s">
        <v>81</v>
      </c>
      <c r="F28" s="199">
        <v>20</v>
      </c>
    </row>
    <row r="29" spans="2:6" hidden="1">
      <c r="B29" s="199" t="str">
        <f>Factor_2[[#This Row],[Contacto]]&amp;" "&amp;Factor_2[[#This Row],[Frecuencia del Contacto]]&amp;" "&amp;Factor_2[[#This Row],[Contenido de las Relaciones]]</f>
        <v>B 2 II</v>
      </c>
      <c r="C29" s="199" t="s">
        <v>98</v>
      </c>
      <c r="D29" s="199">
        <v>2</v>
      </c>
      <c r="E29" s="199" t="s">
        <v>100</v>
      </c>
      <c r="F29" s="199">
        <v>31</v>
      </c>
    </row>
    <row r="30" spans="2:6" hidden="1">
      <c r="B30" s="199" t="str">
        <f>Factor_2[[#This Row],[Contacto]]&amp;" "&amp;Factor_2[[#This Row],[Frecuencia del Contacto]]&amp;" "&amp;Factor_2[[#This Row],[Contenido de las Relaciones]]</f>
        <v>B 2 III</v>
      </c>
      <c r="C30" s="199" t="s">
        <v>98</v>
      </c>
      <c r="D30" s="199">
        <v>2</v>
      </c>
      <c r="E30" s="199" t="s">
        <v>120</v>
      </c>
      <c r="F30" s="199">
        <v>46</v>
      </c>
    </row>
    <row r="31" spans="2:6" hidden="1">
      <c r="B31" s="199" t="str">
        <f>Factor_2[[#This Row],[Contacto]]&amp;" "&amp;Factor_2[[#This Row],[Frecuencia del Contacto]]&amp;" "&amp;Factor_2[[#This Row],[Contenido de las Relaciones]]</f>
        <v>B 2 IV</v>
      </c>
      <c r="C31" s="199" t="s">
        <v>98</v>
      </c>
      <c r="D31" s="199">
        <v>2</v>
      </c>
      <c r="E31" s="199" t="s">
        <v>139</v>
      </c>
      <c r="F31" s="199">
        <v>70</v>
      </c>
    </row>
    <row r="32" spans="2:6" hidden="1">
      <c r="B32" s="199" t="str">
        <f>Factor_2[[#This Row],[Contacto]]&amp;" "&amp;Factor_2[[#This Row],[Frecuencia del Contacto]]&amp;" "&amp;Factor_2[[#This Row],[Contenido de las Relaciones]]</f>
        <v>B 2 V</v>
      </c>
      <c r="C32" s="199" t="s">
        <v>98</v>
      </c>
      <c r="D32" s="199">
        <v>2</v>
      </c>
      <c r="E32" s="199" t="s">
        <v>157</v>
      </c>
      <c r="F32" s="199">
        <v>106</v>
      </c>
    </row>
    <row r="33" spans="2:6" hidden="1">
      <c r="B33" s="199" t="str">
        <f>Factor_2[[#This Row],[Contacto]]&amp;" "&amp;Factor_2[[#This Row],[Frecuencia del Contacto]]&amp;" "&amp;Factor_2[[#This Row],[Contenido de las Relaciones]]</f>
        <v>B 3 I</v>
      </c>
      <c r="C33" s="199" t="s">
        <v>98</v>
      </c>
      <c r="D33" s="199">
        <v>3</v>
      </c>
      <c r="E33" s="199" t="s">
        <v>81</v>
      </c>
      <c r="F33" s="199">
        <v>24</v>
      </c>
    </row>
    <row r="34" spans="2:6" hidden="1">
      <c r="B34" s="199" t="str">
        <f>Factor_2[[#This Row],[Contacto]]&amp;" "&amp;Factor_2[[#This Row],[Frecuencia del Contacto]]&amp;" "&amp;Factor_2[[#This Row],[Contenido de las Relaciones]]</f>
        <v>B 3 II</v>
      </c>
      <c r="C34" s="199" t="s">
        <v>98</v>
      </c>
      <c r="D34" s="199">
        <v>3</v>
      </c>
      <c r="E34" s="199" t="s">
        <v>100</v>
      </c>
      <c r="F34" s="199">
        <v>37</v>
      </c>
    </row>
    <row r="35" spans="2:6" hidden="1">
      <c r="B35" s="199" t="str">
        <f>Factor_2[[#This Row],[Contacto]]&amp;" "&amp;Factor_2[[#This Row],[Frecuencia del Contacto]]&amp;" "&amp;Factor_2[[#This Row],[Contenido de las Relaciones]]</f>
        <v>B 3 III</v>
      </c>
      <c r="C35" s="199" t="s">
        <v>98</v>
      </c>
      <c r="D35" s="199">
        <v>3</v>
      </c>
      <c r="E35" s="199" t="s">
        <v>120</v>
      </c>
      <c r="F35" s="199">
        <v>56</v>
      </c>
    </row>
    <row r="36" spans="2:6" hidden="1">
      <c r="B36" s="199" t="str">
        <f>Factor_2[[#This Row],[Contacto]]&amp;" "&amp;Factor_2[[#This Row],[Frecuencia del Contacto]]&amp;" "&amp;Factor_2[[#This Row],[Contenido de las Relaciones]]</f>
        <v>B 3 IV</v>
      </c>
      <c r="C36" s="199" t="s">
        <v>98</v>
      </c>
      <c r="D36" s="199">
        <v>3</v>
      </c>
      <c r="E36" s="199" t="s">
        <v>139</v>
      </c>
      <c r="F36" s="199">
        <v>84</v>
      </c>
    </row>
    <row r="37" spans="2:6" hidden="1">
      <c r="B37" s="199" t="str">
        <f>Factor_2[[#This Row],[Contacto]]&amp;" "&amp;Factor_2[[#This Row],[Frecuencia del Contacto]]&amp;" "&amp;Factor_2[[#This Row],[Contenido de las Relaciones]]</f>
        <v>B 3 V</v>
      </c>
      <c r="C37" s="199" t="s">
        <v>98</v>
      </c>
      <c r="D37" s="199">
        <v>3</v>
      </c>
      <c r="E37" s="199" t="s">
        <v>157</v>
      </c>
      <c r="F37" s="199">
        <v>127</v>
      </c>
    </row>
    <row r="38" spans="2:6" hidden="1">
      <c r="B38" s="199" t="str">
        <f>Factor_2[[#This Row],[Contacto]]&amp;" "&amp;Factor_2[[#This Row],[Frecuencia del Contacto]]&amp;" "&amp;Factor_2[[#This Row],[Contenido de las Relaciones]]</f>
        <v>B 4 I</v>
      </c>
      <c r="C38" s="199" t="s">
        <v>98</v>
      </c>
      <c r="D38" s="199">
        <v>4</v>
      </c>
      <c r="E38" s="199" t="s">
        <v>81</v>
      </c>
      <c r="F38" s="199">
        <v>29</v>
      </c>
    </row>
    <row r="39" spans="2:6" hidden="1">
      <c r="B39" s="199" t="str">
        <f>Factor_2[[#This Row],[Contacto]]&amp;" "&amp;Factor_2[[#This Row],[Frecuencia del Contacto]]&amp;" "&amp;Factor_2[[#This Row],[Contenido de las Relaciones]]</f>
        <v>B 4 II</v>
      </c>
      <c r="C39" s="199" t="s">
        <v>98</v>
      </c>
      <c r="D39" s="199">
        <v>4</v>
      </c>
      <c r="E39" s="199" t="s">
        <v>100</v>
      </c>
      <c r="F39" s="199">
        <v>44</v>
      </c>
    </row>
    <row r="40" spans="2:6" hidden="1">
      <c r="B40" s="199" t="str">
        <f>Factor_2[[#This Row],[Contacto]]&amp;" "&amp;Factor_2[[#This Row],[Frecuencia del Contacto]]&amp;" "&amp;Factor_2[[#This Row],[Contenido de las Relaciones]]</f>
        <v>B 4 III</v>
      </c>
      <c r="C40" s="199" t="s">
        <v>98</v>
      </c>
      <c r="D40" s="199">
        <v>4</v>
      </c>
      <c r="E40" s="199" t="s">
        <v>120</v>
      </c>
      <c r="F40" s="199">
        <v>67</v>
      </c>
    </row>
    <row r="41" spans="2:6" hidden="1">
      <c r="B41" s="199" t="str">
        <f>Factor_2[[#This Row],[Contacto]]&amp;" "&amp;Factor_2[[#This Row],[Frecuencia del Contacto]]&amp;" "&amp;Factor_2[[#This Row],[Contenido de las Relaciones]]</f>
        <v>B 4 IV</v>
      </c>
      <c r="C41" s="199" t="s">
        <v>98</v>
      </c>
      <c r="D41" s="199">
        <v>4</v>
      </c>
      <c r="E41" s="199" t="s">
        <v>139</v>
      </c>
      <c r="F41" s="199">
        <v>101</v>
      </c>
    </row>
    <row r="42" spans="2:6" hidden="1">
      <c r="B42" s="199" t="str">
        <f>Factor_2[[#This Row],[Contacto]]&amp;" "&amp;Factor_2[[#This Row],[Frecuencia del Contacto]]&amp;" "&amp;Factor_2[[#This Row],[Contenido de las Relaciones]]</f>
        <v>B 4 V</v>
      </c>
      <c r="C42" s="199" t="s">
        <v>98</v>
      </c>
      <c r="D42" s="199">
        <v>4</v>
      </c>
      <c r="E42" s="199" t="s">
        <v>157</v>
      </c>
      <c r="F42" s="199">
        <v>153</v>
      </c>
    </row>
    <row r="43" spans="2:6" hidden="1">
      <c r="B43" s="199" t="str">
        <f>Factor_2[[#This Row],[Contacto]]&amp;" "&amp;Factor_2[[#This Row],[Frecuencia del Contacto]]&amp;" "&amp;Factor_2[[#This Row],[Contenido de las Relaciones]]</f>
        <v>C 1 I</v>
      </c>
      <c r="C43" s="199" t="s">
        <v>118</v>
      </c>
      <c r="D43" s="199">
        <v>1</v>
      </c>
      <c r="E43" s="199" t="s">
        <v>81</v>
      </c>
      <c r="F43" s="199">
        <v>19</v>
      </c>
    </row>
    <row r="44" spans="2:6" hidden="1">
      <c r="B44" s="199" t="str">
        <f>Factor_2[[#This Row],[Contacto]]&amp;" "&amp;Factor_2[[#This Row],[Frecuencia del Contacto]]&amp;" "&amp;Factor_2[[#This Row],[Contenido de las Relaciones]]</f>
        <v>C 1 II</v>
      </c>
      <c r="C44" s="199" t="s">
        <v>118</v>
      </c>
      <c r="D44" s="199">
        <v>1</v>
      </c>
      <c r="E44" s="199" t="s">
        <v>100</v>
      </c>
      <c r="F44" s="199">
        <v>29</v>
      </c>
    </row>
    <row r="45" spans="2:6" hidden="1">
      <c r="B45" s="199" t="str">
        <f>Factor_2[[#This Row],[Contacto]]&amp;" "&amp;Factor_2[[#This Row],[Frecuencia del Contacto]]&amp;" "&amp;Factor_2[[#This Row],[Contenido de las Relaciones]]</f>
        <v>C 1 III</v>
      </c>
      <c r="C45" s="199" t="s">
        <v>118</v>
      </c>
      <c r="D45" s="199">
        <v>1</v>
      </c>
      <c r="E45" s="199" t="s">
        <v>120</v>
      </c>
      <c r="F45" s="199">
        <v>44</v>
      </c>
    </row>
    <row r="46" spans="2:6" hidden="1">
      <c r="B46" s="199" t="str">
        <f>Factor_2[[#This Row],[Contacto]]&amp;" "&amp;Factor_2[[#This Row],[Frecuencia del Contacto]]&amp;" "&amp;Factor_2[[#This Row],[Contenido de las Relaciones]]</f>
        <v>C 1 IV</v>
      </c>
      <c r="C46" s="199" t="s">
        <v>118</v>
      </c>
      <c r="D46" s="199">
        <v>1</v>
      </c>
      <c r="E46" s="199" t="s">
        <v>139</v>
      </c>
      <c r="F46" s="199">
        <v>67</v>
      </c>
    </row>
    <row r="47" spans="2:6" hidden="1">
      <c r="B47" s="199" t="str">
        <f>Factor_2[[#This Row],[Contacto]]&amp;" "&amp;Factor_2[[#This Row],[Frecuencia del Contacto]]&amp;" "&amp;Factor_2[[#This Row],[Contenido de las Relaciones]]</f>
        <v>C 1 V</v>
      </c>
      <c r="C47" s="199" t="s">
        <v>118</v>
      </c>
      <c r="D47" s="199">
        <v>1</v>
      </c>
      <c r="E47" s="199" t="s">
        <v>157</v>
      </c>
      <c r="F47" s="199">
        <v>101</v>
      </c>
    </row>
    <row r="48" spans="2:6" hidden="1">
      <c r="B48" s="199" t="str">
        <f>Factor_2[[#This Row],[Contacto]]&amp;" "&amp;Factor_2[[#This Row],[Frecuencia del Contacto]]&amp;" "&amp;Factor_2[[#This Row],[Contenido de las Relaciones]]</f>
        <v>C 2 I</v>
      </c>
      <c r="C48" s="199" t="s">
        <v>118</v>
      </c>
      <c r="D48" s="199">
        <v>2</v>
      </c>
      <c r="E48" s="199" t="s">
        <v>81</v>
      </c>
      <c r="F48" s="199">
        <v>23</v>
      </c>
    </row>
    <row r="49" spans="2:6" hidden="1">
      <c r="B49" s="199" t="str">
        <f>Factor_2[[#This Row],[Contacto]]&amp;" "&amp;Factor_2[[#This Row],[Frecuencia del Contacto]]&amp;" "&amp;Factor_2[[#This Row],[Contenido de las Relaciones]]</f>
        <v>C 2 II</v>
      </c>
      <c r="C49" s="199" t="s">
        <v>118</v>
      </c>
      <c r="D49" s="199">
        <v>2</v>
      </c>
      <c r="E49" s="199" t="s">
        <v>100</v>
      </c>
      <c r="F49" s="199">
        <v>35</v>
      </c>
    </row>
    <row r="50" spans="2:6" hidden="1">
      <c r="B50" s="199" t="str">
        <f>Factor_2[[#This Row],[Contacto]]&amp;" "&amp;Factor_2[[#This Row],[Frecuencia del Contacto]]&amp;" "&amp;Factor_2[[#This Row],[Contenido de las Relaciones]]</f>
        <v>C 2 III</v>
      </c>
      <c r="C50" s="199" t="s">
        <v>118</v>
      </c>
      <c r="D50" s="199">
        <v>2</v>
      </c>
      <c r="E50" s="199" t="s">
        <v>120</v>
      </c>
      <c r="F50" s="199">
        <v>53</v>
      </c>
    </row>
    <row r="51" spans="2:6" hidden="1">
      <c r="B51" s="199" t="str">
        <f>Factor_2[[#This Row],[Contacto]]&amp;" "&amp;Factor_2[[#This Row],[Frecuencia del Contacto]]&amp;" "&amp;Factor_2[[#This Row],[Contenido de las Relaciones]]</f>
        <v>C 2 IV</v>
      </c>
      <c r="C51" s="199" t="s">
        <v>118</v>
      </c>
      <c r="D51" s="199">
        <v>2</v>
      </c>
      <c r="E51" s="199" t="s">
        <v>139</v>
      </c>
      <c r="F51" s="199">
        <v>80</v>
      </c>
    </row>
    <row r="52" spans="2:6" hidden="1">
      <c r="B52" s="199" t="str">
        <f>Factor_2[[#This Row],[Contacto]]&amp;" "&amp;Factor_2[[#This Row],[Frecuencia del Contacto]]&amp;" "&amp;Factor_2[[#This Row],[Contenido de las Relaciones]]</f>
        <v>C 2 V</v>
      </c>
      <c r="C52" s="199" t="s">
        <v>118</v>
      </c>
      <c r="D52" s="199">
        <v>2</v>
      </c>
      <c r="E52" s="199" t="s">
        <v>157</v>
      </c>
      <c r="F52" s="199">
        <v>121</v>
      </c>
    </row>
    <row r="53" spans="2:6" hidden="1">
      <c r="B53" s="199" t="str">
        <f>Factor_2[[#This Row],[Contacto]]&amp;" "&amp;Factor_2[[#This Row],[Frecuencia del Contacto]]&amp;" "&amp;Factor_2[[#This Row],[Contenido de las Relaciones]]</f>
        <v>C 3 I</v>
      </c>
      <c r="C53" s="199" t="s">
        <v>118</v>
      </c>
      <c r="D53" s="199">
        <v>3</v>
      </c>
      <c r="E53" s="199" t="s">
        <v>81</v>
      </c>
      <c r="F53" s="199">
        <v>28</v>
      </c>
    </row>
    <row r="54" spans="2:6" hidden="1">
      <c r="B54" s="199" t="str">
        <f>Factor_2[[#This Row],[Contacto]]&amp;" "&amp;Factor_2[[#This Row],[Frecuencia del Contacto]]&amp;" "&amp;Factor_2[[#This Row],[Contenido de las Relaciones]]</f>
        <v>C 3 II</v>
      </c>
      <c r="C54" s="199" t="s">
        <v>118</v>
      </c>
      <c r="D54" s="199">
        <v>3</v>
      </c>
      <c r="E54" s="199" t="s">
        <v>100</v>
      </c>
      <c r="F54" s="199">
        <v>42</v>
      </c>
    </row>
    <row r="55" spans="2:6" hidden="1">
      <c r="B55" s="199" t="str">
        <f>Factor_2[[#This Row],[Contacto]]&amp;" "&amp;Factor_2[[#This Row],[Frecuencia del Contacto]]&amp;" "&amp;Factor_2[[#This Row],[Contenido de las Relaciones]]</f>
        <v>C 3 III</v>
      </c>
      <c r="C55" s="199" t="s">
        <v>118</v>
      </c>
      <c r="D55" s="199">
        <v>3</v>
      </c>
      <c r="E55" s="199" t="s">
        <v>120</v>
      </c>
      <c r="F55" s="199">
        <v>64</v>
      </c>
    </row>
    <row r="56" spans="2:6" hidden="1">
      <c r="B56" s="199" t="str">
        <f>Factor_2[[#This Row],[Contacto]]&amp;" "&amp;Factor_2[[#This Row],[Frecuencia del Contacto]]&amp;" "&amp;Factor_2[[#This Row],[Contenido de las Relaciones]]</f>
        <v>C 3 IV</v>
      </c>
      <c r="C56" s="199" t="s">
        <v>118</v>
      </c>
      <c r="D56" s="199">
        <v>3</v>
      </c>
      <c r="E56" s="199" t="s">
        <v>139</v>
      </c>
      <c r="F56" s="199">
        <v>97</v>
      </c>
    </row>
    <row r="57" spans="2:6" hidden="1">
      <c r="B57" s="199" t="str">
        <f>Factor_2[[#This Row],[Contacto]]&amp;" "&amp;Factor_2[[#This Row],[Frecuencia del Contacto]]&amp;" "&amp;Factor_2[[#This Row],[Contenido de las Relaciones]]</f>
        <v>C 3 V</v>
      </c>
      <c r="C57" s="199" t="s">
        <v>118</v>
      </c>
      <c r="D57" s="199">
        <v>3</v>
      </c>
      <c r="E57" s="199" t="s">
        <v>157</v>
      </c>
      <c r="F57" s="199">
        <v>146</v>
      </c>
    </row>
    <row r="58" spans="2:6" hidden="1">
      <c r="B58" s="199" t="str">
        <f>Factor_2[[#This Row],[Contacto]]&amp;" "&amp;Factor_2[[#This Row],[Frecuencia del Contacto]]&amp;" "&amp;Factor_2[[#This Row],[Contenido de las Relaciones]]</f>
        <v>C 4 I</v>
      </c>
      <c r="C58" s="199" t="s">
        <v>118</v>
      </c>
      <c r="D58" s="199">
        <v>4</v>
      </c>
      <c r="E58" s="199" t="s">
        <v>81</v>
      </c>
      <c r="F58" s="199">
        <v>34</v>
      </c>
    </row>
    <row r="59" spans="2:6" hidden="1">
      <c r="B59" s="199" t="str">
        <f>Factor_2[[#This Row],[Contacto]]&amp;" "&amp;Factor_2[[#This Row],[Frecuencia del Contacto]]&amp;" "&amp;Factor_2[[#This Row],[Contenido de las Relaciones]]</f>
        <v>C 4 II</v>
      </c>
      <c r="C59" s="199" t="s">
        <v>118</v>
      </c>
      <c r="D59" s="199">
        <v>4</v>
      </c>
      <c r="E59" s="199" t="s">
        <v>100</v>
      </c>
      <c r="F59" s="199">
        <v>51</v>
      </c>
    </row>
    <row r="60" spans="2:6" hidden="1">
      <c r="B60" s="199" t="str">
        <f>Factor_2[[#This Row],[Contacto]]&amp;" "&amp;Factor_2[[#This Row],[Frecuencia del Contacto]]&amp;" "&amp;Factor_2[[#This Row],[Contenido de las Relaciones]]</f>
        <v>C 4 III</v>
      </c>
      <c r="C60" s="199" t="s">
        <v>118</v>
      </c>
      <c r="D60" s="199">
        <v>4</v>
      </c>
      <c r="E60" s="199" t="s">
        <v>120</v>
      </c>
      <c r="F60" s="199">
        <v>77</v>
      </c>
    </row>
    <row r="61" spans="2:6" hidden="1">
      <c r="B61" s="199" t="str">
        <f>Factor_2[[#This Row],[Contacto]]&amp;" "&amp;Factor_2[[#This Row],[Frecuencia del Contacto]]&amp;" "&amp;Factor_2[[#This Row],[Contenido de las Relaciones]]</f>
        <v>C 4 IV</v>
      </c>
      <c r="C61" s="199" t="s">
        <v>118</v>
      </c>
      <c r="D61" s="199">
        <v>4</v>
      </c>
      <c r="E61" s="199" t="s">
        <v>139</v>
      </c>
      <c r="F61" s="199">
        <v>116</v>
      </c>
    </row>
    <row r="62" spans="2:6" hidden="1">
      <c r="B62" s="247" t="str">
        <f>Factor_2[[#This Row],[Contacto]]&amp;" "&amp;Factor_2[[#This Row],[Frecuencia del Contacto]]&amp;" "&amp;Factor_2[[#This Row],[Contenido de las Relaciones]]</f>
        <v>C 4 V</v>
      </c>
      <c r="C62" s="247" t="s">
        <v>118</v>
      </c>
      <c r="D62" s="247">
        <v>4</v>
      </c>
      <c r="E62" s="247" t="s">
        <v>157</v>
      </c>
      <c r="F62" s="247">
        <v>176</v>
      </c>
    </row>
    <row r="63" spans="2:6"/>
  </sheetData>
  <sheetProtection password="E91B" sheet="1" objects="1" scenarios="1"/>
  <pageMargins left="0.7" right="0.7" top="0.75" bottom="0.75" header="0.3" footer="0.3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0">
    <tabColor rgb="FF3F80CD"/>
  </sheetPr>
  <dimension ref="A1:H363"/>
  <sheetViews>
    <sheetView workbookViewId="0"/>
  </sheetViews>
  <sheetFormatPr baseColWidth="10" defaultColWidth="0" defaultRowHeight="13.8" zeroHeight="1"/>
  <cols>
    <col min="1" max="1" width="2.5546875" style="16" customWidth="1"/>
    <col min="2" max="7" width="10.5546875" style="16" customWidth="1"/>
    <col min="8" max="8" width="2.5546875" style="16" customWidth="1"/>
    <col min="9" max="16384" width="9.44140625" style="16" hidden="1"/>
  </cols>
  <sheetData>
    <row r="1" spans="2:7"/>
    <row r="2" spans="2:7" ht="27.6">
      <c r="B2" s="245" t="s">
        <v>889</v>
      </c>
      <c r="C2" s="246" t="s">
        <v>72</v>
      </c>
      <c r="D2" s="245" t="s">
        <v>63</v>
      </c>
      <c r="E2" s="216" t="s">
        <v>73</v>
      </c>
      <c r="F2" s="246" t="s">
        <v>890</v>
      </c>
      <c r="G2" s="222" t="s">
        <v>9</v>
      </c>
    </row>
    <row r="3" spans="2:7" hidden="1">
      <c r="B3" s="199" t="str">
        <f>Factor_3[[#This Row],[Complejidad Conceptual]]&amp;" "&amp;Factor_3[[#This Row],[Tendencia]]&amp;" "&amp;Factor_3[[#This Row],[Guias de Apoyo]]&amp;" "&amp;Factor_3[[#This Row],[Tendencia2]]</f>
        <v>1 - A -</v>
      </c>
      <c r="C3" s="199">
        <v>1</v>
      </c>
      <c r="D3" s="199" t="s">
        <v>78</v>
      </c>
      <c r="E3" s="199" t="s">
        <v>79</v>
      </c>
      <c r="F3" s="199" t="s">
        <v>78</v>
      </c>
      <c r="G3" s="251">
        <v>0.08</v>
      </c>
    </row>
    <row r="4" spans="2:7" hidden="1">
      <c r="B4" s="199" t="str">
        <f>Factor_3[[#This Row],[Complejidad Conceptual]]&amp;" "&amp;Factor_3[[#This Row],[Tendencia]]&amp;" "&amp;Factor_3[[#This Row],[Guias de Apoyo]]&amp;" "&amp;Factor_3[[#This Row],[Tendencia2]]</f>
        <v>1 - A o</v>
      </c>
      <c r="C4" s="199">
        <v>1</v>
      </c>
      <c r="D4" s="199" t="s">
        <v>78</v>
      </c>
      <c r="E4" s="199" t="s">
        <v>79</v>
      </c>
      <c r="F4" s="199" t="s">
        <v>97</v>
      </c>
      <c r="G4" s="251">
        <v>0.09</v>
      </c>
    </row>
    <row r="5" spans="2:7" hidden="1">
      <c r="B5" s="199" t="str">
        <f>Factor_3[[#This Row],[Complejidad Conceptual]]&amp;" "&amp;Factor_3[[#This Row],[Tendencia]]&amp;" "&amp;Factor_3[[#This Row],[Guias de Apoyo]]&amp;" "&amp;Factor_3[[#This Row],[Tendencia2]]</f>
        <v>1 - A +</v>
      </c>
      <c r="C5" s="199">
        <v>1</v>
      </c>
      <c r="D5" s="199" t="s">
        <v>78</v>
      </c>
      <c r="E5" s="199" t="s">
        <v>79</v>
      </c>
      <c r="F5" s="199" t="s">
        <v>117</v>
      </c>
      <c r="G5" s="251">
        <v>0.1</v>
      </c>
    </row>
    <row r="6" spans="2:7" hidden="1">
      <c r="B6" s="199" t="str">
        <f>Factor_3[[#This Row],[Complejidad Conceptual]]&amp;" "&amp;Factor_3[[#This Row],[Tendencia]]&amp;" "&amp;Factor_3[[#This Row],[Guias de Apoyo]]&amp;" "&amp;Factor_3[[#This Row],[Tendencia2]]</f>
        <v>1 - B -</v>
      </c>
      <c r="C6" s="199">
        <v>1</v>
      </c>
      <c r="D6" s="199" t="s">
        <v>78</v>
      </c>
      <c r="E6" s="199" t="s">
        <v>98</v>
      </c>
      <c r="F6" s="199" t="s">
        <v>78</v>
      </c>
      <c r="G6" s="251">
        <v>0.1</v>
      </c>
    </row>
    <row r="7" spans="2:7" hidden="1">
      <c r="B7" s="199" t="str">
        <f>Factor_3[[#This Row],[Complejidad Conceptual]]&amp;" "&amp;Factor_3[[#This Row],[Tendencia]]&amp;" "&amp;Factor_3[[#This Row],[Guias de Apoyo]]&amp;" "&amp;Factor_3[[#This Row],[Tendencia2]]</f>
        <v>1 - B o</v>
      </c>
      <c r="C7" s="199">
        <v>1</v>
      </c>
      <c r="D7" s="199" t="s">
        <v>78</v>
      </c>
      <c r="E7" s="199" t="s">
        <v>98</v>
      </c>
      <c r="F7" s="199" t="s">
        <v>97</v>
      </c>
      <c r="G7" s="251">
        <v>0.11</v>
      </c>
    </row>
    <row r="8" spans="2:7" hidden="1">
      <c r="B8" s="199" t="str">
        <f>Factor_3[[#This Row],[Complejidad Conceptual]]&amp;" "&amp;Factor_3[[#This Row],[Tendencia]]&amp;" "&amp;Factor_3[[#This Row],[Guias de Apoyo]]&amp;" "&amp;Factor_3[[#This Row],[Tendencia2]]</f>
        <v>1 - B +</v>
      </c>
      <c r="C8" s="199">
        <v>1</v>
      </c>
      <c r="D8" s="199" t="s">
        <v>78</v>
      </c>
      <c r="E8" s="199" t="s">
        <v>98</v>
      </c>
      <c r="F8" s="199" t="s">
        <v>117</v>
      </c>
      <c r="G8" s="251">
        <v>0.12</v>
      </c>
    </row>
    <row r="9" spans="2:7" hidden="1">
      <c r="B9" s="199" t="str">
        <f>Factor_3[[#This Row],[Complejidad Conceptual]]&amp;" "&amp;Factor_3[[#This Row],[Tendencia]]&amp;" "&amp;Factor_3[[#This Row],[Guias de Apoyo]]&amp;" "&amp;Factor_3[[#This Row],[Tendencia2]]</f>
        <v>1 - C -</v>
      </c>
      <c r="C9" s="199">
        <v>1</v>
      </c>
      <c r="D9" s="199" t="s">
        <v>78</v>
      </c>
      <c r="E9" s="199" t="s">
        <v>118</v>
      </c>
      <c r="F9" s="199" t="s">
        <v>78</v>
      </c>
      <c r="G9" s="251">
        <v>0.12</v>
      </c>
    </row>
    <row r="10" spans="2:7" hidden="1">
      <c r="B10" s="199" t="str">
        <f>Factor_3[[#This Row],[Complejidad Conceptual]]&amp;" "&amp;Factor_3[[#This Row],[Tendencia]]&amp;" "&amp;Factor_3[[#This Row],[Guias de Apoyo]]&amp;" "&amp;Factor_3[[#This Row],[Tendencia2]]</f>
        <v>1 - C o</v>
      </c>
      <c r="C10" s="199">
        <v>1</v>
      </c>
      <c r="D10" s="199" t="s">
        <v>78</v>
      </c>
      <c r="E10" s="199" t="s">
        <v>118</v>
      </c>
      <c r="F10" s="199" t="s">
        <v>97</v>
      </c>
      <c r="G10" s="251">
        <v>0.13</v>
      </c>
    </row>
    <row r="11" spans="2:7" hidden="1">
      <c r="B11" s="199" t="str">
        <f>Factor_3[[#This Row],[Complejidad Conceptual]]&amp;" "&amp;Factor_3[[#This Row],[Tendencia]]&amp;" "&amp;Factor_3[[#This Row],[Guias de Apoyo]]&amp;" "&amp;Factor_3[[#This Row],[Tendencia2]]</f>
        <v>1 - C +</v>
      </c>
      <c r="C11" s="199">
        <v>1</v>
      </c>
      <c r="D11" s="199" t="s">
        <v>78</v>
      </c>
      <c r="E11" s="199" t="s">
        <v>118</v>
      </c>
      <c r="F11" s="199" t="s">
        <v>117</v>
      </c>
      <c r="G11" s="251">
        <v>0.14000000000000001</v>
      </c>
    </row>
    <row r="12" spans="2:7" hidden="1">
      <c r="B12" s="199" t="str">
        <f>Factor_3[[#This Row],[Complejidad Conceptual]]&amp;" "&amp;Factor_3[[#This Row],[Tendencia]]&amp;" "&amp;Factor_3[[#This Row],[Guias de Apoyo]]&amp;" "&amp;Factor_3[[#This Row],[Tendencia2]]</f>
        <v>1 - D -</v>
      </c>
      <c r="C12" s="199">
        <v>1</v>
      </c>
      <c r="D12" s="199" t="s">
        <v>78</v>
      </c>
      <c r="E12" s="199" t="s">
        <v>137</v>
      </c>
      <c r="F12" s="199" t="s">
        <v>78</v>
      </c>
      <c r="G12" s="251">
        <v>0.14000000000000001</v>
      </c>
    </row>
    <row r="13" spans="2:7" hidden="1">
      <c r="B13" s="199" t="str">
        <f>Factor_3[[#This Row],[Complejidad Conceptual]]&amp;" "&amp;Factor_3[[#This Row],[Tendencia]]&amp;" "&amp;Factor_3[[#This Row],[Guias de Apoyo]]&amp;" "&amp;Factor_3[[#This Row],[Tendencia2]]</f>
        <v>1 - D o</v>
      </c>
      <c r="C13" s="199">
        <v>1</v>
      </c>
      <c r="D13" s="199" t="s">
        <v>78</v>
      </c>
      <c r="E13" s="199" t="s">
        <v>137</v>
      </c>
      <c r="F13" s="199" t="s">
        <v>97</v>
      </c>
      <c r="G13" s="251">
        <v>0.16</v>
      </c>
    </row>
    <row r="14" spans="2:7" hidden="1">
      <c r="B14" s="199" t="str">
        <f>Factor_3[[#This Row],[Complejidad Conceptual]]&amp;" "&amp;Factor_3[[#This Row],[Tendencia]]&amp;" "&amp;Factor_3[[#This Row],[Guias de Apoyo]]&amp;" "&amp;Factor_3[[#This Row],[Tendencia2]]</f>
        <v>1 - D +</v>
      </c>
      <c r="C14" s="199">
        <v>1</v>
      </c>
      <c r="D14" s="199" t="s">
        <v>78</v>
      </c>
      <c r="E14" s="199" t="s">
        <v>137</v>
      </c>
      <c r="F14" s="199" t="s">
        <v>117</v>
      </c>
      <c r="G14" s="251">
        <v>0.17</v>
      </c>
    </row>
    <row r="15" spans="2:7" hidden="1">
      <c r="B15" s="199" t="str">
        <f>Factor_3[[#This Row],[Complejidad Conceptual]]&amp;" "&amp;Factor_3[[#This Row],[Tendencia]]&amp;" "&amp;Factor_3[[#This Row],[Guias de Apoyo]]&amp;" "&amp;Factor_3[[#This Row],[Tendencia2]]</f>
        <v>1 - E -</v>
      </c>
      <c r="C15" s="199">
        <v>1</v>
      </c>
      <c r="D15" s="199" t="s">
        <v>78</v>
      </c>
      <c r="E15" s="199" t="s">
        <v>155</v>
      </c>
      <c r="F15" s="199" t="s">
        <v>78</v>
      </c>
      <c r="G15" s="251">
        <v>0.17</v>
      </c>
    </row>
    <row r="16" spans="2:7" hidden="1">
      <c r="B16" s="199" t="str">
        <f>Factor_3[[#This Row],[Complejidad Conceptual]]&amp;" "&amp;Factor_3[[#This Row],[Tendencia]]&amp;" "&amp;Factor_3[[#This Row],[Guias de Apoyo]]&amp;" "&amp;Factor_3[[#This Row],[Tendencia2]]</f>
        <v>1 - E o</v>
      </c>
      <c r="C16" s="199">
        <v>1</v>
      </c>
      <c r="D16" s="199" t="s">
        <v>78</v>
      </c>
      <c r="E16" s="199" t="s">
        <v>155</v>
      </c>
      <c r="F16" s="199" t="s">
        <v>97</v>
      </c>
      <c r="G16" s="251">
        <v>0.19</v>
      </c>
    </row>
    <row r="17" spans="2:7" hidden="1">
      <c r="B17" s="199" t="str">
        <f>Factor_3[[#This Row],[Complejidad Conceptual]]&amp;" "&amp;Factor_3[[#This Row],[Tendencia]]&amp;" "&amp;Factor_3[[#This Row],[Guias de Apoyo]]&amp;" "&amp;Factor_3[[#This Row],[Tendencia2]]</f>
        <v>1 - E +</v>
      </c>
      <c r="C17" s="199">
        <v>1</v>
      </c>
      <c r="D17" s="199" t="s">
        <v>78</v>
      </c>
      <c r="E17" s="199" t="s">
        <v>155</v>
      </c>
      <c r="F17" s="199" t="s">
        <v>117</v>
      </c>
      <c r="G17" s="251">
        <v>0.2</v>
      </c>
    </row>
    <row r="18" spans="2:7" hidden="1">
      <c r="B18" s="199" t="str">
        <f>Factor_3[[#This Row],[Complejidad Conceptual]]&amp;" "&amp;Factor_3[[#This Row],[Tendencia]]&amp;" "&amp;Factor_3[[#This Row],[Guias de Apoyo]]&amp;" "&amp;Factor_3[[#This Row],[Tendencia2]]</f>
        <v>1 - F -</v>
      </c>
      <c r="C18" s="199">
        <v>1</v>
      </c>
      <c r="D18" s="199" t="s">
        <v>78</v>
      </c>
      <c r="E18" s="199" t="s">
        <v>169</v>
      </c>
      <c r="F18" s="199" t="s">
        <v>78</v>
      </c>
      <c r="G18" s="251">
        <v>0.2</v>
      </c>
    </row>
    <row r="19" spans="2:7" hidden="1">
      <c r="B19" s="199" t="str">
        <f>Factor_3[[#This Row],[Complejidad Conceptual]]&amp;" "&amp;Factor_3[[#This Row],[Tendencia]]&amp;" "&amp;Factor_3[[#This Row],[Guias de Apoyo]]&amp;" "&amp;Factor_3[[#This Row],[Tendencia2]]</f>
        <v>1 - F o</v>
      </c>
      <c r="C19" s="199">
        <v>1</v>
      </c>
      <c r="D19" s="199" t="s">
        <v>78</v>
      </c>
      <c r="E19" s="199" t="s">
        <v>169</v>
      </c>
      <c r="F19" s="199" t="s">
        <v>97</v>
      </c>
      <c r="G19" s="251">
        <v>0.22</v>
      </c>
    </row>
    <row r="20" spans="2:7" hidden="1">
      <c r="B20" s="199" t="str">
        <f>Factor_3[[#This Row],[Complejidad Conceptual]]&amp;" "&amp;Factor_3[[#This Row],[Tendencia]]&amp;" "&amp;Factor_3[[#This Row],[Guias de Apoyo]]&amp;" "&amp;Factor_3[[#This Row],[Tendencia2]]</f>
        <v>1 - F +</v>
      </c>
      <c r="C20" s="199">
        <v>1</v>
      </c>
      <c r="D20" s="199" t="s">
        <v>78</v>
      </c>
      <c r="E20" s="199" t="s">
        <v>169</v>
      </c>
      <c r="F20" s="199" t="s">
        <v>117</v>
      </c>
      <c r="G20" s="251">
        <v>0.24</v>
      </c>
    </row>
    <row r="21" spans="2:7" hidden="1">
      <c r="B21" s="199" t="str">
        <f>Factor_3[[#This Row],[Complejidad Conceptual]]&amp;" "&amp;Factor_3[[#This Row],[Tendencia]]&amp;" "&amp;Factor_3[[#This Row],[Guias de Apoyo]]&amp;" "&amp;Factor_3[[#This Row],[Tendencia2]]</f>
        <v>1 - G -</v>
      </c>
      <c r="C21" s="199">
        <v>1</v>
      </c>
      <c r="D21" s="199" t="s">
        <v>78</v>
      </c>
      <c r="E21" s="199" t="s">
        <v>18</v>
      </c>
      <c r="F21" s="199" t="s">
        <v>78</v>
      </c>
      <c r="G21" s="251">
        <v>0.24</v>
      </c>
    </row>
    <row r="22" spans="2:7" hidden="1">
      <c r="B22" s="199" t="str">
        <f>Factor_3[[#This Row],[Complejidad Conceptual]]&amp;" "&amp;Factor_3[[#This Row],[Tendencia]]&amp;" "&amp;Factor_3[[#This Row],[Guias de Apoyo]]&amp;" "&amp;Factor_3[[#This Row],[Tendencia2]]</f>
        <v>1 - G o</v>
      </c>
      <c r="C22" s="199">
        <v>1</v>
      </c>
      <c r="D22" s="199" t="s">
        <v>78</v>
      </c>
      <c r="E22" s="199" t="s">
        <v>18</v>
      </c>
      <c r="F22" s="199" t="s">
        <v>97</v>
      </c>
      <c r="G22" s="251">
        <v>0.27</v>
      </c>
    </row>
    <row r="23" spans="2:7" hidden="1">
      <c r="B23" s="199" t="str">
        <f>Factor_3[[#This Row],[Complejidad Conceptual]]&amp;" "&amp;Factor_3[[#This Row],[Tendencia]]&amp;" "&amp;Factor_3[[#This Row],[Guias de Apoyo]]&amp;" "&amp;Factor_3[[#This Row],[Tendencia2]]</f>
        <v>1 - G +</v>
      </c>
      <c r="C23" s="199">
        <v>1</v>
      </c>
      <c r="D23" s="199" t="s">
        <v>78</v>
      </c>
      <c r="E23" s="199" t="s">
        <v>18</v>
      </c>
      <c r="F23" s="199" t="s">
        <v>117</v>
      </c>
      <c r="G23" s="251">
        <v>0.28999999999999998</v>
      </c>
    </row>
    <row r="24" spans="2:7" hidden="1">
      <c r="B24" s="199" t="str">
        <f>Factor_3[[#This Row],[Complejidad Conceptual]]&amp;" "&amp;Factor_3[[#This Row],[Tendencia]]&amp;" "&amp;Factor_3[[#This Row],[Guias de Apoyo]]&amp;" "&amp;Factor_3[[#This Row],[Tendencia2]]</f>
        <v>1 - H -</v>
      </c>
      <c r="C24" s="199">
        <v>1</v>
      </c>
      <c r="D24" s="199" t="s">
        <v>78</v>
      </c>
      <c r="E24" s="199" t="s">
        <v>186</v>
      </c>
      <c r="F24" s="199" t="s">
        <v>78</v>
      </c>
      <c r="G24" s="251">
        <v>0.28999999999999998</v>
      </c>
    </row>
    <row r="25" spans="2:7" hidden="1">
      <c r="B25" s="199" t="str">
        <f>Factor_3[[#This Row],[Complejidad Conceptual]]&amp;" "&amp;Factor_3[[#This Row],[Tendencia]]&amp;" "&amp;Factor_3[[#This Row],[Guias de Apoyo]]&amp;" "&amp;Factor_3[[#This Row],[Tendencia2]]</f>
        <v>1 - H o</v>
      </c>
      <c r="C25" s="199">
        <v>1</v>
      </c>
      <c r="D25" s="199" t="s">
        <v>78</v>
      </c>
      <c r="E25" s="199" t="s">
        <v>186</v>
      </c>
      <c r="F25" s="199" t="s">
        <v>97</v>
      </c>
      <c r="G25" s="251">
        <v>0.32</v>
      </c>
    </row>
    <row r="26" spans="2:7" hidden="1">
      <c r="B26" s="199" t="str">
        <f>Factor_3[[#This Row],[Complejidad Conceptual]]&amp;" "&amp;Factor_3[[#This Row],[Tendencia]]&amp;" "&amp;Factor_3[[#This Row],[Guias de Apoyo]]&amp;" "&amp;Factor_3[[#This Row],[Tendencia2]]</f>
        <v>1 - H +</v>
      </c>
      <c r="C26" s="199">
        <v>1</v>
      </c>
      <c r="D26" s="199" t="s">
        <v>78</v>
      </c>
      <c r="E26" s="199" t="s">
        <v>186</v>
      </c>
      <c r="F26" s="199" t="s">
        <v>117</v>
      </c>
      <c r="G26" s="251">
        <v>0.34</v>
      </c>
    </row>
    <row r="27" spans="2:7" hidden="1">
      <c r="B27" s="199" t="str">
        <f>Factor_3[[#This Row],[Complejidad Conceptual]]&amp;" "&amp;Factor_3[[#This Row],[Tendencia]]&amp;" "&amp;Factor_3[[#This Row],[Guias de Apoyo]]&amp;" "&amp;Factor_3[[#This Row],[Tendencia2]]</f>
        <v>1 + A -</v>
      </c>
      <c r="C27" s="199">
        <v>1</v>
      </c>
      <c r="D27" s="199" t="s">
        <v>117</v>
      </c>
      <c r="E27" s="199" t="s">
        <v>79</v>
      </c>
      <c r="F27" s="199" t="s">
        <v>78</v>
      </c>
      <c r="G27" s="251">
        <v>0.1</v>
      </c>
    </row>
    <row r="28" spans="2:7" hidden="1">
      <c r="B28" s="199" t="str">
        <f>Factor_3[[#This Row],[Complejidad Conceptual]]&amp;" "&amp;Factor_3[[#This Row],[Tendencia]]&amp;" "&amp;Factor_3[[#This Row],[Guias de Apoyo]]&amp;" "&amp;Factor_3[[#This Row],[Tendencia2]]</f>
        <v>1 + A o</v>
      </c>
      <c r="C28" s="199">
        <v>1</v>
      </c>
      <c r="D28" s="199" t="s">
        <v>117</v>
      </c>
      <c r="E28" s="199" t="s">
        <v>79</v>
      </c>
      <c r="F28" s="199" t="s">
        <v>97</v>
      </c>
      <c r="G28" s="251">
        <v>0.11</v>
      </c>
    </row>
    <row r="29" spans="2:7" hidden="1">
      <c r="B29" s="199" t="str">
        <f>Factor_3[[#This Row],[Complejidad Conceptual]]&amp;" "&amp;Factor_3[[#This Row],[Tendencia]]&amp;" "&amp;Factor_3[[#This Row],[Guias de Apoyo]]&amp;" "&amp;Factor_3[[#This Row],[Tendencia2]]</f>
        <v>1 + A +</v>
      </c>
      <c r="C29" s="199">
        <v>1</v>
      </c>
      <c r="D29" s="199" t="s">
        <v>117</v>
      </c>
      <c r="E29" s="199" t="s">
        <v>79</v>
      </c>
      <c r="F29" s="199" t="s">
        <v>117</v>
      </c>
      <c r="G29" s="251">
        <v>0.12</v>
      </c>
    </row>
    <row r="30" spans="2:7" hidden="1">
      <c r="B30" s="199" t="str">
        <f>Factor_3[[#This Row],[Complejidad Conceptual]]&amp;" "&amp;Factor_3[[#This Row],[Tendencia]]&amp;" "&amp;Factor_3[[#This Row],[Guias de Apoyo]]&amp;" "&amp;Factor_3[[#This Row],[Tendencia2]]</f>
        <v>1 + B -</v>
      </c>
      <c r="C30" s="199">
        <v>1</v>
      </c>
      <c r="D30" s="199" t="s">
        <v>117</v>
      </c>
      <c r="E30" s="199" t="s">
        <v>98</v>
      </c>
      <c r="F30" s="199" t="s">
        <v>78</v>
      </c>
      <c r="G30" s="251">
        <v>0.12</v>
      </c>
    </row>
    <row r="31" spans="2:7" hidden="1">
      <c r="B31" s="199" t="str">
        <f>Factor_3[[#This Row],[Complejidad Conceptual]]&amp;" "&amp;Factor_3[[#This Row],[Tendencia]]&amp;" "&amp;Factor_3[[#This Row],[Guias de Apoyo]]&amp;" "&amp;Factor_3[[#This Row],[Tendencia2]]</f>
        <v>1 + B o</v>
      </c>
      <c r="C31" s="199">
        <v>1</v>
      </c>
      <c r="D31" s="199" t="s">
        <v>117</v>
      </c>
      <c r="E31" s="199" t="s">
        <v>98</v>
      </c>
      <c r="F31" s="199" t="s">
        <v>97</v>
      </c>
      <c r="G31" s="251">
        <v>0.13</v>
      </c>
    </row>
    <row r="32" spans="2:7" hidden="1">
      <c r="B32" s="199" t="str">
        <f>Factor_3[[#This Row],[Complejidad Conceptual]]&amp;" "&amp;Factor_3[[#This Row],[Tendencia]]&amp;" "&amp;Factor_3[[#This Row],[Guias de Apoyo]]&amp;" "&amp;Factor_3[[#This Row],[Tendencia2]]</f>
        <v>1 + B +</v>
      </c>
      <c r="C32" s="199">
        <v>1</v>
      </c>
      <c r="D32" s="199" t="s">
        <v>117</v>
      </c>
      <c r="E32" s="199" t="s">
        <v>98</v>
      </c>
      <c r="F32" s="199" t="s">
        <v>117</v>
      </c>
      <c r="G32" s="251">
        <v>0.14000000000000001</v>
      </c>
    </row>
    <row r="33" spans="2:7" hidden="1">
      <c r="B33" s="199" t="str">
        <f>Factor_3[[#This Row],[Complejidad Conceptual]]&amp;" "&amp;Factor_3[[#This Row],[Tendencia]]&amp;" "&amp;Factor_3[[#This Row],[Guias de Apoyo]]&amp;" "&amp;Factor_3[[#This Row],[Tendencia2]]</f>
        <v>1 + C -</v>
      </c>
      <c r="C33" s="199">
        <v>1</v>
      </c>
      <c r="D33" s="199" t="s">
        <v>117</v>
      </c>
      <c r="E33" s="199" t="s">
        <v>118</v>
      </c>
      <c r="F33" s="199" t="s">
        <v>78</v>
      </c>
      <c r="G33" s="251">
        <v>0.14000000000000001</v>
      </c>
    </row>
    <row r="34" spans="2:7" hidden="1">
      <c r="B34" s="199" t="str">
        <f>Factor_3[[#This Row],[Complejidad Conceptual]]&amp;" "&amp;Factor_3[[#This Row],[Tendencia]]&amp;" "&amp;Factor_3[[#This Row],[Guias de Apoyo]]&amp;" "&amp;Factor_3[[#This Row],[Tendencia2]]</f>
        <v>1 + C o</v>
      </c>
      <c r="C34" s="199">
        <v>1</v>
      </c>
      <c r="D34" s="199" t="s">
        <v>117</v>
      </c>
      <c r="E34" s="199" t="s">
        <v>118</v>
      </c>
      <c r="F34" s="199" t="s">
        <v>97</v>
      </c>
      <c r="G34" s="251">
        <v>0.16</v>
      </c>
    </row>
    <row r="35" spans="2:7" hidden="1">
      <c r="B35" s="199" t="str">
        <f>Factor_3[[#This Row],[Complejidad Conceptual]]&amp;" "&amp;Factor_3[[#This Row],[Tendencia]]&amp;" "&amp;Factor_3[[#This Row],[Guias de Apoyo]]&amp;" "&amp;Factor_3[[#This Row],[Tendencia2]]</f>
        <v>1 + C +</v>
      </c>
      <c r="C35" s="199">
        <v>1</v>
      </c>
      <c r="D35" s="199" t="s">
        <v>117</v>
      </c>
      <c r="E35" s="199" t="s">
        <v>118</v>
      </c>
      <c r="F35" s="199" t="s">
        <v>117</v>
      </c>
      <c r="G35" s="251">
        <v>0.17</v>
      </c>
    </row>
    <row r="36" spans="2:7" hidden="1">
      <c r="B36" s="199" t="str">
        <f>Factor_3[[#This Row],[Complejidad Conceptual]]&amp;" "&amp;Factor_3[[#This Row],[Tendencia]]&amp;" "&amp;Factor_3[[#This Row],[Guias de Apoyo]]&amp;" "&amp;Factor_3[[#This Row],[Tendencia2]]</f>
        <v>1 + D -</v>
      </c>
      <c r="C36" s="199">
        <v>1</v>
      </c>
      <c r="D36" s="199" t="s">
        <v>117</v>
      </c>
      <c r="E36" s="199" t="s">
        <v>137</v>
      </c>
      <c r="F36" s="199" t="s">
        <v>78</v>
      </c>
      <c r="G36" s="251">
        <v>0.17</v>
      </c>
    </row>
    <row r="37" spans="2:7" hidden="1">
      <c r="B37" s="199" t="str">
        <f>Factor_3[[#This Row],[Complejidad Conceptual]]&amp;" "&amp;Factor_3[[#This Row],[Tendencia]]&amp;" "&amp;Factor_3[[#This Row],[Guias de Apoyo]]&amp;" "&amp;Factor_3[[#This Row],[Tendencia2]]</f>
        <v>1 + D o</v>
      </c>
      <c r="C37" s="199">
        <v>1</v>
      </c>
      <c r="D37" s="199" t="s">
        <v>117</v>
      </c>
      <c r="E37" s="199" t="s">
        <v>137</v>
      </c>
      <c r="F37" s="199" t="s">
        <v>97</v>
      </c>
      <c r="G37" s="251">
        <v>0.19</v>
      </c>
    </row>
    <row r="38" spans="2:7" hidden="1">
      <c r="B38" s="199" t="str">
        <f>Factor_3[[#This Row],[Complejidad Conceptual]]&amp;" "&amp;Factor_3[[#This Row],[Tendencia]]&amp;" "&amp;Factor_3[[#This Row],[Guias de Apoyo]]&amp;" "&amp;Factor_3[[#This Row],[Tendencia2]]</f>
        <v>1 + D +</v>
      </c>
      <c r="C38" s="199">
        <v>1</v>
      </c>
      <c r="D38" s="199" t="s">
        <v>117</v>
      </c>
      <c r="E38" s="199" t="s">
        <v>137</v>
      </c>
      <c r="F38" s="199" t="s">
        <v>117</v>
      </c>
      <c r="G38" s="251">
        <v>0.2</v>
      </c>
    </row>
    <row r="39" spans="2:7" hidden="1">
      <c r="B39" s="199" t="str">
        <f>Factor_3[[#This Row],[Complejidad Conceptual]]&amp;" "&amp;Factor_3[[#This Row],[Tendencia]]&amp;" "&amp;Factor_3[[#This Row],[Guias de Apoyo]]&amp;" "&amp;Factor_3[[#This Row],[Tendencia2]]</f>
        <v>1 + E -</v>
      </c>
      <c r="C39" s="199">
        <v>1</v>
      </c>
      <c r="D39" s="199" t="s">
        <v>117</v>
      </c>
      <c r="E39" s="199" t="s">
        <v>155</v>
      </c>
      <c r="F39" s="199" t="s">
        <v>78</v>
      </c>
      <c r="G39" s="251">
        <v>0.2</v>
      </c>
    </row>
    <row r="40" spans="2:7" hidden="1">
      <c r="B40" s="199" t="str">
        <f>Factor_3[[#This Row],[Complejidad Conceptual]]&amp;" "&amp;Factor_3[[#This Row],[Tendencia]]&amp;" "&amp;Factor_3[[#This Row],[Guias de Apoyo]]&amp;" "&amp;Factor_3[[#This Row],[Tendencia2]]</f>
        <v>1 + E o</v>
      </c>
      <c r="C40" s="199">
        <v>1</v>
      </c>
      <c r="D40" s="199" t="s">
        <v>117</v>
      </c>
      <c r="E40" s="199" t="s">
        <v>155</v>
      </c>
      <c r="F40" s="199" t="s">
        <v>97</v>
      </c>
      <c r="G40" s="251">
        <v>0.22</v>
      </c>
    </row>
    <row r="41" spans="2:7" hidden="1">
      <c r="B41" s="199" t="str">
        <f>Factor_3[[#This Row],[Complejidad Conceptual]]&amp;" "&amp;Factor_3[[#This Row],[Tendencia]]&amp;" "&amp;Factor_3[[#This Row],[Guias de Apoyo]]&amp;" "&amp;Factor_3[[#This Row],[Tendencia2]]</f>
        <v>1 + E +</v>
      </c>
      <c r="C41" s="199">
        <v>1</v>
      </c>
      <c r="D41" s="199" t="s">
        <v>117</v>
      </c>
      <c r="E41" s="199" t="s">
        <v>155</v>
      </c>
      <c r="F41" s="199" t="s">
        <v>117</v>
      </c>
      <c r="G41" s="251">
        <v>0.24</v>
      </c>
    </row>
    <row r="42" spans="2:7" hidden="1">
      <c r="B42" s="199" t="str">
        <f>Factor_3[[#This Row],[Complejidad Conceptual]]&amp;" "&amp;Factor_3[[#This Row],[Tendencia]]&amp;" "&amp;Factor_3[[#This Row],[Guias de Apoyo]]&amp;" "&amp;Factor_3[[#This Row],[Tendencia2]]</f>
        <v>1 + F -</v>
      </c>
      <c r="C42" s="199">
        <v>1</v>
      </c>
      <c r="D42" s="199" t="s">
        <v>117</v>
      </c>
      <c r="E42" s="199" t="s">
        <v>169</v>
      </c>
      <c r="F42" s="199" t="s">
        <v>78</v>
      </c>
      <c r="G42" s="251">
        <v>0.24</v>
      </c>
    </row>
    <row r="43" spans="2:7" hidden="1">
      <c r="B43" s="199" t="str">
        <f>Factor_3[[#This Row],[Complejidad Conceptual]]&amp;" "&amp;Factor_3[[#This Row],[Tendencia]]&amp;" "&amp;Factor_3[[#This Row],[Guias de Apoyo]]&amp;" "&amp;Factor_3[[#This Row],[Tendencia2]]</f>
        <v>1 + F o</v>
      </c>
      <c r="C43" s="199">
        <v>1</v>
      </c>
      <c r="D43" s="199" t="s">
        <v>117</v>
      </c>
      <c r="E43" s="199" t="s">
        <v>169</v>
      </c>
      <c r="F43" s="199" t="s">
        <v>97</v>
      </c>
      <c r="G43" s="251">
        <v>0.27</v>
      </c>
    </row>
    <row r="44" spans="2:7" hidden="1">
      <c r="B44" s="199" t="str">
        <f>Factor_3[[#This Row],[Complejidad Conceptual]]&amp;" "&amp;Factor_3[[#This Row],[Tendencia]]&amp;" "&amp;Factor_3[[#This Row],[Guias de Apoyo]]&amp;" "&amp;Factor_3[[#This Row],[Tendencia2]]</f>
        <v>1 + F +</v>
      </c>
      <c r="C44" s="199">
        <v>1</v>
      </c>
      <c r="D44" s="199" t="s">
        <v>117</v>
      </c>
      <c r="E44" s="199" t="s">
        <v>169</v>
      </c>
      <c r="F44" s="199" t="s">
        <v>117</v>
      </c>
      <c r="G44" s="251">
        <v>0.28999999999999998</v>
      </c>
    </row>
    <row r="45" spans="2:7" hidden="1">
      <c r="B45" s="199" t="str">
        <f>Factor_3[[#This Row],[Complejidad Conceptual]]&amp;" "&amp;Factor_3[[#This Row],[Tendencia]]&amp;" "&amp;Factor_3[[#This Row],[Guias de Apoyo]]&amp;" "&amp;Factor_3[[#This Row],[Tendencia2]]</f>
        <v>1 + G -</v>
      </c>
      <c r="C45" s="199">
        <v>1</v>
      </c>
      <c r="D45" s="199" t="s">
        <v>117</v>
      </c>
      <c r="E45" s="199" t="s">
        <v>18</v>
      </c>
      <c r="F45" s="199" t="s">
        <v>78</v>
      </c>
      <c r="G45" s="251">
        <v>0.28999999999999998</v>
      </c>
    </row>
    <row r="46" spans="2:7" hidden="1">
      <c r="B46" s="199" t="str">
        <f>Factor_3[[#This Row],[Complejidad Conceptual]]&amp;" "&amp;Factor_3[[#This Row],[Tendencia]]&amp;" "&amp;Factor_3[[#This Row],[Guias de Apoyo]]&amp;" "&amp;Factor_3[[#This Row],[Tendencia2]]</f>
        <v>1 + G o</v>
      </c>
      <c r="C46" s="199">
        <v>1</v>
      </c>
      <c r="D46" s="199" t="s">
        <v>117</v>
      </c>
      <c r="E46" s="199" t="s">
        <v>18</v>
      </c>
      <c r="F46" s="199" t="s">
        <v>97</v>
      </c>
      <c r="G46" s="251">
        <v>0.32</v>
      </c>
    </row>
    <row r="47" spans="2:7" hidden="1">
      <c r="B47" s="199" t="str">
        <f>Factor_3[[#This Row],[Complejidad Conceptual]]&amp;" "&amp;Factor_3[[#This Row],[Tendencia]]&amp;" "&amp;Factor_3[[#This Row],[Guias de Apoyo]]&amp;" "&amp;Factor_3[[#This Row],[Tendencia2]]</f>
        <v>1 + G +</v>
      </c>
      <c r="C47" s="199">
        <v>1</v>
      </c>
      <c r="D47" s="199" t="s">
        <v>117</v>
      </c>
      <c r="E47" s="199" t="s">
        <v>18</v>
      </c>
      <c r="F47" s="199" t="s">
        <v>117</v>
      </c>
      <c r="G47" s="251">
        <v>0.34</v>
      </c>
    </row>
    <row r="48" spans="2:7" hidden="1">
      <c r="B48" s="199" t="str">
        <f>Factor_3[[#This Row],[Complejidad Conceptual]]&amp;" "&amp;Factor_3[[#This Row],[Tendencia]]&amp;" "&amp;Factor_3[[#This Row],[Guias de Apoyo]]&amp;" "&amp;Factor_3[[#This Row],[Tendencia2]]</f>
        <v>1 + H -</v>
      </c>
      <c r="C48" s="199">
        <v>1</v>
      </c>
      <c r="D48" s="199" t="s">
        <v>117</v>
      </c>
      <c r="E48" s="199" t="s">
        <v>186</v>
      </c>
      <c r="F48" s="199" t="s">
        <v>78</v>
      </c>
      <c r="G48" s="251">
        <v>0.34</v>
      </c>
    </row>
    <row r="49" spans="2:7" hidden="1">
      <c r="B49" s="199" t="str">
        <f>Factor_3[[#This Row],[Complejidad Conceptual]]&amp;" "&amp;Factor_3[[#This Row],[Tendencia]]&amp;" "&amp;Factor_3[[#This Row],[Guias de Apoyo]]&amp;" "&amp;Factor_3[[#This Row],[Tendencia2]]</f>
        <v>1 + H o</v>
      </c>
      <c r="C49" s="199">
        <v>1</v>
      </c>
      <c r="D49" s="199" t="s">
        <v>117</v>
      </c>
      <c r="E49" s="199" t="s">
        <v>186</v>
      </c>
      <c r="F49" s="199" t="s">
        <v>97</v>
      </c>
      <c r="G49" s="251">
        <v>0.38</v>
      </c>
    </row>
    <row r="50" spans="2:7" hidden="1">
      <c r="B50" s="199" t="str">
        <f>Factor_3[[#This Row],[Complejidad Conceptual]]&amp;" "&amp;Factor_3[[#This Row],[Tendencia]]&amp;" "&amp;Factor_3[[#This Row],[Guias de Apoyo]]&amp;" "&amp;Factor_3[[#This Row],[Tendencia2]]</f>
        <v>1 + H +</v>
      </c>
      <c r="C50" s="199">
        <v>1</v>
      </c>
      <c r="D50" s="199" t="s">
        <v>117</v>
      </c>
      <c r="E50" s="199" t="s">
        <v>186</v>
      </c>
      <c r="F50" s="199" t="s">
        <v>117</v>
      </c>
      <c r="G50" s="251">
        <v>0.41</v>
      </c>
    </row>
    <row r="51" spans="2:7" hidden="1">
      <c r="B51" s="199" t="str">
        <f>Factor_3[[#This Row],[Complejidad Conceptual]]&amp;" "&amp;Factor_3[[#This Row],[Tendencia]]&amp;" "&amp;Factor_3[[#This Row],[Guias de Apoyo]]&amp;" "&amp;Factor_3[[#This Row],[Tendencia2]]</f>
        <v>1 o A -</v>
      </c>
      <c r="C51" s="199">
        <v>1</v>
      </c>
      <c r="D51" s="199" t="s">
        <v>97</v>
      </c>
      <c r="E51" s="199" t="s">
        <v>79</v>
      </c>
      <c r="F51" s="199" t="s">
        <v>78</v>
      </c>
      <c r="G51" s="251">
        <v>0.09</v>
      </c>
    </row>
    <row r="52" spans="2:7" hidden="1">
      <c r="B52" s="199" t="str">
        <f>Factor_3[[#This Row],[Complejidad Conceptual]]&amp;" "&amp;Factor_3[[#This Row],[Tendencia]]&amp;" "&amp;Factor_3[[#This Row],[Guias de Apoyo]]&amp;" "&amp;Factor_3[[#This Row],[Tendencia2]]</f>
        <v>1 o A o</v>
      </c>
      <c r="C52" s="199">
        <v>1</v>
      </c>
      <c r="D52" s="199" t="s">
        <v>97</v>
      </c>
      <c r="E52" s="199" t="s">
        <v>79</v>
      </c>
      <c r="F52" s="199" t="s">
        <v>97</v>
      </c>
      <c r="G52" s="251">
        <v>0.1</v>
      </c>
    </row>
    <row r="53" spans="2:7" hidden="1">
      <c r="B53" s="199" t="str">
        <f>Factor_3[[#This Row],[Complejidad Conceptual]]&amp;" "&amp;Factor_3[[#This Row],[Tendencia]]&amp;" "&amp;Factor_3[[#This Row],[Guias de Apoyo]]&amp;" "&amp;Factor_3[[#This Row],[Tendencia2]]</f>
        <v>1 o A +</v>
      </c>
      <c r="C53" s="199">
        <v>1</v>
      </c>
      <c r="D53" s="199" t="s">
        <v>97</v>
      </c>
      <c r="E53" s="199" t="s">
        <v>79</v>
      </c>
      <c r="F53" s="199" t="s">
        <v>117</v>
      </c>
      <c r="G53" s="251">
        <v>0.11</v>
      </c>
    </row>
    <row r="54" spans="2:7" hidden="1">
      <c r="B54" s="199" t="str">
        <f>Factor_3[[#This Row],[Complejidad Conceptual]]&amp;" "&amp;Factor_3[[#This Row],[Tendencia]]&amp;" "&amp;Factor_3[[#This Row],[Guias de Apoyo]]&amp;" "&amp;Factor_3[[#This Row],[Tendencia2]]</f>
        <v>1 o B -</v>
      </c>
      <c r="C54" s="199">
        <v>1</v>
      </c>
      <c r="D54" s="199" t="s">
        <v>97</v>
      </c>
      <c r="E54" s="199" t="s">
        <v>98</v>
      </c>
      <c r="F54" s="199" t="s">
        <v>78</v>
      </c>
      <c r="G54" s="251">
        <v>0.11</v>
      </c>
    </row>
    <row r="55" spans="2:7" hidden="1">
      <c r="B55" s="199" t="str">
        <f>Factor_3[[#This Row],[Complejidad Conceptual]]&amp;" "&amp;Factor_3[[#This Row],[Tendencia]]&amp;" "&amp;Factor_3[[#This Row],[Guias de Apoyo]]&amp;" "&amp;Factor_3[[#This Row],[Tendencia2]]</f>
        <v>1 o B o</v>
      </c>
      <c r="C55" s="199">
        <v>1</v>
      </c>
      <c r="D55" s="199" t="s">
        <v>97</v>
      </c>
      <c r="E55" s="199" t="s">
        <v>98</v>
      </c>
      <c r="F55" s="199" t="s">
        <v>97</v>
      </c>
      <c r="G55" s="251">
        <v>0.12</v>
      </c>
    </row>
    <row r="56" spans="2:7" hidden="1">
      <c r="B56" s="199" t="str">
        <f>Factor_3[[#This Row],[Complejidad Conceptual]]&amp;" "&amp;Factor_3[[#This Row],[Tendencia]]&amp;" "&amp;Factor_3[[#This Row],[Guias de Apoyo]]&amp;" "&amp;Factor_3[[#This Row],[Tendencia2]]</f>
        <v>1 o B +</v>
      </c>
      <c r="C56" s="199">
        <v>1</v>
      </c>
      <c r="D56" s="199" t="s">
        <v>97</v>
      </c>
      <c r="E56" s="199" t="s">
        <v>98</v>
      </c>
      <c r="F56" s="199" t="s">
        <v>117</v>
      </c>
      <c r="G56" s="251">
        <v>0.13</v>
      </c>
    </row>
    <row r="57" spans="2:7" hidden="1">
      <c r="B57" s="199" t="str">
        <f>Factor_3[[#This Row],[Complejidad Conceptual]]&amp;" "&amp;Factor_3[[#This Row],[Tendencia]]&amp;" "&amp;Factor_3[[#This Row],[Guias de Apoyo]]&amp;" "&amp;Factor_3[[#This Row],[Tendencia2]]</f>
        <v>1 o C -</v>
      </c>
      <c r="C57" s="199">
        <v>1</v>
      </c>
      <c r="D57" s="199" t="s">
        <v>97</v>
      </c>
      <c r="E57" s="199" t="s">
        <v>118</v>
      </c>
      <c r="F57" s="199" t="s">
        <v>78</v>
      </c>
      <c r="G57" s="251">
        <v>0.13</v>
      </c>
    </row>
    <row r="58" spans="2:7" hidden="1">
      <c r="B58" s="199" t="str">
        <f>Factor_3[[#This Row],[Complejidad Conceptual]]&amp;" "&amp;Factor_3[[#This Row],[Tendencia]]&amp;" "&amp;Factor_3[[#This Row],[Guias de Apoyo]]&amp;" "&amp;Factor_3[[#This Row],[Tendencia2]]</f>
        <v>1 o C o</v>
      </c>
      <c r="C58" s="199">
        <v>1</v>
      </c>
      <c r="D58" s="199" t="s">
        <v>97</v>
      </c>
      <c r="E58" s="199" t="s">
        <v>118</v>
      </c>
      <c r="F58" s="199" t="s">
        <v>97</v>
      </c>
      <c r="G58" s="251">
        <v>0.14000000000000001</v>
      </c>
    </row>
    <row r="59" spans="2:7" hidden="1">
      <c r="B59" s="199" t="str">
        <f>Factor_3[[#This Row],[Complejidad Conceptual]]&amp;" "&amp;Factor_3[[#This Row],[Tendencia]]&amp;" "&amp;Factor_3[[#This Row],[Guias de Apoyo]]&amp;" "&amp;Factor_3[[#This Row],[Tendencia2]]</f>
        <v>1 o C +</v>
      </c>
      <c r="C59" s="199">
        <v>1</v>
      </c>
      <c r="D59" s="199" t="s">
        <v>97</v>
      </c>
      <c r="E59" s="199" t="s">
        <v>118</v>
      </c>
      <c r="F59" s="199" t="s">
        <v>117</v>
      </c>
      <c r="G59" s="251">
        <v>0.16</v>
      </c>
    </row>
    <row r="60" spans="2:7" hidden="1">
      <c r="B60" s="199" t="str">
        <f>Factor_3[[#This Row],[Complejidad Conceptual]]&amp;" "&amp;Factor_3[[#This Row],[Tendencia]]&amp;" "&amp;Factor_3[[#This Row],[Guias de Apoyo]]&amp;" "&amp;Factor_3[[#This Row],[Tendencia2]]</f>
        <v>1 o D -</v>
      </c>
      <c r="C60" s="199">
        <v>1</v>
      </c>
      <c r="D60" s="199" t="s">
        <v>97</v>
      </c>
      <c r="E60" s="199" t="s">
        <v>137</v>
      </c>
      <c r="F60" s="199" t="s">
        <v>78</v>
      </c>
      <c r="G60" s="251">
        <v>0.16</v>
      </c>
    </row>
    <row r="61" spans="2:7" hidden="1">
      <c r="B61" s="199" t="str">
        <f>Factor_3[[#This Row],[Complejidad Conceptual]]&amp;" "&amp;Factor_3[[#This Row],[Tendencia]]&amp;" "&amp;Factor_3[[#This Row],[Guias de Apoyo]]&amp;" "&amp;Factor_3[[#This Row],[Tendencia2]]</f>
        <v>1 o D o</v>
      </c>
      <c r="C61" s="199">
        <v>1</v>
      </c>
      <c r="D61" s="199" t="s">
        <v>97</v>
      </c>
      <c r="E61" s="199" t="s">
        <v>137</v>
      </c>
      <c r="F61" s="199" t="s">
        <v>97</v>
      </c>
      <c r="G61" s="251">
        <v>0.17</v>
      </c>
    </row>
    <row r="62" spans="2:7" hidden="1">
      <c r="B62" s="199" t="str">
        <f>Factor_3[[#This Row],[Complejidad Conceptual]]&amp;" "&amp;Factor_3[[#This Row],[Tendencia]]&amp;" "&amp;Factor_3[[#This Row],[Guias de Apoyo]]&amp;" "&amp;Factor_3[[#This Row],[Tendencia2]]</f>
        <v>1 o D +</v>
      </c>
      <c r="C62" s="199">
        <v>1</v>
      </c>
      <c r="D62" s="199" t="s">
        <v>97</v>
      </c>
      <c r="E62" s="199" t="s">
        <v>137</v>
      </c>
      <c r="F62" s="199" t="s">
        <v>117</v>
      </c>
      <c r="G62" s="251">
        <v>0.19</v>
      </c>
    </row>
    <row r="63" spans="2:7" hidden="1">
      <c r="B63" s="199" t="str">
        <f>Factor_3[[#This Row],[Complejidad Conceptual]]&amp;" "&amp;Factor_3[[#This Row],[Tendencia]]&amp;" "&amp;Factor_3[[#This Row],[Guias de Apoyo]]&amp;" "&amp;Factor_3[[#This Row],[Tendencia2]]</f>
        <v>1 o E -</v>
      </c>
      <c r="C63" s="199">
        <v>1</v>
      </c>
      <c r="D63" s="199" t="s">
        <v>97</v>
      </c>
      <c r="E63" s="199" t="s">
        <v>155</v>
      </c>
      <c r="F63" s="199" t="s">
        <v>78</v>
      </c>
      <c r="G63" s="251">
        <v>0.19</v>
      </c>
    </row>
    <row r="64" spans="2:7" hidden="1">
      <c r="B64" s="199" t="str">
        <f>Factor_3[[#This Row],[Complejidad Conceptual]]&amp;" "&amp;Factor_3[[#This Row],[Tendencia]]&amp;" "&amp;Factor_3[[#This Row],[Guias de Apoyo]]&amp;" "&amp;Factor_3[[#This Row],[Tendencia2]]</f>
        <v>1 o E o</v>
      </c>
      <c r="C64" s="199">
        <v>1</v>
      </c>
      <c r="D64" s="199" t="s">
        <v>97</v>
      </c>
      <c r="E64" s="199" t="s">
        <v>155</v>
      </c>
      <c r="F64" s="199" t="s">
        <v>97</v>
      </c>
      <c r="G64" s="251">
        <v>0.2</v>
      </c>
    </row>
    <row r="65" spans="2:7" hidden="1">
      <c r="B65" s="199" t="str">
        <f>Factor_3[[#This Row],[Complejidad Conceptual]]&amp;" "&amp;Factor_3[[#This Row],[Tendencia]]&amp;" "&amp;Factor_3[[#This Row],[Guias de Apoyo]]&amp;" "&amp;Factor_3[[#This Row],[Tendencia2]]</f>
        <v>1 o E +</v>
      </c>
      <c r="C65" s="199">
        <v>1</v>
      </c>
      <c r="D65" s="199" t="s">
        <v>97</v>
      </c>
      <c r="E65" s="199" t="s">
        <v>155</v>
      </c>
      <c r="F65" s="199" t="s">
        <v>117</v>
      </c>
      <c r="G65" s="251">
        <v>0.22</v>
      </c>
    </row>
    <row r="66" spans="2:7" hidden="1">
      <c r="B66" s="199" t="str">
        <f>Factor_3[[#This Row],[Complejidad Conceptual]]&amp;" "&amp;Factor_3[[#This Row],[Tendencia]]&amp;" "&amp;Factor_3[[#This Row],[Guias de Apoyo]]&amp;" "&amp;Factor_3[[#This Row],[Tendencia2]]</f>
        <v>1 o F -</v>
      </c>
      <c r="C66" s="199">
        <v>1</v>
      </c>
      <c r="D66" s="199" t="s">
        <v>97</v>
      </c>
      <c r="E66" s="199" t="s">
        <v>169</v>
      </c>
      <c r="F66" s="199" t="s">
        <v>78</v>
      </c>
      <c r="G66" s="251">
        <v>0.22</v>
      </c>
    </row>
    <row r="67" spans="2:7" hidden="1">
      <c r="B67" s="199" t="str">
        <f>Factor_3[[#This Row],[Complejidad Conceptual]]&amp;" "&amp;Factor_3[[#This Row],[Tendencia]]&amp;" "&amp;Factor_3[[#This Row],[Guias de Apoyo]]&amp;" "&amp;Factor_3[[#This Row],[Tendencia2]]</f>
        <v>1 o F o</v>
      </c>
      <c r="C67" s="199">
        <v>1</v>
      </c>
      <c r="D67" s="199" t="s">
        <v>97</v>
      </c>
      <c r="E67" s="199" t="s">
        <v>169</v>
      </c>
      <c r="F67" s="199" t="s">
        <v>97</v>
      </c>
      <c r="G67" s="251">
        <v>0.24</v>
      </c>
    </row>
    <row r="68" spans="2:7" hidden="1">
      <c r="B68" s="199" t="str">
        <f>Factor_3[[#This Row],[Complejidad Conceptual]]&amp;" "&amp;Factor_3[[#This Row],[Tendencia]]&amp;" "&amp;Factor_3[[#This Row],[Guias de Apoyo]]&amp;" "&amp;Factor_3[[#This Row],[Tendencia2]]</f>
        <v>1 o F +</v>
      </c>
      <c r="C68" s="199">
        <v>1</v>
      </c>
      <c r="D68" s="199" t="s">
        <v>97</v>
      </c>
      <c r="E68" s="199" t="s">
        <v>169</v>
      </c>
      <c r="F68" s="199" t="s">
        <v>117</v>
      </c>
      <c r="G68" s="251">
        <v>0.27</v>
      </c>
    </row>
    <row r="69" spans="2:7" hidden="1">
      <c r="B69" s="199" t="str">
        <f>Factor_3[[#This Row],[Complejidad Conceptual]]&amp;" "&amp;Factor_3[[#This Row],[Tendencia]]&amp;" "&amp;Factor_3[[#This Row],[Guias de Apoyo]]&amp;" "&amp;Factor_3[[#This Row],[Tendencia2]]</f>
        <v>1 o G -</v>
      </c>
      <c r="C69" s="199">
        <v>1</v>
      </c>
      <c r="D69" s="199" t="s">
        <v>97</v>
      </c>
      <c r="E69" s="199" t="s">
        <v>18</v>
      </c>
      <c r="F69" s="199" t="s">
        <v>78</v>
      </c>
      <c r="G69" s="251">
        <v>0.27</v>
      </c>
    </row>
    <row r="70" spans="2:7" hidden="1">
      <c r="B70" s="199" t="str">
        <f>Factor_3[[#This Row],[Complejidad Conceptual]]&amp;" "&amp;Factor_3[[#This Row],[Tendencia]]&amp;" "&amp;Factor_3[[#This Row],[Guias de Apoyo]]&amp;" "&amp;Factor_3[[#This Row],[Tendencia2]]</f>
        <v>1 o G o</v>
      </c>
      <c r="C70" s="199">
        <v>1</v>
      </c>
      <c r="D70" s="199" t="s">
        <v>97</v>
      </c>
      <c r="E70" s="199" t="s">
        <v>18</v>
      </c>
      <c r="F70" s="199" t="s">
        <v>97</v>
      </c>
      <c r="G70" s="251">
        <v>0.28999999999999998</v>
      </c>
    </row>
    <row r="71" spans="2:7" hidden="1">
      <c r="B71" s="199" t="str">
        <f>Factor_3[[#This Row],[Complejidad Conceptual]]&amp;" "&amp;Factor_3[[#This Row],[Tendencia]]&amp;" "&amp;Factor_3[[#This Row],[Guias de Apoyo]]&amp;" "&amp;Factor_3[[#This Row],[Tendencia2]]</f>
        <v>1 o G +</v>
      </c>
      <c r="C71" s="199">
        <v>1</v>
      </c>
      <c r="D71" s="199" t="s">
        <v>97</v>
      </c>
      <c r="E71" s="199" t="s">
        <v>18</v>
      </c>
      <c r="F71" s="199" t="s">
        <v>117</v>
      </c>
      <c r="G71" s="251">
        <v>0.32</v>
      </c>
    </row>
    <row r="72" spans="2:7" hidden="1">
      <c r="B72" s="199" t="str">
        <f>Factor_3[[#This Row],[Complejidad Conceptual]]&amp;" "&amp;Factor_3[[#This Row],[Tendencia]]&amp;" "&amp;Factor_3[[#This Row],[Guias de Apoyo]]&amp;" "&amp;Factor_3[[#This Row],[Tendencia2]]</f>
        <v>1 o H -</v>
      </c>
      <c r="C72" s="199">
        <v>1</v>
      </c>
      <c r="D72" s="199" t="s">
        <v>97</v>
      </c>
      <c r="E72" s="199" t="s">
        <v>186</v>
      </c>
      <c r="F72" s="199" t="s">
        <v>78</v>
      </c>
      <c r="G72" s="251">
        <v>0.32</v>
      </c>
    </row>
    <row r="73" spans="2:7" hidden="1">
      <c r="B73" s="199" t="str">
        <f>Factor_3[[#This Row],[Complejidad Conceptual]]&amp;" "&amp;Factor_3[[#This Row],[Tendencia]]&amp;" "&amp;Factor_3[[#This Row],[Guias de Apoyo]]&amp;" "&amp;Factor_3[[#This Row],[Tendencia2]]</f>
        <v>1 o H o</v>
      </c>
      <c r="C73" s="199">
        <v>1</v>
      </c>
      <c r="D73" s="199" t="s">
        <v>97</v>
      </c>
      <c r="E73" s="199" t="s">
        <v>186</v>
      </c>
      <c r="F73" s="199" t="s">
        <v>97</v>
      </c>
      <c r="G73" s="251">
        <v>0.34</v>
      </c>
    </row>
    <row r="74" spans="2:7" hidden="1">
      <c r="B74" s="199" t="str">
        <f>Factor_3[[#This Row],[Complejidad Conceptual]]&amp;" "&amp;Factor_3[[#This Row],[Tendencia]]&amp;" "&amp;Factor_3[[#This Row],[Guias de Apoyo]]&amp;" "&amp;Factor_3[[#This Row],[Tendencia2]]</f>
        <v>1 o H +</v>
      </c>
      <c r="C74" s="199">
        <v>1</v>
      </c>
      <c r="D74" s="199" t="s">
        <v>97</v>
      </c>
      <c r="E74" s="199" t="s">
        <v>186</v>
      </c>
      <c r="F74" s="199" t="s">
        <v>117</v>
      </c>
      <c r="G74" s="251">
        <v>0.38</v>
      </c>
    </row>
    <row r="75" spans="2:7" hidden="1">
      <c r="B75" s="199" t="str">
        <f>Factor_3[[#This Row],[Complejidad Conceptual]]&amp;" "&amp;Factor_3[[#This Row],[Tendencia]]&amp;" "&amp;Factor_3[[#This Row],[Guias de Apoyo]]&amp;" "&amp;Factor_3[[#This Row],[Tendencia2]]</f>
        <v>2 - A -</v>
      </c>
      <c r="C75" s="199">
        <v>2</v>
      </c>
      <c r="D75" s="199" t="s">
        <v>78</v>
      </c>
      <c r="E75" s="199" t="s">
        <v>79</v>
      </c>
      <c r="F75" s="199" t="s">
        <v>78</v>
      </c>
      <c r="G75" s="251">
        <v>0.1</v>
      </c>
    </row>
    <row r="76" spans="2:7" hidden="1">
      <c r="B76" s="199" t="str">
        <f>Factor_3[[#This Row],[Complejidad Conceptual]]&amp;" "&amp;Factor_3[[#This Row],[Tendencia]]&amp;" "&amp;Factor_3[[#This Row],[Guias de Apoyo]]&amp;" "&amp;Factor_3[[#This Row],[Tendencia2]]</f>
        <v>2 - A o</v>
      </c>
      <c r="C76" s="199">
        <v>2</v>
      </c>
      <c r="D76" s="199" t="s">
        <v>78</v>
      </c>
      <c r="E76" s="199" t="s">
        <v>79</v>
      </c>
      <c r="F76" s="199" t="s">
        <v>97</v>
      </c>
      <c r="G76" s="251">
        <v>0.11</v>
      </c>
    </row>
    <row r="77" spans="2:7" hidden="1">
      <c r="B77" s="199" t="str">
        <f>Factor_3[[#This Row],[Complejidad Conceptual]]&amp;" "&amp;Factor_3[[#This Row],[Tendencia]]&amp;" "&amp;Factor_3[[#This Row],[Guias de Apoyo]]&amp;" "&amp;Factor_3[[#This Row],[Tendencia2]]</f>
        <v>2 - A +</v>
      </c>
      <c r="C77" s="199">
        <v>2</v>
      </c>
      <c r="D77" s="199" t="s">
        <v>78</v>
      </c>
      <c r="E77" s="199" t="s">
        <v>79</v>
      </c>
      <c r="F77" s="199" t="s">
        <v>117</v>
      </c>
      <c r="G77" s="251">
        <v>0.12</v>
      </c>
    </row>
    <row r="78" spans="2:7" hidden="1">
      <c r="B78" s="199" t="str">
        <f>Factor_3[[#This Row],[Complejidad Conceptual]]&amp;" "&amp;Factor_3[[#This Row],[Tendencia]]&amp;" "&amp;Factor_3[[#This Row],[Guias de Apoyo]]&amp;" "&amp;Factor_3[[#This Row],[Tendencia2]]</f>
        <v>2 - B -</v>
      </c>
      <c r="C78" s="199">
        <v>2</v>
      </c>
      <c r="D78" s="199" t="s">
        <v>78</v>
      </c>
      <c r="E78" s="199" t="s">
        <v>98</v>
      </c>
      <c r="F78" s="199" t="s">
        <v>78</v>
      </c>
      <c r="G78" s="251">
        <v>0.12</v>
      </c>
    </row>
    <row r="79" spans="2:7" hidden="1">
      <c r="B79" s="199" t="str">
        <f>Factor_3[[#This Row],[Complejidad Conceptual]]&amp;" "&amp;Factor_3[[#This Row],[Tendencia]]&amp;" "&amp;Factor_3[[#This Row],[Guias de Apoyo]]&amp;" "&amp;Factor_3[[#This Row],[Tendencia2]]</f>
        <v>2 - B o</v>
      </c>
      <c r="C79" s="199">
        <v>2</v>
      </c>
      <c r="D79" s="199" t="s">
        <v>78</v>
      </c>
      <c r="E79" s="199" t="s">
        <v>98</v>
      </c>
      <c r="F79" s="199" t="s">
        <v>97</v>
      </c>
      <c r="G79" s="251">
        <v>0.13</v>
      </c>
    </row>
    <row r="80" spans="2:7" hidden="1">
      <c r="B80" s="199" t="str">
        <f>Factor_3[[#This Row],[Complejidad Conceptual]]&amp;" "&amp;Factor_3[[#This Row],[Tendencia]]&amp;" "&amp;Factor_3[[#This Row],[Guias de Apoyo]]&amp;" "&amp;Factor_3[[#This Row],[Tendencia2]]</f>
        <v>2 - B +</v>
      </c>
      <c r="C80" s="199">
        <v>2</v>
      </c>
      <c r="D80" s="199" t="s">
        <v>78</v>
      </c>
      <c r="E80" s="199" t="s">
        <v>98</v>
      </c>
      <c r="F80" s="199" t="s">
        <v>117</v>
      </c>
      <c r="G80" s="251">
        <v>0.14000000000000001</v>
      </c>
    </row>
    <row r="81" spans="2:7" hidden="1">
      <c r="B81" s="199" t="str">
        <f>Factor_3[[#This Row],[Complejidad Conceptual]]&amp;" "&amp;Factor_3[[#This Row],[Tendencia]]&amp;" "&amp;Factor_3[[#This Row],[Guias de Apoyo]]&amp;" "&amp;Factor_3[[#This Row],[Tendencia2]]</f>
        <v>2 - C -</v>
      </c>
      <c r="C81" s="199">
        <v>2</v>
      </c>
      <c r="D81" s="199" t="s">
        <v>78</v>
      </c>
      <c r="E81" s="199" t="s">
        <v>118</v>
      </c>
      <c r="F81" s="199" t="s">
        <v>78</v>
      </c>
      <c r="G81" s="251">
        <v>0.14000000000000001</v>
      </c>
    </row>
    <row r="82" spans="2:7" hidden="1">
      <c r="B82" s="199" t="str">
        <f>Factor_3[[#This Row],[Complejidad Conceptual]]&amp;" "&amp;Factor_3[[#This Row],[Tendencia]]&amp;" "&amp;Factor_3[[#This Row],[Guias de Apoyo]]&amp;" "&amp;Factor_3[[#This Row],[Tendencia2]]</f>
        <v>2 - C o</v>
      </c>
      <c r="C82" s="199">
        <v>2</v>
      </c>
      <c r="D82" s="199" t="s">
        <v>78</v>
      </c>
      <c r="E82" s="199" t="s">
        <v>118</v>
      </c>
      <c r="F82" s="199" t="s">
        <v>97</v>
      </c>
      <c r="G82" s="251">
        <v>0.16</v>
      </c>
    </row>
    <row r="83" spans="2:7" hidden="1">
      <c r="B83" s="199" t="str">
        <f>Factor_3[[#This Row],[Complejidad Conceptual]]&amp;" "&amp;Factor_3[[#This Row],[Tendencia]]&amp;" "&amp;Factor_3[[#This Row],[Guias de Apoyo]]&amp;" "&amp;Factor_3[[#This Row],[Tendencia2]]</f>
        <v>2 - C +</v>
      </c>
      <c r="C83" s="199">
        <v>2</v>
      </c>
      <c r="D83" s="199" t="s">
        <v>78</v>
      </c>
      <c r="E83" s="199" t="s">
        <v>118</v>
      </c>
      <c r="F83" s="199" t="s">
        <v>117</v>
      </c>
      <c r="G83" s="251">
        <v>0.17</v>
      </c>
    </row>
    <row r="84" spans="2:7" hidden="1">
      <c r="B84" s="199" t="str">
        <f>Factor_3[[#This Row],[Complejidad Conceptual]]&amp;" "&amp;Factor_3[[#This Row],[Tendencia]]&amp;" "&amp;Factor_3[[#This Row],[Guias de Apoyo]]&amp;" "&amp;Factor_3[[#This Row],[Tendencia2]]</f>
        <v>2 - D -</v>
      </c>
      <c r="C84" s="199">
        <v>2</v>
      </c>
      <c r="D84" s="199" t="s">
        <v>78</v>
      </c>
      <c r="E84" s="199" t="s">
        <v>137</v>
      </c>
      <c r="F84" s="199" t="s">
        <v>78</v>
      </c>
      <c r="G84" s="251">
        <v>0.17</v>
      </c>
    </row>
    <row r="85" spans="2:7" hidden="1">
      <c r="B85" s="199" t="str">
        <f>Factor_3[[#This Row],[Complejidad Conceptual]]&amp;" "&amp;Factor_3[[#This Row],[Tendencia]]&amp;" "&amp;Factor_3[[#This Row],[Guias de Apoyo]]&amp;" "&amp;Factor_3[[#This Row],[Tendencia2]]</f>
        <v>2 - D o</v>
      </c>
      <c r="C85" s="199">
        <v>2</v>
      </c>
      <c r="D85" s="199" t="s">
        <v>78</v>
      </c>
      <c r="E85" s="199" t="s">
        <v>137</v>
      </c>
      <c r="F85" s="199" t="s">
        <v>97</v>
      </c>
      <c r="G85" s="251">
        <v>0.19</v>
      </c>
    </row>
    <row r="86" spans="2:7" hidden="1">
      <c r="B86" s="199" t="str">
        <f>Factor_3[[#This Row],[Complejidad Conceptual]]&amp;" "&amp;Factor_3[[#This Row],[Tendencia]]&amp;" "&amp;Factor_3[[#This Row],[Guias de Apoyo]]&amp;" "&amp;Factor_3[[#This Row],[Tendencia2]]</f>
        <v>2 - D +</v>
      </c>
      <c r="C86" s="199">
        <v>2</v>
      </c>
      <c r="D86" s="199" t="s">
        <v>78</v>
      </c>
      <c r="E86" s="199" t="s">
        <v>137</v>
      </c>
      <c r="F86" s="199" t="s">
        <v>117</v>
      </c>
      <c r="G86" s="251">
        <v>0.2</v>
      </c>
    </row>
    <row r="87" spans="2:7" hidden="1">
      <c r="B87" s="199" t="str">
        <f>Factor_3[[#This Row],[Complejidad Conceptual]]&amp;" "&amp;Factor_3[[#This Row],[Tendencia]]&amp;" "&amp;Factor_3[[#This Row],[Guias de Apoyo]]&amp;" "&amp;Factor_3[[#This Row],[Tendencia2]]</f>
        <v>2 - E -</v>
      </c>
      <c r="C87" s="199">
        <v>2</v>
      </c>
      <c r="D87" s="199" t="s">
        <v>78</v>
      </c>
      <c r="E87" s="199" t="s">
        <v>155</v>
      </c>
      <c r="F87" s="199" t="s">
        <v>78</v>
      </c>
      <c r="G87" s="251">
        <v>0.2</v>
      </c>
    </row>
    <row r="88" spans="2:7" hidden="1">
      <c r="B88" s="199" t="str">
        <f>Factor_3[[#This Row],[Complejidad Conceptual]]&amp;" "&amp;Factor_3[[#This Row],[Tendencia]]&amp;" "&amp;Factor_3[[#This Row],[Guias de Apoyo]]&amp;" "&amp;Factor_3[[#This Row],[Tendencia2]]</f>
        <v>2 - E o</v>
      </c>
      <c r="C88" s="199">
        <v>2</v>
      </c>
      <c r="D88" s="199" t="s">
        <v>78</v>
      </c>
      <c r="E88" s="199" t="s">
        <v>155</v>
      </c>
      <c r="F88" s="199" t="s">
        <v>97</v>
      </c>
      <c r="G88" s="251">
        <v>0.22</v>
      </c>
    </row>
    <row r="89" spans="2:7" hidden="1">
      <c r="B89" s="199" t="str">
        <f>Factor_3[[#This Row],[Complejidad Conceptual]]&amp;" "&amp;Factor_3[[#This Row],[Tendencia]]&amp;" "&amp;Factor_3[[#This Row],[Guias de Apoyo]]&amp;" "&amp;Factor_3[[#This Row],[Tendencia2]]</f>
        <v>2 - E +</v>
      </c>
      <c r="C89" s="199">
        <v>2</v>
      </c>
      <c r="D89" s="199" t="s">
        <v>78</v>
      </c>
      <c r="E89" s="199" t="s">
        <v>155</v>
      </c>
      <c r="F89" s="199" t="s">
        <v>117</v>
      </c>
      <c r="G89" s="251">
        <v>0.24</v>
      </c>
    </row>
    <row r="90" spans="2:7" hidden="1">
      <c r="B90" s="199" t="str">
        <f>Factor_3[[#This Row],[Complejidad Conceptual]]&amp;" "&amp;Factor_3[[#This Row],[Tendencia]]&amp;" "&amp;Factor_3[[#This Row],[Guias de Apoyo]]&amp;" "&amp;Factor_3[[#This Row],[Tendencia2]]</f>
        <v>2 - F -</v>
      </c>
      <c r="C90" s="199">
        <v>2</v>
      </c>
      <c r="D90" s="199" t="s">
        <v>78</v>
      </c>
      <c r="E90" s="199" t="s">
        <v>169</v>
      </c>
      <c r="F90" s="199" t="s">
        <v>78</v>
      </c>
      <c r="G90" s="251">
        <v>0.24</v>
      </c>
    </row>
    <row r="91" spans="2:7" hidden="1">
      <c r="B91" s="199" t="str">
        <f>Factor_3[[#This Row],[Complejidad Conceptual]]&amp;" "&amp;Factor_3[[#This Row],[Tendencia]]&amp;" "&amp;Factor_3[[#This Row],[Guias de Apoyo]]&amp;" "&amp;Factor_3[[#This Row],[Tendencia2]]</f>
        <v>2 - F o</v>
      </c>
      <c r="C91" s="199">
        <v>2</v>
      </c>
      <c r="D91" s="199" t="s">
        <v>78</v>
      </c>
      <c r="E91" s="199" t="s">
        <v>169</v>
      </c>
      <c r="F91" s="199" t="s">
        <v>97</v>
      </c>
      <c r="G91" s="251">
        <v>0.27</v>
      </c>
    </row>
    <row r="92" spans="2:7" hidden="1">
      <c r="B92" s="199" t="str">
        <f>Factor_3[[#This Row],[Complejidad Conceptual]]&amp;" "&amp;Factor_3[[#This Row],[Tendencia]]&amp;" "&amp;Factor_3[[#This Row],[Guias de Apoyo]]&amp;" "&amp;Factor_3[[#This Row],[Tendencia2]]</f>
        <v>2 - F +</v>
      </c>
      <c r="C92" s="199">
        <v>2</v>
      </c>
      <c r="D92" s="199" t="s">
        <v>78</v>
      </c>
      <c r="E92" s="199" t="s">
        <v>169</v>
      </c>
      <c r="F92" s="199" t="s">
        <v>117</v>
      </c>
      <c r="G92" s="251">
        <v>0.28999999999999998</v>
      </c>
    </row>
    <row r="93" spans="2:7" hidden="1">
      <c r="B93" s="199" t="str">
        <f>Factor_3[[#This Row],[Complejidad Conceptual]]&amp;" "&amp;Factor_3[[#This Row],[Tendencia]]&amp;" "&amp;Factor_3[[#This Row],[Guias de Apoyo]]&amp;" "&amp;Factor_3[[#This Row],[Tendencia2]]</f>
        <v>2 - G -</v>
      </c>
      <c r="C93" s="199">
        <v>2</v>
      </c>
      <c r="D93" s="199" t="s">
        <v>78</v>
      </c>
      <c r="E93" s="199" t="s">
        <v>18</v>
      </c>
      <c r="F93" s="199" t="s">
        <v>78</v>
      </c>
      <c r="G93" s="251">
        <v>0.28999999999999998</v>
      </c>
    </row>
    <row r="94" spans="2:7" hidden="1">
      <c r="B94" s="199" t="str">
        <f>Factor_3[[#This Row],[Complejidad Conceptual]]&amp;" "&amp;Factor_3[[#This Row],[Tendencia]]&amp;" "&amp;Factor_3[[#This Row],[Guias de Apoyo]]&amp;" "&amp;Factor_3[[#This Row],[Tendencia2]]</f>
        <v>2 - G o</v>
      </c>
      <c r="C94" s="199">
        <v>2</v>
      </c>
      <c r="D94" s="199" t="s">
        <v>78</v>
      </c>
      <c r="E94" s="199" t="s">
        <v>18</v>
      </c>
      <c r="F94" s="199" t="s">
        <v>97</v>
      </c>
      <c r="G94" s="251">
        <v>0.32</v>
      </c>
    </row>
    <row r="95" spans="2:7" hidden="1">
      <c r="B95" s="199" t="str">
        <f>Factor_3[[#This Row],[Complejidad Conceptual]]&amp;" "&amp;Factor_3[[#This Row],[Tendencia]]&amp;" "&amp;Factor_3[[#This Row],[Guias de Apoyo]]&amp;" "&amp;Factor_3[[#This Row],[Tendencia2]]</f>
        <v>2 - G +</v>
      </c>
      <c r="C95" s="199">
        <v>2</v>
      </c>
      <c r="D95" s="199" t="s">
        <v>78</v>
      </c>
      <c r="E95" s="199" t="s">
        <v>18</v>
      </c>
      <c r="F95" s="199" t="s">
        <v>117</v>
      </c>
      <c r="G95" s="251">
        <v>0.34</v>
      </c>
    </row>
    <row r="96" spans="2:7" hidden="1">
      <c r="B96" s="199" t="str">
        <f>Factor_3[[#This Row],[Complejidad Conceptual]]&amp;" "&amp;Factor_3[[#This Row],[Tendencia]]&amp;" "&amp;Factor_3[[#This Row],[Guias de Apoyo]]&amp;" "&amp;Factor_3[[#This Row],[Tendencia2]]</f>
        <v>2 - H -</v>
      </c>
      <c r="C96" s="199">
        <v>2</v>
      </c>
      <c r="D96" s="199" t="s">
        <v>78</v>
      </c>
      <c r="E96" s="199" t="s">
        <v>186</v>
      </c>
      <c r="F96" s="199" t="s">
        <v>78</v>
      </c>
      <c r="G96" s="251">
        <v>0.34</v>
      </c>
    </row>
    <row r="97" spans="2:7" hidden="1">
      <c r="B97" s="199" t="str">
        <f>Factor_3[[#This Row],[Complejidad Conceptual]]&amp;" "&amp;Factor_3[[#This Row],[Tendencia]]&amp;" "&amp;Factor_3[[#This Row],[Guias de Apoyo]]&amp;" "&amp;Factor_3[[#This Row],[Tendencia2]]</f>
        <v>2 - H o</v>
      </c>
      <c r="C97" s="199">
        <v>2</v>
      </c>
      <c r="D97" s="199" t="s">
        <v>78</v>
      </c>
      <c r="E97" s="199" t="s">
        <v>186</v>
      </c>
      <c r="F97" s="199" t="s">
        <v>97</v>
      </c>
      <c r="G97" s="251">
        <v>0.38</v>
      </c>
    </row>
    <row r="98" spans="2:7" hidden="1">
      <c r="B98" s="199" t="str">
        <f>Factor_3[[#This Row],[Complejidad Conceptual]]&amp;" "&amp;Factor_3[[#This Row],[Tendencia]]&amp;" "&amp;Factor_3[[#This Row],[Guias de Apoyo]]&amp;" "&amp;Factor_3[[#This Row],[Tendencia2]]</f>
        <v>2 - H +</v>
      </c>
      <c r="C98" s="199">
        <v>2</v>
      </c>
      <c r="D98" s="199" t="s">
        <v>78</v>
      </c>
      <c r="E98" s="199" t="s">
        <v>186</v>
      </c>
      <c r="F98" s="199" t="s">
        <v>117</v>
      </c>
      <c r="G98" s="251">
        <v>0.41</v>
      </c>
    </row>
    <row r="99" spans="2:7" hidden="1">
      <c r="B99" s="199" t="str">
        <f>Factor_3[[#This Row],[Complejidad Conceptual]]&amp;" "&amp;Factor_3[[#This Row],[Tendencia]]&amp;" "&amp;Factor_3[[#This Row],[Guias de Apoyo]]&amp;" "&amp;Factor_3[[#This Row],[Tendencia2]]</f>
        <v>2 + A -</v>
      </c>
      <c r="C99" s="199">
        <v>2</v>
      </c>
      <c r="D99" s="199" t="s">
        <v>117</v>
      </c>
      <c r="E99" s="199" t="s">
        <v>79</v>
      </c>
      <c r="F99" s="199" t="s">
        <v>78</v>
      </c>
      <c r="G99" s="251">
        <v>0.12</v>
      </c>
    </row>
    <row r="100" spans="2:7" hidden="1">
      <c r="B100" s="199" t="str">
        <f>Factor_3[[#This Row],[Complejidad Conceptual]]&amp;" "&amp;Factor_3[[#This Row],[Tendencia]]&amp;" "&amp;Factor_3[[#This Row],[Guias de Apoyo]]&amp;" "&amp;Factor_3[[#This Row],[Tendencia2]]</f>
        <v>2 + A o</v>
      </c>
      <c r="C100" s="199">
        <v>2</v>
      </c>
      <c r="D100" s="199" t="s">
        <v>117</v>
      </c>
      <c r="E100" s="199" t="s">
        <v>79</v>
      </c>
      <c r="F100" s="199" t="s">
        <v>97</v>
      </c>
      <c r="G100" s="251">
        <v>0.13</v>
      </c>
    </row>
    <row r="101" spans="2:7" hidden="1">
      <c r="B101" s="199" t="str">
        <f>Factor_3[[#This Row],[Complejidad Conceptual]]&amp;" "&amp;Factor_3[[#This Row],[Tendencia]]&amp;" "&amp;Factor_3[[#This Row],[Guias de Apoyo]]&amp;" "&amp;Factor_3[[#This Row],[Tendencia2]]</f>
        <v>2 + A +</v>
      </c>
      <c r="C101" s="199">
        <v>2</v>
      </c>
      <c r="D101" s="199" t="s">
        <v>117</v>
      </c>
      <c r="E101" s="199" t="s">
        <v>79</v>
      </c>
      <c r="F101" s="199" t="s">
        <v>117</v>
      </c>
      <c r="G101" s="251">
        <v>0.14000000000000001</v>
      </c>
    </row>
    <row r="102" spans="2:7" hidden="1">
      <c r="B102" s="199" t="str">
        <f>Factor_3[[#This Row],[Complejidad Conceptual]]&amp;" "&amp;Factor_3[[#This Row],[Tendencia]]&amp;" "&amp;Factor_3[[#This Row],[Guias de Apoyo]]&amp;" "&amp;Factor_3[[#This Row],[Tendencia2]]</f>
        <v>2 + B -</v>
      </c>
      <c r="C102" s="199">
        <v>2</v>
      </c>
      <c r="D102" s="199" t="s">
        <v>117</v>
      </c>
      <c r="E102" s="199" t="s">
        <v>98</v>
      </c>
      <c r="F102" s="199" t="s">
        <v>78</v>
      </c>
      <c r="G102" s="251">
        <v>0.14000000000000001</v>
      </c>
    </row>
    <row r="103" spans="2:7" hidden="1">
      <c r="B103" s="199" t="str">
        <f>Factor_3[[#This Row],[Complejidad Conceptual]]&amp;" "&amp;Factor_3[[#This Row],[Tendencia]]&amp;" "&amp;Factor_3[[#This Row],[Guias de Apoyo]]&amp;" "&amp;Factor_3[[#This Row],[Tendencia2]]</f>
        <v>2 + B o</v>
      </c>
      <c r="C103" s="199">
        <v>2</v>
      </c>
      <c r="D103" s="199" t="s">
        <v>117</v>
      </c>
      <c r="E103" s="199" t="s">
        <v>98</v>
      </c>
      <c r="F103" s="199" t="s">
        <v>97</v>
      </c>
      <c r="G103" s="251">
        <v>0.16</v>
      </c>
    </row>
    <row r="104" spans="2:7" hidden="1">
      <c r="B104" s="199" t="str">
        <f>Factor_3[[#This Row],[Complejidad Conceptual]]&amp;" "&amp;Factor_3[[#This Row],[Tendencia]]&amp;" "&amp;Factor_3[[#This Row],[Guias de Apoyo]]&amp;" "&amp;Factor_3[[#This Row],[Tendencia2]]</f>
        <v>2 + B +</v>
      </c>
      <c r="C104" s="199">
        <v>2</v>
      </c>
      <c r="D104" s="199" t="s">
        <v>117</v>
      </c>
      <c r="E104" s="199" t="s">
        <v>98</v>
      </c>
      <c r="F104" s="199" t="s">
        <v>117</v>
      </c>
      <c r="G104" s="251">
        <v>0.17</v>
      </c>
    </row>
    <row r="105" spans="2:7" hidden="1">
      <c r="B105" s="199" t="str">
        <f>Factor_3[[#This Row],[Complejidad Conceptual]]&amp;" "&amp;Factor_3[[#This Row],[Tendencia]]&amp;" "&amp;Factor_3[[#This Row],[Guias de Apoyo]]&amp;" "&amp;Factor_3[[#This Row],[Tendencia2]]</f>
        <v>2 + C -</v>
      </c>
      <c r="C105" s="199">
        <v>2</v>
      </c>
      <c r="D105" s="199" t="s">
        <v>117</v>
      </c>
      <c r="E105" s="199" t="s">
        <v>118</v>
      </c>
      <c r="F105" s="199" t="s">
        <v>78</v>
      </c>
      <c r="G105" s="251">
        <v>0.17</v>
      </c>
    </row>
    <row r="106" spans="2:7" hidden="1">
      <c r="B106" s="199" t="str">
        <f>Factor_3[[#This Row],[Complejidad Conceptual]]&amp;" "&amp;Factor_3[[#This Row],[Tendencia]]&amp;" "&amp;Factor_3[[#This Row],[Guias de Apoyo]]&amp;" "&amp;Factor_3[[#This Row],[Tendencia2]]</f>
        <v>2 + C o</v>
      </c>
      <c r="C106" s="199">
        <v>2</v>
      </c>
      <c r="D106" s="199" t="s">
        <v>117</v>
      </c>
      <c r="E106" s="199" t="s">
        <v>118</v>
      </c>
      <c r="F106" s="199" t="s">
        <v>97</v>
      </c>
      <c r="G106" s="251">
        <v>0.19</v>
      </c>
    </row>
    <row r="107" spans="2:7" hidden="1">
      <c r="B107" s="199" t="str">
        <f>Factor_3[[#This Row],[Complejidad Conceptual]]&amp;" "&amp;Factor_3[[#This Row],[Tendencia]]&amp;" "&amp;Factor_3[[#This Row],[Guias de Apoyo]]&amp;" "&amp;Factor_3[[#This Row],[Tendencia2]]</f>
        <v>2 + C +</v>
      </c>
      <c r="C107" s="199">
        <v>2</v>
      </c>
      <c r="D107" s="199" t="s">
        <v>117</v>
      </c>
      <c r="E107" s="199" t="s">
        <v>118</v>
      </c>
      <c r="F107" s="199" t="s">
        <v>117</v>
      </c>
      <c r="G107" s="251">
        <v>0.2</v>
      </c>
    </row>
    <row r="108" spans="2:7" hidden="1">
      <c r="B108" s="199" t="str">
        <f>Factor_3[[#This Row],[Complejidad Conceptual]]&amp;" "&amp;Factor_3[[#This Row],[Tendencia]]&amp;" "&amp;Factor_3[[#This Row],[Guias de Apoyo]]&amp;" "&amp;Factor_3[[#This Row],[Tendencia2]]</f>
        <v>2 + D -</v>
      </c>
      <c r="C108" s="199">
        <v>2</v>
      </c>
      <c r="D108" s="199" t="s">
        <v>117</v>
      </c>
      <c r="E108" s="199" t="s">
        <v>137</v>
      </c>
      <c r="F108" s="199" t="s">
        <v>78</v>
      </c>
      <c r="G108" s="251">
        <v>0.2</v>
      </c>
    </row>
    <row r="109" spans="2:7" hidden="1">
      <c r="B109" s="199" t="str">
        <f>Factor_3[[#This Row],[Complejidad Conceptual]]&amp;" "&amp;Factor_3[[#This Row],[Tendencia]]&amp;" "&amp;Factor_3[[#This Row],[Guias de Apoyo]]&amp;" "&amp;Factor_3[[#This Row],[Tendencia2]]</f>
        <v>2 + D o</v>
      </c>
      <c r="C109" s="199">
        <v>2</v>
      </c>
      <c r="D109" s="199" t="s">
        <v>117</v>
      </c>
      <c r="E109" s="199" t="s">
        <v>137</v>
      </c>
      <c r="F109" s="199" t="s">
        <v>97</v>
      </c>
      <c r="G109" s="251">
        <v>0.22</v>
      </c>
    </row>
    <row r="110" spans="2:7" hidden="1">
      <c r="B110" s="199" t="str">
        <f>Factor_3[[#This Row],[Complejidad Conceptual]]&amp;" "&amp;Factor_3[[#This Row],[Tendencia]]&amp;" "&amp;Factor_3[[#This Row],[Guias de Apoyo]]&amp;" "&amp;Factor_3[[#This Row],[Tendencia2]]</f>
        <v>2 + D +</v>
      </c>
      <c r="C110" s="199">
        <v>2</v>
      </c>
      <c r="D110" s="199" t="s">
        <v>117</v>
      </c>
      <c r="E110" s="199" t="s">
        <v>137</v>
      </c>
      <c r="F110" s="199" t="s">
        <v>117</v>
      </c>
      <c r="G110" s="251">
        <v>0.24</v>
      </c>
    </row>
    <row r="111" spans="2:7" hidden="1">
      <c r="B111" s="199" t="str">
        <f>Factor_3[[#This Row],[Complejidad Conceptual]]&amp;" "&amp;Factor_3[[#This Row],[Tendencia]]&amp;" "&amp;Factor_3[[#This Row],[Guias de Apoyo]]&amp;" "&amp;Factor_3[[#This Row],[Tendencia2]]</f>
        <v>2 + E -</v>
      </c>
      <c r="C111" s="199">
        <v>2</v>
      </c>
      <c r="D111" s="199" t="s">
        <v>117</v>
      </c>
      <c r="E111" s="199" t="s">
        <v>155</v>
      </c>
      <c r="F111" s="199" t="s">
        <v>78</v>
      </c>
      <c r="G111" s="251">
        <v>0.24</v>
      </c>
    </row>
    <row r="112" spans="2:7" hidden="1">
      <c r="B112" s="199" t="str">
        <f>Factor_3[[#This Row],[Complejidad Conceptual]]&amp;" "&amp;Factor_3[[#This Row],[Tendencia]]&amp;" "&amp;Factor_3[[#This Row],[Guias de Apoyo]]&amp;" "&amp;Factor_3[[#This Row],[Tendencia2]]</f>
        <v>2 + E o</v>
      </c>
      <c r="C112" s="199">
        <v>2</v>
      </c>
      <c r="D112" s="199" t="s">
        <v>117</v>
      </c>
      <c r="E112" s="199" t="s">
        <v>155</v>
      </c>
      <c r="F112" s="199" t="s">
        <v>97</v>
      </c>
      <c r="G112" s="251">
        <v>0.27</v>
      </c>
    </row>
    <row r="113" spans="2:7" hidden="1">
      <c r="B113" s="199" t="str">
        <f>Factor_3[[#This Row],[Complejidad Conceptual]]&amp;" "&amp;Factor_3[[#This Row],[Tendencia]]&amp;" "&amp;Factor_3[[#This Row],[Guias de Apoyo]]&amp;" "&amp;Factor_3[[#This Row],[Tendencia2]]</f>
        <v>2 + E +</v>
      </c>
      <c r="C113" s="199">
        <v>2</v>
      </c>
      <c r="D113" s="199" t="s">
        <v>117</v>
      </c>
      <c r="E113" s="199" t="s">
        <v>155</v>
      </c>
      <c r="F113" s="199" t="s">
        <v>117</v>
      </c>
      <c r="G113" s="251">
        <v>0.28999999999999998</v>
      </c>
    </row>
    <row r="114" spans="2:7" hidden="1">
      <c r="B114" s="199" t="str">
        <f>Factor_3[[#This Row],[Complejidad Conceptual]]&amp;" "&amp;Factor_3[[#This Row],[Tendencia]]&amp;" "&amp;Factor_3[[#This Row],[Guias de Apoyo]]&amp;" "&amp;Factor_3[[#This Row],[Tendencia2]]</f>
        <v>2 + F -</v>
      </c>
      <c r="C114" s="199">
        <v>2</v>
      </c>
      <c r="D114" s="199" t="s">
        <v>117</v>
      </c>
      <c r="E114" s="199" t="s">
        <v>169</v>
      </c>
      <c r="F114" s="199" t="s">
        <v>78</v>
      </c>
      <c r="G114" s="251">
        <v>0.28999999999999998</v>
      </c>
    </row>
    <row r="115" spans="2:7" hidden="1">
      <c r="B115" s="199" t="str">
        <f>Factor_3[[#This Row],[Complejidad Conceptual]]&amp;" "&amp;Factor_3[[#This Row],[Tendencia]]&amp;" "&amp;Factor_3[[#This Row],[Guias de Apoyo]]&amp;" "&amp;Factor_3[[#This Row],[Tendencia2]]</f>
        <v>2 + F o</v>
      </c>
      <c r="C115" s="199">
        <v>2</v>
      </c>
      <c r="D115" s="199" t="s">
        <v>117</v>
      </c>
      <c r="E115" s="199" t="s">
        <v>169</v>
      </c>
      <c r="F115" s="199" t="s">
        <v>97</v>
      </c>
      <c r="G115" s="251">
        <v>0.32</v>
      </c>
    </row>
    <row r="116" spans="2:7" hidden="1">
      <c r="B116" s="199" t="str">
        <f>Factor_3[[#This Row],[Complejidad Conceptual]]&amp;" "&amp;Factor_3[[#This Row],[Tendencia]]&amp;" "&amp;Factor_3[[#This Row],[Guias de Apoyo]]&amp;" "&amp;Factor_3[[#This Row],[Tendencia2]]</f>
        <v>2 + F +</v>
      </c>
      <c r="C116" s="199">
        <v>2</v>
      </c>
      <c r="D116" s="199" t="s">
        <v>117</v>
      </c>
      <c r="E116" s="199" t="s">
        <v>169</v>
      </c>
      <c r="F116" s="199" t="s">
        <v>117</v>
      </c>
      <c r="G116" s="251">
        <v>0.34</v>
      </c>
    </row>
    <row r="117" spans="2:7" hidden="1">
      <c r="B117" s="199" t="str">
        <f>Factor_3[[#This Row],[Complejidad Conceptual]]&amp;" "&amp;Factor_3[[#This Row],[Tendencia]]&amp;" "&amp;Factor_3[[#This Row],[Guias de Apoyo]]&amp;" "&amp;Factor_3[[#This Row],[Tendencia2]]</f>
        <v>2 + G -</v>
      </c>
      <c r="C117" s="199">
        <v>2</v>
      </c>
      <c r="D117" s="199" t="s">
        <v>117</v>
      </c>
      <c r="E117" s="199" t="s">
        <v>18</v>
      </c>
      <c r="F117" s="199" t="s">
        <v>78</v>
      </c>
      <c r="G117" s="251">
        <v>0.34</v>
      </c>
    </row>
    <row r="118" spans="2:7" hidden="1">
      <c r="B118" s="199" t="str">
        <f>Factor_3[[#This Row],[Complejidad Conceptual]]&amp;" "&amp;Factor_3[[#This Row],[Tendencia]]&amp;" "&amp;Factor_3[[#This Row],[Guias de Apoyo]]&amp;" "&amp;Factor_3[[#This Row],[Tendencia2]]</f>
        <v>2 + G o</v>
      </c>
      <c r="C118" s="199">
        <v>2</v>
      </c>
      <c r="D118" s="199" t="s">
        <v>117</v>
      </c>
      <c r="E118" s="199" t="s">
        <v>18</v>
      </c>
      <c r="F118" s="199" t="s">
        <v>97</v>
      </c>
      <c r="G118" s="251">
        <v>0.38</v>
      </c>
    </row>
    <row r="119" spans="2:7" hidden="1">
      <c r="B119" s="199" t="str">
        <f>Factor_3[[#This Row],[Complejidad Conceptual]]&amp;" "&amp;Factor_3[[#This Row],[Tendencia]]&amp;" "&amp;Factor_3[[#This Row],[Guias de Apoyo]]&amp;" "&amp;Factor_3[[#This Row],[Tendencia2]]</f>
        <v>2 + G +</v>
      </c>
      <c r="C119" s="199">
        <v>2</v>
      </c>
      <c r="D119" s="199" t="s">
        <v>117</v>
      </c>
      <c r="E119" s="199" t="s">
        <v>18</v>
      </c>
      <c r="F119" s="199" t="s">
        <v>117</v>
      </c>
      <c r="G119" s="251">
        <v>0.41</v>
      </c>
    </row>
    <row r="120" spans="2:7" hidden="1">
      <c r="B120" s="199" t="str">
        <f>Factor_3[[#This Row],[Complejidad Conceptual]]&amp;" "&amp;Factor_3[[#This Row],[Tendencia]]&amp;" "&amp;Factor_3[[#This Row],[Guias de Apoyo]]&amp;" "&amp;Factor_3[[#This Row],[Tendencia2]]</f>
        <v>2 + H -</v>
      </c>
      <c r="C120" s="199">
        <v>2</v>
      </c>
      <c r="D120" s="199" t="s">
        <v>117</v>
      </c>
      <c r="E120" s="199" t="s">
        <v>186</v>
      </c>
      <c r="F120" s="199" t="s">
        <v>78</v>
      </c>
      <c r="G120" s="251">
        <v>0.41</v>
      </c>
    </row>
    <row r="121" spans="2:7" hidden="1">
      <c r="B121" s="199" t="str">
        <f>Factor_3[[#This Row],[Complejidad Conceptual]]&amp;" "&amp;Factor_3[[#This Row],[Tendencia]]&amp;" "&amp;Factor_3[[#This Row],[Guias de Apoyo]]&amp;" "&amp;Factor_3[[#This Row],[Tendencia2]]</f>
        <v>2 + H o</v>
      </c>
      <c r="C121" s="199">
        <v>2</v>
      </c>
      <c r="D121" s="199" t="s">
        <v>117</v>
      </c>
      <c r="E121" s="199" t="s">
        <v>186</v>
      </c>
      <c r="F121" s="199" t="s">
        <v>97</v>
      </c>
      <c r="G121" s="251">
        <v>0.45</v>
      </c>
    </row>
    <row r="122" spans="2:7" hidden="1">
      <c r="B122" s="199" t="str">
        <f>Factor_3[[#This Row],[Complejidad Conceptual]]&amp;" "&amp;Factor_3[[#This Row],[Tendencia]]&amp;" "&amp;Factor_3[[#This Row],[Guias de Apoyo]]&amp;" "&amp;Factor_3[[#This Row],[Tendencia2]]</f>
        <v>2 + H +</v>
      </c>
      <c r="C122" s="199">
        <v>2</v>
      </c>
      <c r="D122" s="199" t="s">
        <v>117</v>
      </c>
      <c r="E122" s="199" t="s">
        <v>186</v>
      </c>
      <c r="F122" s="199" t="s">
        <v>117</v>
      </c>
      <c r="G122" s="251">
        <v>0.49</v>
      </c>
    </row>
    <row r="123" spans="2:7" hidden="1">
      <c r="B123" s="199" t="str">
        <f>Factor_3[[#This Row],[Complejidad Conceptual]]&amp;" "&amp;Factor_3[[#This Row],[Tendencia]]&amp;" "&amp;Factor_3[[#This Row],[Guias de Apoyo]]&amp;" "&amp;Factor_3[[#This Row],[Tendencia2]]</f>
        <v>2 o A -</v>
      </c>
      <c r="C123" s="199">
        <v>2</v>
      </c>
      <c r="D123" s="199" t="s">
        <v>97</v>
      </c>
      <c r="E123" s="199" t="s">
        <v>79</v>
      </c>
      <c r="F123" s="199" t="s">
        <v>78</v>
      </c>
      <c r="G123" s="251">
        <v>0.11</v>
      </c>
    </row>
    <row r="124" spans="2:7" hidden="1">
      <c r="B124" s="199" t="str">
        <f>Factor_3[[#This Row],[Complejidad Conceptual]]&amp;" "&amp;Factor_3[[#This Row],[Tendencia]]&amp;" "&amp;Factor_3[[#This Row],[Guias de Apoyo]]&amp;" "&amp;Factor_3[[#This Row],[Tendencia2]]</f>
        <v>2 o A o</v>
      </c>
      <c r="C124" s="199">
        <v>2</v>
      </c>
      <c r="D124" s="199" t="s">
        <v>97</v>
      </c>
      <c r="E124" s="199" t="s">
        <v>79</v>
      </c>
      <c r="F124" s="199" t="s">
        <v>97</v>
      </c>
      <c r="G124" s="251">
        <v>0.12</v>
      </c>
    </row>
    <row r="125" spans="2:7" hidden="1">
      <c r="B125" s="199" t="str">
        <f>Factor_3[[#This Row],[Complejidad Conceptual]]&amp;" "&amp;Factor_3[[#This Row],[Tendencia]]&amp;" "&amp;Factor_3[[#This Row],[Guias de Apoyo]]&amp;" "&amp;Factor_3[[#This Row],[Tendencia2]]</f>
        <v>2 o A +</v>
      </c>
      <c r="C125" s="199">
        <v>2</v>
      </c>
      <c r="D125" s="199" t="s">
        <v>97</v>
      </c>
      <c r="E125" s="199" t="s">
        <v>79</v>
      </c>
      <c r="F125" s="199" t="s">
        <v>117</v>
      </c>
      <c r="G125" s="251">
        <v>0.13</v>
      </c>
    </row>
    <row r="126" spans="2:7" hidden="1">
      <c r="B126" s="199" t="str">
        <f>Factor_3[[#This Row],[Complejidad Conceptual]]&amp;" "&amp;Factor_3[[#This Row],[Tendencia]]&amp;" "&amp;Factor_3[[#This Row],[Guias de Apoyo]]&amp;" "&amp;Factor_3[[#This Row],[Tendencia2]]</f>
        <v>2 o B -</v>
      </c>
      <c r="C126" s="199">
        <v>2</v>
      </c>
      <c r="D126" s="199" t="s">
        <v>97</v>
      </c>
      <c r="E126" s="199" t="s">
        <v>98</v>
      </c>
      <c r="F126" s="199" t="s">
        <v>78</v>
      </c>
      <c r="G126" s="251">
        <v>0.13</v>
      </c>
    </row>
    <row r="127" spans="2:7" hidden="1">
      <c r="B127" s="199" t="str">
        <f>Factor_3[[#This Row],[Complejidad Conceptual]]&amp;" "&amp;Factor_3[[#This Row],[Tendencia]]&amp;" "&amp;Factor_3[[#This Row],[Guias de Apoyo]]&amp;" "&amp;Factor_3[[#This Row],[Tendencia2]]</f>
        <v>2 o B o</v>
      </c>
      <c r="C127" s="199">
        <v>2</v>
      </c>
      <c r="D127" s="199" t="s">
        <v>97</v>
      </c>
      <c r="E127" s="199" t="s">
        <v>98</v>
      </c>
      <c r="F127" s="199" t="s">
        <v>97</v>
      </c>
      <c r="G127" s="251">
        <v>0.14000000000000001</v>
      </c>
    </row>
    <row r="128" spans="2:7" hidden="1">
      <c r="B128" s="199" t="str">
        <f>Factor_3[[#This Row],[Complejidad Conceptual]]&amp;" "&amp;Factor_3[[#This Row],[Tendencia]]&amp;" "&amp;Factor_3[[#This Row],[Guias de Apoyo]]&amp;" "&amp;Factor_3[[#This Row],[Tendencia2]]</f>
        <v>2 o B +</v>
      </c>
      <c r="C128" s="199">
        <v>2</v>
      </c>
      <c r="D128" s="199" t="s">
        <v>97</v>
      </c>
      <c r="E128" s="199" t="s">
        <v>98</v>
      </c>
      <c r="F128" s="199" t="s">
        <v>117</v>
      </c>
      <c r="G128" s="251">
        <v>0.16</v>
      </c>
    </row>
    <row r="129" spans="2:7" hidden="1">
      <c r="B129" s="199" t="str">
        <f>Factor_3[[#This Row],[Complejidad Conceptual]]&amp;" "&amp;Factor_3[[#This Row],[Tendencia]]&amp;" "&amp;Factor_3[[#This Row],[Guias de Apoyo]]&amp;" "&amp;Factor_3[[#This Row],[Tendencia2]]</f>
        <v>2 o C -</v>
      </c>
      <c r="C129" s="199">
        <v>2</v>
      </c>
      <c r="D129" s="199" t="s">
        <v>97</v>
      </c>
      <c r="E129" s="199" t="s">
        <v>118</v>
      </c>
      <c r="F129" s="199" t="s">
        <v>78</v>
      </c>
      <c r="G129" s="251">
        <v>0.16</v>
      </c>
    </row>
    <row r="130" spans="2:7" hidden="1">
      <c r="B130" s="199" t="str">
        <f>Factor_3[[#This Row],[Complejidad Conceptual]]&amp;" "&amp;Factor_3[[#This Row],[Tendencia]]&amp;" "&amp;Factor_3[[#This Row],[Guias de Apoyo]]&amp;" "&amp;Factor_3[[#This Row],[Tendencia2]]</f>
        <v>2 o C o</v>
      </c>
      <c r="C130" s="199">
        <v>2</v>
      </c>
      <c r="D130" s="199" t="s">
        <v>97</v>
      </c>
      <c r="E130" s="199" t="s">
        <v>118</v>
      </c>
      <c r="F130" s="199" t="s">
        <v>97</v>
      </c>
      <c r="G130" s="251">
        <v>0.17</v>
      </c>
    </row>
    <row r="131" spans="2:7" hidden="1">
      <c r="B131" s="199" t="str">
        <f>Factor_3[[#This Row],[Complejidad Conceptual]]&amp;" "&amp;Factor_3[[#This Row],[Tendencia]]&amp;" "&amp;Factor_3[[#This Row],[Guias de Apoyo]]&amp;" "&amp;Factor_3[[#This Row],[Tendencia2]]</f>
        <v>2 o C +</v>
      </c>
      <c r="C131" s="199">
        <v>2</v>
      </c>
      <c r="D131" s="199" t="s">
        <v>97</v>
      </c>
      <c r="E131" s="199" t="s">
        <v>118</v>
      </c>
      <c r="F131" s="199" t="s">
        <v>117</v>
      </c>
      <c r="G131" s="251">
        <v>0.19</v>
      </c>
    </row>
    <row r="132" spans="2:7" hidden="1">
      <c r="B132" s="199" t="str">
        <f>Factor_3[[#This Row],[Complejidad Conceptual]]&amp;" "&amp;Factor_3[[#This Row],[Tendencia]]&amp;" "&amp;Factor_3[[#This Row],[Guias de Apoyo]]&amp;" "&amp;Factor_3[[#This Row],[Tendencia2]]</f>
        <v>2 o D -</v>
      </c>
      <c r="C132" s="199">
        <v>2</v>
      </c>
      <c r="D132" s="199" t="s">
        <v>97</v>
      </c>
      <c r="E132" s="199" t="s">
        <v>137</v>
      </c>
      <c r="F132" s="199" t="s">
        <v>78</v>
      </c>
      <c r="G132" s="251">
        <v>0.19</v>
      </c>
    </row>
    <row r="133" spans="2:7" hidden="1">
      <c r="B133" s="199" t="str">
        <f>Factor_3[[#This Row],[Complejidad Conceptual]]&amp;" "&amp;Factor_3[[#This Row],[Tendencia]]&amp;" "&amp;Factor_3[[#This Row],[Guias de Apoyo]]&amp;" "&amp;Factor_3[[#This Row],[Tendencia2]]</f>
        <v>2 o D o</v>
      </c>
      <c r="C133" s="199">
        <v>2</v>
      </c>
      <c r="D133" s="199" t="s">
        <v>97</v>
      </c>
      <c r="E133" s="199" t="s">
        <v>137</v>
      </c>
      <c r="F133" s="199" t="s">
        <v>97</v>
      </c>
      <c r="G133" s="251">
        <v>0.2</v>
      </c>
    </row>
    <row r="134" spans="2:7" hidden="1">
      <c r="B134" s="199" t="str">
        <f>Factor_3[[#This Row],[Complejidad Conceptual]]&amp;" "&amp;Factor_3[[#This Row],[Tendencia]]&amp;" "&amp;Factor_3[[#This Row],[Guias de Apoyo]]&amp;" "&amp;Factor_3[[#This Row],[Tendencia2]]</f>
        <v>2 o D +</v>
      </c>
      <c r="C134" s="199">
        <v>2</v>
      </c>
      <c r="D134" s="199" t="s">
        <v>97</v>
      </c>
      <c r="E134" s="199" t="s">
        <v>137</v>
      </c>
      <c r="F134" s="199" t="s">
        <v>117</v>
      </c>
      <c r="G134" s="251">
        <v>0.22</v>
      </c>
    </row>
    <row r="135" spans="2:7" hidden="1">
      <c r="B135" s="199" t="str">
        <f>Factor_3[[#This Row],[Complejidad Conceptual]]&amp;" "&amp;Factor_3[[#This Row],[Tendencia]]&amp;" "&amp;Factor_3[[#This Row],[Guias de Apoyo]]&amp;" "&amp;Factor_3[[#This Row],[Tendencia2]]</f>
        <v>2 o E -</v>
      </c>
      <c r="C135" s="199">
        <v>2</v>
      </c>
      <c r="D135" s="199" t="s">
        <v>97</v>
      </c>
      <c r="E135" s="199" t="s">
        <v>155</v>
      </c>
      <c r="F135" s="199" t="s">
        <v>78</v>
      </c>
      <c r="G135" s="251">
        <v>0.22</v>
      </c>
    </row>
    <row r="136" spans="2:7" hidden="1">
      <c r="B136" s="199" t="str">
        <f>Factor_3[[#This Row],[Complejidad Conceptual]]&amp;" "&amp;Factor_3[[#This Row],[Tendencia]]&amp;" "&amp;Factor_3[[#This Row],[Guias de Apoyo]]&amp;" "&amp;Factor_3[[#This Row],[Tendencia2]]</f>
        <v>2 o E o</v>
      </c>
      <c r="C136" s="199">
        <v>2</v>
      </c>
      <c r="D136" s="199" t="s">
        <v>97</v>
      </c>
      <c r="E136" s="199" t="s">
        <v>155</v>
      </c>
      <c r="F136" s="199" t="s">
        <v>97</v>
      </c>
      <c r="G136" s="251">
        <v>0.24</v>
      </c>
    </row>
    <row r="137" spans="2:7" hidden="1">
      <c r="B137" s="199" t="str">
        <f>Factor_3[[#This Row],[Complejidad Conceptual]]&amp;" "&amp;Factor_3[[#This Row],[Tendencia]]&amp;" "&amp;Factor_3[[#This Row],[Guias de Apoyo]]&amp;" "&amp;Factor_3[[#This Row],[Tendencia2]]</f>
        <v>2 o E +</v>
      </c>
      <c r="C137" s="199">
        <v>2</v>
      </c>
      <c r="D137" s="199" t="s">
        <v>97</v>
      </c>
      <c r="E137" s="199" t="s">
        <v>155</v>
      </c>
      <c r="F137" s="199" t="s">
        <v>117</v>
      </c>
      <c r="G137" s="251">
        <v>0.27</v>
      </c>
    </row>
    <row r="138" spans="2:7" hidden="1">
      <c r="B138" s="199" t="str">
        <f>Factor_3[[#This Row],[Complejidad Conceptual]]&amp;" "&amp;Factor_3[[#This Row],[Tendencia]]&amp;" "&amp;Factor_3[[#This Row],[Guias de Apoyo]]&amp;" "&amp;Factor_3[[#This Row],[Tendencia2]]</f>
        <v>2 o F -</v>
      </c>
      <c r="C138" s="199">
        <v>2</v>
      </c>
      <c r="D138" s="199" t="s">
        <v>97</v>
      </c>
      <c r="E138" s="199" t="s">
        <v>169</v>
      </c>
      <c r="F138" s="199" t="s">
        <v>78</v>
      </c>
      <c r="G138" s="251">
        <v>0.27</v>
      </c>
    </row>
    <row r="139" spans="2:7" hidden="1">
      <c r="B139" s="199" t="str">
        <f>Factor_3[[#This Row],[Complejidad Conceptual]]&amp;" "&amp;Factor_3[[#This Row],[Tendencia]]&amp;" "&amp;Factor_3[[#This Row],[Guias de Apoyo]]&amp;" "&amp;Factor_3[[#This Row],[Tendencia2]]</f>
        <v>2 o F o</v>
      </c>
      <c r="C139" s="199">
        <v>2</v>
      </c>
      <c r="D139" s="199" t="s">
        <v>97</v>
      </c>
      <c r="E139" s="199" t="s">
        <v>169</v>
      </c>
      <c r="F139" s="199" t="s">
        <v>97</v>
      </c>
      <c r="G139" s="251">
        <v>0.28999999999999998</v>
      </c>
    </row>
    <row r="140" spans="2:7" hidden="1">
      <c r="B140" s="199" t="str">
        <f>Factor_3[[#This Row],[Complejidad Conceptual]]&amp;" "&amp;Factor_3[[#This Row],[Tendencia]]&amp;" "&amp;Factor_3[[#This Row],[Guias de Apoyo]]&amp;" "&amp;Factor_3[[#This Row],[Tendencia2]]</f>
        <v>2 o F +</v>
      </c>
      <c r="C140" s="199">
        <v>2</v>
      </c>
      <c r="D140" s="199" t="s">
        <v>97</v>
      </c>
      <c r="E140" s="199" t="s">
        <v>169</v>
      </c>
      <c r="F140" s="199" t="s">
        <v>117</v>
      </c>
      <c r="G140" s="251">
        <v>0.32</v>
      </c>
    </row>
    <row r="141" spans="2:7" hidden="1">
      <c r="B141" s="199" t="str">
        <f>Factor_3[[#This Row],[Complejidad Conceptual]]&amp;" "&amp;Factor_3[[#This Row],[Tendencia]]&amp;" "&amp;Factor_3[[#This Row],[Guias de Apoyo]]&amp;" "&amp;Factor_3[[#This Row],[Tendencia2]]</f>
        <v>2 o G -</v>
      </c>
      <c r="C141" s="199">
        <v>2</v>
      </c>
      <c r="D141" s="199" t="s">
        <v>97</v>
      </c>
      <c r="E141" s="199" t="s">
        <v>18</v>
      </c>
      <c r="F141" s="199" t="s">
        <v>78</v>
      </c>
      <c r="G141" s="251">
        <v>0.32</v>
      </c>
    </row>
    <row r="142" spans="2:7" hidden="1">
      <c r="B142" s="199" t="str">
        <f>Factor_3[[#This Row],[Complejidad Conceptual]]&amp;" "&amp;Factor_3[[#This Row],[Tendencia]]&amp;" "&amp;Factor_3[[#This Row],[Guias de Apoyo]]&amp;" "&amp;Factor_3[[#This Row],[Tendencia2]]</f>
        <v>2 o G o</v>
      </c>
      <c r="C142" s="199">
        <v>2</v>
      </c>
      <c r="D142" s="199" t="s">
        <v>97</v>
      </c>
      <c r="E142" s="199" t="s">
        <v>18</v>
      </c>
      <c r="F142" s="199" t="s">
        <v>97</v>
      </c>
      <c r="G142" s="251">
        <v>0.34</v>
      </c>
    </row>
    <row r="143" spans="2:7" hidden="1">
      <c r="B143" s="199" t="str">
        <f>Factor_3[[#This Row],[Complejidad Conceptual]]&amp;" "&amp;Factor_3[[#This Row],[Tendencia]]&amp;" "&amp;Factor_3[[#This Row],[Guias de Apoyo]]&amp;" "&amp;Factor_3[[#This Row],[Tendencia2]]</f>
        <v>2 o G +</v>
      </c>
      <c r="C143" s="199">
        <v>2</v>
      </c>
      <c r="D143" s="199" t="s">
        <v>97</v>
      </c>
      <c r="E143" s="199" t="s">
        <v>18</v>
      </c>
      <c r="F143" s="199" t="s">
        <v>117</v>
      </c>
      <c r="G143" s="251">
        <v>0.38</v>
      </c>
    </row>
    <row r="144" spans="2:7" hidden="1">
      <c r="B144" s="199" t="str">
        <f>Factor_3[[#This Row],[Complejidad Conceptual]]&amp;" "&amp;Factor_3[[#This Row],[Tendencia]]&amp;" "&amp;Factor_3[[#This Row],[Guias de Apoyo]]&amp;" "&amp;Factor_3[[#This Row],[Tendencia2]]</f>
        <v>2 o H -</v>
      </c>
      <c r="C144" s="199">
        <v>2</v>
      </c>
      <c r="D144" s="199" t="s">
        <v>97</v>
      </c>
      <c r="E144" s="199" t="s">
        <v>186</v>
      </c>
      <c r="F144" s="199" t="s">
        <v>78</v>
      </c>
      <c r="G144" s="251">
        <v>0.38</v>
      </c>
    </row>
    <row r="145" spans="2:7" hidden="1">
      <c r="B145" s="199" t="str">
        <f>Factor_3[[#This Row],[Complejidad Conceptual]]&amp;" "&amp;Factor_3[[#This Row],[Tendencia]]&amp;" "&amp;Factor_3[[#This Row],[Guias de Apoyo]]&amp;" "&amp;Factor_3[[#This Row],[Tendencia2]]</f>
        <v>2 o H o</v>
      </c>
      <c r="C145" s="199">
        <v>2</v>
      </c>
      <c r="D145" s="199" t="s">
        <v>97</v>
      </c>
      <c r="E145" s="199" t="s">
        <v>186</v>
      </c>
      <c r="F145" s="199" t="s">
        <v>97</v>
      </c>
      <c r="G145" s="251">
        <v>0.41</v>
      </c>
    </row>
    <row r="146" spans="2:7" hidden="1">
      <c r="B146" s="199" t="str">
        <f>Factor_3[[#This Row],[Complejidad Conceptual]]&amp;" "&amp;Factor_3[[#This Row],[Tendencia]]&amp;" "&amp;Factor_3[[#This Row],[Guias de Apoyo]]&amp;" "&amp;Factor_3[[#This Row],[Tendencia2]]</f>
        <v>2 o H +</v>
      </c>
      <c r="C146" s="199">
        <v>2</v>
      </c>
      <c r="D146" s="199" t="s">
        <v>97</v>
      </c>
      <c r="E146" s="199" t="s">
        <v>186</v>
      </c>
      <c r="F146" s="199" t="s">
        <v>117</v>
      </c>
      <c r="G146" s="251">
        <v>0.45</v>
      </c>
    </row>
    <row r="147" spans="2:7" hidden="1">
      <c r="B147" s="199" t="str">
        <f>Factor_3[[#This Row],[Complejidad Conceptual]]&amp;" "&amp;Factor_3[[#This Row],[Tendencia]]&amp;" "&amp;Factor_3[[#This Row],[Guias de Apoyo]]&amp;" "&amp;Factor_3[[#This Row],[Tendencia2]]</f>
        <v>3 - A -</v>
      </c>
      <c r="C147" s="199">
        <v>3</v>
      </c>
      <c r="D147" s="199" t="s">
        <v>78</v>
      </c>
      <c r="E147" s="199" t="s">
        <v>79</v>
      </c>
      <c r="F147" s="199" t="s">
        <v>78</v>
      </c>
      <c r="G147" s="251">
        <v>0.12</v>
      </c>
    </row>
    <row r="148" spans="2:7" hidden="1">
      <c r="B148" s="199" t="str">
        <f>Factor_3[[#This Row],[Complejidad Conceptual]]&amp;" "&amp;Factor_3[[#This Row],[Tendencia]]&amp;" "&amp;Factor_3[[#This Row],[Guias de Apoyo]]&amp;" "&amp;Factor_3[[#This Row],[Tendencia2]]</f>
        <v>3 - A o</v>
      </c>
      <c r="C148" s="199">
        <v>3</v>
      </c>
      <c r="D148" s="199" t="s">
        <v>78</v>
      </c>
      <c r="E148" s="199" t="s">
        <v>79</v>
      </c>
      <c r="F148" s="199" t="s">
        <v>97</v>
      </c>
      <c r="G148" s="251">
        <v>0.13</v>
      </c>
    </row>
    <row r="149" spans="2:7" hidden="1">
      <c r="B149" s="199" t="str">
        <f>Factor_3[[#This Row],[Complejidad Conceptual]]&amp;" "&amp;Factor_3[[#This Row],[Tendencia]]&amp;" "&amp;Factor_3[[#This Row],[Guias de Apoyo]]&amp;" "&amp;Factor_3[[#This Row],[Tendencia2]]</f>
        <v>3 - A +</v>
      </c>
      <c r="C149" s="199">
        <v>3</v>
      </c>
      <c r="D149" s="199" t="s">
        <v>78</v>
      </c>
      <c r="E149" s="199" t="s">
        <v>79</v>
      </c>
      <c r="F149" s="199" t="s">
        <v>117</v>
      </c>
      <c r="G149" s="251">
        <v>0.14000000000000001</v>
      </c>
    </row>
    <row r="150" spans="2:7" hidden="1">
      <c r="B150" s="199" t="str">
        <f>Factor_3[[#This Row],[Complejidad Conceptual]]&amp;" "&amp;Factor_3[[#This Row],[Tendencia]]&amp;" "&amp;Factor_3[[#This Row],[Guias de Apoyo]]&amp;" "&amp;Factor_3[[#This Row],[Tendencia2]]</f>
        <v>3 - B -</v>
      </c>
      <c r="C150" s="199">
        <v>3</v>
      </c>
      <c r="D150" s="199" t="s">
        <v>78</v>
      </c>
      <c r="E150" s="199" t="s">
        <v>98</v>
      </c>
      <c r="F150" s="199" t="s">
        <v>78</v>
      </c>
      <c r="G150" s="251">
        <v>0.14000000000000001</v>
      </c>
    </row>
    <row r="151" spans="2:7" hidden="1">
      <c r="B151" s="199" t="str">
        <f>Factor_3[[#This Row],[Complejidad Conceptual]]&amp;" "&amp;Factor_3[[#This Row],[Tendencia]]&amp;" "&amp;Factor_3[[#This Row],[Guias de Apoyo]]&amp;" "&amp;Factor_3[[#This Row],[Tendencia2]]</f>
        <v>3 - B o</v>
      </c>
      <c r="C151" s="199">
        <v>3</v>
      </c>
      <c r="D151" s="199" t="s">
        <v>78</v>
      </c>
      <c r="E151" s="199" t="s">
        <v>98</v>
      </c>
      <c r="F151" s="199" t="s">
        <v>97</v>
      </c>
      <c r="G151" s="251">
        <v>0.16</v>
      </c>
    </row>
    <row r="152" spans="2:7" hidden="1">
      <c r="B152" s="199" t="str">
        <f>Factor_3[[#This Row],[Complejidad Conceptual]]&amp;" "&amp;Factor_3[[#This Row],[Tendencia]]&amp;" "&amp;Factor_3[[#This Row],[Guias de Apoyo]]&amp;" "&amp;Factor_3[[#This Row],[Tendencia2]]</f>
        <v>3 - B +</v>
      </c>
      <c r="C152" s="199">
        <v>3</v>
      </c>
      <c r="D152" s="199" t="s">
        <v>78</v>
      </c>
      <c r="E152" s="199" t="s">
        <v>98</v>
      </c>
      <c r="F152" s="199" t="s">
        <v>117</v>
      </c>
      <c r="G152" s="251">
        <v>0.17</v>
      </c>
    </row>
    <row r="153" spans="2:7" hidden="1">
      <c r="B153" s="199" t="str">
        <f>Factor_3[[#This Row],[Complejidad Conceptual]]&amp;" "&amp;Factor_3[[#This Row],[Tendencia]]&amp;" "&amp;Factor_3[[#This Row],[Guias de Apoyo]]&amp;" "&amp;Factor_3[[#This Row],[Tendencia2]]</f>
        <v>3 - C -</v>
      </c>
      <c r="C153" s="199">
        <v>3</v>
      </c>
      <c r="D153" s="199" t="s">
        <v>78</v>
      </c>
      <c r="E153" s="199" t="s">
        <v>118</v>
      </c>
      <c r="F153" s="199" t="s">
        <v>78</v>
      </c>
      <c r="G153" s="251">
        <v>0.17</v>
      </c>
    </row>
    <row r="154" spans="2:7" hidden="1">
      <c r="B154" s="199" t="str">
        <f>Factor_3[[#This Row],[Complejidad Conceptual]]&amp;" "&amp;Factor_3[[#This Row],[Tendencia]]&amp;" "&amp;Factor_3[[#This Row],[Guias de Apoyo]]&amp;" "&amp;Factor_3[[#This Row],[Tendencia2]]</f>
        <v>3 - C o</v>
      </c>
      <c r="C154" s="199">
        <v>3</v>
      </c>
      <c r="D154" s="199" t="s">
        <v>78</v>
      </c>
      <c r="E154" s="199" t="s">
        <v>118</v>
      </c>
      <c r="F154" s="199" t="s">
        <v>97</v>
      </c>
      <c r="G154" s="251">
        <v>0.19</v>
      </c>
    </row>
    <row r="155" spans="2:7" hidden="1">
      <c r="B155" s="199" t="str">
        <f>Factor_3[[#This Row],[Complejidad Conceptual]]&amp;" "&amp;Factor_3[[#This Row],[Tendencia]]&amp;" "&amp;Factor_3[[#This Row],[Guias de Apoyo]]&amp;" "&amp;Factor_3[[#This Row],[Tendencia2]]</f>
        <v>3 - C +</v>
      </c>
      <c r="C155" s="199">
        <v>3</v>
      </c>
      <c r="D155" s="199" t="s">
        <v>78</v>
      </c>
      <c r="E155" s="199" t="s">
        <v>118</v>
      </c>
      <c r="F155" s="199" t="s">
        <v>117</v>
      </c>
      <c r="G155" s="251">
        <v>0.2</v>
      </c>
    </row>
    <row r="156" spans="2:7" hidden="1">
      <c r="B156" s="199" t="str">
        <f>Factor_3[[#This Row],[Complejidad Conceptual]]&amp;" "&amp;Factor_3[[#This Row],[Tendencia]]&amp;" "&amp;Factor_3[[#This Row],[Guias de Apoyo]]&amp;" "&amp;Factor_3[[#This Row],[Tendencia2]]</f>
        <v>3 - D -</v>
      </c>
      <c r="C156" s="199">
        <v>3</v>
      </c>
      <c r="D156" s="199" t="s">
        <v>78</v>
      </c>
      <c r="E156" s="199" t="s">
        <v>137</v>
      </c>
      <c r="F156" s="199" t="s">
        <v>78</v>
      </c>
      <c r="G156" s="251">
        <v>0.2</v>
      </c>
    </row>
    <row r="157" spans="2:7" hidden="1">
      <c r="B157" s="199" t="str">
        <f>Factor_3[[#This Row],[Complejidad Conceptual]]&amp;" "&amp;Factor_3[[#This Row],[Tendencia]]&amp;" "&amp;Factor_3[[#This Row],[Guias de Apoyo]]&amp;" "&amp;Factor_3[[#This Row],[Tendencia2]]</f>
        <v>3 - D o</v>
      </c>
      <c r="C157" s="199">
        <v>3</v>
      </c>
      <c r="D157" s="199" t="s">
        <v>78</v>
      </c>
      <c r="E157" s="199" t="s">
        <v>137</v>
      </c>
      <c r="F157" s="199" t="s">
        <v>97</v>
      </c>
      <c r="G157" s="251">
        <v>0.22</v>
      </c>
    </row>
    <row r="158" spans="2:7" hidden="1">
      <c r="B158" s="199" t="str">
        <f>Factor_3[[#This Row],[Complejidad Conceptual]]&amp;" "&amp;Factor_3[[#This Row],[Tendencia]]&amp;" "&amp;Factor_3[[#This Row],[Guias de Apoyo]]&amp;" "&amp;Factor_3[[#This Row],[Tendencia2]]</f>
        <v>3 - D +</v>
      </c>
      <c r="C158" s="199">
        <v>3</v>
      </c>
      <c r="D158" s="199" t="s">
        <v>78</v>
      </c>
      <c r="E158" s="199" t="s">
        <v>137</v>
      </c>
      <c r="F158" s="199" t="s">
        <v>117</v>
      </c>
      <c r="G158" s="251">
        <v>0.24</v>
      </c>
    </row>
    <row r="159" spans="2:7" hidden="1">
      <c r="B159" s="199" t="str">
        <f>Factor_3[[#This Row],[Complejidad Conceptual]]&amp;" "&amp;Factor_3[[#This Row],[Tendencia]]&amp;" "&amp;Factor_3[[#This Row],[Guias de Apoyo]]&amp;" "&amp;Factor_3[[#This Row],[Tendencia2]]</f>
        <v>3 - E -</v>
      </c>
      <c r="C159" s="199">
        <v>3</v>
      </c>
      <c r="D159" s="199" t="s">
        <v>78</v>
      </c>
      <c r="E159" s="199" t="s">
        <v>155</v>
      </c>
      <c r="F159" s="199" t="s">
        <v>78</v>
      </c>
      <c r="G159" s="251">
        <v>0.24</v>
      </c>
    </row>
    <row r="160" spans="2:7" hidden="1">
      <c r="B160" s="199" t="str">
        <f>Factor_3[[#This Row],[Complejidad Conceptual]]&amp;" "&amp;Factor_3[[#This Row],[Tendencia]]&amp;" "&amp;Factor_3[[#This Row],[Guias de Apoyo]]&amp;" "&amp;Factor_3[[#This Row],[Tendencia2]]</f>
        <v>3 - E o</v>
      </c>
      <c r="C160" s="199">
        <v>3</v>
      </c>
      <c r="D160" s="199" t="s">
        <v>78</v>
      </c>
      <c r="E160" s="199" t="s">
        <v>155</v>
      </c>
      <c r="F160" s="199" t="s">
        <v>97</v>
      </c>
      <c r="G160" s="251">
        <v>0.27</v>
      </c>
    </row>
    <row r="161" spans="2:7" hidden="1">
      <c r="B161" s="199" t="str">
        <f>Factor_3[[#This Row],[Complejidad Conceptual]]&amp;" "&amp;Factor_3[[#This Row],[Tendencia]]&amp;" "&amp;Factor_3[[#This Row],[Guias de Apoyo]]&amp;" "&amp;Factor_3[[#This Row],[Tendencia2]]</f>
        <v>3 - E +</v>
      </c>
      <c r="C161" s="199">
        <v>3</v>
      </c>
      <c r="D161" s="199" t="s">
        <v>78</v>
      </c>
      <c r="E161" s="199" t="s">
        <v>155</v>
      </c>
      <c r="F161" s="199" t="s">
        <v>117</v>
      </c>
      <c r="G161" s="251">
        <v>0.28999999999999998</v>
      </c>
    </row>
    <row r="162" spans="2:7" hidden="1">
      <c r="B162" s="199" t="str">
        <f>Factor_3[[#This Row],[Complejidad Conceptual]]&amp;" "&amp;Factor_3[[#This Row],[Tendencia]]&amp;" "&amp;Factor_3[[#This Row],[Guias de Apoyo]]&amp;" "&amp;Factor_3[[#This Row],[Tendencia2]]</f>
        <v>3 - F -</v>
      </c>
      <c r="C162" s="199">
        <v>3</v>
      </c>
      <c r="D162" s="199" t="s">
        <v>78</v>
      </c>
      <c r="E162" s="199" t="s">
        <v>169</v>
      </c>
      <c r="F162" s="199" t="s">
        <v>78</v>
      </c>
      <c r="G162" s="251">
        <v>0.28999999999999998</v>
      </c>
    </row>
    <row r="163" spans="2:7" hidden="1">
      <c r="B163" s="199" t="str">
        <f>Factor_3[[#This Row],[Complejidad Conceptual]]&amp;" "&amp;Factor_3[[#This Row],[Tendencia]]&amp;" "&amp;Factor_3[[#This Row],[Guias de Apoyo]]&amp;" "&amp;Factor_3[[#This Row],[Tendencia2]]</f>
        <v>3 - F o</v>
      </c>
      <c r="C163" s="199">
        <v>3</v>
      </c>
      <c r="D163" s="199" t="s">
        <v>78</v>
      </c>
      <c r="E163" s="199" t="s">
        <v>169</v>
      </c>
      <c r="F163" s="199" t="s">
        <v>97</v>
      </c>
      <c r="G163" s="251">
        <v>0.32</v>
      </c>
    </row>
    <row r="164" spans="2:7" hidden="1">
      <c r="B164" s="199" t="str">
        <f>Factor_3[[#This Row],[Complejidad Conceptual]]&amp;" "&amp;Factor_3[[#This Row],[Tendencia]]&amp;" "&amp;Factor_3[[#This Row],[Guias de Apoyo]]&amp;" "&amp;Factor_3[[#This Row],[Tendencia2]]</f>
        <v>3 - F +</v>
      </c>
      <c r="C164" s="199">
        <v>3</v>
      </c>
      <c r="D164" s="199" t="s">
        <v>78</v>
      </c>
      <c r="E164" s="199" t="s">
        <v>169</v>
      </c>
      <c r="F164" s="199" t="s">
        <v>117</v>
      </c>
      <c r="G164" s="251">
        <v>0.34</v>
      </c>
    </row>
    <row r="165" spans="2:7" hidden="1">
      <c r="B165" s="199" t="str">
        <f>Factor_3[[#This Row],[Complejidad Conceptual]]&amp;" "&amp;Factor_3[[#This Row],[Tendencia]]&amp;" "&amp;Factor_3[[#This Row],[Guias de Apoyo]]&amp;" "&amp;Factor_3[[#This Row],[Tendencia2]]</f>
        <v>3 - G -</v>
      </c>
      <c r="C165" s="199">
        <v>3</v>
      </c>
      <c r="D165" s="199" t="s">
        <v>78</v>
      </c>
      <c r="E165" s="199" t="s">
        <v>18</v>
      </c>
      <c r="F165" s="199" t="s">
        <v>78</v>
      </c>
      <c r="G165" s="251">
        <v>0.34</v>
      </c>
    </row>
    <row r="166" spans="2:7" hidden="1">
      <c r="B166" s="199" t="str">
        <f>Factor_3[[#This Row],[Complejidad Conceptual]]&amp;" "&amp;Factor_3[[#This Row],[Tendencia]]&amp;" "&amp;Factor_3[[#This Row],[Guias de Apoyo]]&amp;" "&amp;Factor_3[[#This Row],[Tendencia2]]</f>
        <v>3 - G o</v>
      </c>
      <c r="C166" s="199">
        <v>3</v>
      </c>
      <c r="D166" s="199" t="s">
        <v>78</v>
      </c>
      <c r="E166" s="199" t="s">
        <v>18</v>
      </c>
      <c r="F166" s="199" t="s">
        <v>97</v>
      </c>
      <c r="G166" s="251">
        <v>0.38</v>
      </c>
    </row>
    <row r="167" spans="2:7" hidden="1">
      <c r="B167" s="199" t="str">
        <f>Factor_3[[#This Row],[Complejidad Conceptual]]&amp;" "&amp;Factor_3[[#This Row],[Tendencia]]&amp;" "&amp;Factor_3[[#This Row],[Guias de Apoyo]]&amp;" "&amp;Factor_3[[#This Row],[Tendencia2]]</f>
        <v>3 - G +</v>
      </c>
      <c r="C167" s="199">
        <v>3</v>
      </c>
      <c r="D167" s="199" t="s">
        <v>78</v>
      </c>
      <c r="E167" s="199" t="s">
        <v>18</v>
      </c>
      <c r="F167" s="199" t="s">
        <v>117</v>
      </c>
      <c r="G167" s="251">
        <v>0.41</v>
      </c>
    </row>
    <row r="168" spans="2:7" hidden="1">
      <c r="B168" s="199" t="str">
        <f>Factor_3[[#This Row],[Complejidad Conceptual]]&amp;" "&amp;Factor_3[[#This Row],[Tendencia]]&amp;" "&amp;Factor_3[[#This Row],[Guias de Apoyo]]&amp;" "&amp;Factor_3[[#This Row],[Tendencia2]]</f>
        <v>3 - H -</v>
      </c>
      <c r="C168" s="199">
        <v>3</v>
      </c>
      <c r="D168" s="199" t="s">
        <v>78</v>
      </c>
      <c r="E168" s="199" t="s">
        <v>186</v>
      </c>
      <c r="F168" s="199" t="s">
        <v>78</v>
      </c>
      <c r="G168" s="251">
        <v>0.41</v>
      </c>
    </row>
    <row r="169" spans="2:7" hidden="1">
      <c r="B169" s="199" t="str">
        <f>Factor_3[[#This Row],[Complejidad Conceptual]]&amp;" "&amp;Factor_3[[#This Row],[Tendencia]]&amp;" "&amp;Factor_3[[#This Row],[Guias de Apoyo]]&amp;" "&amp;Factor_3[[#This Row],[Tendencia2]]</f>
        <v>3 - H o</v>
      </c>
      <c r="C169" s="199">
        <v>3</v>
      </c>
      <c r="D169" s="199" t="s">
        <v>78</v>
      </c>
      <c r="E169" s="199" t="s">
        <v>186</v>
      </c>
      <c r="F169" s="199" t="s">
        <v>97</v>
      </c>
      <c r="G169" s="251">
        <v>0.45</v>
      </c>
    </row>
    <row r="170" spans="2:7" hidden="1">
      <c r="B170" s="199" t="str">
        <f>Factor_3[[#This Row],[Complejidad Conceptual]]&amp;" "&amp;Factor_3[[#This Row],[Tendencia]]&amp;" "&amp;Factor_3[[#This Row],[Guias de Apoyo]]&amp;" "&amp;Factor_3[[#This Row],[Tendencia2]]</f>
        <v>3 - H +</v>
      </c>
      <c r="C170" s="199">
        <v>3</v>
      </c>
      <c r="D170" s="199" t="s">
        <v>78</v>
      </c>
      <c r="E170" s="199" t="s">
        <v>186</v>
      </c>
      <c r="F170" s="199" t="s">
        <v>117</v>
      </c>
      <c r="G170" s="251">
        <v>0.49</v>
      </c>
    </row>
    <row r="171" spans="2:7" hidden="1">
      <c r="B171" s="199" t="str">
        <f>Factor_3[[#This Row],[Complejidad Conceptual]]&amp;" "&amp;Factor_3[[#This Row],[Tendencia]]&amp;" "&amp;Factor_3[[#This Row],[Guias de Apoyo]]&amp;" "&amp;Factor_3[[#This Row],[Tendencia2]]</f>
        <v>3 + A -</v>
      </c>
      <c r="C171" s="199">
        <v>3</v>
      </c>
      <c r="D171" s="199" t="s">
        <v>117</v>
      </c>
      <c r="E171" s="199" t="s">
        <v>79</v>
      </c>
      <c r="F171" s="199" t="s">
        <v>78</v>
      </c>
      <c r="G171" s="251">
        <v>0.14000000000000001</v>
      </c>
    </row>
    <row r="172" spans="2:7" hidden="1">
      <c r="B172" s="199" t="str">
        <f>Factor_3[[#This Row],[Complejidad Conceptual]]&amp;" "&amp;Factor_3[[#This Row],[Tendencia]]&amp;" "&amp;Factor_3[[#This Row],[Guias de Apoyo]]&amp;" "&amp;Factor_3[[#This Row],[Tendencia2]]</f>
        <v>3 + A o</v>
      </c>
      <c r="C172" s="199">
        <v>3</v>
      </c>
      <c r="D172" s="199" t="s">
        <v>117</v>
      </c>
      <c r="E172" s="199" t="s">
        <v>79</v>
      </c>
      <c r="F172" s="199" t="s">
        <v>97</v>
      </c>
      <c r="G172" s="251">
        <v>0.16</v>
      </c>
    </row>
    <row r="173" spans="2:7" hidden="1">
      <c r="B173" s="199" t="str">
        <f>Factor_3[[#This Row],[Complejidad Conceptual]]&amp;" "&amp;Factor_3[[#This Row],[Tendencia]]&amp;" "&amp;Factor_3[[#This Row],[Guias de Apoyo]]&amp;" "&amp;Factor_3[[#This Row],[Tendencia2]]</f>
        <v>3 + A +</v>
      </c>
      <c r="C173" s="199">
        <v>3</v>
      </c>
      <c r="D173" s="199" t="s">
        <v>117</v>
      </c>
      <c r="E173" s="199" t="s">
        <v>79</v>
      </c>
      <c r="F173" s="199" t="s">
        <v>117</v>
      </c>
      <c r="G173" s="251">
        <v>0.17</v>
      </c>
    </row>
    <row r="174" spans="2:7" hidden="1">
      <c r="B174" s="199" t="str">
        <f>Factor_3[[#This Row],[Complejidad Conceptual]]&amp;" "&amp;Factor_3[[#This Row],[Tendencia]]&amp;" "&amp;Factor_3[[#This Row],[Guias de Apoyo]]&amp;" "&amp;Factor_3[[#This Row],[Tendencia2]]</f>
        <v>3 + B -</v>
      </c>
      <c r="C174" s="199">
        <v>3</v>
      </c>
      <c r="D174" s="199" t="s">
        <v>117</v>
      </c>
      <c r="E174" s="199" t="s">
        <v>98</v>
      </c>
      <c r="F174" s="199" t="s">
        <v>78</v>
      </c>
      <c r="G174" s="251">
        <v>0.17</v>
      </c>
    </row>
    <row r="175" spans="2:7" hidden="1">
      <c r="B175" s="199" t="str">
        <f>Factor_3[[#This Row],[Complejidad Conceptual]]&amp;" "&amp;Factor_3[[#This Row],[Tendencia]]&amp;" "&amp;Factor_3[[#This Row],[Guias de Apoyo]]&amp;" "&amp;Factor_3[[#This Row],[Tendencia2]]</f>
        <v>3 + B o</v>
      </c>
      <c r="C175" s="199">
        <v>3</v>
      </c>
      <c r="D175" s="199" t="s">
        <v>117</v>
      </c>
      <c r="E175" s="199" t="s">
        <v>98</v>
      </c>
      <c r="F175" s="199" t="s">
        <v>97</v>
      </c>
      <c r="G175" s="251">
        <v>0.19</v>
      </c>
    </row>
    <row r="176" spans="2:7" hidden="1">
      <c r="B176" s="199" t="str">
        <f>Factor_3[[#This Row],[Complejidad Conceptual]]&amp;" "&amp;Factor_3[[#This Row],[Tendencia]]&amp;" "&amp;Factor_3[[#This Row],[Guias de Apoyo]]&amp;" "&amp;Factor_3[[#This Row],[Tendencia2]]</f>
        <v>3 + B +</v>
      </c>
      <c r="C176" s="199">
        <v>3</v>
      </c>
      <c r="D176" s="199" t="s">
        <v>117</v>
      </c>
      <c r="E176" s="199" t="s">
        <v>98</v>
      </c>
      <c r="F176" s="199" t="s">
        <v>117</v>
      </c>
      <c r="G176" s="251">
        <v>0.2</v>
      </c>
    </row>
    <row r="177" spans="2:7" hidden="1">
      <c r="B177" s="199" t="str">
        <f>Factor_3[[#This Row],[Complejidad Conceptual]]&amp;" "&amp;Factor_3[[#This Row],[Tendencia]]&amp;" "&amp;Factor_3[[#This Row],[Guias de Apoyo]]&amp;" "&amp;Factor_3[[#This Row],[Tendencia2]]</f>
        <v>3 + C -</v>
      </c>
      <c r="C177" s="199">
        <v>3</v>
      </c>
      <c r="D177" s="199" t="s">
        <v>117</v>
      </c>
      <c r="E177" s="199" t="s">
        <v>118</v>
      </c>
      <c r="F177" s="199" t="s">
        <v>78</v>
      </c>
      <c r="G177" s="251">
        <v>0.2</v>
      </c>
    </row>
    <row r="178" spans="2:7" hidden="1">
      <c r="B178" s="199" t="str">
        <f>Factor_3[[#This Row],[Complejidad Conceptual]]&amp;" "&amp;Factor_3[[#This Row],[Tendencia]]&amp;" "&amp;Factor_3[[#This Row],[Guias de Apoyo]]&amp;" "&amp;Factor_3[[#This Row],[Tendencia2]]</f>
        <v>3 + C o</v>
      </c>
      <c r="C178" s="199">
        <v>3</v>
      </c>
      <c r="D178" s="199" t="s">
        <v>117</v>
      </c>
      <c r="E178" s="199" t="s">
        <v>118</v>
      </c>
      <c r="F178" s="199" t="s">
        <v>97</v>
      </c>
      <c r="G178" s="251">
        <v>0.22</v>
      </c>
    </row>
    <row r="179" spans="2:7" hidden="1">
      <c r="B179" s="199" t="str">
        <f>Factor_3[[#This Row],[Complejidad Conceptual]]&amp;" "&amp;Factor_3[[#This Row],[Tendencia]]&amp;" "&amp;Factor_3[[#This Row],[Guias de Apoyo]]&amp;" "&amp;Factor_3[[#This Row],[Tendencia2]]</f>
        <v>3 + C +</v>
      </c>
      <c r="C179" s="199">
        <v>3</v>
      </c>
      <c r="D179" s="199" t="s">
        <v>117</v>
      </c>
      <c r="E179" s="199" t="s">
        <v>118</v>
      </c>
      <c r="F179" s="199" t="s">
        <v>117</v>
      </c>
      <c r="G179" s="251">
        <v>0.24</v>
      </c>
    </row>
    <row r="180" spans="2:7" hidden="1">
      <c r="B180" s="199" t="str">
        <f>Factor_3[[#This Row],[Complejidad Conceptual]]&amp;" "&amp;Factor_3[[#This Row],[Tendencia]]&amp;" "&amp;Factor_3[[#This Row],[Guias de Apoyo]]&amp;" "&amp;Factor_3[[#This Row],[Tendencia2]]</f>
        <v>3 + D -</v>
      </c>
      <c r="C180" s="199">
        <v>3</v>
      </c>
      <c r="D180" s="199" t="s">
        <v>117</v>
      </c>
      <c r="E180" s="199" t="s">
        <v>137</v>
      </c>
      <c r="F180" s="199" t="s">
        <v>78</v>
      </c>
      <c r="G180" s="251">
        <v>0.24</v>
      </c>
    </row>
    <row r="181" spans="2:7" hidden="1">
      <c r="B181" s="199" t="str">
        <f>Factor_3[[#This Row],[Complejidad Conceptual]]&amp;" "&amp;Factor_3[[#This Row],[Tendencia]]&amp;" "&amp;Factor_3[[#This Row],[Guias de Apoyo]]&amp;" "&amp;Factor_3[[#This Row],[Tendencia2]]</f>
        <v>3 + D o</v>
      </c>
      <c r="C181" s="199">
        <v>3</v>
      </c>
      <c r="D181" s="199" t="s">
        <v>117</v>
      </c>
      <c r="E181" s="199" t="s">
        <v>137</v>
      </c>
      <c r="F181" s="199" t="s">
        <v>97</v>
      </c>
      <c r="G181" s="251">
        <v>0.27</v>
      </c>
    </row>
    <row r="182" spans="2:7" hidden="1">
      <c r="B182" s="199" t="str">
        <f>Factor_3[[#This Row],[Complejidad Conceptual]]&amp;" "&amp;Factor_3[[#This Row],[Tendencia]]&amp;" "&amp;Factor_3[[#This Row],[Guias de Apoyo]]&amp;" "&amp;Factor_3[[#This Row],[Tendencia2]]</f>
        <v>3 + D +</v>
      </c>
      <c r="C182" s="199">
        <v>3</v>
      </c>
      <c r="D182" s="199" t="s">
        <v>117</v>
      </c>
      <c r="E182" s="199" t="s">
        <v>137</v>
      </c>
      <c r="F182" s="199" t="s">
        <v>117</v>
      </c>
      <c r="G182" s="251">
        <v>0.28999999999999998</v>
      </c>
    </row>
    <row r="183" spans="2:7" hidden="1">
      <c r="B183" s="199" t="str">
        <f>Factor_3[[#This Row],[Complejidad Conceptual]]&amp;" "&amp;Factor_3[[#This Row],[Tendencia]]&amp;" "&amp;Factor_3[[#This Row],[Guias de Apoyo]]&amp;" "&amp;Factor_3[[#This Row],[Tendencia2]]</f>
        <v>3 + E -</v>
      </c>
      <c r="C183" s="199">
        <v>3</v>
      </c>
      <c r="D183" s="199" t="s">
        <v>117</v>
      </c>
      <c r="E183" s="199" t="s">
        <v>155</v>
      </c>
      <c r="F183" s="199" t="s">
        <v>78</v>
      </c>
      <c r="G183" s="251">
        <v>0.28999999999999998</v>
      </c>
    </row>
    <row r="184" spans="2:7" hidden="1">
      <c r="B184" s="199" t="str">
        <f>Factor_3[[#This Row],[Complejidad Conceptual]]&amp;" "&amp;Factor_3[[#This Row],[Tendencia]]&amp;" "&amp;Factor_3[[#This Row],[Guias de Apoyo]]&amp;" "&amp;Factor_3[[#This Row],[Tendencia2]]</f>
        <v>3 + E o</v>
      </c>
      <c r="C184" s="199">
        <v>3</v>
      </c>
      <c r="D184" s="199" t="s">
        <v>117</v>
      </c>
      <c r="E184" s="199" t="s">
        <v>155</v>
      </c>
      <c r="F184" s="199" t="s">
        <v>97</v>
      </c>
      <c r="G184" s="251">
        <v>0.32</v>
      </c>
    </row>
    <row r="185" spans="2:7" hidden="1">
      <c r="B185" s="199" t="str">
        <f>Factor_3[[#This Row],[Complejidad Conceptual]]&amp;" "&amp;Factor_3[[#This Row],[Tendencia]]&amp;" "&amp;Factor_3[[#This Row],[Guias de Apoyo]]&amp;" "&amp;Factor_3[[#This Row],[Tendencia2]]</f>
        <v>3 + E +</v>
      </c>
      <c r="C185" s="199">
        <v>3</v>
      </c>
      <c r="D185" s="199" t="s">
        <v>117</v>
      </c>
      <c r="E185" s="199" t="s">
        <v>155</v>
      </c>
      <c r="F185" s="199" t="s">
        <v>117</v>
      </c>
      <c r="G185" s="251">
        <v>0.34</v>
      </c>
    </row>
    <row r="186" spans="2:7" hidden="1">
      <c r="B186" s="199" t="str">
        <f>Factor_3[[#This Row],[Complejidad Conceptual]]&amp;" "&amp;Factor_3[[#This Row],[Tendencia]]&amp;" "&amp;Factor_3[[#This Row],[Guias de Apoyo]]&amp;" "&amp;Factor_3[[#This Row],[Tendencia2]]</f>
        <v>3 + F -</v>
      </c>
      <c r="C186" s="199">
        <v>3</v>
      </c>
      <c r="D186" s="199" t="s">
        <v>117</v>
      </c>
      <c r="E186" s="199" t="s">
        <v>169</v>
      </c>
      <c r="F186" s="199" t="s">
        <v>78</v>
      </c>
      <c r="G186" s="251">
        <v>0.34</v>
      </c>
    </row>
    <row r="187" spans="2:7" hidden="1">
      <c r="B187" s="199" t="str">
        <f>Factor_3[[#This Row],[Complejidad Conceptual]]&amp;" "&amp;Factor_3[[#This Row],[Tendencia]]&amp;" "&amp;Factor_3[[#This Row],[Guias de Apoyo]]&amp;" "&amp;Factor_3[[#This Row],[Tendencia2]]</f>
        <v>3 + F o</v>
      </c>
      <c r="C187" s="199">
        <v>3</v>
      </c>
      <c r="D187" s="199" t="s">
        <v>117</v>
      </c>
      <c r="E187" s="199" t="s">
        <v>169</v>
      </c>
      <c r="F187" s="199" t="s">
        <v>97</v>
      </c>
      <c r="G187" s="251">
        <v>0.38</v>
      </c>
    </row>
    <row r="188" spans="2:7" hidden="1">
      <c r="B188" s="199" t="str">
        <f>Factor_3[[#This Row],[Complejidad Conceptual]]&amp;" "&amp;Factor_3[[#This Row],[Tendencia]]&amp;" "&amp;Factor_3[[#This Row],[Guias de Apoyo]]&amp;" "&amp;Factor_3[[#This Row],[Tendencia2]]</f>
        <v>3 + F +</v>
      </c>
      <c r="C188" s="199">
        <v>3</v>
      </c>
      <c r="D188" s="199" t="s">
        <v>117</v>
      </c>
      <c r="E188" s="199" t="s">
        <v>169</v>
      </c>
      <c r="F188" s="199" t="s">
        <v>117</v>
      </c>
      <c r="G188" s="251">
        <v>0.41</v>
      </c>
    </row>
    <row r="189" spans="2:7" hidden="1">
      <c r="B189" s="199" t="str">
        <f>Factor_3[[#This Row],[Complejidad Conceptual]]&amp;" "&amp;Factor_3[[#This Row],[Tendencia]]&amp;" "&amp;Factor_3[[#This Row],[Guias de Apoyo]]&amp;" "&amp;Factor_3[[#This Row],[Tendencia2]]</f>
        <v>3 + G -</v>
      </c>
      <c r="C189" s="199">
        <v>3</v>
      </c>
      <c r="D189" s="199" t="s">
        <v>117</v>
      </c>
      <c r="E189" s="199" t="s">
        <v>18</v>
      </c>
      <c r="F189" s="199" t="s">
        <v>78</v>
      </c>
      <c r="G189" s="251">
        <v>0.41</v>
      </c>
    </row>
    <row r="190" spans="2:7" hidden="1">
      <c r="B190" s="199" t="str">
        <f>Factor_3[[#This Row],[Complejidad Conceptual]]&amp;" "&amp;Factor_3[[#This Row],[Tendencia]]&amp;" "&amp;Factor_3[[#This Row],[Guias de Apoyo]]&amp;" "&amp;Factor_3[[#This Row],[Tendencia2]]</f>
        <v>3 + G o</v>
      </c>
      <c r="C190" s="199">
        <v>3</v>
      </c>
      <c r="D190" s="199" t="s">
        <v>117</v>
      </c>
      <c r="E190" s="199" t="s">
        <v>18</v>
      </c>
      <c r="F190" s="199" t="s">
        <v>97</v>
      </c>
      <c r="G190" s="251">
        <v>0.45</v>
      </c>
    </row>
    <row r="191" spans="2:7" hidden="1">
      <c r="B191" s="199" t="str">
        <f>Factor_3[[#This Row],[Complejidad Conceptual]]&amp;" "&amp;Factor_3[[#This Row],[Tendencia]]&amp;" "&amp;Factor_3[[#This Row],[Guias de Apoyo]]&amp;" "&amp;Factor_3[[#This Row],[Tendencia2]]</f>
        <v>3 + G +</v>
      </c>
      <c r="C191" s="199">
        <v>3</v>
      </c>
      <c r="D191" s="199" t="s">
        <v>117</v>
      </c>
      <c r="E191" s="199" t="s">
        <v>18</v>
      </c>
      <c r="F191" s="199" t="s">
        <v>117</v>
      </c>
      <c r="G191" s="251">
        <v>0.49</v>
      </c>
    </row>
    <row r="192" spans="2:7" hidden="1">
      <c r="B192" s="199" t="str">
        <f>Factor_3[[#This Row],[Complejidad Conceptual]]&amp;" "&amp;Factor_3[[#This Row],[Tendencia]]&amp;" "&amp;Factor_3[[#This Row],[Guias de Apoyo]]&amp;" "&amp;Factor_3[[#This Row],[Tendencia2]]</f>
        <v>3 + H -</v>
      </c>
      <c r="C192" s="199">
        <v>3</v>
      </c>
      <c r="D192" s="199" t="s">
        <v>117</v>
      </c>
      <c r="E192" s="199" t="s">
        <v>186</v>
      </c>
      <c r="F192" s="199" t="s">
        <v>78</v>
      </c>
      <c r="G192" s="251">
        <v>0.49</v>
      </c>
    </row>
    <row r="193" spans="2:7" hidden="1">
      <c r="B193" s="199" t="str">
        <f>Factor_3[[#This Row],[Complejidad Conceptual]]&amp;" "&amp;Factor_3[[#This Row],[Tendencia]]&amp;" "&amp;Factor_3[[#This Row],[Guias de Apoyo]]&amp;" "&amp;Factor_3[[#This Row],[Tendencia2]]</f>
        <v>3 + H o</v>
      </c>
      <c r="C193" s="199">
        <v>3</v>
      </c>
      <c r="D193" s="199" t="s">
        <v>117</v>
      </c>
      <c r="E193" s="199" t="s">
        <v>186</v>
      </c>
      <c r="F193" s="199" t="s">
        <v>97</v>
      </c>
      <c r="G193" s="251">
        <v>0.53</v>
      </c>
    </row>
    <row r="194" spans="2:7" hidden="1">
      <c r="B194" s="199" t="str">
        <f>Factor_3[[#This Row],[Complejidad Conceptual]]&amp;" "&amp;Factor_3[[#This Row],[Tendencia]]&amp;" "&amp;Factor_3[[#This Row],[Guias de Apoyo]]&amp;" "&amp;Factor_3[[#This Row],[Tendencia2]]</f>
        <v>3 + H +</v>
      </c>
      <c r="C194" s="199">
        <v>3</v>
      </c>
      <c r="D194" s="199" t="s">
        <v>117</v>
      </c>
      <c r="E194" s="199" t="s">
        <v>186</v>
      </c>
      <c r="F194" s="199" t="s">
        <v>117</v>
      </c>
      <c r="G194" s="251">
        <v>0.57999999999999996</v>
      </c>
    </row>
    <row r="195" spans="2:7" hidden="1">
      <c r="B195" s="199" t="str">
        <f>Factor_3[[#This Row],[Complejidad Conceptual]]&amp;" "&amp;Factor_3[[#This Row],[Tendencia]]&amp;" "&amp;Factor_3[[#This Row],[Guias de Apoyo]]&amp;" "&amp;Factor_3[[#This Row],[Tendencia2]]</f>
        <v>3 o A -</v>
      </c>
      <c r="C195" s="199">
        <v>3</v>
      </c>
      <c r="D195" s="199" t="s">
        <v>97</v>
      </c>
      <c r="E195" s="199" t="s">
        <v>79</v>
      </c>
      <c r="F195" s="199" t="s">
        <v>78</v>
      </c>
      <c r="G195" s="251">
        <v>0.13</v>
      </c>
    </row>
    <row r="196" spans="2:7" hidden="1">
      <c r="B196" s="199" t="str">
        <f>Factor_3[[#This Row],[Complejidad Conceptual]]&amp;" "&amp;Factor_3[[#This Row],[Tendencia]]&amp;" "&amp;Factor_3[[#This Row],[Guias de Apoyo]]&amp;" "&amp;Factor_3[[#This Row],[Tendencia2]]</f>
        <v>3 o A o</v>
      </c>
      <c r="C196" s="199">
        <v>3</v>
      </c>
      <c r="D196" s="199" t="s">
        <v>97</v>
      </c>
      <c r="E196" s="199" t="s">
        <v>79</v>
      </c>
      <c r="F196" s="199" t="s">
        <v>97</v>
      </c>
      <c r="G196" s="251">
        <v>0.14000000000000001</v>
      </c>
    </row>
    <row r="197" spans="2:7" hidden="1">
      <c r="B197" s="199" t="str">
        <f>Factor_3[[#This Row],[Complejidad Conceptual]]&amp;" "&amp;Factor_3[[#This Row],[Tendencia]]&amp;" "&amp;Factor_3[[#This Row],[Guias de Apoyo]]&amp;" "&amp;Factor_3[[#This Row],[Tendencia2]]</f>
        <v>3 o A +</v>
      </c>
      <c r="C197" s="199">
        <v>3</v>
      </c>
      <c r="D197" s="199" t="s">
        <v>97</v>
      </c>
      <c r="E197" s="199" t="s">
        <v>79</v>
      </c>
      <c r="F197" s="199" t="s">
        <v>117</v>
      </c>
      <c r="G197" s="251">
        <v>0.16</v>
      </c>
    </row>
    <row r="198" spans="2:7" hidden="1">
      <c r="B198" s="199" t="str">
        <f>Factor_3[[#This Row],[Complejidad Conceptual]]&amp;" "&amp;Factor_3[[#This Row],[Tendencia]]&amp;" "&amp;Factor_3[[#This Row],[Guias de Apoyo]]&amp;" "&amp;Factor_3[[#This Row],[Tendencia2]]</f>
        <v>3 o B -</v>
      </c>
      <c r="C198" s="199">
        <v>3</v>
      </c>
      <c r="D198" s="199" t="s">
        <v>97</v>
      </c>
      <c r="E198" s="199" t="s">
        <v>98</v>
      </c>
      <c r="F198" s="199" t="s">
        <v>78</v>
      </c>
      <c r="G198" s="251">
        <v>0.16</v>
      </c>
    </row>
    <row r="199" spans="2:7" hidden="1">
      <c r="B199" s="199" t="str">
        <f>Factor_3[[#This Row],[Complejidad Conceptual]]&amp;" "&amp;Factor_3[[#This Row],[Tendencia]]&amp;" "&amp;Factor_3[[#This Row],[Guias de Apoyo]]&amp;" "&amp;Factor_3[[#This Row],[Tendencia2]]</f>
        <v>3 o B o</v>
      </c>
      <c r="C199" s="199">
        <v>3</v>
      </c>
      <c r="D199" s="199" t="s">
        <v>97</v>
      </c>
      <c r="E199" s="199" t="s">
        <v>98</v>
      </c>
      <c r="F199" s="199" t="s">
        <v>97</v>
      </c>
      <c r="G199" s="251">
        <v>0.17</v>
      </c>
    </row>
    <row r="200" spans="2:7" hidden="1">
      <c r="B200" s="199" t="str">
        <f>Factor_3[[#This Row],[Complejidad Conceptual]]&amp;" "&amp;Factor_3[[#This Row],[Tendencia]]&amp;" "&amp;Factor_3[[#This Row],[Guias de Apoyo]]&amp;" "&amp;Factor_3[[#This Row],[Tendencia2]]</f>
        <v>3 o B +</v>
      </c>
      <c r="C200" s="199">
        <v>3</v>
      </c>
      <c r="D200" s="199" t="s">
        <v>97</v>
      </c>
      <c r="E200" s="199" t="s">
        <v>98</v>
      </c>
      <c r="F200" s="199" t="s">
        <v>117</v>
      </c>
      <c r="G200" s="251">
        <v>0.19</v>
      </c>
    </row>
    <row r="201" spans="2:7" hidden="1">
      <c r="B201" s="199" t="str">
        <f>Factor_3[[#This Row],[Complejidad Conceptual]]&amp;" "&amp;Factor_3[[#This Row],[Tendencia]]&amp;" "&amp;Factor_3[[#This Row],[Guias de Apoyo]]&amp;" "&amp;Factor_3[[#This Row],[Tendencia2]]</f>
        <v>3 o C -</v>
      </c>
      <c r="C201" s="199">
        <v>3</v>
      </c>
      <c r="D201" s="199" t="s">
        <v>97</v>
      </c>
      <c r="E201" s="199" t="s">
        <v>118</v>
      </c>
      <c r="F201" s="199" t="s">
        <v>78</v>
      </c>
      <c r="G201" s="251">
        <v>0.19</v>
      </c>
    </row>
    <row r="202" spans="2:7" hidden="1">
      <c r="B202" s="199" t="str">
        <f>Factor_3[[#This Row],[Complejidad Conceptual]]&amp;" "&amp;Factor_3[[#This Row],[Tendencia]]&amp;" "&amp;Factor_3[[#This Row],[Guias de Apoyo]]&amp;" "&amp;Factor_3[[#This Row],[Tendencia2]]</f>
        <v>3 o C o</v>
      </c>
      <c r="C202" s="199">
        <v>3</v>
      </c>
      <c r="D202" s="199" t="s">
        <v>97</v>
      </c>
      <c r="E202" s="199" t="s">
        <v>118</v>
      </c>
      <c r="F202" s="199" t="s">
        <v>97</v>
      </c>
      <c r="G202" s="251">
        <v>0.2</v>
      </c>
    </row>
    <row r="203" spans="2:7" hidden="1">
      <c r="B203" s="199" t="str">
        <f>Factor_3[[#This Row],[Complejidad Conceptual]]&amp;" "&amp;Factor_3[[#This Row],[Tendencia]]&amp;" "&amp;Factor_3[[#This Row],[Guias de Apoyo]]&amp;" "&amp;Factor_3[[#This Row],[Tendencia2]]</f>
        <v>3 o C +</v>
      </c>
      <c r="C203" s="199">
        <v>3</v>
      </c>
      <c r="D203" s="199" t="s">
        <v>97</v>
      </c>
      <c r="E203" s="199" t="s">
        <v>118</v>
      </c>
      <c r="F203" s="199" t="s">
        <v>117</v>
      </c>
      <c r="G203" s="251">
        <v>0.22</v>
      </c>
    </row>
    <row r="204" spans="2:7" hidden="1">
      <c r="B204" s="199" t="str">
        <f>Factor_3[[#This Row],[Complejidad Conceptual]]&amp;" "&amp;Factor_3[[#This Row],[Tendencia]]&amp;" "&amp;Factor_3[[#This Row],[Guias de Apoyo]]&amp;" "&amp;Factor_3[[#This Row],[Tendencia2]]</f>
        <v>3 o D -</v>
      </c>
      <c r="C204" s="199">
        <v>3</v>
      </c>
      <c r="D204" s="199" t="s">
        <v>97</v>
      </c>
      <c r="E204" s="199" t="s">
        <v>137</v>
      </c>
      <c r="F204" s="199" t="s">
        <v>78</v>
      </c>
      <c r="G204" s="251">
        <v>0.22</v>
      </c>
    </row>
    <row r="205" spans="2:7" hidden="1">
      <c r="B205" s="199" t="str">
        <f>Factor_3[[#This Row],[Complejidad Conceptual]]&amp;" "&amp;Factor_3[[#This Row],[Tendencia]]&amp;" "&amp;Factor_3[[#This Row],[Guias de Apoyo]]&amp;" "&amp;Factor_3[[#This Row],[Tendencia2]]</f>
        <v>3 o D o</v>
      </c>
      <c r="C205" s="199">
        <v>3</v>
      </c>
      <c r="D205" s="199" t="s">
        <v>97</v>
      </c>
      <c r="E205" s="199" t="s">
        <v>137</v>
      </c>
      <c r="F205" s="199" t="s">
        <v>97</v>
      </c>
      <c r="G205" s="251">
        <v>0.24</v>
      </c>
    </row>
    <row r="206" spans="2:7" hidden="1">
      <c r="B206" s="199" t="str">
        <f>Factor_3[[#This Row],[Complejidad Conceptual]]&amp;" "&amp;Factor_3[[#This Row],[Tendencia]]&amp;" "&amp;Factor_3[[#This Row],[Guias de Apoyo]]&amp;" "&amp;Factor_3[[#This Row],[Tendencia2]]</f>
        <v>3 o D +</v>
      </c>
      <c r="C206" s="199">
        <v>3</v>
      </c>
      <c r="D206" s="199" t="s">
        <v>97</v>
      </c>
      <c r="E206" s="199" t="s">
        <v>137</v>
      </c>
      <c r="F206" s="199" t="s">
        <v>117</v>
      </c>
      <c r="G206" s="251">
        <v>0.27</v>
      </c>
    </row>
    <row r="207" spans="2:7" hidden="1">
      <c r="B207" s="199" t="str">
        <f>Factor_3[[#This Row],[Complejidad Conceptual]]&amp;" "&amp;Factor_3[[#This Row],[Tendencia]]&amp;" "&amp;Factor_3[[#This Row],[Guias de Apoyo]]&amp;" "&amp;Factor_3[[#This Row],[Tendencia2]]</f>
        <v>3 o E -</v>
      </c>
      <c r="C207" s="199">
        <v>3</v>
      </c>
      <c r="D207" s="199" t="s">
        <v>97</v>
      </c>
      <c r="E207" s="199" t="s">
        <v>155</v>
      </c>
      <c r="F207" s="199" t="s">
        <v>78</v>
      </c>
      <c r="G207" s="251">
        <v>0.27</v>
      </c>
    </row>
    <row r="208" spans="2:7" hidden="1">
      <c r="B208" s="199" t="str">
        <f>Factor_3[[#This Row],[Complejidad Conceptual]]&amp;" "&amp;Factor_3[[#This Row],[Tendencia]]&amp;" "&amp;Factor_3[[#This Row],[Guias de Apoyo]]&amp;" "&amp;Factor_3[[#This Row],[Tendencia2]]</f>
        <v>3 o E o</v>
      </c>
      <c r="C208" s="199">
        <v>3</v>
      </c>
      <c r="D208" s="199" t="s">
        <v>97</v>
      </c>
      <c r="E208" s="199" t="s">
        <v>155</v>
      </c>
      <c r="F208" s="199" t="s">
        <v>97</v>
      </c>
      <c r="G208" s="251">
        <v>0.28999999999999998</v>
      </c>
    </row>
    <row r="209" spans="2:7" hidden="1">
      <c r="B209" s="199" t="str">
        <f>Factor_3[[#This Row],[Complejidad Conceptual]]&amp;" "&amp;Factor_3[[#This Row],[Tendencia]]&amp;" "&amp;Factor_3[[#This Row],[Guias de Apoyo]]&amp;" "&amp;Factor_3[[#This Row],[Tendencia2]]</f>
        <v>3 o E +</v>
      </c>
      <c r="C209" s="199">
        <v>3</v>
      </c>
      <c r="D209" s="199" t="s">
        <v>97</v>
      </c>
      <c r="E209" s="199" t="s">
        <v>155</v>
      </c>
      <c r="F209" s="199" t="s">
        <v>117</v>
      </c>
      <c r="G209" s="251">
        <v>0.32</v>
      </c>
    </row>
    <row r="210" spans="2:7" hidden="1">
      <c r="B210" s="199" t="str">
        <f>Factor_3[[#This Row],[Complejidad Conceptual]]&amp;" "&amp;Factor_3[[#This Row],[Tendencia]]&amp;" "&amp;Factor_3[[#This Row],[Guias de Apoyo]]&amp;" "&amp;Factor_3[[#This Row],[Tendencia2]]</f>
        <v>3 o F -</v>
      </c>
      <c r="C210" s="199">
        <v>3</v>
      </c>
      <c r="D210" s="199" t="s">
        <v>97</v>
      </c>
      <c r="E210" s="199" t="s">
        <v>169</v>
      </c>
      <c r="F210" s="199" t="s">
        <v>78</v>
      </c>
      <c r="G210" s="251">
        <v>0.32</v>
      </c>
    </row>
    <row r="211" spans="2:7" hidden="1">
      <c r="B211" s="199" t="str">
        <f>Factor_3[[#This Row],[Complejidad Conceptual]]&amp;" "&amp;Factor_3[[#This Row],[Tendencia]]&amp;" "&amp;Factor_3[[#This Row],[Guias de Apoyo]]&amp;" "&amp;Factor_3[[#This Row],[Tendencia2]]</f>
        <v>3 o F o</v>
      </c>
      <c r="C211" s="199">
        <v>3</v>
      </c>
      <c r="D211" s="199" t="s">
        <v>97</v>
      </c>
      <c r="E211" s="199" t="s">
        <v>169</v>
      </c>
      <c r="F211" s="199" t="s">
        <v>97</v>
      </c>
      <c r="G211" s="251">
        <v>0.34</v>
      </c>
    </row>
    <row r="212" spans="2:7" hidden="1">
      <c r="B212" s="199" t="str">
        <f>Factor_3[[#This Row],[Complejidad Conceptual]]&amp;" "&amp;Factor_3[[#This Row],[Tendencia]]&amp;" "&amp;Factor_3[[#This Row],[Guias de Apoyo]]&amp;" "&amp;Factor_3[[#This Row],[Tendencia2]]</f>
        <v>3 o F +</v>
      </c>
      <c r="C212" s="199">
        <v>3</v>
      </c>
      <c r="D212" s="199" t="s">
        <v>97</v>
      </c>
      <c r="E212" s="199" t="s">
        <v>169</v>
      </c>
      <c r="F212" s="199" t="s">
        <v>117</v>
      </c>
      <c r="G212" s="251">
        <v>0.38</v>
      </c>
    </row>
    <row r="213" spans="2:7" hidden="1">
      <c r="B213" s="199" t="str">
        <f>Factor_3[[#This Row],[Complejidad Conceptual]]&amp;" "&amp;Factor_3[[#This Row],[Tendencia]]&amp;" "&amp;Factor_3[[#This Row],[Guias de Apoyo]]&amp;" "&amp;Factor_3[[#This Row],[Tendencia2]]</f>
        <v>3 o G -</v>
      </c>
      <c r="C213" s="199">
        <v>3</v>
      </c>
      <c r="D213" s="199" t="s">
        <v>97</v>
      </c>
      <c r="E213" s="199" t="s">
        <v>18</v>
      </c>
      <c r="F213" s="199" t="s">
        <v>78</v>
      </c>
      <c r="G213" s="251">
        <v>0.38</v>
      </c>
    </row>
    <row r="214" spans="2:7" hidden="1">
      <c r="B214" s="199" t="str">
        <f>Factor_3[[#This Row],[Complejidad Conceptual]]&amp;" "&amp;Factor_3[[#This Row],[Tendencia]]&amp;" "&amp;Factor_3[[#This Row],[Guias de Apoyo]]&amp;" "&amp;Factor_3[[#This Row],[Tendencia2]]</f>
        <v>3 o G o</v>
      </c>
      <c r="C214" s="199">
        <v>3</v>
      </c>
      <c r="D214" s="199" t="s">
        <v>97</v>
      </c>
      <c r="E214" s="199" t="s">
        <v>18</v>
      </c>
      <c r="F214" s="199" t="s">
        <v>97</v>
      </c>
      <c r="G214" s="251">
        <v>0.41</v>
      </c>
    </row>
    <row r="215" spans="2:7" hidden="1">
      <c r="B215" s="199" t="str">
        <f>Factor_3[[#This Row],[Complejidad Conceptual]]&amp;" "&amp;Factor_3[[#This Row],[Tendencia]]&amp;" "&amp;Factor_3[[#This Row],[Guias de Apoyo]]&amp;" "&amp;Factor_3[[#This Row],[Tendencia2]]</f>
        <v>3 o G +</v>
      </c>
      <c r="C215" s="199">
        <v>3</v>
      </c>
      <c r="D215" s="199" t="s">
        <v>97</v>
      </c>
      <c r="E215" s="199" t="s">
        <v>18</v>
      </c>
      <c r="F215" s="199" t="s">
        <v>117</v>
      </c>
      <c r="G215" s="251">
        <v>0.45</v>
      </c>
    </row>
    <row r="216" spans="2:7" hidden="1">
      <c r="B216" s="199" t="str">
        <f>Factor_3[[#This Row],[Complejidad Conceptual]]&amp;" "&amp;Factor_3[[#This Row],[Tendencia]]&amp;" "&amp;Factor_3[[#This Row],[Guias de Apoyo]]&amp;" "&amp;Factor_3[[#This Row],[Tendencia2]]</f>
        <v>3 o H -</v>
      </c>
      <c r="C216" s="199">
        <v>3</v>
      </c>
      <c r="D216" s="199" t="s">
        <v>97</v>
      </c>
      <c r="E216" s="199" t="s">
        <v>186</v>
      </c>
      <c r="F216" s="199" t="s">
        <v>78</v>
      </c>
      <c r="G216" s="251">
        <v>0.45</v>
      </c>
    </row>
    <row r="217" spans="2:7" hidden="1">
      <c r="B217" s="199" t="str">
        <f>Factor_3[[#This Row],[Complejidad Conceptual]]&amp;" "&amp;Factor_3[[#This Row],[Tendencia]]&amp;" "&amp;Factor_3[[#This Row],[Guias de Apoyo]]&amp;" "&amp;Factor_3[[#This Row],[Tendencia2]]</f>
        <v>3 o H o</v>
      </c>
      <c r="C217" s="199">
        <v>3</v>
      </c>
      <c r="D217" s="199" t="s">
        <v>97</v>
      </c>
      <c r="E217" s="199" t="s">
        <v>186</v>
      </c>
      <c r="F217" s="199" t="s">
        <v>97</v>
      </c>
      <c r="G217" s="251">
        <v>0.49</v>
      </c>
    </row>
    <row r="218" spans="2:7" hidden="1">
      <c r="B218" s="199" t="str">
        <f>Factor_3[[#This Row],[Complejidad Conceptual]]&amp;" "&amp;Factor_3[[#This Row],[Tendencia]]&amp;" "&amp;Factor_3[[#This Row],[Guias de Apoyo]]&amp;" "&amp;Factor_3[[#This Row],[Tendencia2]]</f>
        <v>3 o H +</v>
      </c>
      <c r="C218" s="199">
        <v>3</v>
      </c>
      <c r="D218" s="199" t="s">
        <v>97</v>
      </c>
      <c r="E218" s="199" t="s">
        <v>186</v>
      </c>
      <c r="F218" s="199" t="s">
        <v>117</v>
      </c>
      <c r="G218" s="251">
        <v>0.53</v>
      </c>
    </row>
    <row r="219" spans="2:7" hidden="1">
      <c r="B219" s="199" t="str">
        <f>Factor_3[[#This Row],[Complejidad Conceptual]]&amp;" "&amp;Factor_3[[#This Row],[Tendencia]]&amp;" "&amp;Factor_3[[#This Row],[Guias de Apoyo]]&amp;" "&amp;Factor_3[[#This Row],[Tendencia2]]</f>
        <v>4 - A -</v>
      </c>
      <c r="C219" s="199">
        <v>4</v>
      </c>
      <c r="D219" s="199" t="s">
        <v>78</v>
      </c>
      <c r="E219" s="199" t="s">
        <v>79</v>
      </c>
      <c r="F219" s="199" t="s">
        <v>78</v>
      </c>
      <c r="G219" s="251">
        <v>0.14000000000000001</v>
      </c>
    </row>
    <row r="220" spans="2:7" hidden="1">
      <c r="B220" s="199" t="str">
        <f>Factor_3[[#This Row],[Complejidad Conceptual]]&amp;" "&amp;Factor_3[[#This Row],[Tendencia]]&amp;" "&amp;Factor_3[[#This Row],[Guias de Apoyo]]&amp;" "&amp;Factor_3[[#This Row],[Tendencia2]]</f>
        <v>4 - A o</v>
      </c>
      <c r="C220" s="199">
        <v>4</v>
      </c>
      <c r="D220" s="199" t="s">
        <v>78</v>
      </c>
      <c r="E220" s="199" t="s">
        <v>79</v>
      </c>
      <c r="F220" s="199" t="s">
        <v>97</v>
      </c>
      <c r="G220" s="251">
        <v>0.16</v>
      </c>
    </row>
    <row r="221" spans="2:7" hidden="1">
      <c r="B221" s="199" t="str">
        <f>Factor_3[[#This Row],[Complejidad Conceptual]]&amp;" "&amp;Factor_3[[#This Row],[Tendencia]]&amp;" "&amp;Factor_3[[#This Row],[Guias de Apoyo]]&amp;" "&amp;Factor_3[[#This Row],[Tendencia2]]</f>
        <v>4 - A +</v>
      </c>
      <c r="C221" s="199">
        <v>4</v>
      </c>
      <c r="D221" s="199" t="s">
        <v>78</v>
      </c>
      <c r="E221" s="199" t="s">
        <v>79</v>
      </c>
      <c r="F221" s="199" t="s">
        <v>117</v>
      </c>
      <c r="G221" s="251">
        <v>0.17</v>
      </c>
    </row>
    <row r="222" spans="2:7" hidden="1">
      <c r="B222" s="199" t="str">
        <f>Factor_3[[#This Row],[Complejidad Conceptual]]&amp;" "&amp;Factor_3[[#This Row],[Tendencia]]&amp;" "&amp;Factor_3[[#This Row],[Guias de Apoyo]]&amp;" "&amp;Factor_3[[#This Row],[Tendencia2]]</f>
        <v>4 - B -</v>
      </c>
      <c r="C222" s="199">
        <v>4</v>
      </c>
      <c r="D222" s="199" t="s">
        <v>78</v>
      </c>
      <c r="E222" s="199" t="s">
        <v>98</v>
      </c>
      <c r="F222" s="199" t="s">
        <v>78</v>
      </c>
      <c r="G222" s="251">
        <v>0.17</v>
      </c>
    </row>
    <row r="223" spans="2:7" hidden="1">
      <c r="B223" s="199" t="str">
        <f>Factor_3[[#This Row],[Complejidad Conceptual]]&amp;" "&amp;Factor_3[[#This Row],[Tendencia]]&amp;" "&amp;Factor_3[[#This Row],[Guias de Apoyo]]&amp;" "&amp;Factor_3[[#This Row],[Tendencia2]]</f>
        <v>4 - B o</v>
      </c>
      <c r="C223" s="199">
        <v>4</v>
      </c>
      <c r="D223" s="199" t="s">
        <v>78</v>
      </c>
      <c r="E223" s="199" t="s">
        <v>98</v>
      </c>
      <c r="F223" s="199" t="s">
        <v>97</v>
      </c>
      <c r="G223" s="251">
        <v>0.19</v>
      </c>
    </row>
    <row r="224" spans="2:7" hidden="1">
      <c r="B224" s="199" t="str">
        <f>Factor_3[[#This Row],[Complejidad Conceptual]]&amp;" "&amp;Factor_3[[#This Row],[Tendencia]]&amp;" "&amp;Factor_3[[#This Row],[Guias de Apoyo]]&amp;" "&amp;Factor_3[[#This Row],[Tendencia2]]</f>
        <v>4 - B +</v>
      </c>
      <c r="C224" s="199">
        <v>4</v>
      </c>
      <c r="D224" s="199" t="s">
        <v>78</v>
      </c>
      <c r="E224" s="199" t="s">
        <v>98</v>
      </c>
      <c r="F224" s="199" t="s">
        <v>117</v>
      </c>
      <c r="G224" s="251">
        <v>0.2</v>
      </c>
    </row>
    <row r="225" spans="2:7" hidden="1">
      <c r="B225" s="199" t="str">
        <f>Factor_3[[#This Row],[Complejidad Conceptual]]&amp;" "&amp;Factor_3[[#This Row],[Tendencia]]&amp;" "&amp;Factor_3[[#This Row],[Guias de Apoyo]]&amp;" "&amp;Factor_3[[#This Row],[Tendencia2]]</f>
        <v>4 - C -</v>
      </c>
      <c r="C225" s="199">
        <v>4</v>
      </c>
      <c r="D225" s="199" t="s">
        <v>78</v>
      </c>
      <c r="E225" s="199" t="s">
        <v>118</v>
      </c>
      <c r="F225" s="199" t="s">
        <v>78</v>
      </c>
      <c r="G225" s="251">
        <v>0.2</v>
      </c>
    </row>
    <row r="226" spans="2:7" hidden="1">
      <c r="B226" s="199" t="str">
        <f>Factor_3[[#This Row],[Complejidad Conceptual]]&amp;" "&amp;Factor_3[[#This Row],[Tendencia]]&amp;" "&amp;Factor_3[[#This Row],[Guias de Apoyo]]&amp;" "&amp;Factor_3[[#This Row],[Tendencia2]]</f>
        <v>4 - C o</v>
      </c>
      <c r="C226" s="199">
        <v>4</v>
      </c>
      <c r="D226" s="199" t="s">
        <v>78</v>
      </c>
      <c r="E226" s="199" t="s">
        <v>118</v>
      </c>
      <c r="F226" s="199" t="s">
        <v>97</v>
      </c>
      <c r="G226" s="251">
        <v>0.22</v>
      </c>
    </row>
    <row r="227" spans="2:7" hidden="1">
      <c r="B227" s="199" t="str">
        <f>Factor_3[[#This Row],[Complejidad Conceptual]]&amp;" "&amp;Factor_3[[#This Row],[Tendencia]]&amp;" "&amp;Factor_3[[#This Row],[Guias de Apoyo]]&amp;" "&amp;Factor_3[[#This Row],[Tendencia2]]</f>
        <v>4 - C +</v>
      </c>
      <c r="C227" s="199">
        <v>4</v>
      </c>
      <c r="D227" s="199" t="s">
        <v>78</v>
      </c>
      <c r="E227" s="199" t="s">
        <v>118</v>
      </c>
      <c r="F227" s="199" t="s">
        <v>117</v>
      </c>
      <c r="G227" s="251">
        <v>0.24</v>
      </c>
    </row>
    <row r="228" spans="2:7" hidden="1">
      <c r="B228" s="199" t="str">
        <f>Factor_3[[#This Row],[Complejidad Conceptual]]&amp;" "&amp;Factor_3[[#This Row],[Tendencia]]&amp;" "&amp;Factor_3[[#This Row],[Guias de Apoyo]]&amp;" "&amp;Factor_3[[#This Row],[Tendencia2]]</f>
        <v>4 - D -</v>
      </c>
      <c r="C228" s="199">
        <v>4</v>
      </c>
      <c r="D228" s="199" t="s">
        <v>78</v>
      </c>
      <c r="E228" s="199" t="s">
        <v>137</v>
      </c>
      <c r="F228" s="199" t="s">
        <v>78</v>
      </c>
      <c r="G228" s="251">
        <v>0.24</v>
      </c>
    </row>
    <row r="229" spans="2:7" hidden="1">
      <c r="B229" s="199" t="str">
        <f>Factor_3[[#This Row],[Complejidad Conceptual]]&amp;" "&amp;Factor_3[[#This Row],[Tendencia]]&amp;" "&amp;Factor_3[[#This Row],[Guias de Apoyo]]&amp;" "&amp;Factor_3[[#This Row],[Tendencia2]]</f>
        <v>4 - D o</v>
      </c>
      <c r="C229" s="199">
        <v>4</v>
      </c>
      <c r="D229" s="199" t="s">
        <v>78</v>
      </c>
      <c r="E229" s="199" t="s">
        <v>137</v>
      </c>
      <c r="F229" s="199" t="s">
        <v>97</v>
      </c>
      <c r="G229" s="251">
        <v>0.27</v>
      </c>
    </row>
    <row r="230" spans="2:7" hidden="1">
      <c r="B230" s="199" t="str">
        <f>Factor_3[[#This Row],[Complejidad Conceptual]]&amp;" "&amp;Factor_3[[#This Row],[Tendencia]]&amp;" "&amp;Factor_3[[#This Row],[Guias de Apoyo]]&amp;" "&amp;Factor_3[[#This Row],[Tendencia2]]</f>
        <v>4 - D +</v>
      </c>
      <c r="C230" s="199">
        <v>4</v>
      </c>
      <c r="D230" s="199" t="s">
        <v>78</v>
      </c>
      <c r="E230" s="199" t="s">
        <v>137</v>
      </c>
      <c r="F230" s="199" t="s">
        <v>117</v>
      </c>
      <c r="G230" s="251">
        <v>0.28999999999999998</v>
      </c>
    </row>
    <row r="231" spans="2:7" hidden="1">
      <c r="B231" s="199" t="str">
        <f>Factor_3[[#This Row],[Complejidad Conceptual]]&amp;" "&amp;Factor_3[[#This Row],[Tendencia]]&amp;" "&amp;Factor_3[[#This Row],[Guias de Apoyo]]&amp;" "&amp;Factor_3[[#This Row],[Tendencia2]]</f>
        <v>4 - E -</v>
      </c>
      <c r="C231" s="199">
        <v>4</v>
      </c>
      <c r="D231" s="199" t="s">
        <v>78</v>
      </c>
      <c r="E231" s="199" t="s">
        <v>155</v>
      </c>
      <c r="F231" s="199" t="s">
        <v>78</v>
      </c>
      <c r="G231" s="251">
        <v>0.28999999999999998</v>
      </c>
    </row>
    <row r="232" spans="2:7" hidden="1">
      <c r="B232" s="199" t="str">
        <f>Factor_3[[#This Row],[Complejidad Conceptual]]&amp;" "&amp;Factor_3[[#This Row],[Tendencia]]&amp;" "&amp;Factor_3[[#This Row],[Guias de Apoyo]]&amp;" "&amp;Factor_3[[#This Row],[Tendencia2]]</f>
        <v>4 - E o</v>
      </c>
      <c r="C232" s="199">
        <v>4</v>
      </c>
      <c r="D232" s="199" t="s">
        <v>78</v>
      </c>
      <c r="E232" s="199" t="s">
        <v>155</v>
      </c>
      <c r="F232" s="199" t="s">
        <v>97</v>
      </c>
      <c r="G232" s="251">
        <v>0.32</v>
      </c>
    </row>
    <row r="233" spans="2:7" hidden="1">
      <c r="B233" s="199" t="str">
        <f>Factor_3[[#This Row],[Complejidad Conceptual]]&amp;" "&amp;Factor_3[[#This Row],[Tendencia]]&amp;" "&amp;Factor_3[[#This Row],[Guias de Apoyo]]&amp;" "&amp;Factor_3[[#This Row],[Tendencia2]]</f>
        <v>4 - E +</v>
      </c>
      <c r="C233" s="199">
        <v>4</v>
      </c>
      <c r="D233" s="199" t="s">
        <v>78</v>
      </c>
      <c r="E233" s="199" t="s">
        <v>155</v>
      </c>
      <c r="F233" s="199" t="s">
        <v>117</v>
      </c>
      <c r="G233" s="251">
        <v>0.34</v>
      </c>
    </row>
    <row r="234" spans="2:7" hidden="1">
      <c r="B234" s="199" t="str">
        <f>Factor_3[[#This Row],[Complejidad Conceptual]]&amp;" "&amp;Factor_3[[#This Row],[Tendencia]]&amp;" "&amp;Factor_3[[#This Row],[Guias de Apoyo]]&amp;" "&amp;Factor_3[[#This Row],[Tendencia2]]</f>
        <v>4 - F -</v>
      </c>
      <c r="C234" s="199">
        <v>4</v>
      </c>
      <c r="D234" s="199" t="s">
        <v>78</v>
      </c>
      <c r="E234" s="199" t="s">
        <v>169</v>
      </c>
      <c r="F234" s="199" t="s">
        <v>78</v>
      </c>
      <c r="G234" s="251">
        <v>0.34</v>
      </c>
    </row>
    <row r="235" spans="2:7" hidden="1">
      <c r="B235" s="199" t="str">
        <f>Factor_3[[#This Row],[Complejidad Conceptual]]&amp;" "&amp;Factor_3[[#This Row],[Tendencia]]&amp;" "&amp;Factor_3[[#This Row],[Guias de Apoyo]]&amp;" "&amp;Factor_3[[#This Row],[Tendencia2]]</f>
        <v>4 - F o</v>
      </c>
      <c r="C235" s="199">
        <v>4</v>
      </c>
      <c r="D235" s="199" t="s">
        <v>78</v>
      </c>
      <c r="E235" s="199" t="s">
        <v>169</v>
      </c>
      <c r="F235" s="199" t="s">
        <v>97</v>
      </c>
      <c r="G235" s="251">
        <v>0.38</v>
      </c>
    </row>
    <row r="236" spans="2:7" hidden="1">
      <c r="B236" s="199" t="str">
        <f>Factor_3[[#This Row],[Complejidad Conceptual]]&amp;" "&amp;Factor_3[[#This Row],[Tendencia]]&amp;" "&amp;Factor_3[[#This Row],[Guias de Apoyo]]&amp;" "&amp;Factor_3[[#This Row],[Tendencia2]]</f>
        <v>4 - F +</v>
      </c>
      <c r="C236" s="199">
        <v>4</v>
      </c>
      <c r="D236" s="199" t="s">
        <v>78</v>
      </c>
      <c r="E236" s="199" t="s">
        <v>169</v>
      </c>
      <c r="F236" s="199" t="s">
        <v>117</v>
      </c>
      <c r="G236" s="251">
        <v>0.41</v>
      </c>
    </row>
    <row r="237" spans="2:7" hidden="1">
      <c r="B237" s="199" t="str">
        <f>Factor_3[[#This Row],[Complejidad Conceptual]]&amp;" "&amp;Factor_3[[#This Row],[Tendencia]]&amp;" "&amp;Factor_3[[#This Row],[Guias de Apoyo]]&amp;" "&amp;Factor_3[[#This Row],[Tendencia2]]</f>
        <v>4 - G -</v>
      </c>
      <c r="C237" s="199">
        <v>4</v>
      </c>
      <c r="D237" s="199" t="s">
        <v>78</v>
      </c>
      <c r="E237" s="199" t="s">
        <v>18</v>
      </c>
      <c r="F237" s="199" t="s">
        <v>78</v>
      </c>
      <c r="G237" s="251">
        <v>0.41</v>
      </c>
    </row>
    <row r="238" spans="2:7" hidden="1">
      <c r="B238" s="199" t="str">
        <f>Factor_3[[#This Row],[Complejidad Conceptual]]&amp;" "&amp;Factor_3[[#This Row],[Tendencia]]&amp;" "&amp;Factor_3[[#This Row],[Guias de Apoyo]]&amp;" "&amp;Factor_3[[#This Row],[Tendencia2]]</f>
        <v>4 - G o</v>
      </c>
      <c r="C238" s="199">
        <v>4</v>
      </c>
      <c r="D238" s="199" t="s">
        <v>78</v>
      </c>
      <c r="E238" s="199" t="s">
        <v>18</v>
      </c>
      <c r="F238" s="199" t="s">
        <v>97</v>
      </c>
      <c r="G238" s="251">
        <v>0.45</v>
      </c>
    </row>
    <row r="239" spans="2:7" hidden="1">
      <c r="B239" s="199" t="str">
        <f>Factor_3[[#This Row],[Complejidad Conceptual]]&amp;" "&amp;Factor_3[[#This Row],[Tendencia]]&amp;" "&amp;Factor_3[[#This Row],[Guias de Apoyo]]&amp;" "&amp;Factor_3[[#This Row],[Tendencia2]]</f>
        <v>4 - G +</v>
      </c>
      <c r="C239" s="199">
        <v>4</v>
      </c>
      <c r="D239" s="199" t="s">
        <v>78</v>
      </c>
      <c r="E239" s="199" t="s">
        <v>18</v>
      </c>
      <c r="F239" s="199" t="s">
        <v>117</v>
      </c>
      <c r="G239" s="251">
        <v>0.49</v>
      </c>
    </row>
    <row r="240" spans="2:7" hidden="1">
      <c r="B240" s="199" t="str">
        <f>Factor_3[[#This Row],[Complejidad Conceptual]]&amp;" "&amp;Factor_3[[#This Row],[Tendencia]]&amp;" "&amp;Factor_3[[#This Row],[Guias de Apoyo]]&amp;" "&amp;Factor_3[[#This Row],[Tendencia2]]</f>
        <v>4 - H -</v>
      </c>
      <c r="C240" s="199">
        <v>4</v>
      </c>
      <c r="D240" s="199" t="s">
        <v>78</v>
      </c>
      <c r="E240" s="199" t="s">
        <v>186</v>
      </c>
      <c r="F240" s="199" t="s">
        <v>78</v>
      </c>
      <c r="G240" s="251">
        <v>0.49</v>
      </c>
    </row>
    <row r="241" spans="2:7" hidden="1">
      <c r="B241" s="199" t="str">
        <f>Factor_3[[#This Row],[Complejidad Conceptual]]&amp;" "&amp;Factor_3[[#This Row],[Tendencia]]&amp;" "&amp;Factor_3[[#This Row],[Guias de Apoyo]]&amp;" "&amp;Factor_3[[#This Row],[Tendencia2]]</f>
        <v>4 - H o</v>
      </c>
      <c r="C241" s="199">
        <v>4</v>
      </c>
      <c r="D241" s="199" t="s">
        <v>78</v>
      </c>
      <c r="E241" s="199" t="s">
        <v>186</v>
      </c>
      <c r="F241" s="199" t="s">
        <v>97</v>
      </c>
      <c r="G241" s="251">
        <v>0.53</v>
      </c>
    </row>
    <row r="242" spans="2:7" hidden="1">
      <c r="B242" s="199" t="str">
        <f>Factor_3[[#This Row],[Complejidad Conceptual]]&amp;" "&amp;Factor_3[[#This Row],[Tendencia]]&amp;" "&amp;Factor_3[[#This Row],[Guias de Apoyo]]&amp;" "&amp;Factor_3[[#This Row],[Tendencia2]]</f>
        <v>4 - H +</v>
      </c>
      <c r="C242" s="199">
        <v>4</v>
      </c>
      <c r="D242" s="199" t="s">
        <v>78</v>
      </c>
      <c r="E242" s="199" t="s">
        <v>186</v>
      </c>
      <c r="F242" s="199" t="s">
        <v>117</v>
      </c>
      <c r="G242" s="251">
        <v>0.57999999999999996</v>
      </c>
    </row>
    <row r="243" spans="2:7" hidden="1">
      <c r="B243" s="199" t="str">
        <f>Factor_3[[#This Row],[Complejidad Conceptual]]&amp;" "&amp;Factor_3[[#This Row],[Tendencia]]&amp;" "&amp;Factor_3[[#This Row],[Guias de Apoyo]]&amp;" "&amp;Factor_3[[#This Row],[Tendencia2]]</f>
        <v>4 + A -</v>
      </c>
      <c r="C243" s="199">
        <v>4</v>
      </c>
      <c r="D243" s="199" t="s">
        <v>117</v>
      </c>
      <c r="E243" s="199" t="s">
        <v>79</v>
      </c>
      <c r="F243" s="199" t="s">
        <v>78</v>
      </c>
      <c r="G243" s="251">
        <v>0.17</v>
      </c>
    </row>
    <row r="244" spans="2:7" hidden="1">
      <c r="B244" s="199" t="str">
        <f>Factor_3[[#This Row],[Complejidad Conceptual]]&amp;" "&amp;Factor_3[[#This Row],[Tendencia]]&amp;" "&amp;Factor_3[[#This Row],[Guias de Apoyo]]&amp;" "&amp;Factor_3[[#This Row],[Tendencia2]]</f>
        <v>4 + A o</v>
      </c>
      <c r="C244" s="199">
        <v>4</v>
      </c>
      <c r="D244" s="199" t="s">
        <v>117</v>
      </c>
      <c r="E244" s="199" t="s">
        <v>79</v>
      </c>
      <c r="F244" s="199" t="s">
        <v>97</v>
      </c>
      <c r="G244" s="251">
        <v>0.19</v>
      </c>
    </row>
    <row r="245" spans="2:7" hidden="1">
      <c r="B245" s="199" t="str">
        <f>Factor_3[[#This Row],[Complejidad Conceptual]]&amp;" "&amp;Factor_3[[#This Row],[Tendencia]]&amp;" "&amp;Factor_3[[#This Row],[Guias de Apoyo]]&amp;" "&amp;Factor_3[[#This Row],[Tendencia2]]</f>
        <v>4 + A +</v>
      </c>
      <c r="C245" s="199">
        <v>4</v>
      </c>
      <c r="D245" s="199" t="s">
        <v>117</v>
      </c>
      <c r="E245" s="199" t="s">
        <v>79</v>
      </c>
      <c r="F245" s="199" t="s">
        <v>117</v>
      </c>
      <c r="G245" s="251">
        <v>0.2</v>
      </c>
    </row>
    <row r="246" spans="2:7" hidden="1">
      <c r="B246" s="199" t="str">
        <f>Factor_3[[#This Row],[Complejidad Conceptual]]&amp;" "&amp;Factor_3[[#This Row],[Tendencia]]&amp;" "&amp;Factor_3[[#This Row],[Guias de Apoyo]]&amp;" "&amp;Factor_3[[#This Row],[Tendencia2]]</f>
        <v>4 + B -</v>
      </c>
      <c r="C246" s="199">
        <v>4</v>
      </c>
      <c r="D246" s="199" t="s">
        <v>117</v>
      </c>
      <c r="E246" s="199" t="s">
        <v>98</v>
      </c>
      <c r="F246" s="199" t="s">
        <v>78</v>
      </c>
      <c r="G246" s="251">
        <v>0.2</v>
      </c>
    </row>
    <row r="247" spans="2:7" hidden="1">
      <c r="B247" s="199" t="str">
        <f>Factor_3[[#This Row],[Complejidad Conceptual]]&amp;" "&amp;Factor_3[[#This Row],[Tendencia]]&amp;" "&amp;Factor_3[[#This Row],[Guias de Apoyo]]&amp;" "&amp;Factor_3[[#This Row],[Tendencia2]]</f>
        <v>4 + B o</v>
      </c>
      <c r="C247" s="199">
        <v>4</v>
      </c>
      <c r="D247" s="199" t="s">
        <v>117</v>
      </c>
      <c r="E247" s="199" t="s">
        <v>98</v>
      </c>
      <c r="F247" s="199" t="s">
        <v>97</v>
      </c>
      <c r="G247" s="251">
        <v>0.22</v>
      </c>
    </row>
    <row r="248" spans="2:7" hidden="1">
      <c r="B248" s="199" t="str">
        <f>Factor_3[[#This Row],[Complejidad Conceptual]]&amp;" "&amp;Factor_3[[#This Row],[Tendencia]]&amp;" "&amp;Factor_3[[#This Row],[Guias de Apoyo]]&amp;" "&amp;Factor_3[[#This Row],[Tendencia2]]</f>
        <v>4 + B +</v>
      </c>
      <c r="C248" s="199">
        <v>4</v>
      </c>
      <c r="D248" s="199" t="s">
        <v>117</v>
      </c>
      <c r="E248" s="199" t="s">
        <v>98</v>
      </c>
      <c r="F248" s="199" t="s">
        <v>117</v>
      </c>
      <c r="G248" s="251">
        <v>0.24</v>
      </c>
    </row>
    <row r="249" spans="2:7" hidden="1">
      <c r="B249" s="199" t="str">
        <f>Factor_3[[#This Row],[Complejidad Conceptual]]&amp;" "&amp;Factor_3[[#This Row],[Tendencia]]&amp;" "&amp;Factor_3[[#This Row],[Guias de Apoyo]]&amp;" "&amp;Factor_3[[#This Row],[Tendencia2]]</f>
        <v>4 + C -</v>
      </c>
      <c r="C249" s="199">
        <v>4</v>
      </c>
      <c r="D249" s="199" t="s">
        <v>117</v>
      </c>
      <c r="E249" s="199" t="s">
        <v>118</v>
      </c>
      <c r="F249" s="199" t="s">
        <v>78</v>
      </c>
      <c r="G249" s="251">
        <v>0.24</v>
      </c>
    </row>
    <row r="250" spans="2:7" hidden="1">
      <c r="B250" s="199" t="str">
        <f>Factor_3[[#This Row],[Complejidad Conceptual]]&amp;" "&amp;Factor_3[[#This Row],[Tendencia]]&amp;" "&amp;Factor_3[[#This Row],[Guias de Apoyo]]&amp;" "&amp;Factor_3[[#This Row],[Tendencia2]]</f>
        <v>4 + C o</v>
      </c>
      <c r="C250" s="199">
        <v>4</v>
      </c>
      <c r="D250" s="199" t="s">
        <v>117</v>
      </c>
      <c r="E250" s="199" t="s">
        <v>118</v>
      </c>
      <c r="F250" s="199" t="s">
        <v>97</v>
      </c>
      <c r="G250" s="251">
        <v>0.27</v>
      </c>
    </row>
    <row r="251" spans="2:7" hidden="1">
      <c r="B251" s="199" t="str">
        <f>Factor_3[[#This Row],[Complejidad Conceptual]]&amp;" "&amp;Factor_3[[#This Row],[Tendencia]]&amp;" "&amp;Factor_3[[#This Row],[Guias de Apoyo]]&amp;" "&amp;Factor_3[[#This Row],[Tendencia2]]</f>
        <v>4 + C +</v>
      </c>
      <c r="C251" s="199">
        <v>4</v>
      </c>
      <c r="D251" s="199" t="s">
        <v>117</v>
      </c>
      <c r="E251" s="199" t="s">
        <v>118</v>
      </c>
      <c r="F251" s="199" t="s">
        <v>117</v>
      </c>
      <c r="G251" s="251">
        <v>0.28999999999999998</v>
      </c>
    </row>
    <row r="252" spans="2:7" hidden="1">
      <c r="B252" s="199" t="str">
        <f>Factor_3[[#This Row],[Complejidad Conceptual]]&amp;" "&amp;Factor_3[[#This Row],[Tendencia]]&amp;" "&amp;Factor_3[[#This Row],[Guias de Apoyo]]&amp;" "&amp;Factor_3[[#This Row],[Tendencia2]]</f>
        <v>4 + D -</v>
      </c>
      <c r="C252" s="199">
        <v>4</v>
      </c>
      <c r="D252" s="199" t="s">
        <v>117</v>
      </c>
      <c r="E252" s="199" t="s">
        <v>137</v>
      </c>
      <c r="F252" s="199" t="s">
        <v>78</v>
      </c>
      <c r="G252" s="251">
        <v>0.28999999999999998</v>
      </c>
    </row>
    <row r="253" spans="2:7" hidden="1">
      <c r="B253" s="199" t="str">
        <f>Factor_3[[#This Row],[Complejidad Conceptual]]&amp;" "&amp;Factor_3[[#This Row],[Tendencia]]&amp;" "&amp;Factor_3[[#This Row],[Guias de Apoyo]]&amp;" "&amp;Factor_3[[#This Row],[Tendencia2]]</f>
        <v>4 + D o</v>
      </c>
      <c r="C253" s="199">
        <v>4</v>
      </c>
      <c r="D253" s="199" t="s">
        <v>117</v>
      </c>
      <c r="E253" s="199" t="s">
        <v>137</v>
      </c>
      <c r="F253" s="199" t="s">
        <v>97</v>
      </c>
      <c r="G253" s="251">
        <v>0.32</v>
      </c>
    </row>
    <row r="254" spans="2:7" hidden="1">
      <c r="B254" s="199" t="str">
        <f>Factor_3[[#This Row],[Complejidad Conceptual]]&amp;" "&amp;Factor_3[[#This Row],[Tendencia]]&amp;" "&amp;Factor_3[[#This Row],[Guias de Apoyo]]&amp;" "&amp;Factor_3[[#This Row],[Tendencia2]]</f>
        <v>4 + D +</v>
      </c>
      <c r="C254" s="199">
        <v>4</v>
      </c>
      <c r="D254" s="199" t="s">
        <v>117</v>
      </c>
      <c r="E254" s="199" t="s">
        <v>137</v>
      </c>
      <c r="F254" s="199" t="s">
        <v>117</v>
      </c>
      <c r="G254" s="251">
        <v>0.34</v>
      </c>
    </row>
    <row r="255" spans="2:7" hidden="1">
      <c r="B255" s="199" t="str">
        <f>Factor_3[[#This Row],[Complejidad Conceptual]]&amp;" "&amp;Factor_3[[#This Row],[Tendencia]]&amp;" "&amp;Factor_3[[#This Row],[Guias de Apoyo]]&amp;" "&amp;Factor_3[[#This Row],[Tendencia2]]</f>
        <v>4 + E -</v>
      </c>
      <c r="C255" s="199">
        <v>4</v>
      </c>
      <c r="D255" s="199" t="s">
        <v>117</v>
      </c>
      <c r="E255" s="199" t="s">
        <v>155</v>
      </c>
      <c r="F255" s="199" t="s">
        <v>78</v>
      </c>
      <c r="G255" s="251">
        <v>0.34</v>
      </c>
    </row>
    <row r="256" spans="2:7" hidden="1">
      <c r="B256" s="199" t="str">
        <f>Factor_3[[#This Row],[Complejidad Conceptual]]&amp;" "&amp;Factor_3[[#This Row],[Tendencia]]&amp;" "&amp;Factor_3[[#This Row],[Guias de Apoyo]]&amp;" "&amp;Factor_3[[#This Row],[Tendencia2]]</f>
        <v>4 + E o</v>
      </c>
      <c r="C256" s="199">
        <v>4</v>
      </c>
      <c r="D256" s="199" t="s">
        <v>117</v>
      </c>
      <c r="E256" s="199" t="s">
        <v>155</v>
      </c>
      <c r="F256" s="199" t="s">
        <v>97</v>
      </c>
      <c r="G256" s="251">
        <v>0.38</v>
      </c>
    </row>
    <row r="257" spans="2:7" hidden="1">
      <c r="B257" s="199" t="str">
        <f>Factor_3[[#This Row],[Complejidad Conceptual]]&amp;" "&amp;Factor_3[[#This Row],[Tendencia]]&amp;" "&amp;Factor_3[[#This Row],[Guias de Apoyo]]&amp;" "&amp;Factor_3[[#This Row],[Tendencia2]]</f>
        <v>4 + E +</v>
      </c>
      <c r="C257" s="199">
        <v>4</v>
      </c>
      <c r="D257" s="199" t="s">
        <v>117</v>
      </c>
      <c r="E257" s="199" t="s">
        <v>155</v>
      </c>
      <c r="F257" s="199" t="s">
        <v>117</v>
      </c>
      <c r="G257" s="251">
        <v>0.41</v>
      </c>
    </row>
    <row r="258" spans="2:7" hidden="1">
      <c r="B258" s="199" t="str">
        <f>Factor_3[[#This Row],[Complejidad Conceptual]]&amp;" "&amp;Factor_3[[#This Row],[Tendencia]]&amp;" "&amp;Factor_3[[#This Row],[Guias de Apoyo]]&amp;" "&amp;Factor_3[[#This Row],[Tendencia2]]</f>
        <v>4 + F -</v>
      </c>
      <c r="C258" s="199">
        <v>4</v>
      </c>
      <c r="D258" s="199" t="s">
        <v>117</v>
      </c>
      <c r="E258" s="199" t="s">
        <v>169</v>
      </c>
      <c r="F258" s="199" t="s">
        <v>78</v>
      </c>
      <c r="G258" s="251">
        <v>0.41</v>
      </c>
    </row>
    <row r="259" spans="2:7" hidden="1">
      <c r="B259" s="199" t="str">
        <f>Factor_3[[#This Row],[Complejidad Conceptual]]&amp;" "&amp;Factor_3[[#This Row],[Tendencia]]&amp;" "&amp;Factor_3[[#This Row],[Guias de Apoyo]]&amp;" "&amp;Factor_3[[#This Row],[Tendencia2]]</f>
        <v>4 + F o</v>
      </c>
      <c r="C259" s="199">
        <v>4</v>
      </c>
      <c r="D259" s="199" t="s">
        <v>117</v>
      </c>
      <c r="E259" s="199" t="s">
        <v>169</v>
      </c>
      <c r="F259" s="199" t="s">
        <v>97</v>
      </c>
      <c r="G259" s="251">
        <v>0.45</v>
      </c>
    </row>
    <row r="260" spans="2:7" hidden="1">
      <c r="B260" s="199" t="str">
        <f>Factor_3[[#This Row],[Complejidad Conceptual]]&amp;" "&amp;Factor_3[[#This Row],[Tendencia]]&amp;" "&amp;Factor_3[[#This Row],[Guias de Apoyo]]&amp;" "&amp;Factor_3[[#This Row],[Tendencia2]]</f>
        <v>4 + F +</v>
      </c>
      <c r="C260" s="199">
        <v>4</v>
      </c>
      <c r="D260" s="199" t="s">
        <v>117</v>
      </c>
      <c r="E260" s="199" t="s">
        <v>169</v>
      </c>
      <c r="F260" s="199" t="s">
        <v>117</v>
      </c>
      <c r="G260" s="251">
        <v>0.49</v>
      </c>
    </row>
    <row r="261" spans="2:7" hidden="1">
      <c r="B261" s="199" t="str">
        <f>Factor_3[[#This Row],[Complejidad Conceptual]]&amp;" "&amp;Factor_3[[#This Row],[Tendencia]]&amp;" "&amp;Factor_3[[#This Row],[Guias de Apoyo]]&amp;" "&amp;Factor_3[[#This Row],[Tendencia2]]</f>
        <v>4 + G -</v>
      </c>
      <c r="C261" s="199">
        <v>4</v>
      </c>
      <c r="D261" s="199" t="s">
        <v>117</v>
      </c>
      <c r="E261" s="199" t="s">
        <v>18</v>
      </c>
      <c r="F261" s="199" t="s">
        <v>78</v>
      </c>
      <c r="G261" s="251">
        <v>0.49</v>
      </c>
    </row>
    <row r="262" spans="2:7" hidden="1">
      <c r="B262" s="199" t="str">
        <f>Factor_3[[#This Row],[Complejidad Conceptual]]&amp;" "&amp;Factor_3[[#This Row],[Tendencia]]&amp;" "&amp;Factor_3[[#This Row],[Guias de Apoyo]]&amp;" "&amp;Factor_3[[#This Row],[Tendencia2]]</f>
        <v>4 + G o</v>
      </c>
      <c r="C262" s="199">
        <v>4</v>
      </c>
      <c r="D262" s="199" t="s">
        <v>117</v>
      </c>
      <c r="E262" s="199" t="s">
        <v>18</v>
      </c>
      <c r="F262" s="199" t="s">
        <v>97</v>
      </c>
      <c r="G262" s="251">
        <v>0.53</v>
      </c>
    </row>
    <row r="263" spans="2:7" hidden="1">
      <c r="B263" s="199" t="str">
        <f>Factor_3[[#This Row],[Complejidad Conceptual]]&amp;" "&amp;Factor_3[[#This Row],[Tendencia]]&amp;" "&amp;Factor_3[[#This Row],[Guias de Apoyo]]&amp;" "&amp;Factor_3[[#This Row],[Tendencia2]]</f>
        <v>4 + G +</v>
      </c>
      <c r="C263" s="199">
        <v>4</v>
      </c>
      <c r="D263" s="199" t="s">
        <v>117</v>
      </c>
      <c r="E263" s="199" t="s">
        <v>18</v>
      </c>
      <c r="F263" s="199" t="s">
        <v>117</v>
      </c>
      <c r="G263" s="251">
        <v>0.57999999999999996</v>
      </c>
    </row>
    <row r="264" spans="2:7" hidden="1">
      <c r="B264" s="199" t="str">
        <f>Factor_3[[#This Row],[Complejidad Conceptual]]&amp;" "&amp;Factor_3[[#This Row],[Tendencia]]&amp;" "&amp;Factor_3[[#This Row],[Guias de Apoyo]]&amp;" "&amp;Factor_3[[#This Row],[Tendencia2]]</f>
        <v>4 + H -</v>
      </c>
      <c r="C264" s="199">
        <v>4</v>
      </c>
      <c r="D264" s="199" t="s">
        <v>117</v>
      </c>
      <c r="E264" s="199" t="s">
        <v>186</v>
      </c>
      <c r="F264" s="199" t="s">
        <v>78</v>
      </c>
      <c r="G264" s="251">
        <v>0.57999999999999996</v>
      </c>
    </row>
    <row r="265" spans="2:7" hidden="1">
      <c r="B265" s="199" t="str">
        <f>Factor_3[[#This Row],[Complejidad Conceptual]]&amp;" "&amp;Factor_3[[#This Row],[Tendencia]]&amp;" "&amp;Factor_3[[#This Row],[Guias de Apoyo]]&amp;" "&amp;Factor_3[[#This Row],[Tendencia2]]</f>
        <v>4 + H o</v>
      </c>
      <c r="C265" s="199">
        <v>4</v>
      </c>
      <c r="D265" s="199" t="s">
        <v>117</v>
      </c>
      <c r="E265" s="199" t="s">
        <v>186</v>
      </c>
      <c r="F265" s="199" t="s">
        <v>97</v>
      </c>
      <c r="G265" s="251">
        <v>0.64</v>
      </c>
    </row>
    <row r="266" spans="2:7" hidden="1">
      <c r="B266" s="199" t="str">
        <f>Factor_3[[#This Row],[Complejidad Conceptual]]&amp;" "&amp;Factor_3[[#This Row],[Tendencia]]&amp;" "&amp;Factor_3[[#This Row],[Guias de Apoyo]]&amp;" "&amp;Factor_3[[#This Row],[Tendencia2]]</f>
        <v>4 + H +</v>
      </c>
      <c r="C266" s="199">
        <v>4</v>
      </c>
      <c r="D266" s="199" t="s">
        <v>117</v>
      </c>
      <c r="E266" s="199" t="s">
        <v>186</v>
      </c>
      <c r="F266" s="199" t="s">
        <v>117</v>
      </c>
      <c r="G266" s="251">
        <v>0.7</v>
      </c>
    </row>
    <row r="267" spans="2:7" hidden="1">
      <c r="B267" s="199" t="str">
        <f>Factor_3[[#This Row],[Complejidad Conceptual]]&amp;" "&amp;Factor_3[[#This Row],[Tendencia]]&amp;" "&amp;Factor_3[[#This Row],[Guias de Apoyo]]&amp;" "&amp;Factor_3[[#This Row],[Tendencia2]]</f>
        <v>4 o A -</v>
      </c>
      <c r="C267" s="199">
        <v>4</v>
      </c>
      <c r="D267" s="199" t="s">
        <v>97</v>
      </c>
      <c r="E267" s="199" t="s">
        <v>79</v>
      </c>
      <c r="F267" s="199" t="s">
        <v>78</v>
      </c>
      <c r="G267" s="251">
        <v>0.16</v>
      </c>
    </row>
    <row r="268" spans="2:7" hidden="1">
      <c r="B268" s="199" t="str">
        <f>Factor_3[[#This Row],[Complejidad Conceptual]]&amp;" "&amp;Factor_3[[#This Row],[Tendencia]]&amp;" "&amp;Factor_3[[#This Row],[Guias de Apoyo]]&amp;" "&amp;Factor_3[[#This Row],[Tendencia2]]</f>
        <v>4 o A o</v>
      </c>
      <c r="C268" s="199">
        <v>4</v>
      </c>
      <c r="D268" s="199" t="s">
        <v>97</v>
      </c>
      <c r="E268" s="199" t="s">
        <v>79</v>
      </c>
      <c r="F268" s="199" t="s">
        <v>97</v>
      </c>
      <c r="G268" s="251">
        <v>0.17</v>
      </c>
    </row>
    <row r="269" spans="2:7" hidden="1">
      <c r="B269" s="199" t="str">
        <f>Factor_3[[#This Row],[Complejidad Conceptual]]&amp;" "&amp;Factor_3[[#This Row],[Tendencia]]&amp;" "&amp;Factor_3[[#This Row],[Guias de Apoyo]]&amp;" "&amp;Factor_3[[#This Row],[Tendencia2]]</f>
        <v>4 o A +</v>
      </c>
      <c r="C269" s="199">
        <v>4</v>
      </c>
      <c r="D269" s="199" t="s">
        <v>97</v>
      </c>
      <c r="E269" s="199" t="s">
        <v>79</v>
      </c>
      <c r="F269" s="199" t="s">
        <v>117</v>
      </c>
      <c r="G269" s="251">
        <v>0.19</v>
      </c>
    </row>
    <row r="270" spans="2:7" hidden="1">
      <c r="B270" s="199" t="str">
        <f>Factor_3[[#This Row],[Complejidad Conceptual]]&amp;" "&amp;Factor_3[[#This Row],[Tendencia]]&amp;" "&amp;Factor_3[[#This Row],[Guias de Apoyo]]&amp;" "&amp;Factor_3[[#This Row],[Tendencia2]]</f>
        <v>4 o B -</v>
      </c>
      <c r="C270" s="199">
        <v>4</v>
      </c>
      <c r="D270" s="199" t="s">
        <v>97</v>
      </c>
      <c r="E270" s="199" t="s">
        <v>98</v>
      </c>
      <c r="F270" s="199" t="s">
        <v>78</v>
      </c>
      <c r="G270" s="251">
        <v>0.19</v>
      </c>
    </row>
    <row r="271" spans="2:7" hidden="1">
      <c r="B271" s="199" t="str">
        <f>Factor_3[[#This Row],[Complejidad Conceptual]]&amp;" "&amp;Factor_3[[#This Row],[Tendencia]]&amp;" "&amp;Factor_3[[#This Row],[Guias de Apoyo]]&amp;" "&amp;Factor_3[[#This Row],[Tendencia2]]</f>
        <v>4 o B o</v>
      </c>
      <c r="C271" s="199">
        <v>4</v>
      </c>
      <c r="D271" s="199" t="s">
        <v>97</v>
      </c>
      <c r="E271" s="199" t="s">
        <v>98</v>
      </c>
      <c r="F271" s="199" t="s">
        <v>97</v>
      </c>
      <c r="G271" s="251">
        <v>0.2</v>
      </c>
    </row>
    <row r="272" spans="2:7" hidden="1">
      <c r="B272" s="199" t="str">
        <f>Factor_3[[#This Row],[Complejidad Conceptual]]&amp;" "&amp;Factor_3[[#This Row],[Tendencia]]&amp;" "&amp;Factor_3[[#This Row],[Guias de Apoyo]]&amp;" "&amp;Factor_3[[#This Row],[Tendencia2]]</f>
        <v>4 o B +</v>
      </c>
      <c r="C272" s="199">
        <v>4</v>
      </c>
      <c r="D272" s="199" t="s">
        <v>97</v>
      </c>
      <c r="E272" s="199" t="s">
        <v>98</v>
      </c>
      <c r="F272" s="199" t="s">
        <v>117</v>
      </c>
      <c r="G272" s="251">
        <v>0.22</v>
      </c>
    </row>
    <row r="273" spans="2:7" hidden="1">
      <c r="B273" s="199" t="str">
        <f>Factor_3[[#This Row],[Complejidad Conceptual]]&amp;" "&amp;Factor_3[[#This Row],[Tendencia]]&amp;" "&amp;Factor_3[[#This Row],[Guias de Apoyo]]&amp;" "&amp;Factor_3[[#This Row],[Tendencia2]]</f>
        <v>4 o C -</v>
      </c>
      <c r="C273" s="199">
        <v>4</v>
      </c>
      <c r="D273" s="199" t="s">
        <v>97</v>
      </c>
      <c r="E273" s="199" t="s">
        <v>118</v>
      </c>
      <c r="F273" s="199" t="s">
        <v>78</v>
      </c>
      <c r="G273" s="251">
        <v>0.22</v>
      </c>
    </row>
    <row r="274" spans="2:7" hidden="1">
      <c r="B274" s="199" t="str">
        <f>Factor_3[[#This Row],[Complejidad Conceptual]]&amp;" "&amp;Factor_3[[#This Row],[Tendencia]]&amp;" "&amp;Factor_3[[#This Row],[Guias de Apoyo]]&amp;" "&amp;Factor_3[[#This Row],[Tendencia2]]</f>
        <v>4 o C o</v>
      </c>
      <c r="C274" s="199">
        <v>4</v>
      </c>
      <c r="D274" s="199" t="s">
        <v>97</v>
      </c>
      <c r="E274" s="199" t="s">
        <v>118</v>
      </c>
      <c r="F274" s="199" t="s">
        <v>97</v>
      </c>
      <c r="G274" s="251">
        <v>0.24</v>
      </c>
    </row>
    <row r="275" spans="2:7" hidden="1">
      <c r="B275" s="199" t="str">
        <f>Factor_3[[#This Row],[Complejidad Conceptual]]&amp;" "&amp;Factor_3[[#This Row],[Tendencia]]&amp;" "&amp;Factor_3[[#This Row],[Guias de Apoyo]]&amp;" "&amp;Factor_3[[#This Row],[Tendencia2]]</f>
        <v>4 o C +</v>
      </c>
      <c r="C275" s="199">
        <v>4</v>
      </c>
      <c r="D275" s="199" t="s">
        <v>97</v>
      </c>
      <c r="E275" s="199" t="s">
        <v>118</v>
      </c>
      <c r="F275" s="199" t="s">
        <v>117</v>
      </c>
      <c r="G275" s="251">
        <v>0.27</v>
      </c>
    </row>
    <row r="276" spans="2:7" hidden="1">
      <c r="B276" s="199" t="str">
        <f>Factor_3[[#This Row],[Complejidad Conceptual]]&amp;" "&amp;Factor_3[[#This Row],[Tendencia]]&amp;" "&amp;Factor_3[[#This Row],[Guias de Apoyo]]&amp;" "&amp;Factor_3[[#This Row],[Tendencia2]]</f>
        <v>4 o D -</v>
      </c>
      <c r="C276" s="199">
        <v>4</v>
      </c>
      <c r="D276" s="199" t="s">
        <v>97</v>
      </c>
      <c r="E276" s="199" t="s">
        <v>137</v>
      </c>
      <c r="F276" s="199" t="s">
        <v>78</v>
      </c>
      <c r="G276" s="251">
        <v>0.27</v>
      </c>
    </row>
    <row r="277" spans="2:7" hidden="1">
      <c r="B277" s="199" t="str">
        <f>Factor_3[[#This Row],[Complejidad Conceptual]]&amp;" "&amp;Factor_3[[#This Row],[Tendencia]]&amp;" "&amp;Factor_3[[#This Row],[Guias de Apoyo]]&amp;" "&amp;Factor_3[[#This Row],[Tendencia2]]</f>
        <v>4 o D o</v>
      </c>
      <c r="C277" s="199">
        <v>4</v>
      </c>
      <c r="D277" s="199" t="s">
        <v>97</v>
      </c>
      <c r="E277" s="199" t="s">
        <v>137</v>
      </c>
      <c r="F277" s="199" t="s">
        <v>97</v>
      </c>
      <c r="G277" s="251">
        <v>0.28999999999999998</v>
      </c>
    </row>
    <row r="278" spans="2:7" hidden="1">
      <c r="B278" s="199" t="str">
        <f>Factor_3[[#This Row],[Complejidad Conceptual]]&amp;" "&amp;Factor_3[[#This Row],[Tendencia]]&amp;" "&amp;Factor_3[[#This Row],[Guias de Apoyo]]&amp;" "&amp;Factor_3[[#This Row],[Tendencia2]]</f>
        <v>4 o D +</v>
      </c>
      <c r="C278" s="199">
        <v>4</v>
      </c>
      <c r="D278" s="199" t="s">
        <v>97</v>
      </c>
      <c r="E278" s="199" t="s">
        <v>137</v>
      </c>
      <c r="F278" s="199" t="s">
        <v>117</v>
      </c>
      <c r="G278" s="251">
        <v>0.32</v>
      </c>
    </row>
    <row r="279" spans="2:7" hidden="1">
      <c r="B279" s="199" t="str">
        <f>Factor_3[[#This Row],[Complejidad Conceptual]]&amp;" "&amp;Factor_3[[#This Row],[Tendencia]]&amp;" "&amp;Factor_3[[#This Row],[Guias de Apoyo]]&amp;" "&amp;Factor_3[[#This Row],[Tendencia2]]</f>
        <v>4 o E -</v>
      </c>
      <c r="C279" s="199">
        <v>4</v>
      </c>
      <c r="D279" s="199" t="s">
        <v>97</v>
      </c>
      <c r="E279" s="199" t="s">
        <v>155</v>
      </c>
      <c r="F279" s="199" t="s">
        <v>78</v>
      </c>
      <c r="G279" s="251">
        <v>0.32</v>
      </c>
    </row>
    <row r="280" spans="2:7" hidden="1">
      <c r="B280" s="199" t="str">
        <f>Factor_3[[#This Row],[Complejidad Conceptual]]&amp;" "&amp;Factor_3[[#This Row],[Tendencia]]&amp;" "&amp;Factor_3[[#This Row],[Guias de Apoyo]]&amp;" "&amp;Factor_3[[#This Row],[Tendencia2]]</f>
        <v>4 o E o</v>
      </c>
      <c r="C280" s="199">
        <v>4</v>
      </c>
      <c r="D280" s="199" t="s">
        <v>97</v>
      </c>
      <c r="E280" s="199" t="s">
        <v>155</v>
      </c>
      <c r="F280" s="199" t="s">
        <v>97</v>
      </c>
      <c r="G280" s="251">
        <v>0.34</v>
      </c>
    </row>
    <row r="281" spans="2:7" hidden="1">
      <c r="B281" s="199" t="str">
        <f>Factor_3[[#This Row],[Complejidad Conceptual]]&amp;" "&amp;Factor_3[[#This Row],[Tendencia]]&amp;" "&amp;Factor_3[[#This Row],[Guias de Apoyo]]&amp;" "&amp;Factor_3[[#This Row],[Tendencia2]]</f>
        <v>4 o E +</v>
      </c>
      <c r="C281" s="199">
        <v>4</v>
      </c>
      <c r="D281" s="199" t="s">
        <v>97</v>
      </c>
      <c r="E281" s="199" t="s">
        <v>155</v>
      </c>
      <c r="F281" s="199" t="s">
        <v>117</v>
      </c>
      <c r="G281" s="251">
        <v>0.38</v>
      </c>
    </row>
    <row r="282" spans="2:7" hidden="1">
      <c r="B282" s="199" t="str">
        <f>Factor_3[[#This Row],[Complejidad Conceptual]]&amp;" "&amp;Factor_3[[#This Row],[Tendencia]]&amp;" "&amp;Factor_3[[#This Row],[Guias de Apoyo]]&amp;" "&amp;Factor_3[[#This Row],[Tendencia2]]</f>
        <v>4 o F -</v>
      </c>
      <c r="C282" s="199">
        <v>4</v>
      </c>
      <c r="D282" s="199" t="s">
        <v>97</v>
      </c>
      <c r="E282" s="199" t="s">
        <v>169</v>
      </c>
      <c r="F282" s="199" t="s">
        <v>78</v>
      </c>
      <c r="G282" s="251">
        <v>0.38</v>
      </c>
    </row>
    <row r="283" spans="2:7" hidden="1">
      <c r="B283" s="199" t="str">
        <f>Factor_3[[#This Row],[Complejidad Conceptual]]&amp;" "&amp;Factor_3[[#This Row],[Tendencia]]&amp;" "&amp;Factor_3[[#This Row],[Guias de Apoyo]]&amp;" "&amp;Factor_3[[#This Row],[Tendencia2]]</f>
        <v>4 o F o</v>
      </c>
      <c r="C283" s="199">
        <v>4</v>
      </c>
      <c r="D283" s="199" t="s">
        <v>97</v>
      </c>
      <c r="E283" s="199" t="s">
        <v>169</v>
      </c>
      <c r="F283" s="199" t="s">
        <v>97</v>
      </c>
      <c r="G283" s="251">
        <v>0.41</v>
      </c>
    </row>
    <row r="284" spans="2:7" hidden="1">
      <c r="B284" s="199" t="str">
        <f>Factor_3[[#This Row],[Complejidad Conceptual]]&amp;" "&amp;Factor_3[[#This Row],[Tendencia]]&amp;" "&amp;Factor_3[[#This Row],[Guias de Apoyo]]&amp;" "&amp;Factor_3[[#This Row],[Tendencia2]]</f>
        <v>4 o F +</v>
      </c>
      <c r="C284" s="199">
        <v>4</v>
      </c>
      <c r="D284" s="199" t="s">
        <v>97</v>
      </c>
      <c r="E284" s="199" t="s">
        <v>169</v>
      </c>
      <c r="F284" s="199" t="s">
        <v>117</v>
      </c>
      <c r="G284" s="251">
        <v>0.45</v>
      </c>
    </row>
    <row r="285" spans="2:7" hidden="1">
      <c r="B285" s="199" t="str">
        <f>Factor_3[[#This Row],[Complejidad Conceptual]]&amp;" "&amp;Factor_3[[#This Row],[Tendencia]]&amp;" "&amp;Factor_3[[#This Row],[Guias de Apoyo]]&amp;" "&amp;Factor_3[[#This Row],[Tendencia2]]</f>
        <v>4 o G -</v>
      </c>
      <c r="C285" s="199">
        <v>4</v>
      </c>
      <c r="D285" s="199" t="s">
        <v>97</v>
      </c>
      <c r="E285" s="199" t="s">
        <v>18</v>
      </c>
      <c r="F285" s="199" t="s">
        <v>78</v>
      </c>
      <c r="G285" s="251">
        <v>0.45</v>
      </c>
    </row>
    <row r="286" spans="2:7" hidden="1">
      <c r="B286" s="199" t="str">
        <f>Factor_3[[#This Row],[Complejidad Conceptual]]&amp;" "&amp;Factor_3[[#This Row],[Tendencia]]&amp;" "&amp;Factor_3[[#This Row],[Guias de Apoyo]]&amp;" "&amp;Factor_3[[#This Row],[Tendencia2]]</f>
        <v>4 o G o</v>
      </c>
      <c r="C286" s="199">
        <v>4</v>
      </c>
      <c r="D286" s="199" t="s">
        <v>97</v>
      </c>
      <c r="E286" s="199" t="s">
        <v>18</v>
      </c>
      <c r="F286" s="199" t="s">
        <v>97</v>
      </c>
      <c r="G286" s="251">
        <v>0.49</v>
      </c>
    </row>
    <row r="287" spans="2:7" hidden="1">
      <c r="B287" s="199" t="str">
        <f>Factor_3[[#This Row],[Complejidad Conceptual]]&amp;" "&amp;Factor_3[[#This Row],[Tendencia]]&amp;" "&amp;Factor_3[[#This Row],[Guias de Apoyo]]&amp;" "&amp;Factor_3[[#This Row],[Tendencia2]]</f>
        <v>4 o G +</v>
      </c>
      <c r="C287" s="199">
        <v>4</v>
      </c>
      <c r="D287" s="199" t="s">
        <v>97</v>
      </c>
      <c r="E287" s="199" t="s">
        <v>18</v>
      </c>
      <c r="F287" s="199" t="s">
        <v>117</v>
      </c>
      <c r="G287" s="251">
        <v>0.53</v>
      </c>
    </row>
    <row r="288" spans="2:7" hidden="1">
      <c r="B288" s="199" t="str">
        <f>Factor_3[[#This Row],[Complejidad Conceptual]]&amp;" "&amp;Factor_3[[#This Row],[Tendencia]]&amp;" "&amp;Factor_3[[#This Row],[Guias de Apoyo]]&amp;" "&amp;Factor_3[[#This Row],[Tendencia2]]</f>
        <v>4 o H -</v>
      </c>
      <c r="C288" s="199">
        <v>4</v>
      </c>
      <c r="D288" s="199" t="s">
        <v>97</v>
      </c>
      <c r="E288" s="199" t="s">
        <v>186</v>
      </c>
      <c r="F288" s="199" t="s">
        <v>78</v>
      </c>
      <c r="G288" s="251">
        <v>0.53</v>
      </c>
    </row>
    <row r="289" spans="2:7" hidden="1">
      <c r="B289" s="199" t="str">
        <f>Factor_3[[#This Row],[Complejidad Conceptual]]&amp;" "&amp;Factor_3[[#This Row],[Tendencia]]&amp;" "&amp;Factor_3[[#This Row],[Guias de Apoyo]]&amp;" "&amp;Factor_3[[#This Row],[Tendencia2]]</f>
        <v>4 o H o</v>
      </c>
      <c r="C289" s="199">
        <v>4</v>
      </c>
      <c r="D289" s="199" t="s">
        <v>97</v>
      </c>
      <c r="E289" s="199" t="s">
        <v>186</v>
      </c>
      <c r="F289" s="199" t="s">
        <v>97</v>
      </c>
      <c r="G289" s="251">
        <v>0.57999999999999996</v>
      </c>
    </row>
    <row r="290" spans="2:7" hidden="1">
      <c r="B290" s="199" t="str">
        <f>Factor_3[[#This Row],[Complejidad Conceptual]]&amp;" "&amp;Factor_3[[#This Row],[Tendencia]]&amp;" "&amp;Factor_3[[#This Row],[Guias de Apoyo]]&amp;" "&amp;Factor_3[[#This Row],[Tendencia2]]</f>
        <v>4 o H +</v>
      </c>
      <c r="C290" s="199">
        <v>4</v>
      </c>
      <c r="D290" s="199" t="s">
        <v>97</v>
      </c>
      <c r="E290" s="199" t="s">
        <v>186</v>
      </c>
      <c r="F290" s="199" t="s">
        <v>117</v>
      </c>
      <c r="G290" s="251">
        <v>0.64</v>
      </c>
    </row>
    <row r="291" spans="2:7" hidden="1">
      <c r="B291" s="199" t="str">
        <f>Factor_3[[#This Row],[Complejidad Conceptual]]&amp;" "&amp;Factor_3[[#This Row],[Tendencia]]&amp;" "&amp;Factor_3[[#This Row],[Guias de Apoyo]]&amp;" "&amp;Factor_3[[#This Row],[Tendencia2]]</f>
        <v>5 - A -</v>
      </c>
      <c r="C291" s="199">
        <v>5</v>
      </c>
      <c r="D291" s="199" t="s">
        <v>78</v>
      </c>
      <c r="E291" s="199" t="s">
        <v>79</v>
      </c>
      <c r="F291" s="199" t="s">
        <v>78</v>
      </c>
      <c r="G291" s="251">
        <v>0.17</v>
      </c>
    </row>
    <row r="292" spans="2:7" hidden="1">
      <c r="B292" s="199" t="str">
        <f>Factor_3[[#This Row],[Complejidad Conceptual]]&amp;" "&amp;Factor_3[[#This Row],[Tendencia]]&amp;" "&amp;Factor_3[[#This Row],[Guias de Apoyo]]&amp;" "&amp;Factor_3[[#This Row],[Tendencia2]]</f>
        <v>5 - A o</v>
      </c>
      <c r="C292" s="199">
        <v>5</v>
      </c>
      <c r="D292" s="199" t="s">
        <v>78</v>
      </c>
      <c r="E292" s="199" t="s">
        <v>79</v>
      </c>
      <c r="F292" s="199" t="s">
        <v>97</v>
      </c>
      <c r="G292" s="251">
        <v>0.19</v>
      </c>
    </row>
    <row r="293" spans="2:7" hidden="1">
      <c r="B293" s="199" t="str">
        <f>Factor_3[[#This Row],[Complejidad Conceptual]]&amp;" "&amp;Factor_3[[#This Row],[Tendencia]]&amp;" "&amp;Factor_3[[#This Row],[Guias de Apoyo]]&amp;" "&amp;Factor_3[[#This Row],[Tendencia2]]</f>
        <v>5 - A +</v>
      </c>
      <c r="C293" s="199">
        <v>5</v>
      </c>
      <c r="D293" s="199" t="s">
        <v>78</v>
      </c>
      <c r="E293" s="199" t="s">
        <v>79</v>
      </c>
      <c r="F293" s="199" t="s">
        <v>117</v>
      </c>
      <c r="G293" s="251">
        <v>0.2</v>
      </c>
    </row>
    <row r="294" spans="2:7" hidden="1">
      <c r="B294" s="199" t="str">
        <f>Factor_3[[#This Row],[Complejidad Conceptual]]&amp;" "&amp;Factor_3[[#This Row],[Tendencia]]&amp;" "&amp;Factor_3[[#This Row],[Guias de Apoyo]]&amp;" "&amp;Factor_3[[#This Row],[Tendencia2]]</f>
        <v>5 - B -</v>
      </c>
      <c r="C294" s="199">
        <v>5</v>
      </c>
      <c r="D294" s="199" t="s">
        <v>78</v>
      </c>
      <c r="E294" s="199" t="s">
        <v>98</v>
      </c>
      <c r="F294" s="199" t="s">
        <v>78</v>
      </c>
      <c r="G294" s="251">
        <v>0.2</v>
      </c>
    </row>
    <row r="295" spans="2:7" hidden="1">
      <c r="B295" s="199" t="str">
        <f>Factor_3[[#This Row],[Complejidad Conceptual]]&amp;" "&amp;Factor_3[[#This Row],[Tendencia]]&amp;" "&amp;Factor_3[[#This Row],[Guias de Apoyo]]&amp;" "&amp;Factor_3[[#This Row],[Tendencia2]]</f>
        <v>5 - B o</v>
      </c>
      <c r="C295" s="199">
        <v>5</v>
      </c>
      <c r="D295" s="199" t="s">
        <v>78</v>
      </c>
      <c r="E295" s="199" t="s">
        <v>98</v>
      </c>
      <c r="F295" s="199" t="s">
        <v>97</v>
      </c>
      <c r="G295" s="251">
        <v>0.22</v>
      </c>
    </row>
    <row r="296" spans="2:7" hidden="1">
      <c r="B296" s="199" t="str">
        <f>Factor_3[[#This Row],[Complejidad Conceptual]]&amp;" "&amp;Factor_3[[#This Row],[Tendencia]]&amp;" "&amp;Factor_3[[#This Row],[Guias de Apoyo]]&amp;" "&amp;Factor_3[[#This Row],[Tendencia2]]</f>
        <v>5 - B +</v>
      </c>
      <c r="C296" s="199">
        <v>5</v>
      </c>
      <c r="D296" s="199" t="s">
        <v>78</v>
      </c>
      <c r="E296" s="199" t="s">
        <v>98</v>
      </c>
      <c r="F296" s="199" t="s">
        <v>117</v>
      </c>
      <c r="G296" s="251">
        <v>0.24</v>
      </c>
    </row>
    <row r="297" spans="2:7" hidden="1">
      <c r="B297" s="199" t="str">
        <f>Factor_3[[#This Row],[Complejidad Conceptual]]&amp;" "&amp;Factor_3[[#This Row],[Tendencia]]&amp;" "&amp;Factor_3[[#This Row],[Guias de Apoyo]]&amp;" "&amp;Factor_3[[#This Row],[Tendencia2]]</f>
        <v>5 - C o</v>
      </c>
      <c r="C297" s="199">
        <v>5</v>
      </c>
      <c r="D297" s="199" t="s">
        <v>78</v>
      </c>
      <c r="E297" s="199" t="s">
        <v>118</v>
      </c>
      <c r="F297" s="199" t="s">
        <v>97</v>
      </c>
      <c r="G297" s="251">
        <v>0.24</v>
      </c>
    </row>
    <row r="298" spans="2:7" hidden="1">
      <c r="B298" s="199" t="str">
        <f>Factor_3[[#This Row],[Complejidad Conceptual]]&amp;" "&amp;Factor_3[[#This Row],[Tendencia]]&amp;" "&amp;Factor_3[[#This Row],[Guias de Apoyo]]&amp;" "&amp;Factor_3[[#This Row],[Tendencia2]]</f>
        <v>5 - C +</v>
      </c>
      <c r="C298" s="199">
        <v>5</v>
      </c>
      <c r="D298" s="199" t="s">
        <v>78</v>
      </c>
      <c r="E298" s="199" t="s">
        <v>118</v>
      </c>
      <c r="F298" s="199" t="s">
        <v>117</v>
      </c>
      <c r="G298" s="251">
        <v>0.27</v>
      </c>
    </row>
    <row r="299" spans="2:7" hidden="1">
      <c r="B299" s="199" t="str">
        <f>Factor_3[[#This Row],[Complejidad Conceptual]]&amp;" "&amp;Factor_3[[#This Row],[Tendencia]]&amp;" "&amp;Factor_3[[#This Row],[Guias de Apoyo]]&amp;" "&amp;Factor_3[[#This Row],[Tendencia2]]</f>
        <v>5 - C -</v>
      </c>
      <c r="C299" s="199">
        <v>5</v>
      </c>
      <c r="D299" s="199" t="s">
        <v>78</v>
      </c>
      <c r="E299" s="199" t="s">
        <v>118</v>
      </c>
      <c r="F299" s="199" t="s">
        <v>78</v>
      </c>
      <c r="G299" s="251">
        <v>0.28999999999999998</v>
      </c>
    </row>
    <row r="300" spans="2:7" hidden="1">
      <c r="B300" s="199" t="str">
        <f>Factor_3[[#This Row],[Complejidad Conceptual]]&amp;" "&amp;Factor_3[[#This Row],[Tendencia]]&amp;" "&amp;Factor_3[[#This Row],[Guias de Apoyo]]&amp;" "&amp;Factor_3[[#This Row],[Tendencia2]]</f>
        <v>5 - D -</v>
      </c>
      <c r="C300" s="199">
        <v>5</v>
      </c>
      <c r="D300" s="199" t="s">
        <v>78</v>
      </c>
      <c r="E300" s="199" t="s">
        <v>137</v>
      </c>
      <c r="F300" s="199" t="s">
        <v>78</v>
      </c>
      <c r="G300" s="251">
        <v>0.28999999999999998</v>
      </c>
    </row>
    <row r="301" spans="2:7" hidden="1">
      <c r="B301" s="199" t="str">
        <f>Factor_3[[#This Row],[Complejidad Conceptual]]&amp;" "&amp;Factor_3[[#This Row],[Tendencia]]&amp;" "&amp;Factor_3[[#This Row],[Guias de Apoyo]]&amp;" "&amp;Factor_3[[#This Row],[Tendencia2]]</f>
        <v>5 - D o</v>
      </c>
      <c r="C301" s="199">
        <v>5</v>
      </c>
      <c r="D301" s="199" t="s">
        <v>78</v>
      </c>
      <c r="E301" s="199" t="s">
        <v>137</v>
      </c>
      <c r="F301" s="199" t="s">
        <v>97</v>
      </c>
      <c r="G301" s="251">
        <v>0.32</v>
      </c>
    </row>
    <row r="302" spans="2:7" hidden="1">
      <c r="B302" s="199" t="str">
        <f>Factor_3[[#This Row],[Complejidad Conceptual]]&amp;" "&amp;Factor_3[[#This Row],[Tendencia]]&amp;" "&amp;Factor_3[[#This Row],[Guias de Apoyo]]&amp;" "&amp;Factor_3[[#This Row],[Tendencia2]]</f>
        <v>5 - D +</v>
      </c>
      <c r="C302" s="199">
        <v>5</v>
      </c>
      <c r="D302" s="199" t="s">
        <v>78</v>
      </c>
      <c r="E302" s="199" t="s">
        <v>137</v>
      </c>
      <c r="F302" s="199" t="s">
        <v>117</v>
      </c>
      <c r="G302" s="251">
        <v>0.34</v>
      </c>
    </row>
    <row r="303" spans="2:7" hidden="1">
      <c r="B303" s="199" t="str">
        <f>Factor_3[[#This Row],[Complejidad Conceptual]]&amp;" "&amp;Factor_3[[#This Row],[Tendencia]]&amp;" "&amp;Factor_3[[#This Row],[Guias de Apoyo]]&amp;" "&amp;Factor_3[[#This Row],[Tendencia2]]</f>
        <v>5 - E -</v>
      </c>
      <c r="C303" s="199">
        <v>5</v>
      </c>
      <c r="D303" s="199" t="s">
        <v>78</v>
      </c>
      <c r="E303" s="199" t="s">
        <v>155</v>
      </c>
      <c r="F303" s="199" t="s">
        <v>78</v>
      </c>
      <c r="G303" s="251">
        <v>0.34</v>
      </c>
    </row>
    <row r="304" spans="2:7" hidden="1">
      <c r="B304" s="199" t="str">
        <f>Factor_3[[#This Row],[Complejidad Conceptual]]&amp;" "&amp;Factor_3[[#This Row],[Tendencia]]&amp;" "&amp;Factor_3[[#This Row],[Guias de Apoyo]]&amp;" "&amp;Factor_3[[#This Row],[Tendencia2]]</f>
        <v>5 - E o</v>
      </c>
      <c r="C304" s="199">
        <v>5</v>
      </c>
      <c r="D304" s="199" t="s">
        <v>78</v>
      </c>
      <c r="E304" s="199" t="s">
        <v>155</v>
      </c>
      <c r="F304" s="199" t="s">
        <v>97</v>
      </c>
      <c r="G304" s="251">
        <v>0.38</v>
      </c>
    </row>
    <row r="305" spans="2:7" hidden="1">
      <c r="B305" s="199" t="str">
        <f>Factor_3[[#This Row],[Complejidad Conceptual]]&amp;" "&amp;Factor_3[[#This Row],[Tendencia]]&amp;" "&amp;Factor_3[[#This Row],[Guias de Apoyo]]&amp;" "&amp;Factor_3[[#This Row],[Tendencia2]]</f>
        <v>5 - E +</v>
      </c>
      <c r="C305" s="199">
        <v>5</v>
      </c>
      <c r="D305" s="199" t="s">
        <v>78</v>
      </c>
      <c r="E305" s="199" t="s">
        <v>155</v>
      </c>
      <c r="F305" s="199" t="s">
        <v>117</v>
      </c>
      <c r="G305" s="251">
        <v>0.41</v>
      </c>
    </row>
    <row r="306" spans="2:7" hidden="1">
      <c r="B306" s="199" t="str">
        <f>Factor_3[[#This Row],[Complejidad Conceptual]]&amp;" "&amp;Factor_3[[#This Row],[Tendencia]]&amp;" "&amp;Factor_3[[#This Row],[Guias de Apoyo]]&amp;" "&amp;Factor_3[[#This Row],[Tendencia2]]</f>
        <v>5 - F -</v>
      </c>
      <c r="C306" s="199">
        <v>5</v>
      </c>
      <c r="D306" s="199" t="s">
        <v>78</v>
      </c>
      <c r="E306" s="199" t="s">
        <v>169</v>
      </c>
      <c r="F306" s="199" t="s">
        <v>78</v>
      </c>
      <c r="G306" s="251">
        <v>0.41</v>
      </c>
    </row>
    <row r="307" spans="2:7" hidden="1">
      <c r="B307" s="199" t="str">
        <f>Factor_3[[#This Row],[Complejidad Conceptual]]&amp;" "&amp;Factor_3[[#This Row],[Tendencia]]&amp;" "&amp;Factor_3[[#This Row],[Guias de Apoyo]]&amp;" "&amp;Factor_3[[#This Row],[Tendencia2]]</f>
        <v>5 - F o</v>
      </c>
      <c r="C307" s="199">
        <v>5</v>
      </c>
      <c r="D307" s="199" t="s">
        <v>78</v>
      </c>
      <c r="E307" s="199" t="s">
        <v>169</v>
      </c>
      <c r="F307" s="199" t="s">
        <v>97</v>
      </c>
      <c r="G307" s="251">
        <v>0.45</v>
      </c>
    </row>
    <row r="308" spans="2:7" hidden="1">
      <c r="B308" s="199" t="str">
        <f>Factor_3[[#This Row],[Complejidad Conceptual]]&amp;" "&amp;Factor_3[[#This Row],[Tendencia]]&amp;" "&amp;Factor_3[[#This Row],[Guias de Apoyo]]&amp;" "&amp;Factor_3[[#This Row],[Tendencia2]]</f>
        <v>5 - F +</v>
      </c>
      <c r="C308" s="199">
        <v>5</v>
      </c>
      <c r="D308" s="199" t="s">
        <v>78</v>
      </c>
      <c r="E308" s="199" t="s">
        <v>169</v>
      </c>
      <c r="F308" s="199" t="s">
        <v>117</v>
      </c>
      <c r="G308" s="251">
        <v>0.49</v>
      </c>
    </row>
    <row r="309" spans="2:7" hidden="1">
      <c r="B309" s="199" t="str">
        <f>Factor_3[[#This Row],[Complejidad Conceptual]]&amp;" "&amp;Factor_3[[#This Row],[Tendencia]]&amp;" "&amp;Factor_3[[#This Row],[Guias de Apoyo]]&amp;" "&amp;Factor_3[[#This Row],[Tendencia2]]</f>
        <v>5 - G -</v>
      </c>
      <c r="C309" s="199">
        <v>5</v>
      </c>
      <c r="D309" s="199" t="s">
        <v>78</v>
      </c>
      <c r="E309" s="199" t="s">
        <v>18</v>
      </c>
      <c r="F309" s="199" t="s">
        <v>78</v>
      </c>
      <c r="G309" s="251">
        <v>0.49</v>
      </c>
    </row>
    <row r="310" spans="2:7" hidden="1">
      <c r="B310" s="199" t="str">
        <f>Factor_3[[#This Row],[Complejidad Conceptual]]&amp;" "&amp;Factor_3[[#This Row],[Tendencia]]&amp;" "&amp;Factor_3[[#This Row],[Guias de Apoyo]]&amp;" "&amp;Factor_3[[#This Row],[Tendencia2]]</f>
        <v>5 - G o</v>
      </c>
      <c r="C310" s="199">
        <v>5</v>
      </c>
      <c r="D310" s="199" t="s">
        <v>78</v>
      </c>
      <c r="E310" s="199" t="s">
        <v>18</v>
      </c>
      <c r="F310" s="199" t="s">
        <v>97</v>
      </c>
      <c r="G310" s="251">
        <v>0.53</v>
      </c>
    </row>
    <row r="311" spans="2:7" hidden="1">
      <c r="B311" s="199" t="str">
        <f>Factor_3[[#This Row],[Complejidad Conceptual]]&amp;" "&amp;Factor_3[[#This Row],[Tendencia]]&amp;" "&amp;Factor_3[[#This Row],[Guias de Apoyo]]&amp;" "&amp;Factor_3[[#This Row],[Tendencia2]]</f>
        <v>5 - G +</v>
      </c>
      <c r="C311" s="199">
        <v>5</v>
      </c>
      <c r="D311" s="199" t="s">
        <v>78</v>
      </c>
      <c r="E311" s="199" t="s">
        <v>18</v>
      </c>
      <c r="F311" s="199" t="s">
        <v>117</v>
      </c>
      <c r="G311" s="251">
        <v>0.57999999999999996</v>
      </c>
    </row>
    <row r="312" spans="2:7" hidden="1">
      <c r="B312" s="199" t="str">
        <f>Factor_3[[#This Row],[Complejidad Conceptual]]&amp;" "&amp;Factor_3[[#This Row],[Tendencia]]&amp;" "&amp;Factor_3[[#This Row],[Guias de Apoyo]]&amp;" "&amp;Factor_3[[#This Row],[Tendencia2]]</f>
        <v>5 - H -</v>
      </c>
      <c r="C312" s="199">
        <v>5</v>
      </c>
      <c r="D312" s="199" t="s">
        <v>78</v>
      </c>
      <c r="E312" s="199" t="s">
        <v>186</v>
      </c>
      <c r="F312" s="199" t="s">
        <v>78</v>
      </c>
      <c r="G312" s="251">
        <v>0.57999999999999996</v>
      </c>
    </row>
    <row r="313" spans="2:7" hidden="1">
      <c r="B313" s="199" t="str">
        <f>Factor_3[[#This Row],[Complejidad Conceptual]]&amp;" "&amp;Factor_3[[#This Row],[Tendencia]]&amp;" "&amp;Factor_3[[#This Row],[Guias de Apoyo]]&amp;" "&amp;Factor_3[[#This Row],[Tendencia2]]</f>
        <v>5 - H o</v>
      </c>
      <c r="C313" s="199">
        <v>5</v>
      </c>
      <c r="D313" s="199" t="s">
        <v>78</v>
      </c>
      <c r="E313" s="199" t="s">
        <v>186</v>
      </c>
      <c r="F313" s="199" t="s">
        <v>97</v>
      </c>
      <c r="G313" s="251">
        <v>0.64</v>
      </c>
    </row>
    <row r="314" spans="2:7" hidden="1">
      <c r="B314" s="199" t="str">
        <f>Factor_3[[#This Row],[Complejidad Conceptual]]&amp;" "&amp;Factor_3[[#This Row],[Tendencia]]&amp;" "&amp;Factor_3[[#This Row],[Guias de Apoyo]]&amp;" "&amp;Factor_3[[#This Row],[Tendencia2]]</f>
        <v>5 - H +</v>
      </c>
      <c r="C314" s="199">
        <v>5</v>
      </c>
      <c r="D314" s="199" t="s">
        <v>78</v>
      </c>
      <c r="E314" s="199" t="s">
        <v>186</v>
      </c>
      <c r="F314" s="199" t="s">
        <v>117</v>
      </c>
      <c r="G314" s="251">
        <v>0.7</v>
      </c>
    </row>
    <row r="315" spans="2:7" hidden="1">
      <c r="B315" s="199" t="str">
        <f>Factor_3[[#This Row],[Complejidad Conceptual]]&amp;" "&amp;Factor_3[[#This Row],[Tendencia]]&amp;" "&amp;Factor_3[[#This Row],[Guias de Apoyo]]&amp;" "&amp;Factor_3[[#This Row],[Tendencia2]]</f>
        <v>5 + A -</v>
      </c>
      <c r="C315" s="199">
        <v>5</v>
      </c>
      <c r="D315" s="199" t="s">
        <v>117</v>
      </c>
      <c r="E315" s="199" t="s">
        <v>79</v>
      </c>
      <c r="F315" s="199" t="s">
        <v>78</v>
      </c>
      <c r="G315" s="251">
        <v>0.2</v>
      </c>
    </row>
    <row r="316" spans="2:7" hidden="1">
      <c r="B316" s="199" t="str">
        <f>Factor_3[[#This Row],[Complejidad Conceptual]]&amp;" "&amp;Factor_3[[#This Row],[Tendencia]]&amp;" "&amp;Factor_3[[#This Row],[Guias de Apoyo]]&amp;" "&amp;Factor_3[[#This Row],[Tendencia2]]</f>
        <v>5 + A o</v>
      </c>
      <c r="C316" s="199">
        <v>5</v>
      </c>
      <c r="D316" s="199" t="s">
        <v>117</v>
      </c>
      <c r="E316" s="199" t="s">
        <v>79</v>
      </c>
      <c r="F316" s="199" t="s">
        <v>97</v>
      </c>
      <c r="G316" s="251">
        <v>0.22</v>
      </c>
    </row>
    <row r="317" spans="2:7" hidden="1">
      <c r="B317" s="199" t="str">
        <f>Factor_3[[#This Row],[Complejidad Conceptual]]&amp;" "&amp;Factor_3[[#This Row],[Tendencia]]&amp;" "&amp;Factor_3[[#This Row],[Guias de Apoyo]]&amp;" "&amp;Factor_3[[#This Row],[Tendencia2]]</f>
        <v>5 + A +</v>
      </c>
      <c r="C317" s="199">
        <v>5</v>
      </c>
      <c r="D317" s="199" t="s">
        <v>117</v>
      </c>
      <c r="E317" s="199" t="s">
        <v>79</v>
      </c>
      <c r="F317" s="199" t="s">
        <v>117</v>
      </c>
      <c r="G317" s="251">
        <v>0.24</v>
      </c>
    </row>
    <row r="318" spans="2:7" hidden="1">
      <c r="B318" s="199" t="str">
        <f>Factor_3[[#This Row],[Complejidad Conceptual]]&amp;" "&amp;Factor_3[[#This Row],[Tendencia]]&amp;" "&amp;Factor_3[[#This Row],[Guias de Apoyo]]&amp;" "&amp;Factor_3[[#This Row],[Tendencia2]]</f>
        <v>5 + B -</v>
      </c>
      <c r="C318" s="199">
        <v>5</v>
      </c>
      <c r="D318" s="199" t="s">
        <v>117</v>
      </c>
      <c r="E318" s="199" t="s">
        <v>98</v>
      </c>
      <c r="F318" s="199" t="s">
        <v>78</v>
      </c>
      <c r="G318" s="251">
        <v>0.24</v>
      </c>
    </row>
    <row r="319" spans="2:7" hidden="1">
      <c r="B319" s="199" t="str">
        <f>Factor_3[[#This Row],[Complejidad Conceptual]]&amp;" "&amp;Factor_3[[#This Row],[Tendencia]]&amp;" "&amp;Factor_3[[#This Row],[Guias de Apoyo]]&amp;" "&amp;Factor_3[[#This Row],[Tendencia2]]</f>
        <v>5 + B o</v>
      </c>
      <c r="C319" s="199">
        <v>5</v>
      </c>
      <c r="D319" s="199" t="s">
        <v>117</v>
      </c>
      <c r="E319" s="199" t="s">
        <v>98</v>
      </c>
      <c r="F319" s="199" t="s">
        <v>97</v>
      </c>
      <c r="G319" s="251">
        <v>0.27</v>
      </c>
    </row>
    <row r="320" spans="2:7" hidden="1">
      <c r="B320" s="199" t="str">
        <f>Factor_3[[#This Row],[Complejidad Conceptual]]&amp;" "&amp;Factor_3[[#This Row],[Tendencia]]&amp;" "&amp;Factor_3[[#This Row],[Guias de Apoyo]]&amp;" "&amp;Factor_3[[#This Row],[Tendencia2]]</f>
        <v>5 + B +</v>
      </c>
      <c r="C320" s="199">
        <v>5</v>
      </c>
      <c r="D320" s="199" t="s">
        <v>117</v>
      </c>
      <c r="E320" s="199" t="s">
        <v>98</v>
      </c>
      <c r="F320" s="199" t="s">
        <v>117</v>
      </c>
      <c r="G320" s="251">
        <v>0.28999999999999998</v>
      </c>
    </row>
    <row r="321" spans="2:7" hidden="1">
      <c r="B321" s="199" t="str">
        <f>Factor_3[[#This Row],[Complejidad Conceptual]]&amp;" "&amp;Factor_3[[#This Row],[Tendencia]]&amp;" "&amp;Factor_3[[#This Row],[Guias de Apoyo]]&amp;" "&amp;Factor_3[[#This Row],[Tendencia2]]</f>
        <v>5 + C -</v>
      </c>
      <c r="C321" s="199">
        <v>5</v>
      </c>
      <c r="D321" s="199" t="s">
        <v>117</v>
      </c>
      <c r="E321" s="199" t="s">
        <v>118</v>
      </c>
      <c r="F321" s="199" t="s">
        <v>78</v>
      </c>
      <c r="G321" s="251">
        <v>0.28999999999999998</v>
      </c>
    </row>
    <row r="322" spans="2:7" hidden="1">
      <c r="B322" s="199" t="str">
        <f>Factor_3[[#This Row],[Complejidad Conceptual]]&amp;" "&amp;Factor_3[[#This Row],[Tendencia]]&amp;" "&amp;Factor_3[[#This Row],[Guias de Apoyo]]&amp;" "&amp;Factor_3[[#This Row],[Tendencia2]]</f>
        <v>5 + C o</v>
      </c>
      <c r="C322" s="199">
        <v>5</v>
      </c>
      <c r="D322" s="199" t="s">
        <v>117</v>
      </c>
      <c r="E322" s="199" t="s">
        <v>118</v>
      </c>
      <c r="F322" s="199" t="s">
        <v>97</v>
      </c>
      <c r="G322" s="251">
        <v>0.32</v>
      </c>
    </row>
    <row r="323" spans="2:7" hidden="1">
      <c r="B323" s="199" t="str">
        <f>Factor_3[[#This Row],[Complejidad Conceptual]]&amp;" "&amp;Factor_3[[#This Row],[Tendencia]]&amp;" "&amp;Factor_3[[#This Row],[Guias de Apoyo]]&amp;" "&amp;Factor_3[[#This Row],[Tendencia2]]</f>
        <v>5 + C +</v>
      </c>
      <c r="C323" s="199">
        <v>5</v>
      </c>
      <c r="D323" s="199" t="s">
        <v>117</v>
      </c>
      <c r="E323" s="199" t="s">
        <v>118</v>
      </c>
      <c r="F323" s="199" t="s">
        <v>117</v>
      </c>
      <c r="G323" s="251">
        <v>0.34</v>
      </c>
    </row>
    <row r="324" spans="2:7" hidden="1">
      <c r="B324" s="199" t="str">
        <f>Factor_3[[#This Row],[Complejidad Conceptual]]&amp;" "&amp;Factor_3[[#This Row],[Tendencia]]&amp;" "&amp;Factor_3[[#This Row],[Guias de Apoyo]]&amp;" "&amp;Factor_3[[#This Row],[Tendencia2]]</f>
        <v>5 + D -</v>
      </c>
      <c r="C324" s="199">
        <v>5</v>
      </c>
      <c r="D324" s="199" t="s">
        <v>117</v>
      </c>
      <c r="E324" s="199" t="s">
        <v>137</v>
      </c>
      <c r="F324" s="199" t="s">
        <v>78</v>
      </c>
      <c r="G324" s="251">
        <v>0.34</v>
      </c>
    </row>
    <row r="325" spans="2:7" hidden="1">
      <c r="B325" s="199" t="str">
        <f>Factor_3[[#This Row],[Complejidad Conceptual]]&amp;" "&amp;Factor_3[[#This Row],[Tendencia]]&amp;" "&amp;Factor_3[[#This Row],[Guias de Apoyo]]&amp;" "&amp;Factor_3[[#This Row],[Tendencia2]]</f>
        <v>5 + D o</v>
      </c>
      <c r="C325" s="199">
        <v>5</v>
      </c>
      <c r="D325" s="199" t="s">
        <v>117</v>
      </c>
      <c r="E325" s="199" t="s">
        <v>137</v>
      </c>
      <c r="F325" s="199" t="s">
        <v>97</v>
      </c>
      <c r="G325" s="251">
        <v>0.38</v>
      </c>
    </row>
    <row r="326" spans="2:7" hidden="1">
      <c r="B326" s="199" t="str">
        <f>Factor_3[[#This Row],[Complejidad Conceptual]]&amp;" "&amp;Factor_3[[#This Row],[Tendencia]]&amp;" "&amp;Factor_3[[#This Row],[Guias de Apoyo]]&amp;" "&amp;Factor_3[[#This Row],[Tendencia2]]</f>
        <v>5 + D +</v>
      </c>
      <c r="C326" s="199">
        <v>5</v>
      </c>
      <c r="D326" s="199" t="s">
        <v>117</v>
      </c>
      <c r="E326" s="199" t="s">
        <v>137</v>
      </c>
      <c r="F326" s="199" t="s">
        <v>117</v>
      </c>
      <c r="G326" s="251">
        <v>0.41</v>
      </c>
    </row>
    <row r="327" spans="2:7" hidden="1">
      <c r="B327" s="199" t="str">
        <f>Factor_3[[#This Row],[Complejidad Conceptual]]&amp;" "&amp;Factor_3[[#This Row],[Tendencia]]&amp;" "&amp;Factor_3[[#This Row],[Guias de Apoyo]]&amp;" "&amp;Factor_3[[#This Row],[Tendencia2]]</f>
        <v>5 + E -</v>
      </c>
      <c r="C327" s="199">
        <v>5</v>
      </c>
      <c r="D327" s="199" t="s">
        <v>117</v>
      </c>
      <c r="E327" s="199" t="s">
        <v>155</v>
      </c>
      <c r="F327" s="199" t="s">
        <v>78</v>
      </c>
      <c r="G327" s="251">
        <v>0.41</v>
      </c>
    </row>
    <row r="328" spans="2:7" hidden="1">
      <c r="B328" s="199" t="str">
        <f>Factor_3[[#This Row],[Complejidad Conceptual]]&amp;" "&amp;Factor_3[[#This Row],[Tendencia]]&amp;" "&amp;Factor_3[[#This Row],[Guias de Apoyo]]&amp;" "&amp;Factor_3[[#This Row],[Tendencia2]]</f>
        <v>5 + E o</v>
      </c>
      <c r="C328" s="199">
        <v>5</v>
      </c>
      <c r="D328" s="199" t="s">
        <v>117</v>
      </c>
      <c r="E328" s="199" t="s">
        <v>155</v>
      </c>
      <c r="F328" s="199" t="s">
        <v>97</v>
      </c>
      <c r="G328" s="251">
        <v>0.45</v>
      </c>
    </row>
    <row r="329" spans="2:7" hidden="1">
      <c r="B329" s="199" t="str">
        <f>Factor_3[[#This Row],[Complejidad Conceptual]]&amp;" "&amp;Factor_3[[#This Row],[Tendencia]]&amp;" "&amp;Factor_3[[#This Row],[Guias de Apoyo]]&amp;" "&amp;Factor_3[[#This Row],[Tendencia2]]</f>
        <v>5 + E +</v>
      </c>
      <c r="C329" s="199">
        <v>5</v>
      </c>
      <c r="D329" s="199" t="s">
        <v>117</v>
      </c>
      <c r="E329" s="199" t="s">
        <v>155</v>
      </c>
      <c r="F329" s="199" t="s">
        <v>117</v>
      </c>
      <c r="G329" s="251">
        <v>0.49</v>
      </c>
    </row>
    <row r="330" spans="2:7" hidden="1">
      <c r="B330" s="199" t="str">
        <f>Factor_3[[#This Row],[Complejidad Conceptual]]&amp;" "&amp;Factor_3[[#This Row],[Tendencia]]&amp;" "&amp;Factor_3[[#This Row],[Guias de Apoyo]]&amp;" "&amp;Factor_3[[#This Row],[Tendencia2]]</f>
        <v>5 + F -</v>
      </c>
      <c r="C330" s="199">
        <v>5</v>
      </c>
      <c r="D330" s="199" t="s">
        <v>117</v>
      </c>
      <c r="E330" s="199" t="s">
        <v>169</v>
      </c>
      <c r="F330" s="199" t="s">
        <v>78</v>
      </c>
      <c r="G330" s="251">
        <v>0.49</v>
      </c>
    </row>
    <row r="331" spans="2:7" hidden="1">
      <c r="B331" s="199" t="str">
        <f>Factor_3[[#This Row],[Complejidad Conceptual]]&amp;" "&amp;Factor_3[[#This Row],[Tendencia]]&amp;" "&amp;Factor_3[[#This Row],[Guias de Apoyo]]&amp;" "&amp;Factor_3[[#This Row],[Tendencia2]]</f>
        <v>5 + F o</v>
      </c>
      <c r="C331" s="199">
        <v>5</v>
      </c>
      <c r="D331" s="199" t="s">
        <v>117</v>
      </c>
      <c r="E331" s="199" t="s">
        <v>169</v>
      </c>
      <c r="F331" s="199" t="s">
        <v>97</v>
      </c>
      <c r="G331" s="251">
        <v>0.53</v>
      </c>
    </row>
    <row r="332" spans="2:7" hidden="1">
      <c r="B332" s="199" t="str">
        <f>Factor_3[[#This Row],[Complejidad Conceptual]]&amp;" "&amp;Factor_3[[#This Row],[Tendencia]]&amp;" "&amp;Factor_3[[#This Row],[Guias de Apoyo]]&amp;" "&amp;Factor_3[[#This Row],[Tendencia2]]</f>
        <v>5 + F +</v>
      </c>
      <c r="C332" s="199">
        <v>5</v>
      </c>
      <c r="D332" s="199" t="s">
        <v>117</v>
      </c>
      <c r="E332" s="199" t="s">
        <v>169</v>
      </c>
      <c r="F332" s="199" t="s">
        <v>117</v>
      </c>
      <c r="G332" s="251">
        <v>0.57999999999999996</v>
      </c>
    </row>
    <row r="333" spans="2:7" hidden="1">
      <c r="B333" s="199" t="str">
        <f>Factor_3[[#This Row],[Complejidad Conceptual]]&amp;" "&amp;Factor_3[[#This Row],[Tendencia]]&amp;" "&amp;Factor_3[[#This Row],[Guias de Apoyo]]&amp;" "&amp;Factor_3[[#This Row],[Tendencia2]]</f>
        <v>5 + G -</v>
      </c>
      <c r="C333" s="199">
        <v>5</v>
      </c>
      <c r="D333" s="199" t="s">
        <v>117</v>
      </c>
      <c r="E333" s="199" t="s">
        <v>18</v>
      </c>
      <c r="F333" s="199" t="s">
        <v>78</v>
      </c>
      <c r="G333" s="251">
        <v>0.57999999999999996</v>
      </c>
    </row>
    <row r="334" spans="2:7" hidden="1">
      <c r="B334" s="199" t="str">
        <f>Factor_3[[#This Row],[Complejidad Conceptual]]&amp;" "&amp;Factor_3[[#This Row],[Tendencia]]&amp;" "&amp;Factor_3[[#This Row],[Guias de Apoyo]]&amp;" "&amp;Factor_3[[#This Row],[Tendencia2]]</f>
        <v>5 + G o</v>
      </c>
      <c r="C334" s="199">
        <v>5</v>
      </c>
      <c r="D334" s="199" t="s">
        <v>117</v>
      </c>
      <c r="E334" s="199" t="s">
        <v>18</v>
      </c>
      <c r="F334" s="199" t="s">
        <v>97</v>
      </c>
      <c r="G334" s="251">
        <v>0.64</v>
      </c>
    </row>
    <row r="335" spans="2:7" hidden="1">
      <c r="B335" s="199" t="str">
        <f>Factor_3[[#This Row],[Complejidad Conceptual]]&amp;" "&amp;Factor_3[[#This Row],[Tendencia]]&amp;" "&amp;Factor_3[[#This Row],[Guias de Apoyo]]&amp;" "&amp;Factor_3[[#This Row],[Tendencia2]]</f>
        <v>5 + G +</v>
      </c>
      <c r="C335" s="199">
        <v>5</v>
      </c>
      <c r="D335" s="199" t="s">
        <v>117</v>
      </c>
      <c r="E335" s="199" t="s">
        <v>18</v>
      </c>
      <c r="F335" s="199" t="s">
        <v>117</v>
      </c>
      <c r="G335" s="251">
        <v>0.7</v>
      </c>
    </row>
    <row r="336" spans="2:7" hidden="1">
      <c r="B336" s="199" t="str">
        <f>Factor_3[[#This Row],[Complejidad Conceptual]]&amp;" "&amp;Factor_3[[#This Row],[Tendencia]]&amp;" "&amp;Factor_3[[#This Row],[Guias de Apoyo]]&amp;" "&amp;Factor_3[[#This Row],[Tendencia2]]</f>
        <v>5 + H -</v>
      </c>
      <c r="C336" s="199">
        <v>5</v>
      </c>
      <c r="D336" s="199" t="s">
        <v>117</v>
      </c>
      <c r="E336" s="199" t="s">
        <v>186</v>
      </c>
      <c r="F336" s="199" t="s">
        <v>78</v>
      </c>
      <c r="G336" s="251">
        <v>0.7</v>
      </c>
    </row>
    <row r="337" spans="2:7" hidden="1">
      <c r="B337" s="199" t="str">
        <f>Factor_3[[#This Row],[Complejidad Conceptual]]&amp;" "&amp;Factor_3[[#This Row],[Tendencia]]&amp;" "&amp;Factor_3[[#This Row],[Guias de Apoyo]]&amp;" "&amp;Factor_3[[#This Row],[Tendencia2]]</f>
        <v>5 + H o</v>
      </c>
      <c r="C337" s="199">
        <v>5</v>
      </c>
      <c r="D337" s="199" t="s">
        <v>117</v>
      </c>
      <c r="E337" s="199" t="s">
        <v>186</v>
      </c>
      <c r="F337" s="199" t="s">
        <v>97</v>
      </c>
      <c r="G337" s="251">
        <v>0.76</v>
      </c>
    </row>
    <row r="338" spans="2:7" hidden="1">
      <c r="B338" s="199" t="str">
        <f>Factor_3[[#This Row],[Complejidad Conceptual]]&amp;" "&amp;Factor_3[[#This Row],[Tendencia]]&amp;" "&amp;Factor_3[[#This Row],[Guias de Apoyo]]&amp;" "&amp;Factor_3[[#This Row],[Tendencia2]]</f>
        <v>5 + H +</v>
      </c>
      <c r="C338" s="199">
        <v>5</v>
      </c>
      <c r="D338" s="199" t="s">
        <v>117</v>
      </c>
      <c r="E338" s="199" t="s">
        <v>186</v>
      </c>
      <c r="F338" s="199" t="s">
        <v>117</v>
      </c>
      <c r="G338" s="251">
        <v>0.83</v>
      </c>
    </row>
    <row r="339" spans="2:7" hidden="1">
      <c r="B339" s="199" t="str">
        <f>Factor_3[[#This Row],[Complejidad Conceptual]]&amp;" "&amp;Factor_3[[#This Row],[Tendencia]]&amp;" "&amp;Factor_3[[#This Row],[Guias de Apoyo]]&amp;" "&amp;Factor_3[[#This Row],[Tendencia2]]</f>
        <v>5 o A -</v>
      </c>
      <c r="C339" s="199">
        <v>5</v>
      </c>
      <c r="D339" s="199" t="s">
        <v>97</v>
      </c>
      <c r="E339" s="199" t="s">
        <v>79</v>
      </c>
      <c r="F339" s="199" t="s">
        <v>78</v>
      </c>
      <c r="G339" s="251">
        <v>0.19</v>
      </c>
    </row>
    <row r="340" spans="2:7" hidden="1">
      <c r="B340" s="199" t="str">
        <f>Factor_3[[#This Row],[Complejidad Conceptual]]&amp;" "&amp;Factor_3[[#This Row],[Tendencia]]&amp;" "&amp;Factor_3[[#This Row],[Guias de Apoyo]]&amp;" "&amp;Factor_3[[#This Row],[Tendencia2]]</f>
        <v>5 o A o</v>
      </c>
      <c r="C340" s="199">
        <v>5</v>
      </c>
      <c r="D340" s="199" t="s">
        <v>97</v>
      </c>
      <c r="E340" s="199" t="s">
        <v>79</v>
      </c>
      <c r="F340" s="199" t="s">
        <v>97</v>
      </c>
      <c r="G340" s="251">
        <v>0.2</v>
      </c>
    </row>
    <row r="341" spans="2:7" hidden="1">
      <c r="B341" s="199" t="str">
        <f>Factor_3[[#This Row],[Complejidad Conceptual]]&amp;" "&amp;Factor_3[[#This Row],[Tendencia]]&amp;" "&amp;Factor_3[[#This Row],[Guias de Apoyo]]&amp;" "&amp;Factor_3[[#This Row],[Tendencia2]]</f>
        <v>5 o A +</v>
      </c>
      <c r="C341" s="199">
        <v>5</v>
      </c>
      <c r="D341" s="199" t="s">
        <v>97</v>
      </c>
      <c r="E341" s="199" t="s">
        <v>79</v>
      </c>
      <c r="F341" s="199" t="s">
        <v>117</v>
      </c>
      <c r="G341" s="251">
        <v>0.22</v>
      </c>
    </row>
    <row r="342" spans="2:7" hidden="1">
      <c r="B342" s="199" t="str">
        <f>Factor_3[[#This Row],[Complejidad Conceptual]]&amp;" "&amp;Factor_3[[#This Row],[Tendencia]]&amp;" "&amp;Factor_3[[#This Row],[Guias de Apoyo]]&amp;" "&amp;Factor_3[[#This Row],[Tendencia2]]</f>
        <v>5 o B -</v>
      </c>
      <c r="C342" s="199">
        <v>5</v>
      </c>
      <c r="D342" s="199" t="s">
        <v>97</v>
      </c>
      <c r="E342" s="199" t="s">
        <v>98</v>
      </c>
      <c r="F342" s="199" t="s">
        <v>78</v>
      </c>
      <c r="G342" s="251">
        <v>0.22</v>
      </c>
    </row>
    <row r="343" spans="2:7" hidden="1">
      <c r="B343" s="199" t="str">
        <f>Factor_3[[#This Row],[Complejidad Conceptual]]&amp;" "&amp;Factor_3[[#This Row],[Tendencia]]&amp;" "&amp;Factor_3[[#This Row],[Guias de Apoyo]]&amp;" "&amp;Factor_3[[#This Row],[Tendencia2]]</f>
        <v>5 o B o</v>
      </c>
      <c r="C343" s="199">
        <v>5</v>
      </c>
      <c r="D343" s="199" t="s">
        <v>97</v>
      </c>
      <c r="E343" s="199" t="s">
        <v>98</v>
      </c>
      <c r="F343" s="199" t="s">
        <v>97</v>
      </c>
      <c r="G343" s="251">
        <v>0.24</v>
      </c>
    </row>
    <row r="344" spans="2:7" hidden="1">
      <c r="B344" s="199" t="str">
        <f>Factor_3[[#This Row],[Complejidad Conceptual]]&amp;" "&amp;Factor_3[[#This Row],[Tendencia]]&amp;" "&amp;Factor_3[[#This Row],[Guias de Apoyo]]&amp;" "&amp;Factor_3[[#This Row],[Tendencia2]]</f>
        <v>5 o B +</v>
      </c>
      <c r="C344" s="199">
        <v>5</v>
      </c>
      <c r="D344" s="199" t="s">
        <v>97</v>
      </c>
      <c r="E344" s="199" t="s">
        <v>98</v>
      </c>
      <c r="F344" s="199" t="s">
        <v>117</v>
      </c>
      <c r="G344" s="251">
        <v>0.27</v>
      </c>
    </row>
    <row r="345" spans="2:7" hidden="1">
      <c r="B345" s="199" t="str">
        <f>Factor_3[[#This Row],[Complejidad Conceptual]]&amp;" "&amp;Factor_3[[#This Row],[Tendencia]]&amp;" "&amp;Factor_3[[#This Row],[Guias de Apoyo]]&amp;" "&amp;Factor_3[[#This Row],[Tendencia2]]</f>
        <v>5 o C -</v>
      </c>
      <c r="C345" s="199">
        <v>5</v>
      </c>
      <c r="D345" s="199" t="s">
        <v>97</v>
      </c>
      <c r="E345" s="199" t="s">
        <v>118</v>
      </c>
      <c r="F345" s="199" t="s">
        <v>78</v>
      </c>
      <c r="G345" s="251">
        <v>0.27</v>
      </c>
    </row>
    <row r="346" spans="2:7" hidden="1">
      <c r="B346" s="199" t="str">
        <f>Factor_3[[#This Row],[Complejidad Conceptual]]&amp;" "&amp;Factor_3[[#This Row],[Tendencia]]&amp;" "&amp;Factor_3[[#This Row],[Guias de Apoyo]]&amp;" "&amp;Factor_3[[#This Row],[Tendencia2]]</f>
        <v>5 o C o</v>
      </c>
      <c r="C346" s="199">
        <v>5</v>
      </c>
      <c r="D346" s="199" t="s">
        <v>97</v>
      </c>
      <c r="E346" s="199" t="s">
        <v>118</v>
      </c>
      <c r="F346" s="199" t="s">
        <v>97</v>
      </c>
      <c r="G346" s="251">
        <v>0.28999999999999998</v>
      </c>
    </row>
    <row r="347" spans="2:7" hidden="1">
      <c r="B347" s="199" t="str">
        <f>Factor_3[[#This Row],[Complejidad Conceptual]]&amp;" "&amp;Factor_3[[#This Row],[Tendencia]]&amp;" "&amp;Factor_3[[#This Row],[Guias de Apoyo]]&amp;" "&amp;Factor_3[[#This Row],[Tendencia2]]</f>
        <v>5 o C +</v>
      </c>
      <c r="C347" s="199">
        <v>5</v>
      </c>
      <c r="D347" s="199" t="s">
        <v>97</v>
      </c>
      <c r="E347" s="199" t="s">
        <v>118</v>
      </c>
      <c r="F347" s="199" t="s">
        <v>117</v>
      </c>
      <c r="G347" s="251">
        <v>0.32</v>
      </c>
    </row>
    <row r="348" spans="2:7" hidden="1">
      <c r="B348" s="199" t="str">
        <f>Factor_3[[#This Row],[Complejidad Conceptual]]&amp;" "&amp;Factor_3[[#This Row],[Tendencia]]&amp;" "&amp;Factor_3[[#This Row],[Guias de Apoyo]]&amp;" "&amp;Factor_3[[#This Row],[Tendencia2]]</f>
        <v>5 o D -</v>
      </c>
      <c r="C348" s="199">
        <v>5</v>
      </c>
      <c r="D348" s="199" t="s">
        <v>97</v>
      </c>
      <c r="E348" s="199" t="s">
        <v>137</v>
      </c>
      <c r="F348" s="199" t="s">
        <v>78</v>
      </c>
      <c r="G348" s="251">
        <v>0.32</v>
      </c>
    </row>
    <row r="349" spans="2:7" hidden="1">
      <c r="B349" s="199" t="str">
        <f>Factor_3[[#This Row],[Complejidad Conceptual]]&amp;" "&amp;Factor_3[[#This Row],[Tendencia]]&amp;" "&amp;Factor_3[[#This Row],[Guias de Apoyo]]&amp;" "&amp;Factor_3[[#This Row],[Tendencia2]]</f>
        <v>5 o D o</v>
      </c>
      <c r="C349" s="199">
        <v>5</v>
      </c>
      <c r="D349" s="199" t="s">
        <v>97</v>
      </c>
      <c r="E349" s="199" t="s">
        <v>137</v>
      </c>
      <c r="F349" s="199" t="s">
        <v>97</v>
      </c>
      <c r="G349" s="251">
        <v>0.34</v>
      </c>
    </row>
    <row r="350" spans="2:7" hidden="1">
      <c r="B350" s="199" t="str">
        <f>Factor_3[[#This Row],[Complejidad Conceptual]]&amp;" "&amp;Factor_3[[#This Row],[Tendencia]]&amp;" "&amp;Factor_3[[#This Row],[Guias de Apoyo]]&amp;" "&amp;Factor_3[[#This Row],[Tendencia2]]</f>
        <v>5 o D +</v>
      </c>
      <c r="C350" s="199">
        <v>5</v>
      </c>
      <c r="D350" s="199" t="s">
        <v>97</v>
      </c>
      <c r="E350" s="199" t="s">
        <v>137</v>
      </c>
      <c r="F350" s="199" t="s">
        <v>117</v>
      </c>
      <c r="G350" s="251">
        <v>0.38</v>
      </c>
    </row>
    <row r="351" spans="2:7" hidden="1">
      <c r="B351" s="199" t="str">
        <f>Factor_3[[#This Row],[Complejidad Conceptual]]&amp;" "&amp;Factor_3[[#This Row],[Tendencia]]&amp;" "&amp;Factor_3[[#This Row],[Guias de Apoyo]]&amp;" "&amp;Factor_3[[#This Row],[Tendencia2]]</f>
        <v>5 o E -</v>
      </c>
      <c r="C351" s="199">
        <v>5</v>
      </c>
      <c r="D351" s="199" t="s">
        <v>97</v>
      </c>
      <c r="E351" s="199" t="s">
        <v>155</v>
      </c>
      <c r="F351" s="199" t="s">
        <v>78</v>
      </c>
      <c r="G351" s="251">
        <v>0.38</v>
      </c>
    </row>
    <row r="352" spans="2:7" hidden="1">
      <c r="B352" s="199" t="str">
        <f>Factor_3[[#This Row],[Complejidad Conceptual]]&amp;" "&amp;Factor_3[[#This Row],[Tendencia]]&amp;" "&amp;Factor_3[[#This Row],[Guias de Apoyo]]&amp;" "&amp;Factor_3[[#This Row],[Tendencia2]]</f>
        <v>5 o E o</v>
      </c>
      <c r="C352" s="199">
        <v>5</v>
      </c>
      <c r="D352" s="199" t="s">
        <v>97</v>
      </c>
      <c r="E352" s="199" t="s">
        <v>155</v>
      </c>
      <c r="F352" s="199" t="s">
        <v>97</v>
      </c>
      <c r="G352" s="251">
        <v>0.41</v>
      </c>
    </row>
    <row r="353" spans="2:7" hidden="1">
      <c r="B353" s="199" t="str">
        <f>Factor_3[[#This Row],[Complejidad Conceptual]]&amp;" "&amp;Factor_3[[#This Row],[Tendencia]]&amp;" "&amp;Factor_3[[#This Row],[Guias de Apoyo]]&amp;" "&amp;Factor_3[[#This Row],[Tendencia2]]</f>
        <v>5 o E +</v>
      </c>
      <c r="C353" s="199">
        <v>5</v>
      </c>
      <c r="D353" s="199" t="s">
        <v>97</v>
      </c>
      <c r="E353" s="199" t="s">
        <v>155</v>
      </c>
      <c r="F353" s="199" t="s">
        <v>117</v>
      </c>
      <c r="G353" s="251">
        <v>0.45</v>
      </c>
    </row>
    <row r="354" spans="2:7" hidden="1">
      <c r="B354" s="199" t="str">
        <f>Factor_3[[#This Row],[Complejidad Conceptual]]&amp;" "&amp;Factor_3[[#This Row],[Tendencia]]&amp;" "&amp;Factor_3[[#This Row],[Guias de Apoyo]]&amp;" "&amp;Factor_3[[#This Row],[Tendencia2]]</f>
        <v>5 o F -</v>
      </c>
      <c r="C354" s="199">
        <v>5</v>
      </c>
      <c r="D354" s="199" t="s">
        <v>97</v>
      </c>
      <c r="E354" s="199" t="s">
        <v>169</v>
      </c>
      <c r="F354" s="199" t="s">
        <v>78</v>
      </c>
      <c r="G354" s="251">
        <v>0.45</v>
      </c>
    </row>
    <row r="355" spans="2:7" hidden="1">
      <c r="B355" s="199" t="str">
        <f>Factor_3[[#This Row],[Complejidad Conceptual]]&amp;" "&amp;Factor_3[[#This Row],[Tendencia]]&amp;" "&amp;Factor_3[[#This Row],[Guias de Apoyo]]&amp;" "&amp;Factor_3[[#This Row],[Tendencia2]]</f>
        <v>5 o F o</v>
      </c>
      <c r="C355" s="199">
        <v>5</v>
      </c>
      <c r="D355" s="199" t="s">
        <v>97</v>
      </c>
      <c r="E355" s="199" t="s">
        <v>169</v>
      </c>
      <c r="F355" s="199" t="s">
        <v>97</v>
      </c>
      <c r="G355" s="251">
        <v>0.49</v>
      </c>
    </row>
    <row r="356" spans="2:7" hidden="1">
      <c r="B356" s="199" t="str">
        <f>Factor_3[[#This Row],[Complejidad Conceptual]]&amp;" "&amp;Factor_3[[#This Row],[Tendencia]]&amp;" "&amp;Factor_3[[#This Row],[Guias de Apoyo]]&amp;" "&amp;Factor_3[[#This Row],[Tendencia2]]</f>
        <v>5 o F +</v>
      </c>
      <c r="C356" s="199">
        <v>5</v>
      </c>
      <c r="D356" s="199" t="s">
        <v>97</v>
      </c>
      <c r="E356" s="199" t="s">
        <v>169</v>
      </c>
      <c r="F356" s="199" t="s">
        <v>117</v>
      </c>
      <c r="G356" s="251">
        <v>0.53</v>
      </c>
    </row>
    <row r="357" spans="2:7" hidden="1">
      <c r="B357" s="199" t="str">
        <f>Factor_3[[#This Row],[Complejidad Conceptual]]&amp;" "&amp;Factor_3[[#This Row],[Tendencia]]&amp;" "&amp;Factor_3[[#This Row],[Guias de Apoyo]]&amp;" "&amp;Factor_3[[#This Row],[Tendencia2]]</f>
        <v>5 o G -</v>
      </c>
      <c r="C357" s="199">
        <v>5</v>
      </c>
      <c r="D357" s="199" t="s">
        <v>97</v>
      </c>
      <c r="E357" s="199" t="s">
        <v>18</v>
      </c>
      <c r="F357" s="199" t="s">
        <v>78</v>
      </c>
      <c r="G357" s="251">
        <v>0.53</v>
      </c>
    </row>
    <row r="358" spans="2:7" hidden="1">
      <c r="B358" s="199" t="str">
        <f>Factor_3[[#This Row],[Complejidad Conceptual]]&amp;" "&amp;Factor_3[[#This Row],[Tendencia]]&amp;" "&amp;Factor_3[[#This Row],[Guias de Apoyo]]&amp;" "&amp;Factor_3[[#This Row],[Tendencia2]]</f>
        <v>5 o G o</v>
      </c>
      <c r="C358" s="199">
        <v>5</v>
      </c>
      <c r="D358" s="199" t="s">
        <v>97</v>
      </c>
      <c r="E358" s="199" t="s">
        <v>18</v>
      </c>
      <c r="F358" s="199" t="s">
        <v>97</v>
      </c>
      <c r="G358" s="251">
        <v>0.57999999999999996</v>
      </c>
    </row>
    <row r="359" spans="2:7" hidden="1">
      <c r="B359" s="199" t="str">
        <f>Factor_3[[#This Row],[Complejidad Conceptual]]&amp;" "&amp;Factor_3[[#This Row],[Tendencia]]&amp;" "&amp;Factor_3[[#This Row],[Guias de Apoyo]]&amp;" "&amp;Factor_3[[#This Row],[Tendencia2]]</f>
        <v>5 o G +</v>
      </c>
      <c r="C359" s="199">
        <v>5</v>
      </c>
      <c r="D359" s="199" t="s">
        <v>97</v>
      </c>
      <c r="E359" s="199" t="s">
        <v>18</v>
      </c>
      <c r="F359" s="199" t="s">
        <v>117</v>
      </c>
      <c r="G359" s="251">
        <v>0.64</v>
      </c>
    </row>
    <row r="360" spans="2:7" hidden="1">
      <c r="B360" s="199" t="str">
        <f>Factor_3[[#This Row],[Complejidad Conceptual]]&amp;" "&amp;Factor_3[[#This Row],[Tendencia]]&amp;" "&amp;Factor_3[[#This Row],[Guias de Apoyo]]&amp;" "&amp;Factor_3[[#This Row],[Tendencia2]]</f>
        <v>5 o H -</v>
      </c>
      <c r="C360" s="199">
        <v>5</v>
      </c>
      <c r="D360" s="199" t="s">
        <v>97</v>
      </c>
      <c r="E360" s="199" t="s">
        <v>186</v>
      </c>
      <c r="F360" s="199" t="s">
        <v>78</v>
      </c>
      <c r="G360" s="251">
        <v>0.64</v>
      </c>
    </row>
    <row r="361" spans="2:7" hidden="1">
      <c r="B361" s="199" t="str">
        <f>Factor_3[[#This Row],[Complejidad Conceptual]]&amp;" "&amp;Factor_3[[#This Row],[Tendencia]]&amp;" "&amp;Factor_3[[#This Row],[Guias de Apoyo]]&amp;" "&amp;Factor_3[[#This Row],[Tendencia2]]</f>
        <v>5 o H o</v>
      </c>
      <c r="C361" s="199">
        <v>5</v>
      </c>
      <c r="D361" s="199" t="s">
        <v>97</v>
      </c>
      <c r="E361" s="199" t="s">
        <v>186</v>
      </c>
      <c r="F361" s="199" t="s">
        <v>97</v>
      </c>
      <c r="G361" s="251">
        <v>0.7</v>
      </c>
    </row>
    <row r="362" spans="2:7" hidden="1">
      <c r="B362" s="247" t="str">
        <f>Factor_3[[#This Row],[Complejidad Conceptual]]&amp;" "&amp;Factor_3[[#This Row],[Tendencia]]&amp;" "&amp;Factor_3[[#This Row],[Guias de Apoyo]]&amp;" "&amp;Factor_3[[#This Row],[Tendencia2]]</f>
        <v>5 o H +</v>
      </c>
      <c r="C362" s="247">
        <v>5</v>
      </c>
      <c r="D362" s="247" t="s">
        <v>97</v>
      </c>
      <c r="E362" s="247" t="s">
        <v>186</v>
      </c>
      <c r="F362" s="247" t="s">
        <v>117</v>
      </c>
      <c r="G362" s="252">
        <v>0.76</v>
      </c>
    </row>
    <row r="363" spans="2:7"/>
  </sheetData>
  <sheetProtection password="E91B" sheet="1" objects="1" scenarios="1"/>
  <pageMargins left="0.7" right="0.7" top="0.75" bottom="0.75" header="0.3" footer="0.3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1">
    <tabColor rgb="FF3F80CD"/>
  </sheetPr>
  <dimension ref="A1:G395"/>
  <sheetViews>
    <sheetView workbookViewId="0"/>
  </sheetViews>
  <sheetFormatPr baseColWidth="10" defaultColWidth="0" defaultRowHeight="13.8" zeroHeight="1"/>
  <cols>
    <col min="1" max="1" width="2.5546875" style="16" customWidth="1"/>
    <col min="2" max="6" width="10.5546875" style="16" customWidth="1"/>
    <col min="7" max="7" width="2.5546875" style="16" customWidth="1"/>
    <col min="8" max="16384" width="9.44140625" style="16" hidden="1"/>
  </cols>
  <sheetData>
    <row r="1" spans="2:6"/>
    <row r="2" spans="2:6" ht="30" customHeight="1">
      <c r="B2" s="245" t="s">
        <v>889</v>
      </c>
      <c r="C2" s="216" t="s">
        <v>74</v>
      </c>
      <c r="D2" s="245" t="s">
        <v>75</v>
      </c>
      <c r="E2" s="216" t="s">
        <v>76</v>
      </c>
      <c r="F2" s="216" t="s">
        <v>9</v>
      </c>
    </row>
    <row r="3" spans="2:6" hidden="1">
      <c r="B3" s="199" t="str">
        <f>Factor_4[[#This Row],[Impacto del cargo]]&amp;" "&amp;Factor_4[[#This Row],[Autonomia]]&amp;" "&amp;Factor_4[[#This Row],[Magnitud de Cifras]]</f>
        <v>I A 1</v>
      </c>
      <c r="C3" s="199" t="s">
        <v>81</v>
      </c>
      <c r="D3" s="199" t="s">
        <v>79</v>
      </c>
      <c r="E3" s="199">
        <v>1</v>
      </c>
      <c r="F3" s="199">
        <v>30</v>
      </c>
    </row>
    <row r="4" spans="2:6" hidden="1">
      <c r="B4" s="199" t="str">
        <f>Factor_4[[#This Row],[Impacto del cargo]]&amp;" "&amp;Factor_4[[#This Row],[Autonomia]]&amp;" "&amp;Factor_4[[#This Row],[Magnitud de Cifras]]</f>
        <v>I A 2</v>
      </c>
      <c r="C4" s="199" t="s">
        <v>81</v>
      </c>
      <c r="D4" s="199" t="s">
        <v>79</v>
      </c>
      <c r="E4" s="199">
        <v>2</v>
      </c>
      <c r="F4" s="199">
        <v>41</v>
      </c>
    </row>
    <row r="5" spans="2:6" hidden="1">
      <c r="B5" s="199" t="str">
        <f>Factor_4[[#This Row],[Impacto del cargo]]&amp;" "&amp;Factor_4[[#This Row],[Autonomia]]&amp;" "&amp;Factor_4[[#This Row],[Magnitud de Cifras]]</f>
        <v>I A 3</v>
      </c>
      <c r="C5" s="199" t="s">
        <v>81</v>
      </c>
      <c r="D5" s="199" t="s">
        <v>79</v>
      </c>
      <c r="E5" s="199">
        <v>3</v>
      </c>
      <c r="F5" s="199">
        <v>45</v>
      </c>
    </row>
    <row r="6" spans="2:6" hidden="1">
      <c r="B6" s="199" t="str">
        <f>Factor_4[[#This Row],[Impacto del cargo]]&amp;" "&amp;Factor_4[[#This Row],[Autonomia]]&amp;" "&amp;Factor_4[[#This Row],[Magnitud de Cifras]]</f>
        <v>I A 4</v>
      </c>
      <c r="C6" s="199" t="s">
        <v>81</v>
      </c>
      <c r="D6" s="199" t="s">
        <v>79</v>
      </c>
      <c r="E6" s="199">
        <v>4</v>
      </c>
      <c r="F6" s="199">
        <v>49</v>
      </c>
    </row>
    <row r="7" spans="2:6" hidden="1">
      <c r="B7" s="199" t="str">
        <f>Factor_4[[#This Row],[Impacto del cargo]]&amp;" "&amp;Factor_4[[#This Row],[Autonomia]]&amp;" "&amp;Factor_4[[#This Row],[Magnitud de Cifras]]</f>
        <v>I A 5</v>
      </c>
      <c r="C7" s="199" t="s">
        <v>81</v>
      </c>
      <c r="D7" s="199" t="s">
        <v>79</v>
      </c>
      <c r="E7" s="199">
        <v>5</v>
      </c>
      <c r="F7" s="199">
        <v>54</v>
      </c>
    </row>
    <row r="8" spans="2:6" hidden="1">
      <c r="B8" s="199" t="str">
        <f>Factor_4[[#This Row],[Impacto del cargo]]&amp;" "&amp;Factor_4[[#This Row],[Autonomia]]&amp;" "&amp;Factor_4[[#This Row],[Magnitud de Cifras]]</f>
        <v>I A 6</v>
      </c>
      <c r="C8" s="199" t="s">
        <v>81</v>
      </c>
      <c r="D8" s="199" t="s">
        <v>79</v>
      </c>
      <c r="E8" s="199">
        <v>6</v>
      </c>
      <c r="F8" s="199">
        <v>59</v>
      </c>
    </row>
    <row r="9" spans="2:6" hidden="1">
      <c r="B9" s="199" t="str">
        <f>Factor_4[[#This Row],[Impacto del cargo]]&amp;" "&amp;Factor_4[[#This Row],[Autonomia]]&amp;" "&amp;Factor_4[[#This Row],[Magnitud de Cifras]]</f>
        <v>I A 7</v>
      </c>
      <c r="C9" s="199" t="s">
        <v>81</v>
      </c>
      <c r="D9" s="199" t="s">
        <v>79</v>
      </c>
      <c r="E9" s="199">
        <v>7</v>
      </c>
      <c r="F9" s="199">
        <v>65</v>
      </c>
    </row>
    <row r="10" spans="2:6" hidden="1">
      <c r="B10" s="199" t="str">
        <f>Factor_4[[#This Row],[Impacto del cargo]]&amp;" "&amp;Factor_4[[#This Row],[Autonomia]]&amp;" "&amp;Factor_4[[#This Row],[Magnitud de Cifras]]</f>
        <v>I A 8</v>
      </c>
      <c r="C10" s="199" t="s">
        <v>81</v>
      </c>
      <c r="D10" s="199" t="s">
        <v>79</v>
      </c>
      <c r="E10" s="199">
        <v>8</v>
      </c>
      <c r="F10" s="199">
        <v>71</v>
      </c>
    </row>
    <row r="11" spans="2:6" hidden="1">
      <c r="B11" s="199" t="str">
        <f>Factor_4[[#This Row],[Impacto del cargo]]&amp;" "&amp;Factor_4[[#This Row],[Autonomia]]&amp;" "&amp;Factor_4[[#This Row],[Magnitud de Cifras]]</f>
        <v>I A 9</v>
      </c>
      <c r="C11" s="199" t="s">
        <v>81</v>
      </c>
      <c r="D11" s="199" t="s">
        <v>79</v>
      </c>
      <c r="E11" s="199">
        <v>9</v>
      </c>
      <c r="F11" s="199">
        <v>78</v>
      </c>
    </row>
    <row r="12" spans="2:6" hidden="1">
      <c r="B12" s="199" t="str">
        <f>Factor_4[[#This Row],[Impacto del cargo]]&amp;" "&amp;Factor_4[[#This Row],[Autonomia]]&amp;" "&amp;Factor_4[[#This Row],[Magnitud de Cifras]]</f>
        <v>I A 10</v>
      </c>
      <c r="C12" s="199" t="s">
        <v>81</v>
      </c>
      <c r="D12" s="199" t="s">
        <v>79</v>
      </c>
      <c r="E12" s="199">
        <v>10</v>
      </c>
      <c r="F12" s="199">
        <v>85</v>
      </c>
    </row>
    <row r="13" spans="2:6" hidden="1">
      <c r="B13" s="199" t="str">
        <f>Factor_4[[#This Row],[Impacto del cargo]]&amp;" "&amp;Factor_4[[#This Row],[Autonomia]]&amp;" "&amp;Factor_4[[#This Row],[Magnitud de Cifras]]</f>
        <v>I A 11</v>
      </c>
      <c r="C13" s="199" t="s">
        <v>81</v>
      </c>
      <c r="D13" s="199" t="s">
        <v>79</v>
      </c>
      <c r="E13" s="199">
        <v>11</v>
      </c>
      <c r="F13" s="199">
        <v>94</v>
      </c>
    </row>
    <row r="14" spans="2:6" hidden="1">
      <c r="B14" s="199" t="str">
        <f>Factor_4[[#This Row],[Impacto del cargo]]&amp;" "&amp;Factor_4[[#This Row],[Autonomia]]&amp;" "&amp;Factor_4[[#This Row],[Magnitud de Cifras]]</f>
        <v>I A 12</v>
      </c>
      <c r="C14" s="199" t="s">
        <v>81</v>
      </c>
      <c r="D14" s="199" t="s">
        <v>79</v>
      </c>
      <c r="E14" s="199">
        <v>12</v>
      </c>
      <c r="F14" s="199">
        <v>103</v>
      </c>
    </row>
    <row r="15" spans="2:6" hidden="1">
      <c r="B15" s="199" t="str">
        <f>Factor_4[[#This Row],[Impacto del cargo]]&amp;" "&amp;Factor_4[[#This Row],[Autonomia]]&amp;" "&amp;Factor_4[[#This Row],[Magnitud de Cifras]]</f>
        <v>I A 13</v>
      </c>
      <c r="C15" s="199" t="s">
        <v>81</v>
      </c>
      <c r="D15" s="199" t="s">
        <v>79</v>
      </c>
      <c r="E15" s="199">
        <v>13</v>
      </c>
      <c r="F15" s="199">
        <v>114</v>
      </c>
    </row>
    <row r="16" spans="2:6" hidden="1">
      <c r="B16" s="199" t="str">
        <f>Factor_4[[#This Row],[Impacto del cargo]]&amp;" "&amp;Factor_4[[#This Row],[Autonomia]]&amp;" "&amp;Factor_4[[#This Row],[Magnitud de Cifras]]</f>
        <v>I A 14</v>
      </c>
      <c r="C16" s="199" t="s">
        <v>81</v>
      </c>
      <c r="D16" s="199" t="s">
        <v>79</v>
      </c>
      <c r="E16" s="199">
        <v>14</v>
      </c>
      <c r="F16" s="199">
        <v>125</v>
      </c>
    </row>
    <row r="17" spans="2:6" hidden="1">
      <c r="B17" s="199" t="str">
        <f>Factor_4[[#This Row],[Impacto del cargo]]&amp;" "&amp;Factor_4[[#This Row],[Autonomia]]&amp;" "&amp;Factor_4[[#This Row],[Magnitud de Cifras]]</f>
        <v>II A 1</v>
      </c>
      <c r="C17" s="199" t="s">
        <v>100</v>
      </c>
      <c r="D17" s="199" t="s">
        <v>79</v>
      </c>
      <c r="E17" s="199">
        <v>1</v>
      </c>
      <c r="F17" s="199">
        <v>39</v>
      </c>
    </row>
    <row r="18" spans="2:6" hidden="1">
      <c r="B18" s="199" t="str">
        <f>Factor_4[[#This Row],[Impacto del cargo]]&amp;" "&amp;Factor_4[[#This Row],[Autonomia]]&amp;" "&amp;Factor_4[[#This Row],[Magnitud de Cifras]]</f>
        <v>II A 2</v>
      </c>
      <c r="C18" s="199" t="s">
        <v>100</v>
      </c>
      <c r="D18" s="199" t="s">
        <v>79</v>
      </c>
      <c r="E18" s="199">
        <v>2</v>
      </c>
      <c r="F18" s="199">
        <v>52</v>
      </c>
    </row>
    <row r="19" spans="2:6" hidden="1">
      <c r="B19" s="199" t="str">
        <f>Factor_4[[#This Row],[Impacto del cargo]]&amp;" "&amp;Factor_4[[#This Row],[Autonomia]]&amp;" "&amp;Factor_4[[#This Row],[Magnitud de Cifras]]</f>
        <v>II A 3</v>
      </c>
      <c r="C19" s="199" t="s">
        <v>100</v>
      </c>
      <c r="D19" s="199" t="s">
        <v>79</v>
      </c>
      <c r="E19" s="199">
        <v>3</v>
      </c>
      <c r="F19" s="199">
        <v>57</v>
      </c>
    </row>
    <row r="20" spans="2:6" hidden="1">
      <c r="B20" s="199" t="str">
        <f>Factor_4[[#This Row],[Impacto del cargo]]&amp;" "&amp;Factor_4[[#This Row],[Autonomia]]&amp;" "&amp;Factor_4[[#This Row],[Magnitud de Cifras]]</f>
        <v>II A 4</v>
      </c>
      <c r="C20" s="199" t="s">
        <v>100</v>
      </c>
      <c r="D20" s="199" t="s">
        <v>79</v>
      </c>
      <c r="E20" s="199">
        <v>4</v>
      </c>
      <c r="F20" s="199">
        <v>62</v>
      </c>
    </row>
    <row r="21" spans="2:6" hidden="1">
      <c r="B21" s="199" t="str">
        <f>Factor_4[[#This Row],[Impacto del cargo]]&amp;" "&amp;Factor_4[[#This Row],[Autonomia]]&amp;" "&amp;Factor_4[[#This Row],[Magnitud de Cifras]]</f>
        <v>II A 5</v>
      </c>
      <c r="C21" s="199" t="s">
        <v>100</v>
      </c>
      <c r="D21" s="199" t="s">
        <v>79</v>
      </c>
      <c r="E21" s="199">
        <v>5</v>
      </c>
      <c r="F21" s="199">
        <v>67</v>
      </c>
    </row>
    <row r="22" spans="2:6" hidden="1">
      <c r="B22" s="199" t="str">
        <f>Factor_4[[#This Row],[Impacto del cargo]]&amp;" "&amp;Factor_4[[#This Row],[Autonomia]]&amp;" "&amp;Factor_4[[#This Row],[Magnitud de Cifras]]</f>
        <v>II A 6</v>
      </c>
      <c r="C22" s="199" t="s">
        <v>100</v>
      </c>
      <c r="D22" s="199" t="s">
        <v>79</v>
      </c>
      <c r="E22" s="199">
        <v>6</v>
      </c>
      <c r="F22" s="199">
        <v>73</v>
      </c>
    </row>
    <row r="23" spans="2:6" hidden="1">
      <c r="B23" s="199" t="str">
        <f>Factor_4[[#This Row],[Impacto del cargo]]&amp;" "&amp;Factor_4[[#This Row],[Autonomia]]&amp;" "&amp;Factor_4[[#This Row],[Magnitud de Cifras]]</f>
        <v>II A 7</v>
      </c>
      <c r="C23" s="199" t="s">
        <v>100</v>
      </c>
      <c r="D23" s="199" t="s">
        <v>79</v>
      </c>
      <c r="E23" s="199">
        <v>7</v>
      </c>
      <c r="F23" s="199">
        <v>80</v>
      </c>
    </row>
    <row r="24" spans="2:6" hidden="1">
      <c r="B24" s="199" t="str">
        <f>Factor_4[[#This Row],[Impacto del cargo]]&amp;" "&amp;Factor_4[[#This Row],[Autonomia]]&amp;" "&amp;Factor_4[[#This Row],[Magnitud de Cifras]]</f>
        <v>II A 8</v>
      </c>
      <c r="C24" s="199" t="s">
        <v>100</v>
      </c>
      <c r="D24" s="199" t="s">
        <v>79</v>
      </c>
      <c r="E24" s="199">
        <v>8</v>
      </c>
      <c r="F24" s="199">
        <v>87</v>
      </c>
    </row>
    <row r="25" spans="2:6" hidden="1">
      <c r="B25" s="199" t="str">
        <f>Factor_4[[#This Row],[Impacto del cargo]]&amp;" "&amp;Factor_4[[#This Row],[Autonomia]]&amp;" "&amp;Factor_4[[#This Row],[Magnitud de Cifras]]</f>
        <v>II A 9</v>
      </c>
      <c r="C25" s="199" t="s">
        <v>100</v>
      </c>
      <c r="D25" s="199" t="s">
        <v>79</v>
      </c>
      <c r="E25" s="199">
        <v>9</v>
      </c>
      <c r="F25" s="199">
        <v>95</v>
      </c>
    </row>
    <row r="26" spans="2:6" hidden="1">
      <c r="B26" s="199" t="str">
        <f>Factor_4[[#This Row],[Impacto del cargo]]&amp;" "&amp;Factor_4[[#This Row],[Autonomia]]&amp;" "&amp;Factor_4[[#This Row],[Magnitud de Cifras]]</f>
        <v>II A 10</v>
      </c>
      <c r="C26" s="199" t="s">
        <v>100</v>
      </c>
      <c r="D26" s="199" t="s">
        <v>79</v>
      </c>
      <c r="E26" s="199">
        <v>10</v>
      </c>
      <c r="F26" s="199">
        <v>104</v>
      </c>
    </row>
    <row r="27" spans="2:6" hidden="1">
      <c r="B27" s="199" t="str">
        <f>Factor_4[[#This Row],[Impacto del cargo]]&amp;" "&amp;Factor_4[[#This Row],[Autonomia]]&amp;" "&amp;Factor_4[[#This Row],[Magnitud de Cifras]]</f>
        <v>II A 11</v>
      </c>
      <c r="C27" s="199" t="s">
        <v>100</v>
      </c>
      <c r="D27" s="199" t="s">
        <v>79</v>
      </c>
      <c r="E27" s="199">
        <v>11</v>
      </c>
      <c r="F27" s="199">
        <v>114</v>
      </c>
    </row>
    <row r="28" spans="2:6" hidden="1">
      <c r="B28" s="199" t="str">
        <f>Factor_4[[#This Row],[Impacto del cargo]]&amp;" "&amp;Factor_4[[#This Row],[Autonomia]]&amp;" "&amp;Factor_4[[#This Row],[Magnitud de Cifras]]</f>
        <v>II A 12</v>
      </c>
      <c r="C28" s="199" t="s">
        <v>100</v>
      </c>
      <c r="D28" s="199" t="s">
        <v>79</v>
      </c>
      <c r="E28" s="199">
        <v>12</v>
      </c>
      <c r="F28" s="199">
        <v>125</v>
      </c>
    </row>
    <row r="29" spans="2:6" hidden="1">
      <c r="B29" s="199" t="str">
        <f>Factor_4[[#This Row],[Impacto del cargo]]&amp;" "&amp;Factor_4[[#This Row],[Autonomia]]&amp;" "&amp;Factor_4[[#This Row],[Magnitud de Cifras]]</f>
        <v>II A 13</v>
      </c>
      <c r="C29" s="199" t="s">
        <v>100</v>
      </c>
      <c r="D29" s="199" t="s">
        <v>79</v>
      </c>
      <c r="E29" s="199">
        <v>13</v>
      </c>
      <c r="F29" s="199">
        <v>137</v>
      </c>
    </row>
    <row r="30" spans="2:6" hidden="1">
      <c r="B30" s="199" t="str">
        <f>Factor_4[[#This Row],[Impacto del cargo]]&amp;" "&amp;Factor_4[[#This Row],[Autonomia]]&amp;" "&amp;Factor_4[[#This Row],[Magnitud de Cifras]]</f>
        <v>II A 14</v>
      </c>
      <c r="C30" s="199" t="s">
        <v>100</v>
      </c>
      <c r="D30" s="199" t="s">
        <v>79</v>
      </c>
      <c r="E30" s="199">
        <v>14</v>
      </c>
      <c r="F30" s="199">
        <v>151</v>
      </c>
    </row>
    <row r="31" spans="2:6" hidden="1">
      <c r="B31" s="199" t="str">
        <f>Factor_4[[#This Row],[Impacto del cargo]]&amp;" "&amp;Factor_4[[#This Row],[Autonomia]]&amp;" "&amp;Factor_4[[#This Row],[Magnitud de Cifras]]</f>
        <v>III A 1</v>
      </c>
      <c r="C31" s="199" t="s">
        <v>120</v>
      </c>
      <c r="D31" s="199" t="s">
        <v>79</v>
      </c>
      <c r="E31" s="199">
        <v>1</v>
      </c>
      <c r="F31" s="199">
        <v>53</v>
      </c>
    </row>
    <row r="32" spans="2:6" hidden="1">
      <c r="B32" s="199" t="str">
        <f>Factor_4[[#This Row],[Impacto del cargo]]&amp;" "&amp;Factor_4[[#This Row],[Autonomia]]&amp;" "&amp;Factor_4[[#This Row],[Magnitud de Cifras]]</f>
        <v>III A 2</v>
      </c>
      <c r="C32" s="199" t="s">
        <v>120</v>
      </c>
      <c r="D32" s="199" t="s">
        <v>79</v>
      </c>
      <c r="E32" s="199">
        <v>2</v>
      </c>
      <c r="F32" s="199">
        <v>66</v>
      </c>
    </row>
    <row r="33" spans="2:6" hidden="1">
      <c r="B33" s="199" t="str">
        <f>Factor_4[[#This Row],[Impacto del cargo]]&amp;" "&amp;Factor_4[[#This Row],[Autonomia]]&amp;" "&amp;Factor_4[[#This Row],[Magnitud de Cifras]]</f>
        <v>III A 3</v>
      </c>
      <c r="C33" s="199" t="s">
        <v>120</v>
      </c>
      <c r="D33" s="199" t="s">
        <v>79</v>
      </c>
      <c r="E33" s="199">
        <v>3</v>
      </c>
      <c r="F33" s="199">
        <v>72</v>
      </c>
    </row>
    <row r="34" spans="2:6" hidden="1">
      <c r="B34" s="199" t="str">
        <f>Factor_4[[#This Row],[Impacto del cargo]]&amp;" "&amp;Factor_4[[#This Row],[Autonomia]]&amp;" "&amp;Factor_4[[#This Row],[Magnitud de Cifras]]</f>
        <v>III A 4</v>
      </c>
      <c r="C34" s="199" t="s">
        <v>120</v>
      </c>
      <c r="D34" s="199" t="s">
        <v>79</v>
      </c>
      <c r="E34" s="199">
        <v>4</v>
      </c>
      <c r="F34" s="199">
        <v>78</v>
      </c>
    </row>
    <row r="35" spans="2:6" hidden="1">
      <c r="B35" s="199" t="str">
        <f>Factor_4[[#This Row],[Impacto del cargo]]&amp;" "&amp;Factor_4[[#This Row],[Autonomia]]&amp;" "&amp;Factor_4[[#This Row],[Magnitud de Cifras]]</f>
        <v>III A 5</v>
      </c>
      <c r="C35" s="199" t="s">
        <v>120</v>
      </c>
      <c r="D35" s="199" t="s">
        <v>79</v>
      </c>
      <c r="E35" s="199">
        <v>5</v>
      </c>
      <c r="F35" s="199">
        <v>85</v>
      </c>
    </row>
    <row r="36" spans="2:6" hidden="1">
      <c r="B36" s="199" t="str">
        <f>Factor_4[[#This Row],[Impacto del cargo]]&amp;" "&amp;Factor_4[[#This Row],[Autonomia]]&amp;" "&amp;Factor_4[[#This Row],[Magnitud de Cifras]]</f>
        <v>III A 6</v>
      </c>
      <c r="C36" s="199" t="s">
        <v>120</v>
      </c>
      <c r="D36" s="199" t="s">
        <v>79</v>
      </c>
      <c r="E36" s="199">
        <v>6</v>
      </c>
      <c r="F36" s="199">
        <v>92</v>
      </c>
    </row>
    <row r="37" spans="2:6" hidden="1">
      <c r="B37" s="199" t="str">
        <f>Factor_4[[#This Row],[Impacto del cargo]]&amp;" "&amp;Factor_4[[#This Row],[Autonomia]]&amp;" "&amp;Factor_4[[#This Row],[Magnitud de Cifras]]</f>
        <v>III A 7</v>
      </c>
      <c r="C37" s="199" t="s">
        <v>120</v>
      </c>
      <c r="D37" s="199" t="s">
        <v>79</v>
      </c>
      <c r="E37" s="199">
        <v>7</v>
      </c>
      <c r="F37" s="199">
        <v>100</v>
      </c>
    </row>
    <row r="38" spans="2:6" hidden="1">
      <c r="B38" s="199" t="str">
        <f>Factor_4[[#This Row],[Impacto del cargo]]&amp;" "&amp;Factor_4[[#This Row],[Autonomia]]&amp;" "&amp;Factor_4[[#This Row],[Magnitud de Cifras]]</f>
        <v>III A 8</v>
      </c>
      <c r="C38" s="199" t="s">
        <v>120</v>
      </c>
      <c r="D38" s="199" t="s">
        <v>79</v>
      </c>
      <c r="E38" s="199">
        <v>8</v>
      </c>
      <c r="F38" s="199">
        <v>109</v>
      </c>
    </row>
    <row r="39" spans="2:6" hidden="1">
      <c r="B39" s="199" t="str">
        <f>Factor_4[[#This Row],[Impacto del cargo]]&amp;" "&amp;Factor_4[[#This Row],[Autonomia]]&amp;" "&amp;Factor_4[[#This Row],[Magnitud de Cifras]]</f>
        <v>III A 9</v>
      </c>
      <c r="C39" s="199" t="s">
        <v>120</v>
      </c>
      <c r="D39" s="199" t="s">
        <v>79</v>
      </c>
      <c r="E39" s="199">
        <v>9</v>
      </c>
      <c r="F39" s="199">
        <v>119</v>
      </c>
    </row>
    <row r="40" spans="2:6" hidden="1">
      <c r="B40" s="199" t="str">
        <f>Factor_4[[#This Row],[Impacto del cargo]]&amp;" "&amp;Factor_4[[#This Row],[Autonomia]]&amp;" "&amp;Factor_4[[#This Row],[Magnitud de Cifras]]</f>
        <v>III A 10</v>
      </c>
      <c r="C40" s="199" t="s">
        <v>120</v>
      </c>
      <c r="D40" s="199" t="s">
        <v>79</v>
      </c>
      <c r="E40" s="199">
        <v>10</v>
      </c>
      <c r="F40" s="199">
        <v>130</v>
      </c>
    </row>
    <row r="41" spans="2:6" hidden="1">
      <c r="B41" s="199" t="str">
        <f>Factor_4[[#This Row],[Impacto del cargo]]&amp;" "&amp;Factor_4[[#This Row],[Autonomia]]&amp;" "&amp;Factor_4[[#This Row],[Magnitud de Cifras]]</f>
        <v>III A 11</v>
      </c>
      <c r="C41" s="199" t="s">
        <v>120</v>
      </c>
      <c r="D41" s="199" t="s">
        <v>79</v>
      </c>
      <c r="E41" s="199">
        <v>11</v>
      </c>
      <c r="F41" s="199">
        <v>141</v>
      </c>
    </row>
    <row r="42" spans="2:6" hidden="1">
      <c r="B42" s="199" t="str">
        <f>Factor_4[[#This Row],[Impacto del cargo]]&amp;" "&amp;Factor_4[[#This Row],[Autonomia]]&amp;" "&amp;Factor_4[[#This Row],[Magnitud de Cifras]]</f>
        <v>III A 12</v>
      </c>
      <c r="C42" s="199" t="s">
        <v>120</v>
      </c>
      <c r="D42" s="199" t="s">
        <v>79</v>
      </c>
      <c r="E42" s="199">
        <v>12</v>
      </c>
      <c r="F42" s="199">
        <v>154</v>
      </c>
    </row>
    <row r="43" spans="2:6" hidden="1">
      <c r="B43" s="199" t="str">
        <f>Factor_4[[#This Row],[Impacto del cargo]]&amp;" "&amp;Factor_4[[#This Row],[Autonomia]]&amp;" "&amp;Factor_4[[#This Row],[Magnitud de Cifras]]</f>
        <v>III A 13</v>
      </c>
      <c r="C43" s="199" t="s">
        <v>120</v>
      </c>
      <c r="D43" s="199" t="s">
        <v>79</v>
      </c>
      <c r="E43" s="199">
        <v>13</v>
      </c>
      <c r="F43" s="199">
        <v>169</v>
      </c>
    </row>
    <row r="44" spans="2:6" hidden="1">
      <c r="B44" s="199" t="str">
        <f>Factor_4[[#This Row],[Impacto del cargo]]&amp;" "&amp;Factor_4[[#This Row],[Autonomia]]&amp;" "&amp;Factor_4[[#This Row],[Magnitud de Cifras]]</f>
        <v>III A 14</v>
      </c>
      <c r="C44" s="199" t="s">
        <v>120</v>
      </c>
      <c r="D44" s="199" t="s">
        <v>79</v>
      </c>
      <c r="E44" s="199">
        <v>14</v>
      </c>
      <c r="F44" s="199">
        <v>185</v>
      </c>
    </row>
    <row r="45" spans="2:6" hidden="1">
      <c r="B45" s="199" t="str">
        <f>Factor_4[[#This Row],[Impacto del cargo]]&amp;" "&amp;Factor_4[[#This Row],[Autonomia]]&amp;" "&amp;Factor_4[[#This Row],[Magnitud de Cifras]]</f>
        <v>IV A 1</v>
      </c>
      <c r="C45" s="199" t="s">
        <v>139</v>
      </c>
      <c r="D45" s="199" t="s">
        <v>79</v>
      </c>
      <c r="E45" s="199">
        <v>1</v>
      </c>
      <c r="F45" s="199">
        <v>74</v>
      </c>
    </row>
    <row r="46" spans="2:6" hidden="1">
      <c r="B46" s="199" t="str">
        <f>Factor_4[[#This Row],[Impacto del cargo]]&amp;" "&amp;Factor_4[[#This Row],[Autonomia]]&amp;" "&amp;Factor_4[[#This Row],[Magnitud de Cifras]]</f>
        <v>IV A 2</v>
      </c>
      <c r="C46" s="199" t="s">
        <v>139</v>
      </c>
      <c r="D46" s="199" t="s">
        <v>79</v>
      </c>
      <c r="E46" s="199">
        <v>2</v>
      </c>
      <c r="F46" s="199">
        <v>85</v>
      </c>
    </row>
    <row r="47" spans="2:6" hidden="1">
      <c r="B47" s="199" t="str">
        <f>Factor_4[[#This Row],[Impacto del cargo]]&amp;" "&amp;Factor_4[[#This Row],[Autonomia]]&amp;" "&amp;Factor_4[[#This Row],[Magnitud de Cifras]]</f>
        <v>IV A 3</v>
      </c>
      <c r="C47" s="199" t="s">
        <v>139</v>
      </c>
      <c r="D47" s="199" t="s">
        <v>79</v>
      </c>
      <c r="E47" s="199">
        <v>3</v>
      </c>
      <c r="F47" s="199">
        <v>92</v>
      </c>
    </row>
    <row r="48" spans="2:6" hidden="1">
      <c r="B48" s="199" t="str">
        <f>Factor_4[[#This Row],[Impacto del cargo]]&amp;" "&amp;Factor_4[[#This Row],[Autonomia]]&amp;" "&amp;Factor_4[[#This Row],[Magnitud de Cifras]]</f>
        <v>IV A 4</v>
      </c>
      <c r="C48" s="199" t="s">
        <v>139</v>
      </c>
      <c r="D48" s="199" t="s">
        <v>79</v>
      </c>
      <c r="E48" s="199">
        <v>4</v>
      </c>
      <c r="F48" s="199">
        <v>100</v>
      </c>
    </row>
    <row r="49" spans="2:6" hidden="1">
      <c r="B49" s="199" t="str">
        <f>Factor_4[[#This Row],[Impacto del cargo]]&amp;" "&amp;Factor_4[[#This Row],[Autonomia]]&amp;" "&amp;Factor_4[[#This Row],[Magnitud de Cifras]]</f>
        <v>IV A 5</v>
      </c>
      <c r="C49" s="199" t="s">
        <v>139</v>
      </c>
      <c r="D49" s="199" t="s">
        <v>79</v>
      </c>
      <c r="E49" s="199">
        <v>5</v>
      </c>
      <c r="F49" s="199">
        <v>108</v>
      </c>
    </row>
    <row r="50" spans="2:6" hidden="1">
      <c r="B50" s="199" t="str">
        <f>Factor_4[[#This Row],[Impacto del cargo]]&amp;" "&amp;Factor_4[[#This Row],[Autonomia]]&amp;" "&amp;Factor_4[[#This Row],[Magnitud de Cifras]]</f>
        <v>IV A 6</v>
      </c>
      <c r="C50" s="199" t="s">
        <v>139</v>
      </c>
      <c r="D50" s="199" t="s">
        <v>79</v>
      </c>
      <c r="E50" s="199">
        <v>6</v>
      </c>
      <c r="F50" s="199">
        <v>117</v>
      </c>
    </row>
    <row r="51" spans="2:6" hidden="1">
      <c r="B51" s="199" t="str">
        <f>Factor_4[[#This Row],[Impacto del cargo]]&amp;" "&amp;Factor_4[[#This Row],[Autonomia]]&amp;" "&amp;Factor_4[[#This Row],[Magnitud de Cifras]]</f>
        <v>IV A 7</v>
      </c>
      <c r="C51" s="199" t="s">
        <v>139</v>
      </c>
      <c r="D51" s="199" t="s">
        <v>79</v>
      </c>
      <c r="E51" s="199">
        <v>7</v>
      </c>
      <c r="F51" s="199">
        <v>127</v>
      </c>
    </row>
    <row r="52" spans="2:6" hidden="1">
      <c r="B52" s="199" t="str">
        <f>Factor_4[[#This Row],[Impacto del cargo]]&amp;" "&amp;Factor_4[[#This Row],[Autonomia]]&amp;" "&amp;Factor_4[[#This Row],[Magnitud de Cifras]]</f>
        <v>IV A 8</v>
      </c>
      <c r="C52" s="199" t="s">
        <v>139</v>
      </c>
      <c r="D52" s="199" t="s">
        <v>79</v>
      </c>
      <c r="E52" s="199">
        <v>8</v>
      </c>
      <c r="F52" s="199">
        <v>138</v>
      </c>
    </row>
    <row r="53" spans="2:6" hidden="1">
      <c r="B53" s="199" t="str">
        <f>Factor_4[[#This Row],[Impacto del cargo]]&amp;" "&amp;Factor_4[[#This Row],[Autonomia]]&amp;" "&amp;Factor_4[[#This Row],[Magnitud de Cifras]]</f>
        <v>IV A 9</v>
      </c>
      <c r="C53" s="199" t="s">
        <v>139</v>
      </c>
      <c r="D53" s="199" t="s">
        <v>79</v>
      </c>
      <c r="E53" s="199">
        <v>9</v>
      </c>
      <c r="F53" s="199">
        <v>150</v>
      </c>
    </row>
    <row r="54" spans="2:6" hidden="1">
      <c r="B54" s="199" t="str">
        <f>Factor_4[[#This Row],[Impacto del cargo]]&amp;" "&amp;Factor_4[[#This Row],[Autonomia]]&amp;" "&amp;Factor_4[[#This Row],[Magnitud de Cifras]]</f>
        <v>IV A 10</v>
      </c>
      <c r="C54" s="199" t="s">
        <v>139</v>
      </c>
      <c r="D54" s="199" t="s">
        <v>79</v>
      </c>
      <c r="E54" s="199">
        <v>10</v>
      </c>
      <c r="F54" s="199">
        <v>163</v>
      </c>
    </row>
    <row r="55" spans="2:6" hidden="1">
      <c r="B55" s="199" t="str">
        <f>Factor_4[[#This Row],[Impacto del cargo]]&amp;" "&amp;Factor_4[[#This Row],[Autonomia]]&amp;" "&amp;Factor_4[[#This Row],[Magnitud de Cifras]]</f>
        <v>IV A 11</v>
      </c>
      <c r="C55" s="199" t="s">
        <v>139</v>
      </c>
      <c r="D55" s="199" t="s">
        <v>79</v>
      </c>
      <c r="E55" s="199">
        <v>11</v>
      </c>
      <c r="F55" s="199">
        <v>178</v>
      </c>
    </row>
    <row r="56" spans="2:6" hidden="1">
      <c r="B56" s="199" t="str">
        <f>Factor_4[[#This Row],[Impacto del cargo]]&amp;" "&amp;Factor_4[[#This Row],[Autonomia]]&amp;" "&amp;Factor_4[[#This Row],[Magnitud de Cifras]]</f>
        <v>IV A 12</v>
      </c>
      <c r="C56" s="199" t="s">
        <v>139</v>
      </c>
      <c r="D56" s="199" t="s">
        <v>79</v>
      </c>
      <c r="E56" s="199">
        <v>12</v>
      </c>
      <c r="F56" s="199">
        <v>193</v>
      </c>
    </row>
    <row r="57" spans="2:6" hidden="1">
      <c r="B57" s="199" t="str">
        <f>Factor_4[[#This Row],[Impacto del cargo]]&amp;" "&amp;Factor_4[[#This Row],[Autonomia]]&amp;" "&amp;Factor_4[[#This Row],[Magnitud de Cifras]]</f>
        <v>IV A 13</v>
      </c>
      <c r="C57" s="199" t="s">
        <v>139</v>
      </c>
      <c r="D57" s="199" t="s">
        <v>79</v>
      </c>
      <c r="E57" s="199">
        <v>13</v>
      </c>
      <c r="F57" s="199">
        <v>211</v>
      </c>
    </row>
    <row r="58" spans="2:6" hidden="1">
      <c r="B58" s="199" t="str">
        <f>Factor_4[[#This Row],[Impacto del cargo]]&amp;" "&amp;Factor_4[[#This Row],[Autonomia]]&amp;" "&amp;Factor_4[[#This Row],[Magnitud de Cifras]]</f>
        <v>IV A 14</v>
      </c>
      <c r="C58" s="199" t="s">
        <v>139</v>
      </c>
      <c r="D58" s="199" t="s">
        <v>79</v>
      </c>
      <c r="E58" s="199">
        <v>14</v>
      </c>
      <c r="F58" s="199">
        <v>230</v>
      </c>
    </row>
    <row r="59" spans="2:6" hidden="1">
      <c r="B59" s="199" t="str">
        <f>Factor_4[[#This Row],[Impacto del cargo]]&amp;" "&amp;Factor_4[[#This Row],[Autonomia]]&amp;" "&amp;Factor_4[[#This Row],[Magnitud de Cifras]]</f>
        <v>I B 1</v>
      </c>
      <c r="C59" s="199" t="s">
        <v>81</v>
      </c>
      <c r="D59" s="199" t="s">
        <v>98</v>
      </c>
      <c r="E59" s="199">
        <v>1</v>
      </c>
      <c r="F59" s="199">
        <v>34</v>
      </c>
    </row>
    <row r="60" spans="2:6" hidden="1">
      <c r="B60" s="199" t="str">
        <f>Factor_4[[#This Row],[Impacto del cargo]]&amp;" "&amp;Factor_4[[#This Row],[Autonomia]]&amp;" "&amp;Factor_4[[#This Row],[Magnitud de Cifras]]</f>
        <v>I B 2</v>
      </c>
      <c r="C60" s="199" t="s">
        <v>81</v>
      </c>
      <c r="D60" s="199" t="s">
        <v>98</v>
      </c>
      <c r="E60" s="199">
        <v>2</v>
      </c>
      <c r="F60" s="199">
        <v>46</v>
      </c>
    </row>
    <row r="61" spans="2:6" hidden="1">
      <c r="B61" s="199" t="str">
        <f>Factor_4[[#This Row],[Impacto del cargo]]&amp;" "&amp;Factor_4[[#This Row],[Autonomia]]&amp;" "&amp;Factor_4[[#This Row],[Magnitud de Cifras]]</f>
        <v>I B 3</v>
      </c>
      <c r="C61" s="199" t="s">
        <v>81</v>
      </c>
      <c r="D61" s="199" t="s">
        <v>98</v>
      </c>
      <c r="E61" s="199">
        <v>3</v>
      </c>
      <c r="F61" s="199">
        <v>51</v>
      </c>
    </row>
    <row r="62" spans="2:6" hidden="1">
      <c r="B62" s="199" t="str">
        <f>Factor_4[[#This Row],[Impacto del cargo]]&amp;" "&amp;Factor_4[[#This Row],[Autonomia]]&amp;" "&amp;Factor_4[[#This Row],[Magnitud de Cifras]]</f>
        <v>I B 4</v>
      </c>
      <c r="C62" s="199" t="s">
        <v>81</v>
      </c>
      <c r="D62" s="199" t="s">
        <v>98</v>
      </c>
      <c r="E62" s="199">
        <v>4</v>
      </c>
      <c r="F62" s="199">
        <v>56</v>
      </c>
    </row>
    <row r="63" spans="2:6" hidden="1">
      <c r="B63" s="199" t="str">
        <f>Factor_4[[#This Row],[Impacto del cargo]]&amp;" "&amp;Factor_4[[#This Row],[Autonomia]]&amp;" "&amp;Factor_4[[#This Row],[Magnitud de Cifras]]</f>
        <v>I B 5</v>
      </c>
      <c r="C63" s="199" t="s">
        <v>81</v>
      </c>
      <c r="D63" s="199" t="s">
        <v>98</v>
      </c>
      <c r="E63" s="199">
        <v>5</v>
      </c>
      <c r="F63" s="199">
        <v>61</v>
      </c>
    </row>
    <row r="64" spans="2:6" hidden="1">
      <c r="B64" s="199" t="str">
        <f>Factor_4[[#This Row],[Impacto del cargo]]&amp;" "&amp;Factor_4[[#This Row],[Autonomia]]&amp;" "&amp;Factor_4[[#This Row],[Magnitud de Cifras]]</f>
        <v>I B 6</v>
      </c>
      <c r="C64" s="199" t="s">
        <v>81</v>
      </c>
      <c r="D64" s="199" t="s">
        <v>98</v>
      </c>
      <c r="E64" s="199">
        <v>6</v>
      </c>
      <c r="F64" s="199">
        <v>67</v>
      </c>
    </row>
    <row r="65" spans="2:6" hidden="1">
      <c r="B65" s="199" t="str">
        <f>Factor_4[[#This Row],[Impacto del cargo]]&amp;" "&amp;Factor_4[[#This Row],[Autonomia]]&amp;" "&amp;Factor_4[[#This Row],[Magnitud de Cifras]]</f>
        <v>I B 7</v>
      </c>
      <c r="C65" s="199" t="s">
        <v>81</v>
      </c>
      <c r="D65" s="199" t="s">
        <v>98</v>
      </c>
      <c r="E65" s="199">
        <v>7</v>
      </c>
      <c r="F65" s="199">
        <v>74</v>
      </c>
    </row>
    <row r="66" spans="2:6" hidden="1">
      <c r="B66" s="199" t="str">
        <f>Factor_4[[#This Row],[Impacto del cargo]]&amp;" "&amp;Factor_4[[#This Row],[Autonomia]]&amp;" "&amp;Factor_4[[#This Row],[Magnitud de Cifras]]</f>
        <v>I B 8</v>
      </c>
      <c r="C66" s="199" t="s">
        <v>81</v>
      </c>
      <c r="D66" s="199" t="s">
        <v>98</v>
      </c>
      <c r="E66" s="199">
        <v>8</v>
      </c>
      <c r="F66" s="199">
        <v>82</v>
      </c>
    </row>
    <row r="67" spans="2:6" hidden="1">
      <c r="B67" s="199" t="str">
        <f>Factor_4[[#This Row],[Impacto del cargo]]&amp;" "&amp;Factor_4[[#This Row],[Autonomia]]&amp;" "&amp;Factor_4[[#This Row],[Magnitud de Cifras]]</f>
        <v>I B 9</v>
      </c>
      <c r="C67" s="199" t="s">
        <v>81</v>
      </c>
      <c r="D67" s="199" t="s">
        <v>98</v>
      </c>
      <c r="E67" s="199">
        <v>9</v>
      </c>
      <c r="F67" s="199">
        <v>90</v>
      </c>
    </row>
    <row r="68" spans="2:6" hidden="1">
      <c r="B68" s="199" t="str">
        <f>Factor_4[[#This Row],[Impacto del cargo]]&amp;" "&amp;Factor_4[[#This Row],[Autonomia]]&amp;" "&amp;Factor_4[[#This Row],[Magnitud de Cifras]]</f>
        <v>I B 10</v>
      </c>
      <c r="C68" s="199" t="s">
        <v>81</v>
      </c>
      <c r="D68" s="199" t="s">
        <v>98</v>
      </c>
      <c r="E68" s="199">
        <v>10</v>
      </c>
      <c r="F68" s="199">
        <v>100</v>
      </c>
    </row>
    <row r="69" spans="2:6" hidden="1">
      <c r="B69" s="199" t="str">
        <f>Factor_4[[#This Row],[Impacto del cargo]]&amp;" "&amp;Factor_4[[#This Row],[Autonomia]]&amp;" "&amp;Factor_4[[#This Row],[Magnitud de Cifras]]</f>
        <v>I B 11</v>
      </c>
      <c r="C69" s="199" t="s">
        <v>81</v>
      </c>
      <c r="D69" s="199" t="s">
        <v>98</v>
      </c>
      <c r="E69" s="199">
        <v>11</v>
      </c>
      <c r="F69" s="199">
        <v>110</v>
      </c>
    </row>
    <row r="70" spans="2:6" hidden="1">
      <c r="B70" s="199" t="str">
        <f>Factor_4[[#This Row],[Impacto del cargo]]&amp;" "&amp;Factor_4[[#This Row],[Autonomia]]&amp;" "&amp;Factor_4[[#This Row],[Magnitud de Cifras]]</f>
        <v>I B 12</v>
      </c>
      <c r="C70" s="199" t="s">
        <v>81</v>
      </c>
      <c r="D70" s="199" t="s">
        <v>98</v>
      </c>
      <c r="E70" s="199">
        <v>12</v>
      </c>
      <c r="F70" s="199">
        <v>122</v>
      </c>
    </row>
    <row r="71" spans="2:6" hidden="1">
      <c r="B71" s="199" t="str">
        <f>Factor_4[[#This Row],[Impacto del cargo]]&amp;" "&amp;Factor_4[[#This Row],[Autonomia]]&amp;" "&amp;Factor_4[[#This Row],[Magnitud de Cifras]]</f>
        <v>I B 13</v>
      </c>
      <c r="C71" s="199" t="s">
        <v>81</v>
      </c>
      <c r="D71" s="199" t="s">
        <v>98</v>
      </c>
      <c r="E71" s="199">
        <v>13</v>
      </c>
      <c r="F71" s="199">
        <v>135</v>
      </c>
    </row>
    <row r="72" spans="2:6" hidden="1">
      <c r="B72" s="199" t="str">
        <f>Factor_4[[#This Row],[Impacto del cargo]]&amp;" "&amp;Factor_4[[#This Row],[Autonomia]]&amp;" "&amp;Factor_4[[#This Row],[Magnitud de Cifras]]</f>
        <v>I B 14</v>
      </c>
      <c r="C72" s="199" t="s">
        <v>81</v>
      </c>
      <c r="D72" s="199" t="s">
        <v>98</v>
      </c>
      <c r="E72" s="199">
        <v>14</v>
      </c>
      <c r="F72" s="199">
        <v>150</v>
      </c>
    </row>
    <row r="73" spans="2:6" hidden="1">
      <c r="B73" s="199" t="str">
        <f>Factor_4[[#This Row],[Impacto del cargo]]&amp;" "&amp;Factor_4[[#This Row],[Autonomia]]&amp;" "&amp;Factor_4[[#This Row],[Magnitud de Cifras]]</f>
        <v>II B 1</v>
      </c>
      <c r="C73" s="199" t="s">
        <v>100</v>
      </c>
      <c r="D73" s="199" t="s">
        <v>98</v>
      </c>
      <c r="E73" s="199">
        <v>1</v>
      </c>
      <c r="F73" s="199">
        <v>43</v>
      </c>
    </row>
    <row r="74" spans="2:6" hidden="1">
      <c r="B74" s="199" t="str">
        <f>Factor_4[[#This Row],[Impacto del cargo]]&amp;" "&amp;Factor_4[[#This Row],[Autonomia]]&amp;" "&amp;Factor_4[[#This Row],[Magnitud de Cifras]]</f>
        <v>II B 2</v>
      </c>
      <c r="C74" s="199" t="s">
        <v>100</v>
      </c>
      <c r="D74" s="199" t="s">
        <v>98</v>
      </c>
      <c r="E74" s="199">
        <v>2</v>
      </c>
      <c r="F74" s="199">
        <v>57</v>
      </c>
    </row>
    <row r="75" spans="2:6" hidden="1">
      <c r="B75" s="199" t="str">
        <f>Factor_4[[#This Row],[Impacto del cargo]]&amp;" "&amp;Factor_4[[#This Row],[Autonomia]]&amp;" "&amp;Factor_4[[#This Row],[Magnitud de Cifras]]</f>
        <v>II B 3</v>
      </c>
      <c r="C75" s="199" t="s">
        <v>100</v>
      </c>
      <c r="D75" s="199" t="s">
        <v>98</v>
      </c>
      <c r="E75" s="199">
        <v>3</v>
      </c>
      <c r="F75" s="199">
        <v>62</v>
      </c>
    </row>
    <row r="76" spans="2:6" hidden="1">
      <c r="B76" s="199" t="str">
        <f>Factor_4[[#This Row],[Impacto del cargo]]&amp;" "&amp;Factor_4[[#This Row],[Autonomia]]&amp;" "&amp;Factor_4[[#This Row],[Magnitud de Cifras]]</f>
        <v>II B 4</v>
      </c>
      <c r="C76" s="199" t="s">
        <v>100</v>
      </c>
      <c r="D76" s="199" t="s">
        <v>98</v>
      </c>
      <c r="E76" s="199">
        <v>4</v>
      </c>
      <c r="F76" s="199">
        <v>68</v>
      </c>
    </row>
    <row r="77" spans="2:6" hidden="1">
      <c r="B77" s="199" t="str">
        <f>Factor_4[[#This Row],[Impacto del cargo]]&amp;" "&amp;Factor_4[[#This Row],[Autonomia]]&amp;" "&amp;Factor_4[[#This Row],[Magnitud de Cifras]]</f>
        <v>II B 5</v>
      </c>
      <c r="C77" s="199" t="s">
        <v>100</v>
      </c>
      <c r="D77" s="199" t="s">
        <v>98</v>
      </c>
      <c r="E77" s="199">
        <v>5</v>
      </c>
      <c r="F77" s="199">
        <v>74</v>
      </c>
    </row>
    <row r="78" spans="2:6" hidden="1">
      <c r="B78" s="199" t="str">
        <f>Factor_4[[#This Row],[Impacto del cargo]]&amp;" "&amp;Factor_4[[#This Row],[Autonomia]]&amp;" "&amp;Factor_4[[#This Row],[Magnitud de Cifras]]</f>
        <v>II B 6</v>
      </c>
      <c r="C78" s="199" t="s">
        <v>100</v>
      </c>
      <c r="D78" s="199" t="s">
        <v>98</v>
      </c>
      <c r="E78" s="199">
        <v>6</v>
      </c>
      <c r="F78" s="199">
        <v>81</v>
      </c>
    </row>
    <row r="79" spans="2:6" hidden="1">
      <c r="B79" s="199" t="str">
        <f>Factor_4[[#This Row],[Impacto del cargo]]&amp;" "&amp;Factor_4[[#This Row],[Autonomia]]&amp;" "&amp;Factor_4[[#This Row],[Magnitud de Cifras]]</f>
        <v>II B 7</v>
      </c>
      <c r="C79" s="199" t="s">
        <v>100</v>
      </c>
      <c r="D79" s="199" t="s">
        <v>98</v>
      </c>
      <c r="E79" s="199">
        <v>7</v>
      </c>
      <c r="F79" s="199">
        <v>89</v>
      </c>
    </row>
    <row r="80" spans="2:6" hidden="1">
      <c r="B80" s="199" t="str">
        <f>Factor_4[[#This Row],[Impacto del cargo]]&amp;" "&amp;Factor_4[[#This Row],[Autonomia]]&amp;" "&amp;Factor_4[[#This Row],[Magnitud de Cifras]]</f>
        <v>II B 8</v>
      </c>
      <c r="C80" s="199" t="s">
        <v>100</v>
      </c>
      <c r="D80" s="199" t="s">
        <v>98</v>
      </c>
      <c r="E80" s="199">
        <v>8</v>
      </c>
      <c r="F80" s="199">
        <v>98</v>
      </c>
    </row>
    <row r="81" spans="2:6" hidden="1">
      <c r="B81" s="199" t="str">
        <f>Factor_4[[#This Row],[Impacto del cargo]]&amp;" "&amp;Factor_4[[#This Row],[Autonomia]]&amp;" "&amp;Factor_4[[#This Row],[Magnitud de Cifras]]</f>
        <v>II B 9</v>
      </c>
      <c r="C81" s="199" t="s">
        <v>100</v>
      </c>
      <c r="D81" s="199" t="s">
        <v>98</v>
      </c>
      <c r="E81" s="199">
        <v>9</v>
      </c>
      <c r="F81" s="199">
        <v>108</v>
      </c>
    </row>
    <row r="82" spans="2:6" hidden="1">
      <c r="B82" s="199" t="str">
        <f>Factor_4[[#This Row],[Impacto del cargo]]&amp;" "&amp;Factor_4[[#This Row],[Autonomia]]&amp;" "&amp;Factor_4[[#This Row],[Magnitud de Cifras]]</f>
        <v>II B 10</v>
      </c>
      <c r="C82" s="199" t="s">
        <v>100</v>
      </c>
      <c r="D82" s="199" t="s">
        <v>98</v>
      </c>
      <c r="E82" s="199">
        <v>10</v>
      </c>
      <c r="F82" s="199">
        <v>119</v>
      </c>
    </row>
    <row r="83" spans="2:6" hidden="1">
      <c r="B83" s="199" t="str">
        <f>Factor_4[[#This Row],[Impacto del cargo]]&amp;" "&amp;Factor_4[[#This Row],[Autonomia]]&amp;" "&amp;Factor_4[[#This Row],[Magnitud de Cifras]]</f>
        <v>II B 11</v>
      </c>
      <c r="C83" s="199" t="s">
        <v>100</v>
      </c>
      <c r="D83" s="199" t="s">
        <v>98</v>
      </c>
      <c r="E83" s="199">
        <v>11</v>
      </c>
      <c r="F83" s="199">
        <v>131</v>
      </c>
    </row>
    <row r="84" spans="2:6" hidden="1">
      <c r="B84" s="199" t="str">
        <f>Factor_4[[#This Row],[Impacto del cargo]]&amp;" "&amp;Factor_4[[#This Row],[Autonomia]]&amp;" "&amp;Factor_4[[#This Row],[Magnitud de Cifras]]</f>
        <v>II B 12</v>
      </c>
      <c r="C84" s="199" t="s">
        <v>100</v>
      </c>
      <c r="D84" s="199" t="s">
        <v>98</v>
      </c>
      <c r="E84" s="199">
        <v>12</v>
      </c>
      <c r="F84" s="199">
        <v>144</v>
      </c>
    </row>
    <row r="85" spans="2:6" hidden="1">
      <c r="B85" s="199" t="str">
        <f>Factor_4[[#This Row],[Impacto del cargo]]&amp;" "&amp;Factor_4[[#This Row],[Autonomia]]&amp;" "&amp;Factor_4[[#This Row],[Magnitud de Cifras]]</f>
        <v>II B 13</v>
      </c>
      <c r="C85" s="199" t="s">
        <v>100</v>
      </c>
      <c r="D85" s="199" t="s">
        <v>98</v>
      </c>
      <c r="E85" s="199">
        <v>13</v>
      </c>
      <c r="F85" s="199">
        <v>159</v>
      </c>
    </row>
    <row r="86" spans="2:6" hidden="1">
      <c r="B86" s="199" t="str">
        <f>Factor_4[[#This Row],[Impacto del cargo]]&amp;" "&amp;Factor_4[[#This Row],[Autonomia]]&amp;" "&amp;Factor_4[[#This Row],[Magnitud de Cifras]]</f>
        <v>II B 14</v>
      </c>
      <c r="C86" s="199" t="s">
        <v>100</v>
      </c>
      <c r="D86" s="199" t="s">
        <v>98</v>
      </c>
      <c r="E86" s="199">
        <v>14</v>
      </c>
      <c r="F86" s="199">
        <v>176</v>
      </c>
    </row>
    <row r="87" spans="2:6" hidden="1">
      <c r="B87" s="199" t="str">
        <f>Factor_4[[#This Row],[Impacto del cargo]]&amp;" "&amp;Factor_4[[#This Row],[Autonomia]]&amp;" "&amp;Factor_4[[#This Row],[Magnitud de Cifras]]</f>
        <v>III B 1</v>
      </c>
      <c r="C87" s="199" t="s">
        <v>120</v>
      </c>
      <c r="D87" s="199" t="s">
        <v>98</v>
      </c>
      <c r="E87" s="199">
        <v>1</v>
      </c>
      <c r="F87" s="199">
        <v>58</v>
      </c>
    </row>
    <row r="88" spans="2:6" hidden="1">
      <c r="B88" s="199" t="str">
        <f>Factor_4[[#This Row],[Impacto del cargo]]&amp;" "&amp;Factor_4[[#This Row],[Autonomia]]&amp;" "&amp;Factor_4[[#This Row],[Magnitud de Cifras]]</f>
        <v>III B 2</v>
      </c>
      <c r="C88" s="199" t="s">
        <v>120</v>
      </c>
      <c r="D88" s="199" t="s">
        <v>98</v>
      </c>
      <c r="E88" s="199">
        <v>2</v>
      </c>
      <c r="F88" s="199">
        <v>71</v>
      </c>
    </row>
    <row r="89" spans="2:6" hidden="1">
      <c r="B89" s="199" t="str">
        <f>Factor_4[[#This Row],[Impacto del cargo]]&amp;" "&amp;Factor_4[[#This Row],[Autonomia]]&amp;" "&amp;Factor_4[[#This Row],[Magnitud de Cifras]]</f>
        <v>III B 3</v>
      </c>
      <c r="C89" s="199" t="s">
        <v>120</v>
      </c>
      <c r="D89" s="199" t="s">
        <v>98</v>
      </c>
      <c r="E89" s="199">
        <v>3</v>
      </c>
      <c r="F89" s="199">
        <v>77</v>
      </c>
    </row>
    <row r="90" spans="2:6" hidden="1">
      <c r="B90" s="199" t="str">
        <f>Factor_4[[#This Row],[Impacto del cargo]]&amp;" "&amp;Factor_4[[#This Row],[Autonomia]]&amp;" "&amp;Factor_4[[#This Row],[Magnitud de Cifras]]</f>
        <v>III B 4</v>
      </c>
      <c r="C90" s="199" t="s">
        <v>120</v>
      </c>
      <c r="D90" s="199" t="s">
        <v>98</v>
      </c>
      <c r="E90" s="199">
        <v>4</v>
      </c>
      <c r="F90" s="199">
        <v>84</v>
      </c>
    </row>
    <row r="91" spans="2:6" hidden="1">
      <c r="B91" s="199" t="str">
        <f>Factor_4[[#This Row],[Impacto del cargo]]&amp;" "&amp;Factor_4[[#This Row],[Autonomia]]&amp;" "&amp;Factor_4[[#This Row],[Magnitud de Cifras]]</f>
        <v>III B 5</v>
      </c>
      <c r="C91" s="199" t="s">
        <v>120</v>
      </c>
      <c r="D91" s="199" t="s">
        <v>98</v>
      </c>
      <c r="E91" s="199">
        <v>5</v>
      </c>
      <c r="F91" s="199">
        <v>92</v>
      </c>
    </row>
    <row r="92" spans="2:6" hidden="1">
      <c r="B92" s="199" t="str">
        <f>Factor_4[[#This Row],[Impacto del cargo]]&amp;" "&amp;Factor_4[[#This Row],[Autonomia]]&amp;" "&amp;Factor_4[[#This Row],[Magnitud de Cifras]]</f>
        <v>III B 6</v>
      </c>
      <c r="C92" s="199" t="s">
        <v>120</v>
      </c>
      <c r="D92" s="199" t="s">
        <v>98</v>
      </c>
      <c r="E92" s="199">
        <v>6</v>
      </c>
      <c r="F92" s="199">
        <v>100</v>
      </c>
    </row>
    <row r="93" spans="2:6" hidden="1">
      <c r="B93" s="199" t="str">
        <f>Factor_4[[#This Row],[Impacto del cargo]]&amp;" "&amp;Factor_4[[#This Row],[Autonomia]]&amp;" "&amp;Factor_4[[#This Row],[Magnitud de Cifras]]</f>
        <v>III B 7</v>
      </c>
      <c r="C93" s="199" t="s">
        <v>120</v>
      </c>
      <c r="D93" s="199" t="s">
        <v>98</v>
      </c>
      <c r="E93" s="199">
        <v>7</v>
      </c>
      <c r="F93" s="199">
        <v>110</v>
      </c>
    </row>
    <row r="94" spans="2:6" hidden="1">
      <c r="B94" s="199" t="str">
        <f>Factor_4[[#This Row],[Impacto del cargo]]&amp;" "&amp;Factor_4[[#This Row],[Autonomia]]&amp;" "&amp;Factor_4[[#This Row],[Magnitud de Cifras]]</f>
        <v>III B 8</v>
      </c>
      <c r="C94" s="199" t="s">
        <v>120</v>
      </c>
      <c r="D94" s="199" t="s">
        <v>98</v>
      </c>
      <c r="E94" s="199">
        <v>8</v>
      </c>
      <c r="F94" s="199">
        <v>120</v>
      </c>
    </row>
    <row r="95" spans="2:6" hidden="1">
      <c r="B95" s="199" t="str">
        <f>Factor_4[[#This Row],[Impacto del cargo]]&amp;" "&amp;Factor_4[[#This Row],[Autonomia]]&amp;" "&amp;Factor_4[[#This Row],[Magnitud de Cifras]]</f>
        <v>III B 9</v>
      </c>
      <c r="C95" s="199" t="s">
        <v>120</v>
      </c>
      <c r="D95" s="199" t="s">
        <v>98</v>
      </c>
      <c r="E95" s="199">
        <v>9</v>
      </c>
      <c r="F95" s="199">
        <v>131</v>
      </c>
    </row>
    <row r="96" spans="2:6" hidden="1">
      <c r="B96" s="199" t="str">
        <f>Factor_4[[#This Row],[Impacto del cargo]]&amp;" "&amp;Factor_4[[#This Row],[Autonomia]]&amp;" "&amp;Factor_4[[#This Row],[Magnitud de Cifras]]</f>
        <v>III B 10</v>
      </c>
      <c r="C96" s="199" t="s">
        <v>120</v>
      </c>
      <c r="D96" s="199" t="s">
        <v>98</v>
      </c>
      <c r="E96" s="199">
        <v>10</v>
      </c>
      <c r="F96" s="199">
        <v>144</v>
      </c>
    </row>
    <row r="97" spans="2:6" hidden="1">
      <c r="B97" s="199" t="str">
        <f>Factor_4[[#This Row],[Impacto del cargo]]&amp;" "&amp;Factor_4[[#This Row],[Autonomia]]&amp;" "&amp;Factor_4[[#This Row],[Magnitud de Cifras]]</f>
        <v>III B 11</v>
      </c>
      <c r="C97" s="199" t="s">
        <v>120</v>
      </c>
      <c r="D97" s="199" t="s">
        <v>98</v>
      </c>
      <c r="E97" s="199">
        <v>11</v>
      </c>
      <c r="F97" s="199">
        <v>158</v>
      </c>
    </row>
    <row r="98" spans="2:6" hidden="1">
      <c r="B98" s="199" t="str">
        <f>Factor_4[[#This Row],[Impacto del cargo]]&amp;" "&amp;Factor_4[[#This Row],[Autonomia]]&amp;" "&amp;Factor_4[[#This Row],[Magnitud de Cifras]]</f>
        <v>III B 12</v>
      </c>
      <c r="C98" s="199" t="s">
        <v>120</v>
      </c>
      <c r="D98" s="199" t="s">
        <v>98</v>
      </c>
      <c r="E98" s="199">
        <v>12</v>
      </c>
      <c r="F98" s="199">
        <v>173</v>
      </c>
    </row>
    <row r="99" spans="2:6" hidden="1">
      <c r="B99" s="199" t="str">
        <f>Factor_4[[#This Row],[Impacto del cargo]]&amp;" "&amp;Factor_4[[#This Row],[Autonomia]]&amp;" "&amp;Factor_4[[#This Row],[Magnitud de Cifras]]</f>
        <v>III B 13</v>
      </c>
      <c r="C99" s="199" t="s">
        <v>120</v>
      </c>
      <c r="D99" s="199" t="s">
        <v>98</v>
      </c>
      <c r="E99" s="199">
        <v>13</v>
      </c>
      <c r="F99" s="199">
        <v>191</v>
      </c>
    </row>
    <row r="100" spans="2:6" hidden="1">
      <c r="B100" s="199" t="str">
        <f>Factor_4[[#This Row],[Impacto del cargo]]&amp;" "&amp;Factor_4[[#This Row],[Autonomia]]&amp;" "&amp;Factor_4[[#This Row],[Magnitud de Cifras]]</f>
        <v>III B 14</v>
      </c>
      <c r="C100" s="199" t="s">
        <v>120</v>
      </c>
      <c r="D100" s="199" t="s">
        <v>98</v>
      </c>
      <c r="E100" s="199">
        <v>14</v>
      </c>
      <c r="F100" s="199">
        <v>210</v>
      </c>
    </row>
    <row r="101" spans="2:6" hidden="1">
      <c r="B101" s="199" t="str">
        <f>Factor_4[[#This Row],[Impacto del cargo]]&amp;" "&amp;Factor_4[[#This Row],[Autonomia]]&amp;" "&amp;Factor_4[[#This Row],[Magnitud de Cifras]]</f>
        <v>IV B 1</v>
      </c>
      <c r="C101" s="199" t="s">
        <v>139</v>
      </c>
      <c r="D101" s="199" t="s">
        <v>98</v>
      </c>
      <c r="E101" s="199">
        <v>1</v>
      </c>
      <c r="F101" s="199">
        <v>78</v>
      </c>
    </row>
    <row r="102" spans="2:6" hidden="1">
      <c r="B102" s="199" t="str">
        <f>Factor_4[[#This Row],[Impacto del cargo]]&amp;" "&amp;Factor_4[[#This Row],[Autonomia]]&amp;" "&amp;Factor_4[[#This Row],[Magnitud de Cifras]]</f>
        <v>IV B 2</v>
      </c>
      <c r="C102" s="199" t="s">
        <v>139</v>
      </c>
      <c r="D102" s="199" t="s">
        <v>98</v>
      </c>
      <c r="E102" s="199">
        <v>2</v>
      </c>
      <c r="F102" s="199">
        <v>90</v>
      </c>
    </row>
    <row r="103" spans="2:6" hidden="1">
      <c r="B103" s="199" t="str">
        <f>Factor_4[[#This Row],[Impacto del cargo]]&amp;" "&amp;Factor_4[[#This Row],[Autonomia]]&amp;" "&amp;Factor_4[[#This Row],[Magnitud de Cifras]]</f>
        <v>IV B 3</v>
      </c>
      <c r="C103" s="199" t="s">
        <v>139</v>
      </c>
      <c r="D103" s="199" t="s">
        <v>98</v>
      </c>
      <c r="E103" s="199">
        <v>3</v>
      </c>
      <c r="F103" s="199">
        <v>97</v>
      </c>
    </row>
    <row r="104" spans="2:6" hidden="1">
      <c r="B104" s="199" t="str">
        <f>Factor_4[[#This Row],[Impacto del cargo]]&amp;" "&amp;Factor_4[[#This Row],[Autonomia]]&amp;" "&amp;Factor_4[[#This Row],[Magnitud de Cifras]]</f>
        <v>IV B 4</v>
      </c>
      <c r="C104" s="199" t="s">
        <v>139</v>
      </c>
      <c r="D104" s="199" t="s">
        <v>98</v>
      </c>
      <c r="E104" s="199">
        <v>4</v>
      </c>
      <c r="F104" s="199">
        <v>106</v>
      </c>
    </row>
    <row r="105" spans="2:6" hidden="1">
      <c r="B105" s="199" t="str">
        <f>Factor_4[[#This Row],[Impacto del cargo]]&amp;" "&amp;Factor_4[[#This Row],[Autonomia]]&amp;" "&amp;Factor_4[[#This Row],[Magnitud de Cifras]]</f>
        <v>IV B 5</v>
      </c>
      <c r="C105" s="199" t="s">
        <v>139</v>
      </c>
      <c r="D105" s="199" t="s">
        <v>98</v>
      </c>
      <c r="E105" s="199">
        <v>5</v>
      </c>
      <c r="F105" s="199">
        <v>115</v>
      </c>
    </row>
    <row r="106" spans="2:6" hidden="1">
      <c r="B106" s="199" t="str">
        <f>Factor_4[[#This Row],[Impacto del cargo]]&amp;" "&amp;Factor_4[[#This Row],[Autonomia]]&amp;" "&amp;Factor_4[[#This Row],[Magnitud de Cifras]]</f>
        <v>IV B 6</v>
      </c>
      <c r="C106" s="199" t="s">
        <v>139</v>
      </c>
      <c r="D106" s="199" t="s">
        <v>98</v>
      </c>
      <c r="E106" s="199">
        <v>6</v>
      </c>
      <c r="F106" s="199">
        <v>126</v>
      </c>
    </row>
    <row r="107" spans="2:6" hidden="1">
      <c r="B107" s="199" t="str">
        <f>Factor_4[[#This Row],[Impacto del cargo]]&amp;" "&amp;Factor_4[[#This Row],[Autonomia]]&amp;" "&amp;Factor_4[[#This Row],[Magnitud de Cifras]]</f>
        <v>IV B 7</v>
      </c>
      <c r="C107" s="199" t="s">
        <v>139</v>
      </c>
      <c r="D107" s="199" t="s">
        <v>98</v>
      </c>
      <c r="E107" s="199">
        <v>7</v>
      </c>
      <c r="F107" s="199">
        <v>137</v>
      </c>
    </row>
    <row r="108" spans="2:6" hidden="1">
      <c r="B108" s="199" t="str">
        <f>Factor_4[[#This Row],[Impacto del cargo]]&amp;" "&amp;Factor_4[[#This Row],[Autonomia]]&amp;" "&amp;Factor_4[[#This Row],[Magnitud de Cifras]]</f>
        <v>IV B 8</v>
      </c>
      <c r="C108" s="199" t="s">
        <v>139</v>
      </c>
      <c r="D108" s="199" t="s">
        <v>98</v>
      </c>
      <c r="E108" s="199">
        <v>8</v>
      </c>
      <c r="F108" s="199">
        <v>149</v>
      </c>
    </row>
    <row r="109" spans="2:6" hidden="1">
      <c r="B109" s="199" t="str">
        <f>Factor_4[[#This Row],[Impacto del cargo]]&amp;" "&amp;Factor_4[[#This Row],[Autonomia]]&amp;" "&amp;Factor_4[[#This Row],[Magnitud de Cifras]]</f>
        <v>IV B 9</v>
      </c>
      <c r="C109" s="199" t="s">
        <v>139</v>
      </c>
      <c r="D109" s="199" t="s">
        <v>98</v>
      </c>
      <c r="E109" s="199">
        <v>9</v>
      </c>
      <c r="F109" s="199">
        <v>163</v>
      </c>
    </row>
    <row r="110" spans="2:6" hidden="1">
      <c r="B110" s="199" t="str">
        <f>Factor_4[[#This Row],[Impacto del cargo]]&amp;" "&amp;Factor_4[[#This Row],[Autonomia]]&amp;" "&amp;Factor_4[[#This Row],[Magnitud de Cifras]]</f>
        <v>IV B 10</v>
      </c>
      <c r="C110" s="199" t="s">
        <v>139</v>
      </c>
      <c r="D110" s="199" t="s">
        <v>98</v>
      </c>
      <c r="E110" s="199">
        <v>10</v>
      </c>
      <c r="F110" s="199">
        <v>178</v>
      </c>
    </row>
    <row r="111" spans="2:6" hidden="1">
      <c r="B111" s="199" t="str">
        <f>Factor_4[[#This Row],[Impacto del cargo]]&amp;" "&amp;Factor_4[[#This Row],[Autonomia]]&amp;" "&amp;Factor_4[[#This Row],[Magnitud de Cifras]]</f>
        <v>IV B 11</v>
      </c>
      <c r="C111" s="199" t="s">
        <v>139</v>
      </c>
      <c r="D111" s="199" t="s">
        <v>98</v>
      </c>
      <c r="E111" s="199">
        <v>11</v>
      </c>
      <c r="F111" s="199">
        <v>194</v>
      </c>
    </row>
    <row r="112" spans="2:6" hidden="1">
      <c r="B112" s="199" t="str">
        <f>Factor_4[[#This Row],[Impacto del cargo]]&amp;" "&amp;Factor_4[[#This Row],[Autonomia]]&amp;" "&amp;Factor_4[[#This Row],[Magnitud de Cifras]]</f>
        <v>IV B 12</v>
      </c>
      <c r="C112" s="199" t="s">
        <v>139</v>
      </c>
      <c r="D112" s="199" t="s">
        <v>98</v>
      </c>
      <c r="E112" s="199">
        <v>12</v>
      </c>
      <c r="F112" s="199">
        <v>212</v>
      </c>
    </row>
    <row r="113" spans="2:6" hidden="1">
      <c r="B113" s="199" t="str">
        <f>Factor_4[[#This Row],[Impacto del cargo]]&amp;" "&amp;Factor_4[[#This Row],[Autonomia]]&amp;" "&amp;Factor_4[[#This Row],[Magnitud de Cifras]]</f>
        <v>IV B 13</v>
      </c>
      <c r="C113" s="199" t="s">
        <v>139</v>
      </c>
      <c r="D113" s="199" t="s">
        <v>98</v>
      </c>
      <c r="E113" s="199">
        <v>13</v>
      </c>
      <c r="F113" s="199">
        <v>232</v>
      </c>
    </row>
    <row r="114" spans="2:6" hidden="1">
      <c r="B114" s="199" t="str">
        <f>Factor_4[[#This Row],[Impacto del cargo]]&amp;" "&amp;Factor_4[[#This Row],[Autonomia]]&amp;" "&amp;Factor_4[[#This Row],[Magnitud de Cifras]]</f>
        <v>IV B 14</v>
      </c>
      <c r="C114" s="199" t="s">
        <v>139</v>
      </c>
      <c r="D114" s="199" t="s">
        <v>98</v>
      </c>
      <c r="E114" s="199">
        <v>14</v>
      </c>
      <c r="F114" s="199">
        <v>255</v>
      </c>
    </row>
    <row r="115" spans="2:6" hidden="1">
      <c r="B115" s="199" t="str">
        <f>Factor_4[[#This Row],[Impacto del cargo]]&amp;" "&amp;Factor_4[[#This Row],[Autonomia]]&amp;" "&amp;Factor_4[[#This Row],[Magnitud de Cifras]]</f>
        <v>I C 1</v>
      </c>
      <c r="C115" s="199" t="s">
        <v>81</v>
      </c>
      <c r="D115" s="199" t="s">
        <v>118</v>
      </c>
      <c r="E115" s="199">
        <v>1</v>
      </c>
      <c r="F115" s="199">
        <v>40</v>
      </c>
    </row>
    <row r="116" spans="2:6" hidden="1">
      <c r="B116" s="199" t="str">
        <f>Factor_4[[#This Row],[Impacto del cargo]]&amp;" "&amp;Factor_4[[#This Row],[Autonomia]]&amp;" "&amp;Factor_4[[#This Row],[Magnitud de Cifras]]</f>
        <v>I C 2</v>
      </c>
      <c r="C116" s="199" t="s">
        <v>81</v>
      </c>
      <c r="D116" s="199" t="s">
        <v>118</v>
      </c>
      <c r="E116" s="199">
        <v>2</v>
      </c>
      <c r="F116" s="199">
        <v>53</v>
      </c>
    </row>
    <row r="117" spans="2:6" hidden="1">
      <c r="B117" s="199" t="str">
        <f>Factor_4[[#This Row],[Impacto del cargo]]&amp;" "&amp;Factor_4[[#This Row],[Autonomia]]&amp;" "&amp;Factor_4[[#This Row],[Magnitud de Cifras]]</f>
        <v>I C 3</v>
      </c>
      <c r="C117" s="199" t="s">
        <v>81</v>
      </c>
      <c r="D117" s="199" t="s">
        <v>118</v>
      </c>
      <c r="E117" s="199">
        <v>3</v>
      </c>
      <c r="F117" s="199">
        <v>59</v>
      </c>
    </row>
    <row r="118" spans="2:6" hidden="1">
      <c r="B118" s="199" t="str">
        <f>Factor_4[[#This Row],[Impacto del cargo]]&amp;" "&amp;Factor_4[[#This Row],[Autonomia]]&amp;" "&amp;Factor_4[[#This Row],[Magnitud de Cifras]]</f>
        <v>I C 4</v>
      </c>
      <c r="C118" s="199" t="s">
        <v>81</v>
      </c>
      <c r="D118" s="199" t="s">
        <v>118</v>
      </c>
      <c r="E118" s="199">
        <v>4</v>
      </c>
      <c r="F118" s="199">
        <v>65</v>
      </c>
    </row>
    <row r="119" spans="2:6" hidden="1">
      <c r="B119" s="199" t="str">
        <f>Factor_4[[#This Row],[Impacto del cargo]]&amp;" "&amp;Factor_4[[#This Row],[Autonomia]]&amp;" "&amp;Factor_4[[#This Row],[Magnitud de Cifras]]</f>
        <v>I C 5</v>
      </c>
      <c r="C119" s="199" t="s">
        <v>81</v>
      </c>
      <c r="D119" s="199" t="s">
        <v>118</v>
      </c>
      <c r="E119" s="199">
        <v>5</v>
      </c>
      <c r="F119" s="199">
        <v>72</v>
      </c>
    </row>
    <row r="120" spans="2:6" hidden="1">
      <c r="B120" s="199" t="str">
        <f>Factor_4[[#This Row],[Impacto del cargo]]&amp;" "&amp;Factor_4[[#This Row],[Autonomia]]&amp;" "&amp;Factor_4[[#This Row],[Magnitud de Cifras]]</f>
        <v>I C 6</v>
      </c>
      <c r="C120" s="199" t="s">
        <v>81</v>
      </c>
      <c r="D120" s="199" t="s">
        <v>118</v>
      </c>
      <c r="E120" s="199">
        <v>6</v>
      </c>
      <c r="F120" s="199">
        <v>80</v>
      </c>
    </row>
    <row r="121" spans="2:6" hidden="1">
      <c r="B121" s="199" t="str">
        <f>Factor_4[[#This Row],[Impacto del cargo]]&amp;" "&amp;Factor_4[[#This Row],[Autonomia]]&amp;" "&amp;Factor_4[[#This Row],[Magnitud de Cifras]]</f>
        <v>I C 7</v>
      </c>
      <c r="C121" s="199" t="s">
        <v>81</v>
      </c>
      <c r="D121" s="199" t="s">
        <v>118</v>
      </c>
      <c r="E121" s="199">
        <v>7</v>
      </c>
      <c r="F121" s="199">
        <v>89</v>
      </c>
    </row>
    <row r="122" spans="2:6" hidden="1">
      <c r="B122" s="199" t="str">
        <f>Factor_4[[#This Row],[Impacto del cargo]]&amp;" "&amp;Factor_4[[#This Row],[Autonomia]]&amp;" "&amp;Factor_4[[#This Row],[Magnitud de Cifras]]</f>
        <v>I C 8</v>
      </c>
      <c r="C122" s="199" t="s">
        <v>81</v>
      </c>
      <c r="D122" s="199" t="s">
        <v>118</v>
      </c>
      <c r="E122" s="199">
        <v>8</v>
      </c>
      <c r="F122" s="199">
        <v>98</v>
      </c>
    </row>
    <row r="123" spans="2:6" hidden="1">
      <c r="B123" s="199" t="str">
        <f>Factor_4[[#This Row],[Impacto del cargo]]&amp;" "&amp;Factor_4[[#This Row],[Autonomia]]&amp;" "&amp;Factor_4[[#This Row],[Magnitud de Cifras]]</f>
        <v>I C 9</v>
      </c>
      <c r="C123" s="199" t="s">
        <v>81</v>
      </c>
      <c r="D123" s="199" t="s">
        <v>118</v>
      </c>
      <c r="E123" s="199">
        <v>9</v>
      </c>
      <c r="F123" s="199">
        <v>109</v>
      </c>
    </row>
    <row r="124" spans="2:6" hidden="1">
      <c r="B124" s="199" t="str">
        <f>Factor_4[[#This Row],[Impacto del cargo]]&amp;" "&amp;Factor_4[[#This Row],[Autonomia]]&amp;" "&amp;Factor_4[[#This Row],[Magnitud de Cifras]]</f>
        <v>I C 10</v>
      </c>
      <c r="C124" s="199" t="s">
        <v>81</v>
      </c>
      <c r="D124" s="199" t="s">
        <v>118</v>
      </c>
      <c r="E124" s="199">
        <v>10</v>
      </c>
      <c r="F124" s="199">
        <v>122</v>
      </c>
    </row>
    <row r="125" spans="2:6" hidden="1">
      <c r="B125" s="199" t="str">
        <f>Factor_4[[#This Row],[Impacto del cargo]]&amp;" "&amp;Factor_4[[#This Row],[Autonomia]]&amp;" "&amp;Factor_4[[#This Row],[Magnitud de Cifras]]</f>
        <v>I C 11</v>
      </c>
      <c r="C125" s="199" t="s">
        <v>81</v>
      </c>
      <c r="D125" s="199" t="s">
        <v>118</v>
      </c>
      <c r="E125" s="199">
        <v>11</v>
      </c>
      <c r="F125" s="199">
        <v>136</v>
      </c>
    </row>
    <row r="126" spans="2:6" hidden="1">
      <c r="B126" s="199" t="str">
        <f>Factor_4[[#This Row],[Impacto del cargo]]&amp;" "&amp;Factor_4[[#This Row],[Autonomia]]&amp;" "&amp;Factor_4[[#This Row],[Magnitud de Cifras]]</f>
        <v>I C 12</v>
      </c>
      <c r="C126" s="199" t="s">
        <v>81</v>
      </c>
      <c r="D126" s="199" t="s">
        <v>118</v>
      </c>
      <c r="E126" s="199">
        <v>12</v>
      </c>
      <c r="F126" s="199">
        <v>151</v>
      </c>
    </row>
    <row r="127" spans="2:6" hidden="1">
      <c r="B127" s="199" t="str">
        <f>Factor_4[[#This Row],[Impacto del cargo]]&amp;" "&amp;Factor_4[[#This Row],[Autonomia]]&amp;" "&amp;Factor_4[[#This Row],[Magnitud de Cifras]]</f>
        <v>I C 13</v>
      </c>
      <c r="C127" s="199" t="s">
        <v>81</v>
      </c>
      <c r="D127" s="199" t="s">
        <v>118</v>
      </c>
      <c r="E127" s="199">
        <v>13</v>
      </c>
      <c r="F127" s="199">
        <v>169</v>
      </c>
    </row>
    <row r="128" spans="2:6" hidden="1">
      <c r="B128" s="199" t="str">
        <f>Factor_4[[#This Row],[Impacto del cargo]]&amp;" "&amp;Factor_4[[#This Row],[Autonomia]]&amp;" "&amp;Factor_4[[#This Row],[Magnitud de Cifras]]</f>
        <v>I C 14</v>
      </c>
      <c r="C128" s="199" t="s">
        <v>81</v>
      </c>
      <c r="D128" s="199" t="s">
        <v>118</v>
      </c>
      <c r="E128" s="199">
        <v>14</v>
      </c>
      <c r="F128" s="199">
        <v>189</v>
      </c>
    </row>
    <row r="129" spans="2:6" hidden="1">
      <c r="B129" s="199" t="str">
        <f>Factor_4[[#This Row],[Impacto del cargo]]&amp;" "&amp;Factor_4[[#This Row],[Autonomia]]&amp;" "&amp;Factor_4[[#This Row],[Magnitud de Cifras]]</f>
        <v>II C 1</v>
      </c>
      <c r="C129" s="199" t="s">
        <v>100</v>
      </c>
      <c r="D129" s="199" t="s">
        <v>118</v>
      </c>
      <c r="E129" s="199">
        <v>1</v>
      </c>
      <c r="F129" s="199">
        <v>50</v>
      </c>
    </row>
    <row r="130" spans="2:6" hidden="1">
      <c r="B130" s="199" t="str">
        <f>Factor_4[[#This Row],[Impacto del cargo]]&amp;" "&amp;Factor_4[[#This Row],[Autonomia]]&amp;" "&amp;Factor_4[[#This Row],[Magnitud de Cifras]]</f>
        <v>II C 2</v>
      </c>
      <c r="C130" s="199" t="s">
        <v>100</v>
      </c>
      <c r="D130" s="199" t="s">
        <v>118</v>
      </c>
      <c r="E130" s="199">
        <v>2</v>
      </c>
      <c r="F130" s="199">
        <v>64</v>
      </c>
    </row>
    <row r="131" spans="2:6" hidden="1">
      <c r="B131" s="199" t="str">
        <f>Factor_4[[#This Row],[Impacto del cargo]]&amp;" "&amp;Factor_4[[#This Row],[Autonomia]]&amp;" "&amp;Factor_4[[#This Row],[Magnitud de Cifras]]</f>
        <v>II C 3</v>
      </c>
      <c r="C131" s="199" t="s">
        <v>100</v>
      </c>
      <c r="D131" s="199" t="s">
        <v>118</v>
      </c>
      <c r="E131" s="199">
        <v>3</v>
      </c>
      <c r="F131" s="199">
        <v>70</v>
      </c>
    </row>
    <row r="132" spans="2:6" hidden="1">
      <c r="B132" s="199" t="str">
        <f>Factor_4[[#This Row],[Impacto del cargo]]&amp;" "&amp;Factor_4[[#This Row],[Autonomia]]&amp;" "&amp;Factor_4[[#This Row],[Magnitud de Cifras]]</f>
        <v>II C 4</v>
      </c>
      <c r="C132" s="199" t="s">
        <v>100</v>
      </c>
      <c r="D132" s="199" t="s">
        <v>118</v>
      </c>
      <c r="E132" s="199">
        <v>4</v>
      </c>
      <c r="F132" s="199">
        <v>77</v>
      </c>
    </row>
    <row r="133" spans="2:6" hidden="1">
      <c r="B133" s="199" t="str">
        <f>Factor_4[[#This Row],[Impacto del cargo]]&amp;" "&amp;Factor_4[[#This Row],[Autonomia]]&amp;" "&amp;Factor_4[[#This Row],[Magnitud de Cifras]]</f>
        <v>II C 5</v>
      </c>
      <c r="C133" s="199" t="s">
        <v>100</v>
      </c>
      <c r="D133" s="199" t="s">
        <v>118</v>
      </c>
      <c r="E133" s="199">
        <v>5</v>
      </c>
      <c r="F133" s="199">
        <v>85</v>
      </c>
    </row>
    <row r="134" spans="2:6" hidden="1">
      <c r="B134" s="199" t="str">
        <f>Factor_4[[#This Row],[Impacto del cargo]]&amp;" "&amp;Factor_4[[#This Row],[Autonomia]]&amp;" "&amp;Factor_4[[#This Row],[Magnitud de Cifras]]</f>
        <v>II C 6</v>
      </c>
      <c r="C134" s="199" t="s">
        <v>100</v>
      </c>
      <c r="D134" s="199" t="s">
        <v>118</v>
      </c>
      <c r="E134" s="199">
        <v>6</v>
      </c>
      <c r="F134" s="199">
        <v>94</v>
      </c>
    </row>
    <row r="135" spans="2:6" hidden="1">
      <c r="B135" s="199" t="str">
        <f>Factor_4[[#This Row],[Impacto del cargo]]&amp;" "&amp;Factor_4[[#This Row],[Autonomia]]&amp;" "&amp;Factor_4[[#This Row],[Magnitud de Cifras]]</f>
        <v>II C 7</v>
      </c>
      <c r="C135" s="199" t="s">
        <v>100</v>
      </c>
      <c r="D135" s="199" t="s">
        <v>118</v>
      </c>
      <c r="E135" s="199">
        <v>7</v>
      </c>
      <c r="F135" s="199">
        <v>104</v>
      </c>
    </row>
    <row r="136" spans="2:6" hidden="1">
      <c r="B136" s="199" t="str">
        <f>Factor_4[[#This Row],[Impacto del cargo]]&amp;" "&amp;Factor_4[[#This Row],[Autonomia]]&amp;" "&amp;Factor_4[[#This Row],[Magnitud de Cifras]]</f>
        <v>II C 8</v>
      </c>
      <c r="C136" s="199" t="s">
        <v>100</v>
      </c>
      <c r="D136" s="199" t="s">
        <v>118</v>
      </c>
      <c r="E136" s="199">
        <v>8</v>
      </c>
      <c r="F136" s="199">
        <v>115</v>
      </c>
    </row>
    <row r="137" spans="2:6" hidden="1">
      <c r="B137" s="199" t="str">
        <f>Factor_4[[#This Row],[Impacto del cargo]]&amp;" "&amp;Factor_4[[#This Row],[Autonomia]]&amp;" "&amp;Factor_4[[#This Row],[Magnitud de Cifras]]</f>
        <v>II C 9</v>
      </c>
      <c r="C137" s="199" t="s">
        <v>100</v>
      </c>
      <c r="D137" s="199" t="s">
        <v>118</v>
      </c>
      <c r="E137" s="199">
        <v>9</v>
      </c>
      <c r="F137" s="199">
        <v>127</v>
      </c>
    </row>
    <row r="138" spans="2:6" hidden="1">
      <c r="B138" s="199" t="str">
        <f>Factor_4[[#This Row],[Impacto del cargo]]&amp;" "&amp;Factor_4[[#This Row],[Autonomia]]&amp;" "&amp;Factor_4[[#This Row],[Magnitud de Cifras]]</f>
        <v>II C 10</v>
      </c>
      <c r="C138" s="199" t="s">
        <v>100</v>
      </c>
      <c r="D138" s="199" t="s">
        <v>118</v>
      </c>
      <c r="E138" s="199">
        <v>10</v>
      </c>
      <c r="F138" s="199">
        <v>141</v>
      </c>
    </row>
    <row r="139" spans="2:6" hidden="1">
      <c r="B139" s="199" t="str">
        <f>Factor_4[[#This Row],[Impacto del cargo]]&amp;" "&amp;Factor_4[[#This Row],[Autonomia]]&amp;" "&amp;Factor_4[[#This Row],[Magnitud de Cifras]]</f>
        <v>II C 11</v>
      </c>
      <c r="C139" s="199" t="s">
        <v>100</v>
      </c>
      <c r="D139" s="199" t="s">
        <v>118</v>
      </c>
      <c r="E139" s="199">
        <v>11</v>
      </c>
      <c r="F139" s="199">
        <v>156</v>
      </c>
    </row>
    <row r="140" spans="2:6" hidden="1">
      <c r="B140" s="199" t="str">
        <f>Factor_4[[#This Row],[Impacto del cargo]]&amp;" "&amp;Factor_4[[#This Row],[Autonomia]]&amp;" "&amp;Factor_4[[#This Row],[Magnitud de Cifras]]</f>
        <v>II C 12</v>
      </c>
      <c r="C140" s="199" t="s">
        <v>100</v>
      </c>
      <c r="D140" s="199" t="s">
        <v>118</v>
      </c>
      <c r="E140" s="199">
        <v>12</v>
      </c>
      <c r="F140" s="199">
        <v>173</v>
      </c>
    </row>
    <row r="141" spans="2:6" hidden="1">
      <c r="B141" s="199" t="str">
        <f>Factor_4[[#This Row],[Impacto del cargo]]&amp;" "&amp;Factor_4[[#This Row],[Autonomia]]&amp;" "&amp;Factor_4[[#This Row],[Magnitud de Cifras]]</f>
        <v>II C 13</v>
      </c>
      <c r="C141" s="199" t="s">
        <v>100</v>
      </c>
      <c r="D141" s="199" t="s">
        <v>118</v>
      </c>
      <c r="E141" s="199">
        <v>13</v>
      </c>
      <c r="F141" s="199">
        <v>193</v>
      </c>
    </row>
    <row r="142" spans="2:6" hidden="1">
      <c r="B142" s="199" t="str">
        <f>Factor_4[[#This Row],[Impacto del cargo]]&amp;" "&amp;Factor_4[[#This Row],[Autonomia]]&amp;" "&amp;Factor_4[[#This Row],[Magnitud de Cifras]]</f>
        <v>II C 14</v>
      </c>
      <c r="C142" s="199" t="s">
        <v>100</v>
      </c>
      <c r="D142" s="199" t="s">
        <v>118</v>
      </c>
      <c r="E142" s="199">
        <v>14</v>
      </c>
      <c r="F142" s="199">
        <v>215</v>
      </c>
    </row>
    <row r="143" spans="2:6" hidden="1">
      <c r="B143" s="199" t="str">
        <f>Factor_4[[#This Row],[Impacto del cargo]]&amp;" "&amp;Factor_4[[#This Row],[Autonomia]]&amp;" "&amp;Factor_4[[#This Row],[Magnitud de Cifras]]</f>
        <v>III C 1</v>
      </c>
      <c r="C143" s="199" t="s">
        <v>120</v>
      </c>
      <c r="D143" s="199" t="s">
        <v>118</v>
      </c>
      <c r="E143" s="199">
        <v>1</v>
      </c>
      <c r="F143" s="199">
        <v>64</v>
      </c>
    </row>
    <row r="144" spans="2:6" hidden="1">
      <c r="B144" s="199" t="str">
        <f>Factor_4[[#This Row],[Impacto del cargo]]&amp;" "&amp;Factor_4[[#This Row],[Autonomia]]&amp;" "&amp;Factor_4[[#This Row],[Magnitud de Cifras]]</f>
        <v>III C 2</v>
      </c>
      <c r="C144" s="199" t="s">
        <v>120</v>
      </c>
      <c r="D144" s="199" t="s">
        <v>118</v>
      </c>
      <c r="E144" s="199">
        <v>2</v>
      </c>
      <c r="F144" s="199">
        <v>78</v>
      </c>
    </row>
    <row r="145" spans="2:6" hidden="1">
      <c r="B145" s="199" t="str">
        <f>Factor_4[[#This Row],[Impacto del cargo]]&amp;" "&amp;Factor_4[[#This Row],[Autonomia]]&amp;" "&amp;Factor_4[[#This Row],[Magnitud de Cifras]]</f>
        <v>III C 3</v>
      </c>
      <c r="C145" s="199" t="s">
        <v>120</v>
      </c>
      <c r="D145" s="199" t="s">
        <v>118</v>
      </c>
      <c r="E145" s="199">
        <v>3</v>
      </c>
      <c r="F145" s="199">
        <v>86</v>
      </c>
    </row>
    <row r="146" spans="2:6" hidden="1">
      <c r="B146" s="199" t="str">
        <f>Factor_4[[#This Row],[Impacto del cargo]]&amp;" "&amp;Factor_4[[#This Row],[Autonomia]]&amp;" "&amp;Factor_4[[#This Row],[Magnitud de Cifras]]</f>
        <v>III C 4</v>
      </c>
      <c r="C146" s="199" t="s">
        <v>120</v>
      </c>
      <c r="D146" s="199" t="s">
        <v>118</v>
      </c>
      <c r="E146" s="199">
        <v>4</v>
      </c>
      <c r="F146" s="199">
        <v>94</v>
      </c>
    </row>
    <row r="147" spans="2:6" hidden="1">
      <c r="B147" s="199" t="str">
        <f>Factor_4[[#This Row],[Impacto del cargo]]&amp;" "&amp;Factor_4[[#This Row],[Autonomia]]&amp;" "&amp;Factor_4[[#This Row],[Magnitud de Cifras]]</f>
        <v>III C 5</v>
      </c>
      <c r="C147" s="199" t="s">
        <v>120</v>
      </c>
      <c r="D147" s="199" t="s">
        <v>118</v>
      </c>
      <c r="E147" s="199">
        <v>5</v>
      </c>
      <c r="F147" s="199">
        <v>103</v>
      </c>
    </row>
    <row r="148" spans="2:6" hidden="1">
      <c r="B148" s="199" t="str">
        <f>Factor_4[[#This Row],[Impacto del cargo]]&amp;" "&amp;Factor_4[[#This Row],[Autonomia]]&amp;" "&amp;Factor_4[[#This Row],[Magnitud de Cifras]]</f>
        <v>III C 6</v>
      </c>
      <c r="C148" s="199" t="s">
        <v>120</v>
      </c>
      <c r="D148" s="199" t="s">
        <v>118</v>
      </c>
      <c r="E148" s="199">
        <v>6</v>
      </c>
      <c r="F148" s="199">
        <v>113</v>
      </c>
    </row>
    <row r="149" spans="2:6" hidden="1">
      <c r="B149" s="199" t="str">
        <f>Factor_4[[#This Row],[Impacto del cargo]]&amp;" "&amp;Factor_4[[#This Row],[Autonomia]]&amp;" "&amp;Factor_4[[#This Row],[Magnitud de Cifras]]</f>
        <v>III C 7</v>
      </c>
      <c r="C149" s="199" t="s">
        <v>120</v>
      </c>
      <c r="D149" s="199" t="s">
        <v>118</v>
      </c>
      <c r="E149" s="199">
        <v>7</v>
      </c>
      <c r="F149" s="199">
        <v>124</v>
      </c>
    </row>
    <row r="150" spans="2:6" hidden="1">
      <c r="B150" s="199" t="str">
        <f>Factor_4[[#This Row],[Impacto del cargo]]&amp;" "&amp;Factor_4[[#This Row],[Autonomia]]&amp;" "&amp;Factor_4[[#This Row],[Magnitud de Cifras]]</f>
        <v>III C 8</v>
      </c>
      <c r="C150" s="199" t="s">
        <v>120</v>
      </c>
      <c r="D150" s="199" t="s">
        <v>118</v>
      </c>
      <c r="E150" s="199">
        <v>8</v>
      </c>
      <c r="F150" s="199">
        <v>137</v>
      </c>
    </row>
    <row r="151" spans="2:6" hidden="1">
      <c r="B151" s="199" t="str">
        <f>Factor_4[[#This Row],[Impacto del cargo]]&amp;" "&amp;Factor_4[[#This Row],[Autonomia]]&amp;" "&amp;Factor_4[[#This Row],[Magnitud de Cifras]]</f>
        <v>III C 9</v>
      </c>
      <c r="C151" s="199" t="s">
        <v>120</v>
      </c>
      <c r="D151" s="199" t="s">
        <v>118</v>
      </c>
      <c r="E151" s="199">
        <v>9</v>
      </c>
      <c r="F151" s="199">
        <v>151</v>
      </c>
    </row>
    <row r="152" spans="2:6" hidden="1">
      <c r="B152" s="199" t="str">
        <f>Factor_4[[#This Row],[Impacto del cargo]]&amp;" "&amp;Factor_4[[#This Row],[Autonomia]]&amp;" "&amp;Factor_4[[#This Row],[Magnitud de Cifras]]</f>
        <v>III C 10</v>
      </c>
      <c r="C152" s="199" t="s">
        <v>120</v>
      </c>
      <c r="D152" s="199" t="s">
        <v>118</v>
      </c>
      <c r="E152" s="199">
        <v>10</v>
      </c>
      <c r="F152" s="199">
        <v>166</v>
      </c>
    </row>
    <row r="153" spans="2:6" hidden="1">
      <c r="B153" s="199" t="str">
        <f>Factor_4[[#This Row],[Impacto del cargo]]&amp;" "&amp;Factor_4[[#This Row],[Autonomia]]&amp;" "&amp;Factor_4[[#This Row],[Magnitud de Cifras]]</f>
        <v>III C 11</v>
      </c>
      <c r="C153" s="199" t="s">
        <v>120</v>
      </c>
      <c r="D153" s="199" t="s">
        <v>118</v>
      </c>
      <c r="E153" s="199">
        <v>11</v>
      </c>
      <c r="F153" s="199">
        <v>183</v>
      </c>
    </row>
    <row r="154" spans="2:6" hidden="1">
      <c r="B154" s="199" t="str">
        <f>Factor_4[[#This Row],[Impacto del cargo]]&amp;" "&amp;Factor_4[[#This Row],[Autonomia]]&amp;" "&amp;Factor_4[[#This Row],[Magnitud de Cifras]]</f>
        <v>III C 12</v>
      </c>
      <c r="C154" s="199" t="s">
        <v>120</v>
      </c>
      <c r="D154" s="199" t="s">
        <v>118</v>
      </c>
      <c r="E154" s="199">
        <v>12</v>
      </c>
      <c r="F154" s="199">
        <v>203</v>
      </c>
    </row>
    <row r="155" spans="2:6" hidden="1">
      <c r="B155" s="199" t="str">
        <f>Factor_4[[#This Row],[Impacto del cargo]]&amp;" "&amp;Factor_4[[#This Row],[Autonomia]]&amp;" "&amp;Factor_4[[#This Row],[Magnitud de Cifras]]</f>
        <v>III C 13</v>
      </c>
      <c r="C155" s="199" t="s">
        <v>120</v>
      </c>
      <c r="D155" s="199" t="s">
        <v>118</v>
      </c>
      <c r="E155" s="199">
        <v>13</v>
      </c>
      <c r="F155" s="199">
        <v>224</v>
      </c>
    </row>
    <row r="156" spans="2:6" hidden="1">
      <c r="B156" s="199" t="str">
        <f>Factor_4[[#This Row],[Impacto del cargo]]&amp;" "&amp;Factor_4[[#This Row],[Autonomia]]&amp;" "&amp;Factor_4[[#This Row],[Magnitud de Cifras]]</f>
        <v>III C 14</v>
      </c>
      <c r="C156" s="199" t="s">
        <v>120</v>
      </c>
      <c r="D156" s="199" t="s">
        <v>118</v>
      </c>
      <c r="E156" s="199">
        <v>14</v>
      </c>
      <c r="F156" s="199">
        <v>248</v>
      </c>
    </row>
    <row r="157" spans="2:6" hidden="1">
      <c r="B157" s="199" t="str">
        <f>Factor_4[[#This Row],[Impacto del cargo]]&amp;" "&amp;Factor_4[[#This Row],[Autonomia]]&amp;" "&amp;Factor_4[[#This Row],[Magnitud de Cifras]]</f>
        <v>IV C 1</v>
      </c>
      <c r="C157" s="199" t="s">
        <v>139</v>
      </c>
      <c r="D157" s="199" t="s">
        <v>118</v>
      </c>
      <c r="E157" s="199">
        <v>1</v>
      </c>
      <c r="F157" s="199">
        <v>84</v>
      </c>
    </row>
    <row r="158" spans="2:6" hidden="1">
      <c r="B158" s="199" t="str">
        <f>Factor_4[[#This Row],[Impacto del cargo]]&amp;" "&amp;Factor_4[[#This Row],[Autonomia]]&amp;" "&amp;Factor_4[[#This Row],[Magnitud de Cifras]]</f>
        <v>IV C 2</v>
      </c>
      <c r="C158" s="199" t="s">
        <v>139</v>
      </c>
      <c r="D158" s="199" t="s">
        <v>118</v>
      </c>
      <c r="E158" s="199">
        <v>2</v>
      </c>
      <c r="F158" s="199">
        <v>97</v>
      </c>
    </row>
    <row r="159" spans="2:6" hidden="1">
      <c r="B159" s="199" t="str">
        <f>Factor_4[[#This Row],[Impacto del cargo]]&amp;" "&amp;Factor_4[[#This Row],[Autonomia]]&amp;" "&amp;Factor_4[[#This Row],[Magnitud de Cifras]]</f>
        <v>IV C 3</v>
      </c>
      <c r="C159" s="199" t="s">
        <v>139</v>
      </c>
      <c r="D159" s="199" t="s">
        <v>118</v>
      </c>
      <c r="E159" s="199">
        <v>3</v>
      </c>
      <c r="F159" s="199">
        <v>106</v>
      </c>
    </row>
    <row r="160" spans="2:6" hidden="1">
      <c r="B160" s="199" t="str">
        <f>Factor_4[[#This Row],[Impacto del cargo]]&amp;" "&amp;Factor_4[[#This Row],[Autonomia]]&amp;" "&amp;Factor_4[[#This Row],[Magnitud de Cifras]]</f>
        <v>IV C 4</v>
      </c>
      <c r="C160" s="199" t="s">
        <v>139</v>
      </c>
      <c r="D160" s="199" t="s">
        <v>118</v>
      </c>
      <c r="E160" s="199">
        <v>4</v>
      </c>
      <c r="F160" s="199">
        <v>116</v>
      </c>
    </row>
    <row r="161" spans="2:6" hidden="1">
      <c r="B161" s="199" t="str">
        <f>Factor_4[[#This Row],[Impacto del cargo]]&amp;" "&amp;Factor_4[[#This Row],[Autonomia]]&amp;" "&amp;Factor_4[[#This Row],[Magnitud de Cifras]]</f>
        <v>IV C 5</v>
      </c>
      <c r="C161" s="199" t="s">
        <v>139</v>
      </c>
      <c r="D161" s="199" t="s">
        <v>118</v>
      </c>
      <c r="E161" s="199">
        <v>5</v>
      </c>
      <c r="F161" s="199">
        <v>126</v>
      </c>
    </row>
    <row r="162" spans="2:6" hidden="1">
      <c r="B162" s="199" t="str">
        <f>Factor_4[[#This Row],[Impacto del cargo]]&amp;" "&amp;Factor_4[[#This Row],[Autonomia]]&amp;" "&amp;Factor_4[[#This Row],[Magnitud de Cifras]]</f>
        <v>IV C 6</v>
      </c>
      <c r="C162" s="199" t="s">
        <v>139</v>
      </c>
      <c r="D162" s="199" t="s">
        <v>118</v>
      </c>
      <c r="E162" s="199">
        <v>6</v>
      </c>
      <c r="F162" s="199">
        <v>138</v>
      </c>
    </row>
    <row r="163" spans="2:6" hidden="1">
      <c r="B163" s="199" t="str">
        <f>Factor_4[[#This Row],[Impacto del cargo]]&amp;" "&amp;Factor_4[[#This Row],[Autonomia]]&amp;" "&amp;Factor_4[[#This Row],[Magnitud de Cifras]]</f>
        <v>IV C 7</v>
      </c>
      <c r="C163" s="199" t="s">
        <v>139</v>
      </c>
      <c r="D163" s="199" t="s">
        <v>118</v>
      </c>
      <c r="E163" s="199">
        <v>7</v>
      </c>
      <c r="F163" s="199">
        <v>151</v>
      </c>
    </row>
    <row r="164" spans="2:6" hidden="1">
      <c r="B164" s="199" t="str">
        <f>Factor_4[[#This Row],[Impacto del cargo]]&amp;" "&amp;Factor_4[[#This Row],[Autonomia]]&amp;" "&amp;Factor_4[[#This Row],[Magnitud de Cifras]]</f>
        <v>IV C 8</v>
      </c>
      <c r="C164" s="199" t="s">
        <v>139</v>
      </c>
      <c r="D164" s="199" t="s">
        <v>118</v>
      </c>
      <c r="E164" s="199">
        <v>8</v>
      </c>
      <c r="F164" s="199">
        <v>166</v>
      </c>
    </row>
    <row r="165" spans="2:6" hidden="1">
      <c r="B165" s="199" t="str">
        <f>Factor_4[[#This Row],[Impacto del cargo]]&amp;" "&amp;Factor_4[[#This Row],[Autonomia]]&amp;" "&amp;Factor_4[[#This Row],[Magnitud de Cifras]]</f>
        <v>IV C 9</v>
      </c>
      <c r="C165" s="199" t="s">
        <v>139</v>
      </c>
      <c r="D165" s="199" t="s">
        <v>118</v>
      </c>
      <c r="E165" s="199">
        <v>9</v>
      </c>
      <c r="F165" s="199">
        <v>182</v>
      </c>
    </row>
    <row r="166" spans="2:6" hidden="1">
      <c r="B166" s="199" t="str">
        <f>Factor_4[[#This Row],[Impacto del cargo]]&amp;" "&amp;Factor_4[[#This Row],[Autonomia]]&amp;" "&amp;Factor_4[[#This Row],[Magnitud de Cifras]]</f>
        <v>IV C 10</v>
      </c>
      <c r="C166" s="199" t="s">
        <v>139</v>
      </c>
      <c r="D166" s="199" t="s">
        <v>118</v>
      </c>
      <c r="E166" s="199">
        <v>10</v>
      </c>
      <c r="F166" s="199">
        <v>200</v>
      </c>
    </row>
    <row r="167" spans="2:6" hidden="1">
      <c r="B167" s="199" t="str">
        <f>Factor_4[[#This Row],[Impacto del cargo]]&amp;" "&amp;Factor_4[[#This Row],[Autonomia]]&amp;" "&amp;Factor_4[[#This Row],[Magnitud de Cifras]]</f>
        <v>IV C 11</v>
      </c>
      <c r="C167" s="199" t="s">
        <v>139</v>
      </c>
      <c r="D167" s="199" t="s">
        <v>118</v>
      </c>
      <c r="E167" s="199">
        <v>11</v>
      </c>
      <c r="F167" s="199">
        <v>220</v>
      </c>
    </row>
    <row r="168" spans="2:6" hidden="1">
      <c r="B168" s="199" t="str">
        <f>Factor_4[[#This Row],[Impacto del cargo]]&amp;" "&amp;Factor_4[[#This Row],[Autonomia]]&amp;" "&amp;Factor_4[[#This Row],[Magnitud de Cifras]]</f>
        <v>IV C 12</v>
      </c>
      <c r="C168" s="199" t="s">
        <v>139</v>
      </c>
      <c r="D168" s="199" t="s">
        <v>118</v>
      </c>
      <c r="E168" s="199">
        <v>12</v>
      </c>
      <c r="F168" s="199">
        <v>242</v>
      </c>
    </row>
    <row r="169" spans="2:6" hidden="1">
      <c r="B169" s="199" t="str">
        <f>Factor_4[[#This Row],[Impacto del cargo]]&amp;" "&amp;Factor_4[[#This Row],[Autonomia]]&amp;" "&amp;Factor_4[[#This Row],[Magnitud de Cifras]]</f>
        <v>IV C 13</v>
      </c>
      <c r="C169" s="199" t="s">
        <v>139</v>
      </c>
      <c r="D169" s="199" t="s">
        <v>118</v>
      </c>
      <c r="E169" s="199">
        <v>13</v>
      </c>
      <c r="F169" s="199">
        <v>266</v>
      </c>
    </row>
    <row r="170" spans="2:6" hidden="1">
      <c r="B170" s="199" t="str">
        <f>Factor_4[[#This Row],[Impacto del cargo]]&amp;" "&amp;Factor_4[[#This Row],[Autonomia]]&amp;" "&amp;Factor_4[[#This Row],[Magnitud de Cifras]]</f>
        <v>IV C 14</v>
      </c>
      <c r="C170" s="199" t="s">
        <v>139</v>
      </c>
      <c r="D170" s="199" t="s">
        <v>118</v>
      </c>
      <c r="E170" s="199">
        <v>14</v>
      </c>
      <c r="F170" s="199">
        <v>293</v>
      </c>
    </row>
    <row r="171" spans="2:6" hidden="1">
      <c r="B171" s="199" t="str">
        <f>Factor_4[[#This Row],[Impacto del cargo]]&amp;" "&amp;Factor_4[[#This Row],[Autonomia]]&amp;" "&amp;Factor_4[[#This Row],[Magnitud de Cifras]]</f>
        <v>I D 1</v>
      </c>
      <c r="C171" s="199" t="s">
        <v>81</v>
      </c>
      <c r="D171" s="199" t="s">
        <v>137</v>
      </c>
      <c r="E171" s="199">
        <v>1</v>
      </c>
      <c r="F171" s="199">
        <v>50</v>
      </c>
    </row>
    <row r="172" spans="2:6" hidden="1">
      <c r="B172" s="199" t="str">
        <f>Factor_4[[#This Row],[Impacto del cargo]]&amp;" "&amp;Factor_4[[#This Row],[Autonomia]]&amp;" "&amp;Factor_4[[#This Row],[Magnitud de Cifras]]</f>
        <v>I D 2</v>
      </c>
      <c r="C172" s="199" t="s">
        <v>81</v>
      </c>
      <c r="D172" s="199" t="s">
        <v>137</v>
      </c>
      <c r="E172" s="199">
        <v>2</v>
      </c>
      <c r="F172" s="199">
        <v>64</v>
      </c>
    </row>
    <row r="173" spans="2:6" hidden="1">
      <c r="B173" s="199" t="str">
        <f>Factor_4[[#This Row],[Impacto del cargo]]&amp;" "&amp;Factor_4[[#This Row],[Autonomia]]&amp;" "&amp;Factor_4[[#This Row],[Magnitud de Cifras]]</f>
        <v>I D 3</v>
      </c>
      <c r="C173" s="199" t="s">
        <v>81</v>
      </c>
      <c r="D173" s="199" t="s">
        <v>137</v>
      </c>
      <c r="E173" s="199">
        <v>3</v>
      </c>
      <c r="F173" s="199">
        <v>72</v>
      </c>
    </row>
    <row r="174" spans="2:6" hidden="1">
      <c r="B174" s="199" t="str">
        <f>Factor_4[[#This Row],[Impacto del cargo]]&amp;" "&amp;Factor_4[[#This Row],[Autonomia]]&amp;" "&amp;Factor_4[[#This Row],[Magnitud de Cifras]]</f>
        <v>I D 4</v>
      </c>
      <c r="C174" s="199" t="s">
        <v>81</v>
      </c>
      <c r="D174" s="199" t="s">
        <v>137</v>
      </c>
      <c r="E174" s="199">
        <v>4</v>
      </c>
      <c r="F174" s="199">
        <v>80</v>
      </c>
    </row>
    <row r="175" spans="2:6" hidden="1">
      <c r="B175" s="199" t="str">
        <f>Factor_4[[#This Row],[Impacto del cargo]]&amp;" "&amp;Factor_4[[#This Row],[Autonomia]]&amp;" "&amp;Factor_4[[#This Row],[Magnitud de Cifras]]</f>
        <v>I D 5</v>
      </c>
      <c r="C175" s="199" t="s">
        <v>81</v>
      </c>
      <c r="D175" s="199" t="s">
        <v>137</v>
      </c>
      <c r="E175" s="199">
        <v>5</v>
      </c>
      <c r="F175" s="199">
        <v>89</v>
      </c>
    </row>
    <row r="176" spans="2:6" hidden="1">
      <c r="B176" s="199" t="str">
        <f>Factor_4[[#This Row],[Impacto del cargo]]&amp;" "&amp;Factor_4[[#This Row],[Autonomia]]&amp;" "&amp;Factor_4[[#This Row],[Magnitud de Cifras]]</f>
        <v>I D 6</v>
      </c>
      <c r="C176" s="199" t="s">
        <v>81</v>
      </c>
      <c r="D176" s="199" t="s">
        <v>137</v>
      </c>
      <c r="E176" s="199">
        <v>6</v>
      </c>
      <c r="F176" s="199">
        <v>99</v>
      </c>
    </row>
    <row r="177" spans="2:6" hidden="1">
      <c r="B177" s="199" t="str">
        <f>Factor_4[[#This Row],[Impacto del cargo]]&amp;" "&amp;Factor_4[[#This Row],[Autonomia]]&amp;" "&amp;Factor_4[[#This Row],[Magnitud de Cifras]]</f>
        <v>I D 7</v>
      </c>
      <c r="C177" s="199" t="s">
        <v>81</v>
      </c>
      <c r="D177" s="199" t="s">
        <v>137</v>
      </c>
      <c r="E177" s="199">
        <v>7</v>
      </c>
      <c r="F177" s="199">
        <v>111</v>
      </c>
    </row>
    <row r="178" spans="2:6" hidden="1">
      <c r="B178" s="199" t="str">
        <f>Factor_4[[#This Row],[Impacto del cargo]]&amp;" "&amp;Factor_4[[#This Row],[Autonomia]]&amp;" "&amp;Factor_4[[#This Row],[Magnitud de Cifras]]</f>
        <v>I D 8</v>
      </c>
      <c r="C178" s="199" t="s">
        <v>81</v>
      </c>
      <c r="D178" s="199" t="s">
        <v>137</v>
      </c>
      <c r="E178" s="199">
        <v>8</v>
      </c>
      <c r="F178" s="199">
        <v>124</v>
      </c>
    </row>
    <row r="179" spans="2:6" hidden="1">
      <c r="B179" s="199" t="str">
        <f>Factor_4[[#This Row],[Impacto del cargo]]&amp;" "&amp;Factor_4[[#This Row],[Autonomia]]&amp;" "&amp;Factor_4[[#This Row],[Magnitud de Cifras]]</f>
        <v>I D 9</v>
      </c>
      <c r="C179" s="199" t="s">
        <v>81</v>
      </c>
      <c r="D179" s="199" t="s">
        <v>137</v>
      </c>
      <c r="E179" s="199">
        <v>9</v>
      </c>
      <c r="F179" s="199">
        <v>139</v>
      </c>
    </row>
    <row r="180" spans="2:6" hidden="1">
      <c r="B180" s="199" t="str">
        <f>Factor_4[[#This Row],[Impacto del cargo]]&amp;" "&amp;Factor_4[[#This Row],[Autonomia]]&amp;" "&amp;Factor_4[[#This Row],[Magnitud de Cifras]]</f>
        <v>I D 10</v>
      </c>
      <c r="C180" s="199" t="s">
        <v>81</v>
      </c>
      <c r="D180" s="199" t="s">
        <v>137</v>
      </c>
      <c r="E180" s="199">
        <v>10</v>
      </c>
      <c r="F180" s="199">
        <v>156</v>
      </c>
    </row>
    <row r="181" spans="2:6" hidden="1">
      <c r="B181" s="199" t="str">
        <f>Factor_4[[#This Row],[Impacto del cargo]]&amp;" "&amp;Factor_4[[#This Row],[Autonomia]]&amp;" "&amp;Factor_4[[#This Row],[Magnitud de Cifras]]</f>
        <v>I D 11</v>
      </c>
      <c r="C181" s="199" t="s">
        <v>81</v>
      </c>
      <c r="D181" s="199" t="s">
        <v>137</v>
      </c>
      <c r="E181" s="199">
        <v>11</v>
      </c>
      <c r="F181" s="199">
        <v>175</v>
      </c>
    </row>
    <row r="182" spans="2:6" hidden="1">
      <c r="B182" s="199" t="str">
        <f>Factor_4[[#This Row],[Impacto del cargo]]&amp;" "&amp;Factor_4[[#This Row],[Autonomia]]&amp;" "&amp;Factor_4[[#This Row],[Magnitud de Cifras]]</f>
        <v>I D 12</v>
      </c>
      <c r="C182" s="199" t="s">
        <v>81</v>
      </c>
      <c r="D182" s="199" t="s">
        <v>137</v>
      </c>
      <c r="E182" s="199">
        <v>12</v>
      </c>
      <c r="F182" s="199">
        <v>196</v>
      </c>
    </row>
    <row r="183" spans="2:6" hidden="1">
      <c r="B183" s="199" t="str">
        <f>Factor_4[[#This Row],[Impacto del cargo]]&amp;" "&amp;Factor_4[[#This Row],[Autonomia]]&amp;" "&amp;Factor_4[[#This Row],[Magnitud de Cifras]]</f>
        <v>I D 13</v>
      </c>
      <c r="C183" s="199" t="s">
        <v>81</v>
      </c>
      <c r="D183" s="199" t="s">
        <v>137</v>
      </c>
      <c r="E183" s="199">
        <v>13</v>
      </c>
      <c r="F183" s="199">
        <v>221</v>
      </c>
    </row>
    <row r="184" spans="2:6" hidden="1">
      <c r="B184" s="199" t="str">
        <f>Factor_4[[#This Row],[Impacto del cargo]]&amp;" "&amp;Factor_4[[#This Row],[Autonomia]]&amp;" "&amp;Factor_4[[#This Row],[Magnitud de Cifras]]</f>
        <v>I D 14</v>
      </c>
      <c r="C184" s="199" t="s">
        <v>81</v>
      </c>
      <c r="D184" s="199" t="s">
        <v>137</v>
      </c>
      <c r="E184" s="199">
        <v>14</v>
      </c>
      <c r="F184" s="199">
        <v>248</v>
      </c>
    </row>
    <row r="185" spans="2:6" hidden="1">
      <c r="B185" s="199" t="str">
        <f>Factor_4[[#This Row],[Impacto del cargo]]&amp;" "&amp;Factor_4[[#This Row],[Autonomia]]&amp;" "&amp;Factor_4[[#This Row],[Magnitud de Cifras]]</f>
        <v>II D 1</v>
      </c>
      <c r="C185" s="199" t="s">
        <v>100</v>
      </c>
      <c r="D185" s="199" t="s">
        <v>137</v>
      </c>
      <c r="E185" s="199">
        <v>1</v>
      </c>
      <c r="F185" s="199">
        <v>59</v>
      </c>
    </row>
    <row r="186" spans="2:6" hidden="1">
      <c r="B186" s="199" t="str">
        <f>Factor_4[[#This Row],[Impacto del cargo]]&amp;" "&amp;Factor_4[[#This Row],[Autonomia]]&amp;" "&amp;Factor_4[[#This Row],[Magnitud de Cifras]]</f>
        <v>II D 2</v>
      </c>
      <c r="C186" s="199" t="s">
        <v>100</v>
      </c>
      <c r="D186" s="199" t="s">
        <v>137</v>
      </c>
      <c r="E186" s="199">
        <v>2</v>
      </c>
      <c r="F186" s="199">
        <v>75</v>
      </c>
    </row>
    <row r="187" spans="2:6" hidden="1">
      <c r="B187" s="199" t="str">
        <f>Factor_4[[#This Row],[Impacto del cargo]]&amp;" "&amp;Factor_4[[#This Row],[Autonomia]]&amp;" "&amp;Factor_4[[#This Row],[Magnitud de Cifras]]</f>
        <v>II D 3</v>
      </c>
      <c r="C187" s="199" t="s">
        <v>100</v>
      </c>
      <c r="D187" s="199" t="s">
        <v>137</v>
      </c>
      <c r="E187" s="199">
        <v>3</v>
      </c>
      <c r="F187" s="199">
        <v>83</v>
      </c>
    </row>
    <row r="188" spans="2:6" hidden="1">
      <c r="B188" s="199" t="str">
        <f>Factor_4[[#This Row],[Impacto del cargo]]&amp;" "&amp;Factor_4[[#This Row],[Autonomia]]&amp;" "&amp;Factor_4[[#This Row],[Magnitud de Cifras]]</f>
        <v>II D 4</v>
      </c>
      <c r="C188" s="199" t="s">
        <v>100</v>
      </c>
      <c r="D188" s="199" t="s">
        <v>137</v>
      </c>
      <c r="E188" s="199">
        <v>4</v>
      </c>
      <c r="F188" s="199">
        <v>92</v>
      </c>
    </row>
    <row r="189" spans="2:6" hidden="1">
      <c r="B189" s="199" t="str">
        <f>Factor_4[[#This Row],[Impacto del cargo]]&amp;" "&amp;Factor_4[[#This Row],[Autonomia]]&amp;" "&amp;Factor_4[[#This Row],[Magnitud de Cifras]]</f>
        <v>II D 5</v>
      </c>
      <c r="C189" s="199" t="s">
        <v>100</v>
      </c>
      <c r="D189" s="199" t="s">
        <v>137</v>
      </c>
      <c r="E189" s="199">
        <v>5</v>
      </c>
      <c r="F189" s="199">
        <v>102</v>
      </c>
    </row>
    <row r="190" spans="2:6" hidden="1">
      <c r="B190" s="199" t="str">
        <f>Factor_4[[#This Row],[Impacto del cargo]]&amp;" "&amp;Factor_4[[#This Row],[Autonomia]]&amp;" "&amp;Factor_4[[#This Row],[Magnitud de Cifras]]</f>
        <v>II D 6</v>
      </c>
      <c r="C190" s="199" t="s">
        <v>100</v>
      </c>
      <c r="D190" s="199" t="s">
        <v>137</v>
      </c>
      <c r="E190" s="199">
        <v>6</v>
      </c>
      <c r="F190" s="199">
        <v>114</v>
      </c>
    </row>
    <row r="191" spans="2:6" hidden="1">
      <c r="B191" s="199" t="str">
        <f>Factor_4[[#This Row],[Impacto del cargo]]&amp;" "&amp;Factor_4[[#This Row],[Autonomia]]&amp;" "&amp;Factor_4[[#This Row],[Magnitud de Cifras]]</f>
        <v>II D 7</v>
      </c>
      <c r="C191" s="199" t="s">
        <v>100</v>
      </c>
      <c r="D191" s="199" t="s">
        <v>137</v>
      </c>
      <c r="E191" s="199">
        <v>7</v>
      </c>
      <c r="F191" s="199">
        <v>126</v>
      </c>
    </row>
    <row r="192" spans="2:6" hidden="1">
      <c r="B192" s="199" t="str">
        <f>Factor_4[[#This Row],[Impacto del cargo]]&amp;" "&amp;Factor_4[[#This Row],[Autonomia]]&amp;" "&amp;Factor_4[[#This Row],[Magnitud de Cifras]]</f>
        <v>II D 8</v>
      </c>
      <c r="C192" s="199" t="s">
        <v>100</v>
      </c>
      <c r="D192" s="199" t="s">
        <v>137</v>
      </c>
      <c r="E192" s="199">
        <v>8</v>
      </c>
      <c r="F192" s="199">
        <v>141</v>
      </c>
    </row>
    <row r="193" spans="2:6" hidden="1">
      <c r="B193" s="199" t="str">
        <f>Factor_4[[#This Row],[Impacto del cargo]]&amp;" "&amp;Factor_4[[#This Row],[Autonomia]]&amp;" "&amp;Factor_4[[#This Row],[Magnitud de Cifras]]</f>
        <v>II D 9</v>
      </c>
      <c r="C193" s="199" t="s">
        <v>100</v>
      </c>
      <c r="D193" s="199" t="s">
        <v>137</v>
      </c>
      <c r="E193" s="199">
        <v>9</v>
      </c>
      <c r="F193" s="199">
        <v>157</v>
      </c>
    </row>
    <row r="194" spans="2:6" hidden="1">
      <c r="B194" s="199" t="str">
        <f>Factor_4[[#This Row],[Impacto del cargo]]&amp;" "&amp;Factor_4[[#This Row],[Autonomia]]&amp;" "&amp;Factor_4[[#This Row],[Magnitud de Cifras]]</f>
        <v>II D 10</v>
      </c>
      <c r="C194" s="199" t="s">
        <v>100</v>
      </c>
      <c r="D194" s="199" t="s">
        <v>137</v>
      </c>
      <c r="E194" s="199">
        <v>10</v>
      </c>
      <c r="F194" s="199">
        <v>175</v>
      </c>
    </row>
    <row r="195" spans="2:6" hidden="1">
      <c r="B195" s="199" t="str">
        <f>Factor_4[[#This Row],[Impacto del cargo]]&amp;" "&amp;Factor_4[[#This Row],[Autonomia]]&amp;" "&amp;Factor_4[[#This Row],[Magnitud de Cifras]]</f>
        <v>II D 11</v>
      </c>
      <c r="C195" s="199" t="s">
        <v>100</v>
      </c>
      <c r="D195" s="199" t="s">
        <v>137</v>
      </c>
      <c r="E195" s="199">
        <v>11</v>
      </c>
      <c r="F195" s="199">
        <v>195</v>
      </c>
    </row>
    <row r="196" spans="2:6" hidden="1">
      <c r="B196" s="199" t="str">
        <f>Factor_4[[#This Row],[Impacto del cargo]]&amp;" "&amp;Factor_4[[#This Row],[Autonomia]]&amp;" "&amp;Factor_4[[#This Row],[Magnitud de Cifras]]</f>
        <v>II D 12</v>
      </c>
      <c r="C196" s="199" t="s">
        <v>100</v>
      </c>
      <c r="D196" s="199" t="s">
        <v>137</v>
      </c>
      <c r="E196" s="199">
        <v>12</v>
      </c>
      <c r="F196" s="199">
        <v>218</v>
      </c>
    </row>
    <row r="197" spans="2:6" hidden="1">
      <c r="B197" s="199" t="str">
        <f>Factor_4[[#This Row],[Impacto del cargo]]&amp;" "&amp;Factor_4[[#This Row],[Autonomia]]&amp;" "&amp;Factor_4[[#This Row],[Magnitud de Cifras]]</f>
        <v>II D 13</v>
      </c>
      <c r="C197" s="199" t="s">
        <v>100</v>
      </c>
      <c r="D197" s="199" t="s">
        <v>137</v>
      </c>
      <c r="E197" s="199">
        <v>13</v>
      </c>
      <c r="F197" s="199">
        <v>244</v>
      </c>
    </row>
    <row r="198" spans="2:6" hidden="1">
      <c r="B198" s="199" t="str">
        <f>Factor_4[[#This Row],[Impacto del cargo]]&amp;" "&amp;Factor_4[[#This Row],[Autonomia]]&amp;" "&amp;Factor_4[[#This Row],[Magnitud de Cifras]]</f>
        <v>II D 14</v>
      </c>
      <c r="C198" s="199" t="s">
        <v>100</v>
      </c>
      <c r="D198" s="199" t="s">
        <v>137</v>
      </c>
      <c r="E198" s="199">
        <v>14</v>
      </c>
      <c r="F198" s="199">
        <v>274</v>
      </c>
    </row>
    <row r="199" spans="2:6" hidden="1">
      <c r="B199" s="199" t="str">
        <f>Factor_4[[#This Row],[Impacto del cargo]]&amp;" "&amp;Factor_4[[#This Row],[Autonomia]]&amp;" "&amp;Factor_4[[#This Row],[Magnitud de Cifras]]</f>
        <v>III D 1</v>
      </c>
      <c r="C199" s="199" t="s">
        <v>120</v>
      </c>
      <c r="D199" s="199" t="s">
        <v>137</v>
      </c>
      <c r="E199" s="199">
        <v>1</v>
      </c>
      <c r="F199" s="199">
        <v>74</v>
      </c>
    </row>
    <row r="200" spans="2:6" hidden="1">
      <c r="B200" s="199" t="str">
        <f>Factor_4[[#This Row],[Impacto del cargo]]&amp;" "&amp;Factor_4[[#This Row],[Autonomia]]&amp;" "&amp;Factor_4[[#This Row],[Magnitud de Cifras]]</f>
        <v>III D 2</v>
      </c>
      <c r="C200" s="199" t="s">
        <v>120</v>
      </c>
      <c r="D200" s="199" t="s">
        <v>137</v>
      </c>
      <c r="E200" s="199">
        <v>2</v>
      </c>
      <c r="F200" s="199">
        <v>89</v>
      </c>
    </row>
    <row r="201" spans="2:6" hidden="1">
      <c r="B201" s="199" t="str">
        <f>Factor_4[[#This Row],[Impacto del cargo]]&amp;" "&amp;Factor_4[[#This Row],[Autonomia]]&amp;" "&amp;Factor_4[[#This Row],[Magnitud de Cifras]]</f>
        <v>III D 3</v>
      </c>
      <c r="C201" s="199" t="s">
        <v>120</v>
      </c>
      <c r="D201" s="199" t="s">
        <v>137</v>
      </c>
      <c r="E201" s="199">
        <v>3</v>
      </c>
      <c r="F201" s="199">
        <v>98</v>
      </c>
    </row>
    <row r="202" spans="2:6" hidden="1">
      <c r="B202" s="199" t="str">
        <f>Factor_4[[#This Row],[Impacto del cargo]]&amp;" "&amp;Factor_4[[#This Row],[Autonomia]]&amp;" "&amp;Factor_4[[#This Row],[Magnitud de Cifras]]</f>
        <v>III D 4</v>
      </c>
      <c r="C202" s="199" t="s">
        <v>120</v>
      </c>
      <c r="D202" s="199" t="s">
        <v>137</v>
      </c>
      <c r="E202" s="199">
        <v>4</v>
      </c>
      <c r="F202" s="199">
        <v>108</v>
      </c>
    </row>
    <row r="203" spans="2:6" hidden="1">
      <c r="B203" s="199" t="str">
        <f>Factor_4[[#This Row],[Impacto del cargo]]&amp;" "&amp;Factor_4[[#This Row],[Autonomia]]&amp;" "&amp;Factor_4[[#This Row],[Magnitud de Cifras]]</f>
        <v>III D 5</v>
      </c>
      <c r="C203" s="199" t="s">
        <v>120</v>
      </c>
      <c r="D203" s="199" t="s">
        <v>137</v>
      </c>
      <c r="E203" s="199">
        <v>5</v>
      </c>
      <c r="F203" s="199">
        <v>120</v>
      </c>
    </row>
    <row r="204" spans="2:6" hidden="1">
      <c r="B204" s="199" t="str">
        <f>Factor_4[[#This Row],[Impacto del cargo]]&amp;" "&amp;Factor_4[[#This Row],[Autonomia]]&amp;" "&amp;Factor_4[[#This Row],[Magnitud de Cifras]]</f>
        <v>III D 6</v>
      </c>
      <c r="C204" s="199" t="s">
        <v>120</v>
      </c>
      <c r="D204" s="199" t="s">
        <v>137</v>
      </c>
      <c r="E204" s="199">
        <v>6</v>
      </c>
      <c r="F204" s="199">
        <v>132</v>
      </c>
    </row>
    <row r="205" spans="2:6" hidden="1">
      <c r="B205" s="199" t="str">
        <f>Factor_4[[#This Row],[Impacto del cargo]]&amp;" "&amp;Factor_4[[#This Row],[Autonomia]]&amp;" "&amp;Factor_4[[#This Row],[Magnitud de Cifras]]</f>
        <v>III D 7</v>
      </c>
      <c r="C205" s="199" t="s">
        <v>120</v>
      </c>
      <c r="D205" s="199" t="s">
        <v>137</v>
      </c>
      <c r="E205" s="199">
        <v>7</v>
      </c>
      <c r="F205" s="199">
        <v>147</v>
      </c>
    </row>
    <row r="206" spans="2:6" hidden="1">
      <c r="B206" s="199" t="str">
        <f>Factor_4[[#This Row],[Impacto del cargo]]&amp;" "&amp;Factor_4[[#This Row],[Autonomia]]&amp;" "&amp;Factor_4[[#This Row],[Magnitud de Cifras]]</f>
        <v>III D 8</v>
      </c>
      <c r="C206" s="199" t="s">
        <v>120</v>
      </c>
      <c r="D206" s="199" t="s">
        <v>137</v>
      </c>
      <c r="E206" s="199">
        <v>8</v>
      </c>
      <c r="F206" s="199">
        <v>162</v>
      </c>
    </row>
    <row r="207" spans="2:6" hidden="1">
      <c r="B207" s="199" t="str">
        <f>Factor_4[[#This Row],[Impacto del cargo]]&amp;" "&amp;Factor_4[[#This Row],[Autonomia]]&amp;" "&amp;Factor_4[[#This Row],[Magnitud de Cifras]]</f>
        <v>III D 9</v>
      </c>
      <c r="C207" s="199" t="s">
        <v>120</v>
      </c>
      <c r="D207" s="199" t="s">
        <v>137</v>
      </c>
      <c r="E207" s="199">
        <v>9</v>
      </c>
      <c r="F207" s="199">
        <v>180</v>
      </c>
    </row>
    <row r="208" spans="2:6" hidden="1">
      <c r="B208" s="199" t="str">
        <f>Factor_4[[#This Row],[Impacto del cargo]]&amp;" "&amp;Factor_4[[#This Row],[Autonomia]]&amp;" "&amp;Factor_4[[#This Row],[Magnitud de Cifras]]</f>
        <v>III D 10</v>
      </c>
      <c r="C208" s="199" t="s">
        <v>120</v>
      </c>
      <c r="D208" s="199" t="s">
        <v>137</v>
      </c>
      <c r="E208" s="199">
        <v>10</v>
      </c>
      <c r="F208" s="199">
        <v>200</v>
      </c>
    </row>
    <row r="209" spans="2:6" hidden="1">
      <c r="B209" s="199" t="str">
        <f>Factor_4[[#This Row],[Impacto del cargo]]&amp;" "&amp;Factor_4[[#This Row],[Autonomia]]&amp;" "&amp;Factor_4[[#This Row],[Magnitud de Cifras]]</f>
        <v>III D 11</v>
      </c>
      <c r="C209" s="199" t="s">
        <v>120</v>
      </c>
      <c r="D209" s="199" t="s">
        <v>137</v>
      </c>
      <c r="E209" s="199">
        <v>11</v>
      </c>
      <c r="F209" s="199">
        <v>222</v>
      </c>
    </row>
    <row r="210" spans="2:6" hidden="1">
      <c r="B210" s="199" t="str">
        <f>Factor_4[[#This Row],[Impacto del cargo]]&amp;" "&amp;Factor_4[[#This Row],[Autonomia]]&amp;" "&amp;Factor_4[[#This Row],[Magnitud de Cifras]]</f>
        <v>III D 12</v>
      </c>
      <c r="C210" s="199" t="s">
        <v>120</v>
      </c>
      <c r="D210" s="199" t="s">
        <v>137</v>
      </c>
      <c r="E210" s="199">
        <v>12</v>
      </c>
      <c r="F210" s="199">
        <v>248</v>
      </c>
    </row>
    <row r="211" spans="2:6" hidden="1">
      <c r="B211" s="199" t="str">
        <f>Factor_4[[#This Row],[Impacto del cargo]]&amp;" "&amp;Factor_4[[#This Row],[Autonomia]]&amp;" "&amp;Factor_4[[#This Row],[Magnitud de Cifras]]</f>
        <v>III D 13</v>
      </c>
      <c r="C211" s="199" t="s">
        <v>120</v>
      </c>
      <c r="D211" s="199" t="s">
        <v>137</v>
      </c>
      <c r="E211" s="199">
        <v>13</v>
      </c>
      <c r="F211" s="199">
        <v>276</v>
      </c>
    </row>
    <row r="212" spans="2:6" hidden="1">
      <c r="B212" s="199" t="str">
        <f>Factor_4[[#This Row],[Impacto del cargo]]&amp;" "&amp;Factor_4[[#This Row],[Autonomia]]&amp;" "&amp;Factor_4[[#This Row],[Magnitud de Cifras]]</f>
        <v>III D 14</v>
      </c>
      <c r="C212" s="199" t="s">
        <v>120</v>
      </c>
      <c r="D212" s="199" t="s">
        <v>137</v>
      </c>
      <c r="E212" s="199">
        <v>14</v>
      </c>
      <c r="F212" s="199">
        <v>308</v>
      </c>
    </row>
    <row r="213" spans="2:6" hidden="1">
      <c r="B213" s="199" t="str">
        <f>Factor_4[[#This Row],[Impacto del cargo]]&amp;" "&amp;Factor_4[[#This Row],[Autonomia]]&amp;" "&amp;Factor_4[[#This Row],[Magnitud de Cifras]]</f>
        <v>IV D 1</v>
      </c>
      <c r="C213" s="199" t="s">
        <v>139</v>
      </c>
      <c r="D213" s="199" t="s">
        <v>137</v>
      </c>
      <c r="E213" s="199">
        <v>1</v>
      </c>
      <c r="F213" s="199">
        <v>94</v>
      </c>
    </row>
    <row r="214" spans="2:6" hidden="1">
      <c r="B214" s="199" t="str">
        <f>Factor_4[[#This Row],[Impacto del cargo]]&amp;" "&amp;Factor_4[[#This Row],[Autonomia]]&amp;" "&amp;Factor_4[[#This Row],[Magnitud de Cifras]]</f>
        <v>IV D 2</v>
      </c>
      <c r="C214" s="199" t="s">
        <v>139</v>
      </c>
      <c r="D214" s="199" t="s">
        <v>137</v>
      </c>
      <c r="E214" s="199">
        <v>2</v>
      </c>
      <c r="F214" s="199">
        <v>108</v>
      </c>
    </row>
    <row r="215" spans="2:6" hidden="1">
      <c r="B215" s="199" t="str">
        <f>Factor_4[[#This Row],[Impacto del cargo]]&amp;" "&amp;Factor_4[[#This Row],[Autonomia]]&amp;" "&amp;Factor_4[[#This Row],[Magnitud de Cifras]]</f>
        <v>IV D 3</v>
      </c>
      <c r="C215" s="199" t="s">
        <v>139</v>
      </c>
      <c r="D215" s="199" t="s">
        <v>137</v>
      </c>
      <c r="E215" s="199">
        <v>3</v>
      </c>
      <c r="F215" s="199">
        <v>119</v>
      </c>
    </row>
    <row r="216" spans="2:6" hidden="1">
      <c r="B216" s="199" t="str">
        <f>Factor_4[[#This Row],[Impacto del cargo]]&amp;" "&amp;Factor_4[[#This Row],[Autonomia]]&amp;" "&amp;Factor_4[[#This Row],[Magnitud de Cifras]]</f>
        <v>IV D 4</v>
      </c>
      <c r="C216" s="199" t="s">
        <v>139</v>
      </c>
      <c r="D216" s="199" t="s">
        <v>137</v>
      </c>
      <c r="E216" s="199">
        <v>4</v>
      </c>
      <c r="F216" s="199">
        <v>130</v>
      </c>
    </row>
    <row r="217" spans="2:6" hidden="1">
      <c r="B217" s="199" t="str">
        <f>Factor_4[[#This Row],[Impacto del cargo]]&amp;" "&amp;Factor_4[[#This Row],[Autonomia]]&amp;" "&amp;Factor_4[[#This Row],[Magnitud de Cifras]]</f>
        <v>IV D 5</v>
      </c>
      <c r="C217" s="199" t="s">
        <v>139</v>
      </c>
      <c r="D217" s="199" t="s">
        <v>137</v>
      </c>
      <c r="E217" s="199">
        <v>5</v>
      </c>
      <c r="F217" s="199">
        <v>143</v>
      </c>
    </row>
    <row r="218" spans="2:6" hidden="1">
      <c r="B218" s="199" t="str">
        <f>Factor_4[[#This Row],[Impacto del cargo]]&amp;" "&amp;Factor_4[[#This Row],[Autonomia]]&amp;" "&amp;Factor_4[[#This Row],[Magnitud de Cifras]]</f>
        <v>IV D 6</v>
      </c>
      <c r="C218" s="199" t="s">
        <v>139</v>
      </c>
      <c r="D218" s="199" t="s">
        <v>137</v>
      </c>
      <c r="E218" s="199">
        <v>6</v>
      </c>
      <c r="F218" s="199">
        <v>158</v>
      </c>
    </row>
    <row r="219" spans="2:6" hidden="1">
      <c r="B219" s="199" t="str">
        <f>Factor_4[[#This Row],[Impacto del cargo]]&amp;" "&amp;Factor_4[[#This Row],[Autonomia]]&amp;" "&amp;Factor_4[[#This Row],[Magnitud de Cifras]]</f>
        <v>IV D 7</v>
      </c>
      <c r="C219" s="199" t="s">
        <v>139</v>
      </c>
      <c r="D219" s="199" t="s">
        <v>137</v>
      </c>
      <c r="E219" s="199">
        <v>7</v>
      </c>
      <c r="F219" s="199">
        <v>174</v>
      </c>
    </row>
    <row r="220" spans="2:6" hidden="1">
      <c r="B220" s="199" t="str">
        <f>Factor_4[[#This Row],[Impacto del cargo]]&amp;" "&amp;Factor_4[[#This Row],[Autonomia]]&amp;" "&amp;Factor_4[[#This Row],[Magnitud de Cifras]]</f>
        <v>IV D 8</v>
      </c>
      <c r="C220" s="199" t="s">
        <v>139</v>
      </c>
      <c r="D220" s="199" t="s">
        <v>137</v>
      </c>
      <c r="E220" s="199">
        <v>8</v>
      </c>
      <c r="F220" s="199">
        <v>191</v>
      </c>
    </row>
    <row r="221" spans="2:6" hidden="1">
      <c r="B221" s="199" t="str">
        <f>Factor_4[[#This Row],[Impacto del cargo]]&amp;" "&amp;Factor_4[[#This Row],[Autonomia]]&amp;" "&amp;Factor_4[[#This Row],[Magnitud de Cifras]]</f>
        <v>IV D 9</v>
      </c>
      <c r="C221" s="199" t="s">
        <v>139</v>
      </c>
      <c r="D221" s="199" t="s">
        <v>137</v>
      </c>
      <c r="E221" s="199">
        <v>9</v>
      </c>
      <c r="F221" s="199">
        <v>211</v>
      </c>
    </row>
    <row r="222" spans="2:6" hidden="1">
      <c r="B222" s="199" t="str">
        <f>Factor_4[[#This Row],[Impacto del cargo]]&amp;" "&amp;Factor_4[[#This Row],[Autonomia]]&amp;" "&amp;Factor_4[[#This Row],[Magnitud de Cifras]]</f>
        <v>IV D 10</v>
      </c>
      <c r="C222" s="199" t="s">
        <v>139</v>
      </c>
      <c r="D222" s="199" t="s">
        <v>137</v>
      </c>
      <c r="E222" s="199">
        <v>10</v>
      </c>
      <c r="F222" s="199">
        <v>234</v>
      </c>
    </row>
    <row r="223" spans="2:6" hidden="1">
      <c r="B223" s="199" t="str">
        <f>Factor_4[[#This Row],[Impacto del cargo]]&amp;" "&amp;Factor_4[[#This Row],[Autonomia]]&amp;" "&amp;Factor_4[[#This Row],[Magnitud de Cifras]]</f>
        <v>IV D 11</v>
      </c>
      <c r="C223" s="199" t="s">
        <v>139</v>
      </c>
      <c r="D223" s="199" t="s">
        <v>137</v>
      </c>
      <c r="E223" s="199">
        <v>11</v>
      </c>
      <c r="F223" s="199">
        <v>259</v>
      </c>
    </row>
    <row r="224" spans="2:6" hidden="1">
      <c r="B224" s="199" t="str">
        <f>Factor_4[[#This Row],[Impacto del cargo]]&amp;" "&amp;Factor_4[[#This Row],[Autonomia]]&amp;" "&amp;Factor_4[[#This Row],[Magnitud de Cifras]]</f>
        <v>IV D 12</v>
      </c>
      <c r="C224" s="199" t="s">
        <v>139</v>
      </c>
      <c r="D224" s="199" t="s">
        <v>137</v>
      </c>
      <c r="E224" s="199">
        <v>12</v>
      </c>
      <c r="F224" s="199">
        <v>286</v>
      </c>
    </row>
    <row r="225" spans="2:6" hidden="1">
      <c r="B225" s="199" t="str">
        <f>Factor_4[[#This Row],[Impacto del cargo]]&amp;" "&amp;Factor_4[[#This Row],[Autonomia]]&amp;" "&amp;Factor_4[[#This Row],[Magnitud de Cifras]]</f>
        <v>IV D 13</v>
      </c>
      <c r="C225" s="199" t="s">
        <v>139</v>
      </c>
      <c r="D225" s="199" t="s">
        <v>137</v>
      </c>
      <c r="E225" s="199">
        <v>13</v>
      </c>
      <c r="F225" s="199">
        <v>318</v>
      </c>
    </row>
    <row r="226" spans="2:6" hidden="1">
      <c r="B226" s="199" t="str">
        <f>Factor_4[[#This Row],[Impacto del cargo]]&amp;" "&amp;Factor_4[[#This Row],[Autonomia]]&amp;" "&amp;Factor_4[[#This Row],[Magnitud de Cifras]]</f>
        <v>IV D 14</v>
      </c>
      <c r="C226" s="199" t="s">
        <v>139</v>
      </c>
      <c r="D226" s="199" t="s">
        <v>137</v>
      </c>
      <c r="E226" s="199">
        <v>14</v>
      </c>
      <c r="F226" s="199">
        <v>353</v>
      </c>
    </row>
    <row r="227" spans="2:6" hidden="1">
      <c r="B227" s="199" t="str">
        <f>Factor_4[[#This Row],[Impacto del cargo]]&amp;" "&amp;Factor_4[[#This Row],[Autonomia]]&amp;" "&amp;Factor_4[[#This Row],[Magnitud de Cifras]]</f>
        <v>I E 1</v>
      </c>
      <c r="C227" s="199" t="s">
        <v>81</v>
      </c>
      <c r="D227" s="199" t="s">
        <v>155</v>
      </c>
      <c r="E227" s="199">
        <v>1</v>
      </c>
      <c r="F227" s="199">
        <v>64</v>
      </c>
    </row>
    <row r="228" spans="2:6" hidden="1">
      <c r="B228" s="199" t="str">
        <f>Factor_4[[#This Row],[Impacto del cargo]]&amp;" "&amp;Factor_4[[#This Row],[Autonomia]]&amp;" "&amp;Factor_4[[#This Row],[Magnitud de Cifras]]</f>
        <v>I E 2</v>
      </c>
      <c r="C228" s="199" t="s">
        <v>81</v>
      </c>
      <c r="D228" s="199" t="s">
        <v>155</v>
      </c>
      <c r="E228" s="199">
        <v>2</v>
      </c>
      <c r="F228" s="199">
        <v>81</v>
      </c>
    </row>
    <row r="229" spans="2:6" hidden="1">
      <c r="B229" s="199" t="str">
        <f>Factor_4[[#This Row],[Impacto del cargo]]&amp;" "&amp;Factor_4[[#This Row],[Autonomia]]&amp;" "&amp;Factor_4[[#This Row],[Magnitud de Cifras]]</f>
        <v>I E 3</v>
      </c>
      <c r="C229" s="199" t="s">
        <v>81</v>
      </c>
      <c r="D229" s="199" t="s">
        <v>155</v>
      </c>
      <c r="E229" s="199">
        <v>3</v>
      </c>
      <c r="F229" s="199">
        <v>91</v>
      </c>
    </row>
    <row r="230" spans="2:6" hidden="1">
      <c r="B230" s="199" t="str">
        <f>Factor_4[[#This Row],[Impacto del cargo]]&amp;" "&amp;Factor_4[[#This Row],[Autonomia]]&amp;" "&amp;Factor_4[[#This Row],[Magnitud de Cifras]]</f>
        <v>I E 4</v>
      </c>
      <c r="C230" s="199" t="s">
        <v>81</v>
      </c>
      <c r="D230" s="199" t="s">
        <v>155</v>
      </c>
      <c r="E230" s="199">
        <v>4</v>
      </c>
      <c r="F230" s="199">
        <v>102</v>
      </c>
    </row>
    <row r="231" spans="2:6" hidden="1">
      <c r="B231" s="199" t="str">
        <f>Factor_4[[#This Row],[Impacto del cargo]]&amp;" "&amp;Factor_4[[#This Row],[Autonomia]]&amp;" "&amp;Factor_4[[#This Row],[Magnitud de Cifras]]</f>
        <v>I E 5</v>
      </c>
      <c r="C231" s="199" t="s">
        <v>81</v>
      </c>
      <c r="D231" s="199" t="s">
        <v>155</v>
      </c>
      <c r="E231" s="199">
        <v>5</v>
      </c>
      <c r="F231" s="199">
        <v>115</v>
      </c>
    </row>
    <row r="232" spans="2:6" hidden="1">
      <c r="B232" s="199" t="str">
        <f>Factor_4[[#This Row],[Impacto del cargo]]&amp;" "&amp;Factor_4[[#This Row],[Autonomia]]&amp;" "&amp;Factor_4[[#This Row],[Magnitud de Cifras]]</f>
        <v>I E 6</v>
      </c>
      <c r="C232" s="199" t="s">
        <v>81</v>
      </c>
      <c r="D232" s="199" t="s">
        <v>155</v>
      </c>
      <c r="E232" s="199">
        <v>6</v>
      </c>
      <c r="F232" s="199">
        <v>129</v>
      </c>
    </row>
    <row r="233" spans="2:6" hidden="1">
      <c r="B233" s="199" t="str">
        <f>Factor_4[[#This Row],[Impacto del cargo]]&amp;" "&amp;Factor_4[[#This Row],[Autonomia]]&amp;" "&amp;Factor_4[[#This Row],[Magnitud de Cifras]]</f>
        <v>I E 7</v>
      </c>
      <c r="C233" s="199" t="s">
        <v>81</v>
      </c>
      <c r="D233" s="199" t="s">
        <v>155</v>
      </c>
      <c r="E233" s="199">
        <v>7</v>
      </c>
      <c r="F233" s="199">
        <v>145</v>
      </c>
    </row>
    <row r="234" spans="2:6" hidden="1">
      <c r="B234" s="199" t="str">
        <f>Factor_4[[#This Row],[Impacto del cargo]]&amp;" "&amp;Factor_4[[#This Row],[Autonomia]]&amp;" "&amp;Factor_4[[#This Row],[Magnitud de Cifras]]</f>
        <v>I E 8</v>
      </c>
      <c r="C234" s="199" t="s">
        <v>81</v>
      </c>
      <c r="D234" s="199" t="s">
        <v>155</v>
      </c>
      <c r="E234" s="199">
        <v>8</v>
      </c>
      <c r="F234" s="199">
        <v>163</v>
      </c>
    </row>
    <row r="235" spans="2:6" hidden="1">
      <c r="B235" s="199" t="str">
        <f>Factor_4[[#This Row],[Impacto del cargo]]&amp;" "&amp;Factor_4[[#This Row],[Autonomia]]&amp;" "&amp;Factor_4[[#This Row],[Magnitud de Cifras]]</f>
        <v>I E 9</v>
      </c>
      <c r="C235" s="199" t="s">
        <v>81</v>
      </c>
      <c r="D235" s="199" t="s">
        <v>155</v>
      </c>
      <c r="E235" s="199">
        <v>9</v>
      </c>
      <c r="F235" s="199">
        <v>184</v>
      </c>
    </row>
    <row r="236" spans="2:6" hidden="1">
      <c r="B236" s="199" t="str">
        <f>Factor_4[[#This Row],[Impacto del cargo]]&amp;" "&amp;Factor_4[[#This Row],[Autonomia]]&amp;" "&amp;Factor_4[[#This Row],[Magnitud de Cifras]]</f>
        <v>I E 10</v>
      </c>
      <c r="C236" s="199" t="s">
        <v>81</v>
      </c>
      <c r="D236" s="199" t="s">
        <v>155</v>
      </c>
      <c r="E236" s="199">
        <v>10</v>
      </c>
      <c r="F236" s="199">
        <v>208</v>
      </c>
    </row>
    <row r="237" spans="2:6" hidden="1">
      <c r="B237" s="199" t="str">
        <f>Factor_4[[#This Row],[Impacto del cargo]]&amp;" "&amp;Factor_4[[#This Row],[Autonomia]]&amp;" "&amp;Factor_4[[#This Row],[Magnitud de Cifras]]</f>
        <v>I E 11</v>
      </c>
      <c r="C237" s="199" t="s">
        <v>81</v>
      </c>
      <c r="D237" s="199" t="s">
        <v>155</v>
      </c>
      <c r="E237" s="199">
        <v>11</v>
      </c>
      <c r="F237" s="199">
        <v>235</v>
      </c>
    </row>
    <row r="238" spans="2:6" hidden="1">
      <c r="B238" s="199" t="str">
        <f>Factor_4[[#This Row],[Impacto del cargo]]&amp;" "&amp;Factor_4[[#This Row],[Autonomia]]&amp;" "&amp;Factor_4[[#This Row],[Magnitud de Cifras]]</f>
        <v>I E 12</v>
      </c>
      <c r="C238" s="199" t="s">
        <v>81</v>
      </c>
      <c r="D238" s="199" t="s">
        <v>155</v>
      </c>
      <c r="E238" s="199">
        <v>12</v>
      </c>
      <c r="F238" s="199">
        <v>265</v>
      </c>
    </row>
    <row r="239" spans="2:6" hidden="1">
      <c r="B239" s="199" t="str">
        <f>Factor_4[[#This Row],[Impacto del cargo]]&amp;" "&amp;Factor_4[[#This Row],[Autonomia]]&amp;" "&amp;Factor_4[[#This Row],[Magnitud de Cifras]]</f>
        <v>I E 13</v>
      </c>
      <c r="C239" s="199" t="s">
        <v>81</v>
      </c>
      <c r="D239" s="199" t="s">
        <v>155</v>
      </c>
      <c r="E239" s="199">
        <v>13</v>
      </c>
      <c r="F239" s="199">
        <v>300</v>
      </c>
    </row>
    <row r="240" spans="2:6" hidden="1">
      <c r="B240" s="199" t="str">
        <f>Factor_4[[#This Row],[Impacto del cargo]]&amp;" "&amp;Factor_4[[#This Row],[Autonomia]]&amp;" "&amp;Factor_4[[#This Row],[Magnitud de Cifras]]</f>
        <v>I E 14</v>
      </c>
      <c r="C240" s="199" t="s">
        <v>81</v>
      </c>
      <c r="D240" s="199" t="s">
        <v>155</v>
      </c>
      <c r="E240" s="199">
        <v>14</v>
      </c>
      <c r="F240" s="199">
        <v>339</v>
      </c>
    </row>
    <row r="241" spans="2:6" hidden="1">
      <c r="B241" s="199" t="str">
        <f>Factor_4[[#This Row],[Impacto del cargo]]&amp;" "&amp;Factor_4[[#This Row],[Autonomia]]&amp;" "&amp;Factor_4[[#This Row],[Magnitud de Cifras]]</f>
        <v>II E 1</v>
      </c>
      <c r="C241" s="199" t="s">
        <v>100</v>
      </c>
      <c r="D241" s="199" t="s">
        <v>155</v>
      </c>
      <c r="E241" s="199">
        <v>1</v>
      </c>
      <c r="F241" s="199">
        <v>74</v>
      </c>
    </row>
    <row r="242" spans="2:6" hidden="1">
      <c r="B242" s="199" t="str">
        <f>Factor_4[[#This Row],[Impacto del cargo]]&amp;" "&amp;Factor_4[[#This Row],[Autonomia]]&amp;" "&amp;Factor_4[[#This Row],[Magnitud de Cifras]]</f>
        <v>II E 2</v>
      </c>
      <c r="C242" s="199" t="s">
        <v>100</v>
      </c>
      <c r="D242" s="199" t="s">
        <v>155</v>
      </c>
      <c r="E242" s="199">
        <v>2</v>
      </c>
      <c r="F242" s="199">
        <v>92</v>
      </c>
    </row>
    <row r="243" spans="2:6" hidden="1">
      <c r="B243" s="199" t="str">
        <f>Factor_4[[#This Row],[Impacto del cargo]]&amp;" "&amp;Factor_4[[#This Row],[Autonomia]]&amp;" "&amp;Factor_4[[#This Row],[Magnitud de Cifras]]</f>
        <v>II E 3</v>
      </c>
      <c r="C243" s="199" t="s">
        <v>100</v>
      </c>
      <c r="D243" s="199" t="s">
        <v>155</v>
      </c>
      <c r="E243" s="199">
        <v>3</v>
      </c>
      <c r="F243" s="199">
        <v>103</v>
      </c>
    </row>
    <row r="244" spans="2:6" hidden="1">
      <c r="B244" s="199" t="str">
        <f>Factor_4[[#This Row],[Impacto del cargo]]&amp;" "&amp;Factor_4[[#This Row],[Autonomia]]&amp;" "&amp;Factor_4[[#This Row],[Magnitud de Cifras]]</f>
        <v>II E 4</v>
      </c>
      <c r="C244" s="199" t="s">
        <v>100</v>
      </c>
      <c r="D244" s="199" t="s">
        <v>155</v>
      </c>
      <c r="E244" s="199">
        <v>4</v>
      </c>
      <c r="F244" s="199">
        <v>115</v>
      </c>
    </row>
    <row r="245" spans="2:6" hidden="1">
      <c r="B245" s="199" t="str">
        <f>Factor_4[[#This Row],[Impacto del cargo]]&amp;" "&amp;Factor_4[[#This Row],[Autonomia]]&amp;" "&amp;Factor_4[[#This Row],[Magnitud de Cifras]]</f>
        <v>II E 5</v>
      </c>
      <c r="C245" s="199" t="s">
        <v>100</v>
      </c>
      <c r="D245" s="199" t="s">
        <v>155</v>
      </c>
      <c r="E245" s="199">
        <v>5</v>
      </c>
      <c r="F245" s="199">
        <v>128</v>
      </c>
    </row>
    <row r="246" spans="2:6" hidden="1">
      <c r="B246" s="199" t="str">
        <f>Factor_4[[#This Row],[Impacto del cargo]]&amp;" "&amp;Factor_4[[#This Row],[Autonomia]]&amp;" "&amp;Factor_4[[#This Row],[Magnitud de Cifras]]</f>
        <v>II E 6</v>
      </c>
      <c r="C246" s="199" t="s">
        <v>100</v>
      </c>
      <c r="D246" s="199" t="s">
        <v>155</v>
      </c>
      <c r="E246" s="199">
        <v>6</v>
      </c>
      <c r="F246" s="199">
        <v>143</v>
      </c>
    </row>
    <row r="247" spans="2:6" hidden="1">
      <c r="B247" s="199" t="str">
        <f>Factor_4[[#This Row],[Impacto del cargo]]&amp;" "&amp;Factor_4[[#This Row],[Autonomia]]&amp;" "&amp;Factor_4[[#This Row],[Magnitud de Cifras]]</f>
        <v>II E 7</v>
      </c>
      <c r="C247" s="199" t="s">
        <v>100</v>
      </c>
      <c r="D247" s="199" t="s">
        <v>155</v>
      </c>
      <c r="E247" s="199">
        <v>7</v>
      </c>
      <c r="F247" s="199">
        <v>160</v>
      </c>
    </row>
    <row r="248" spans="2:6" hidden="1">
      <c r="B248" s="199" t="str">
        <f>Factor_4[[#This Row],[Impacto del cargo]]&amp;" "&amp;Factor_4[[#This Row],[Autonomia]]&amp;" "&amp;Factor_4[[#This Row],[Magnitud de Cifras]]</f>
        <v>II E 8</v>
      </c>
      <c r="C248" s="199" t="s">
        <v>100</v>
      </c>
      <c r="D248" s="199" t="s">
        <v>155</v>
      </c>
      <c r="E248" s="199">
        <v>8</v>
      </c>
      <c r="F248" s="199">
        <v>180</v>
      </c>
    </row>
    <row r="249" spans="2:6" hidden="1">
      <c r="B249" s="199" t="str">
        <f>Factor_4[[#This Row],[Impacto del cargo]]&amp;" "&amp;Factor_4[[#This Row],[Autonomia]]&amp;" "&amp;Factor_4[[#This Row],[Magnitud de Cifras]]</f>
        <v>II E 9</v>
      </c>
      <c r="C249" s="199" t="s">
        <v>100</v>
      </c>
      <c r="D249" s="199" t="s">
        <v>155</v>
      </c>
      <c r="E249" s="199">
        <v>9</v>
      </c>
      <c r="F249" s="199">
        <v>202</v>
      </c>
    </row>
    <row r="250" spans="2:6" hidden="1">
      <c r="B250" s="199" t="str">
        <f>Factor_4[[#This Row],[Impacto del cargo]]&amp;" "&amp;Factor_4[[#This Row],[Autonomia]]&amp;" "&amp;Factor_4[[#This Row],[Magnitud de Cifras]]</f>
        <v>II E 10</v>
      </c>
      <c r="C250" s="199" t="s">
        <v>100</v>
      </c>
      <c r="D250" s="199" t="s">
        <v>155</v>
      </c>
      <c r="E250" s="199">
        <v>10</v>
      </c>
      <c r="F250" s="199">
        <v>227</v>
      </c>
    </row>
    <row r="251" spans="2:6" hidden="1">
      <c r="B251" s="199" t="str">
        <f>Factor_4[[#This Row],[Impacto del cargo]]&amp;" "&amp;Factor_4[[#This Row],[Autonomia]]&amp;" "&amp;Factor_4[[#This Row],[Magnitud de Cifras]]</f>
        <v>II E 11</v>
      </c>
      <c r="C251" s="199" t="s">
        <v>100</v>
      </c>
      <c r="D251" s="199" t="s">
        <v>155</v>
      </c>
      <c r="E251" s="199">
        <v>11</v>
      </c>
      <c r="F251" s="199">
        <v>255</v>
      </c>
    </row>
    <row r="252" spans="2:6" hidden="1">
      <c r="B252" s="199" t="str">
        <f>Factor_4[[#This Row],[Impacto del cargo]]&amp;" "&amp;Factor_4[[#This Row],[Autonomia]]&amp;" "&amp;Factor_4[[#This Row],[Magnitud de Cifras]]</f>
        <v>II E 12</v>
      </c>
      <c r="C252" s="199" t="s">
        <v>100</v>
      </c>
      <c r="D252" s="199" t="s">
        <v>155</v>
      </c>
      <c r="E252" s="199">
        <v>12</v>
      </c>
      <c r="F252" s="199">
        <v>287</v>
      </c>
    </row>
    <row r="253" spans="2:6" hidden="1">
      <c r="B253" s="199" t="str">
        <f>Factor_4[[#This Row],[Impacto del cargo]]&amp;" "&amp;Factor_4[[#This Row],[Autonomia]]&amp;" "&amp;Factor_4[[#This Row],[Magnitud de Cifras]]</f>
        <v>II E 13</v>
      </c>
      <c r="C253" s="199" t="s">
        <v>100</v>
      </c>
      <c r="D253" s="199" t="s">
        <v>155</v>
      </c>
      <c r="E253" s="199">
        <v>13</v>
      </c>
      <c r="F253" s="199">
        <v>324</v>
      </c>
    </row>
    <row r="254" spans="2:6" hidden="1">
      <c r="B254" s="199" t="str">
        <f>Factor_4[[#This Row],[Impacto del cargo]]&amp;" "&amp;Factor_4[[#This Row],[Autonomia]]&amp;" "&amp;Factor_4[[#This Row],[Magnitud de Cifras]]</f>
        <v>II E 14</v>
      </c>
      <c r="C254" s="199" t="s">
        <v>100</v>
      </c>
      <c r="D254" s="199" t="s">
        <v>155</v>
      </c>
      <c r="E254" s="199">
        <v>14</v>
      </c>
      <c r="F254" s="199">
        <v>365</v>
      </c>
    </row>
    <row r="255" spans="2:6" hidden="1">
      <c r="B255" s="199" t="str">
        <f>Factor_4[[#This Row],[Impacto del cargo]]&amp;" "&amp;Factor_4[[#This Row],[Autonomia]]&amp;" "&amp;Factor_4[[#This Row],[Magnitud de Cifras]]</f>
        <v>III E 1</v>
      </c>
      <c r="C255" s="199" t="s">
        <v>120</v>
      </c>
      <c r="D255" s="199" t="s">
        <v>155</v>
      </c>
      <c r="E255" s="199">
        <v>1</v>
      </c>
      <c r="F255" s="199">
        <v>88</v>
      </c>
    </row>
    <row r="256" spans="2:6" hidden="1">
      <c r="B256" s="199" t="str">
        <f>Factor_4[[#This Row],[Impacto del cargo]]&amp;" "&amp;Factor_4[[#This Row],[Autonomia]]&amp;" "&amp;Factor_4[[#This Row],[Magnitud de Cifras]]</f>
        <v>III E 2</v>
      </c>
      <c r="C256" s="199" t="s">
        <v>120</v>
      </c>
      <c r="D256" s="199" t="s">
        <v>155</v>
      </c>
      <c r="E256" s="199">
        <v>2</v>
      </c>
      <c r="F256" s="199">
        <v>106</v>
      </c>
    </row>
    <row r="257" spans="2:6" hidden="1">
      <c r="B257" s="199" t="str">
        <f>Factor_4[[#This Row],[Impacto del cargo]]&amp;" "&amp;Factor_4[[#This Row],[Autonomia]]&amp;" "&amp;Factor_4[[#This Row],[Magnitud de Cifras]]</f>
        <v>III E 3</v>
      </c>
      <c r="C257" s="199" t="s">
        <v>120</v>
      </c>
      <c r="D257" s="199" t="s">
        <v>155</v>
      </c>
      <c r="E257" s="199">
        <v>3</v>
      </c>
      <c r="F257" s="199">
        <v>118</v>
      </c>
    </row>
    <row r="258" spans="2:6" hidden="1">
      <c r="B258" s="199" t="str">
        <f>Factor_4[[#This Row],[Impacto del cargo]]&amp;" "&amp;Factor_4[[#This Row],[Autonomia]]&amp;" "&amp;Factor_4[[#This Row],[Magnitud de Cifras]]</f>
        <v>III E 4</v>
      </c>
      <c r="C258" s="199" t="s">
        <v>120</v>
      </c>
      <c r="D258" s="199" t="s">
        <v>155</v>
      </c>
      <c r="E258" s="199">
        <v>4</v>
      </c>
      <c r="F258" s="199">
        <v>131</v>
      </c>
    </row>
    <row r="259" spans="2:6" hidden="1">
      <c r="B259" s="199" t="str">
        <f>Factor_4[[#This Row],[Impacto del cargo]]&amp;" "&amp;Factor_4[[#This Row],[Autonomia]]&amp;" "&amp;Factor_4[[#This Row],[Magnitud de Cifras]]</f>
        <v>III E 5</v>
      </c>
      <c r="C259" s="199" t="s">
        <v>120</v>
      </c>
      <c r="D259" s="199" t="s">
        <v>155</v>
      </c>
      <c r="E259" s="199">
        <v>5</v>
      </c>
      <c r="F259" s="199">
        <v>146</v>
      </c>
    </row>
    <row r="260" spans="2:6" hidden="1">
      <c r="B260" s="199" t="str">
        <f>Factor_4[[#This Row],[Impacto del cargo]]&amp;" "&amp;Factor_4[[#This Row],[Autonomia]]&amp;" "&amp;Factor_4[[#This Row],[Magnitud de Cifras]]</f>
        <v>III E 6</v>
      </c>
      <c r="C260" s="199" t="s">
        <v>120</v>
      </c>
      <c r="D260" s="199" t="s">
        <v>155</v>
      </c>
      <c r="E260" s="199">
        <v>6</v>
      </c>
      <c r="F260" s="199">
        <v>162</v>
      </c>
    </row>
    <row r="261" spans="2:6" hidden="1">
      <c r="B261" s="199" t="str">
        <f>Factor_4[[#This Row],[Impacto del cargo]]&amp;" "&amp;Factor_4[[#This Row],[Autonomia]]&amp;" "&amp;Factor_4[[#This Row],[Magnitud de Cifras]]</f>
        <v>III E 7</v>
      </c>
      <c r="C261" s="199" t="s">
        <v>120</v>
      </c>
      <c r="D261" s="199" t="s">
        <v>155</v>
      </c>
      <c r="E261" s="199">
        <v>7</v>
      </c>
      <c r="F261" s="199">
        <v>181</v>
      </c>
    </row>
    <row r="262" spans="2:6" hidden="1">
      <c r="B262" s="199" t="str">
        <f>Factor_4[[#This Row],[Impacto del cargo]]&amp;" "&amp;Factor_4[[#This Row],[Autonomia]]&amp;" "&amp;Factor_4[[#This Row],[Magnitud de Cifras]]</f>
        <v>III E 8</v>
      </c>
      <c r="C262" s="199" t="s">
        <v>120</v>
      </c>
      <c r="D262" s="199" t="s">
        <v>155</v>
      </c>
      <c r="E262" s="199">
        <v>8</v>
      </c>
      <c r="F262" s="199">
        <v>202</v>
      </c>
    </row>
    <row r="263" spans="2:6" hidden="1">
      <c r="B263" s="199" t="str">
        <f>Factor_4[[#This Row],[Impacto del cargo]]&amp;" "&amp;Factor_4[[#This Row],[Autonomia]]&amp;" "&amp;Factor_4[[#This Row],[Magnitud de Cifras]]</f>
        <v>III E 9</v>
      </c>
      <c r="C263" s="199" t="s">
        <v>120</v>
      </c>
      <c r="D263" s="199" t="s">
        <v>155</v>
      </c>
      <c r="E263" s="199">
        <v>9</v>
      </c>
      <c r="F263" s="199">
        <v>225</v>
      </c>
    </row>
    <row r="264" spans="2:6" hidden="1">
      <c r="B264" s="199" t="str">
        <f>Factor_4[[#This Row],[Impacto del cargo]]&amp;" "&amp;Factor_4[[#This Row],[Autonomia]]&amp;" "&amp;Factor_4[[#This Row],[Magnitud de Cifras]]</f>
        <v>III E 10</v>
      </c>
      <c r="C264" s="199" t="s">
        <v>120</v>
      </c>
      <c r="D264" s="199" t="s">
        <v>155</v>
      </c>
      <c r="E264" s="199">
        <v>10</v>
      </c>
      <c r="F264" s="199">
        <v>252</v>
      </c>
    </row>
    <row r="265" spans="2:6" hidden="1">
      <c r="B265" s="199" t="str">
        <f>Factor_4[[#This Row],[Impacto del cargo]]&amp;" "&amp;Factor_4[[#This Row],[Autonomia]]&amp;" "&amp;Factor_4[[#This Row],[Magnitud de Cifras]]</f>
        <v>III E 11</v>
      </c>
      <c r="C265" s="199" t="s">
        <v>120</v>
      </c>
      <c r="D265" s="199" t="s">
        <v>155</v>
      </c>
      <c r="E265" s="199">
        <v>11</v>
      </c>
      <c r="F265" s="199">
        <v>282</v>
      </c>
    </row>
    <row r="266" spans="2:6" hidden="1">
      <c r="B266" s="199" t="str">
        <f>Factor_4[[#This Row],[Impacto del cargo]]&amp;" "&amp;Factor_4[[#This Row],[Autonomia]]&amp;" "&amp;Factor_4[[#This Row],[Magnitud de Cifras]]</f>
        <v>III E 12</v>
      </c>
      <c r="C266" s="199" t="s">
        <v>120</v>
      </c>
      <c r="D266" s="199" t="s">
        <v>155</v>
      </c>
      <c r="E266" s="199">
        <v>12</v>
      </c>
      <c r="F266" s="199">
        <v>316</v>
      </c>
    </row>
    <row r="267" spans="2:6" hidden="1">
      <c r="B267" s="199" t="str">
        <f>Factor_4[[#This Row],[Impacto del cargo]]&amp;" "&amp;Factor_4[[#This Row],[Autonomia]]&amp;" "&amp;Factor_4[[#This Row],[Magnitud de Cifras]]</f>
        <v>III E 13</v>
      </c>
      <c r="C267" s="199" t="s">
        <v>120</v>
      </c>
      <c r="D267" s="199" t="s">
        <v>155</v>
      </c>
      <c r="E267" s="199">
        <v>13</v>
      </c>
      <c r="F267" s="199">
        <v>355</v>
      </c>
    </row>
    <row r="268" spans="2:6" hidden="1">
      <c r="B268" s="199" t="str">
        <f>Factor_4[[#This Row],[Impacto del cargo]]&amp;" "&amp;Factor_4[[#This Row],[Autonomia]]&amp;" "&amp;Factor_4[[#This Row],[Magnitud de Cifras]]</f>
        <v>III E 14</v>
      </c>
      <c r="C268" s="199" t="s">
        <v>120</v>
      </c>
      <c r="D268" s="199" t="s">
        <v>155</v>
      </c>
      <c r="E268" s="199">
        <v>14</v>
      </c>
      <c r="F268" s="199">
        <v>399</v>
      </c>
    </row>
    <row r="269" spans="2:6" hidden="1">
      <c r="B269" s="199" t="str">
        <f>Factor_4[[#This Row],[Impacto del cargo]]&amp;" "&amp;Factor_4[[#This Row],[Autonomia]]&amp;" "&amp;Factor_4[[#This Row],[Magnitud de Cifras]]</f>
        <v>IV E 1</v>
      </c>
      <c r="C269" s="199" t="s">
        <v>139</v>
      </c>
      <c r="D269" s="199" t="s">
        <v>155</v>
      </c>
      <c r="E269" s="199">
        <v>1</v>
      </c>
      <c r="F269" s="199">
        <v>109</v>
      </c>
    </row>
    <row r="270" spans="2:6" hidden="1">
      <c r="B270" s="199" t="str">
        <f>Factor_4[[#This Row],[Impacto del cargo]]&amp;" "&amp;Factor_4[[#This Row],[Autonomia]]&amp;" "&amp;Factor_4[[#This Row],[Magnitud de Cifras]]</f>
        <v>IV E 2</v>
      </c>
      <c r="C270" s="199" t="s">
        <v>139</v>
      </c>
      <c r="D270" s="199" t="s">
        <v>155</v>
      </c>
      <c r="E270" s="199">
        <v>2</v>
      </c>
      <c r="F270" s="199">
        <v>125</v>
      </c>
    </row>
    <row r="271" spans="2:6" hidden="1">
      <c r="B271" s="199" t="str">
        <f>Factor_4[[#This Row],[Impacto del cargo]]&amp;" "&amp;Factor_4[[#This Row],[Autonomia]]&amp;" "&amp;Factor_4[[#This Row],[Magnitud de Cifras]]</f>
        <v>IV E 3</v>
      </c>
      <c r="C271" s="199" t="s">
        <v>139</v>
      </c>
      <c r="D271" s="199" t="s">
        <v>155</v>
      </c>
      <c r="E271" s="199">
        <v>3</v>
      </c>
      <c r="F271" s="199">
        <v>138</v>
      </c>
    </row>
    <row r="272" spans="2:6" hidden="1">
      <c r="B272" s="199" t="str">
        <f>Factor_4[[#This Row],[Impacto del cargo]]&amp;" "&amp;Factor_4[[#This Row],[Autonomia]]&amp;" "&amp;Factor_4[[#This Row],[Magnitud de Cifras]]</f>
        <v>IV E 4</v>
      </c>
      <c r="C272" s="199" t="s">
        <v>139</v>
      </c>
      <c r="D272" s="199" t="s">
        <v>155</v>
      </c>
      <c r="E272" s="199">
        <v>4</v>
      </c>
      <c r="F272" s="199">
        <v>153</v>
      </c>
    </row>
    <row r="273" spans="2:6" hidden="1">
      <c r="B273" s="199" t="str">
        <f>Factor_4[[#This Row],[Impacto del cargo]]&amp;" "&amp;Factor_4[[#This Row],[Autonomia]]&amp;" "&amp;Factor_4[[#This Row],[Magnitud de Cifras]]</f>
        <v>IV E 5</v>
      </c>
      <c r="C273" s="199" t="s">
        <v>139</v>
      </c>
      <c r="D273" s="199" t="s">
        <v>155</v>
      </c>
      <c r="E273" s="199">
        <v>5</v>
      </c>
      <c r="F273" s="199">
        <v>169</v>
      </c>
    </row>
    <row r="274" spans="2:6" hidden="1">
      <c r="B274" s="199" t="str">
        <f>Factor_4[[#This Row],[Impacto del cargo]]&amp;" "&amp;Factor_4[[#This Row],[Autonomia]]&amp;" "&amp;Factor_4[[#This Row],[Magnitud de Cifras]]</f>
        <v>IV E 6</v>
      </c>
      <c r="C274" s="199" t="s">
        <v>139</v>
      </c>
      <c r="D274" s="199" t="s">
        <v>155</v>
      </c>
      <c r="E274" s="199">
        <v>6</v>
      </c>
      <c r="F274" s="199">
        <v>187</v>
      </c>
    </row>
    <row r="275" spans="2:6" hidden="1">
      <c r="B275" s="199" t="str">
        <f>Factor_4[[#This Row],[Impacto del cargo]]&amp;" "&amp;Factor_4[[#This Row],[Autonomia]]&amp;" "&amp;Factor_4[[#This Row],[Magnitud de Cifras]]</f>
        <v>IV E 7</v>
      </c>
      <c r="C275" s="199" t="s">
        <v>139</v>
      </c>
      <c r="D275" s="199" t="s">
        <v>155</v>
      </c>
      <c r="E275" s="199">
        <v>7</v>
      </c>
      <c r="F275" s="199">
        <v>208</v>
      </c>
    </row>
    <row r="276" spans="2:6" hidden="1">
      <c r="B276" s="199" t="str">
        <f>Factor_4[[#This Row],[Impacto del cargo]]&amp;" "&amp;Factor_4[[#This Row],[Autonomia]]&amp;" "&amp;Factor_4[[#This Row],[Magnitud de Cifras]]</f>
        <v>IV E 8</v>
      </c>
      <c r="C276" s="199" t="s">
        <v>139</v>
      </c>
      <c r="D276" s="199" t="s">
        <v>155</v>
      </c>
      <c r="E276" s="199">
        <v>8</v>
      </c>
      <c r="F276" s="199">
        <v>231</v>
      </c>
    </row>
    <row r="277" spans="2:6" hidden="1">
      <c r="B277" s="199" t="str">
        <f>Factor_4[[#This Row],[Impacto del cargo]]&amp;" "&amp;Factor_4[[#This Row],[Autonomia]]&amp;" "&amp;Factor_4[[#This Row],[Magnitud de Cifras]]</f>
        <v>IV E 9</v>
      </c>
      <c r="C277" s="199" t="s">
        <v>139</v>
      </c>
      <c r="D277" s="199" t="s">
        <v>155</v>
      </c>
      <c r="E277" s="199">
        <v>9</v>
      </c>
      <c r="F277" s="199">
        <v>257</v>
      </c>
    </row>
    <row r="278" spans="2:6" hidden="1">
      <c r="B278" s="199" t="str">
        <f>Factor_4[[#This Row],[Impacto del cargo]]&amp;" "&amp;Factor_4[[#This Row],[Autonomia]]&amp;" "&amp;Factor_4[[#This Row],[Magnitud de Cifras]]</f>
        <v>IV E 10</v>
      </c>
      <c r="C278" s="199" t="s">
        <v>139</v>
      </c>
      <c r="D278" s="199" t="s">
        <v>155</v>
      </c>
      <c r="E278" s="199">
        <v>10</v>
      </c>
      <c r="F278" s="199">
        <v>286</v>
      </c>
    </row>
    <row r="279" spans="2:6" hidden="1">
      <c r="B279" s="199" t="str">
        <f>Factor_4[[#This Row],[Impacto del cargo]]&amp;" "&amp;Factor_4[[#This Row],[Autonomia]]&amp;" "&amp;Factor_4[[#This Row],[Magnitud de Cifras]]</f>
        <v>IV E 11</v>
      </c>
      <c r="C279" s="199" t="s">
        <v>139</v>
      </c>
      <c r="D279" s="199" t="s">
        <v>155</v>
      </c>
      <c r="E279" s="199">
        <v>11</v>
      </c>
      <c r="F279" s="199">
        <v>318</v>
      </c>
    </row>
    <row r="280" spans="2:6" hidden="1">
      <c r="B280" s="199" t="str">
        <f>Factor_4[[#This Row],[Impacto del cargo]]&amp;" "&amp;Factor_4[[#This Row],[Autonomia]]&amp;" "&amp;Factor_4[[#This Row],[Magnitud de Cifras]]</f>
        <v>IV E 12</v>
      </c>
      <c r="C280" s="199" t="s">
        <v>139</v>
      </c>
      <c r="D280" s="199" t="s">
        <v>155</v>
      </c>
      <c r="E280" s="199">
        <v>12</v>
      </c>
      <c r="F280" s="199">
        <v>355</v>
      </c>
    </row>
    <row r="281" spans="2:6" hidden="1">
      <c r="B281" s="199" t="str">
        <f>Factor_4[[#This Row],[Impacto del cargo]]&amp;" "&amp;Factor_4[[#This Row],[Autonomia]]&amp;" "&amp;Factor_4[[#This Row],[Magnitud de Cifras]]</f>
        <v>IV E 13</v>
      </c>
      <c r="C281" s="199" t="s">
        <v>139</v>
      </c>
      <c r="D281" s="199" t="s">
        <v>155</v>
      </c>
      <c r="E281" s="199">
        <v>13</v>
      </c>
      <c r="F281" s="199">
        <v>397</v>
      </c>
    </row>
    <row r="282" spans="2:6" hidden="1">
      <c r="B282" s="199" t="str">
        <f>Factor_4[[#This Row],[Impacto del cargo]]&amp;" "&amp;Factor_4[[#This Row],[Autonomia]]&amp;" "&amp;Factor_4[[#This Row],[Magnitud de Cifras]]</f>
        <v>IV E 14</v>
      </c>
      <c r="C282" s="199" t="s">
        <v>139</v>
      </c>
      <c r="D282" s="199" t="s">
        <v>155</v>
      </c>
      <c r="E282" s="199">
        <v>14</v>
      </c>
      <c r="F282" s="199">
        <v>444</v>
      </c>
    </row>
    <row r="283" spans="2:6" hidden="1">
      <c r="B283" s="199" t="str">
        <f>Factor_4[[#This Row],[Impacto del cargo]]&amp;" "&amp;Factor_4[[#This Row],[Autonomia]]&amp;" "&amp;Factor_4[[#This Row],[Magnitud de Cifras]]</f>
        <v>I F 1</v>
      </c>
      <c r="C283" s="199" t="s">
        <v>81</v>
      </c>
      <c r="D283" s="199" t="s">
        <v>169</v>
      </c>
      <c r="E283" s="199">
        <v>1</v>
      </c>
      <c r="F283" s="199">
        <v>87</v>
      </c>
    </row>
    <row r="284" spans="2:6" hidden="1">
      <c r="B284" s="199" t="str">
        <f>Factor_4[[#This Row],[Impacto del cargo]]&amp;" "&amp;Factor_4[[#This Row],[Autonomia]]&amp;" "&amp;Factor_4[[#This Row],[Magnitud de Cifras]]</f>
        <v>I F 2</v>
      </c>
      <c r="C284" s="199" t="s">
        <v>81</v>
      </c>
      <c r="D284" s="199" t="s">
        <v>169</v>
      </c>
      <c r="E284" s="199">
        <v>2</v>
      </c>
      <c r="F284" s="199">
        <v>108</v>
      </c>
    </row>
    <row r="285" spans="2:6" hidden="1">
      <c r="B285" s="199" t="str">
        <f>Factor_4[[#This Row],[Impacto del cargo]]&amp;" "&amp;Factor_4[[#This Row],[Autonomia]]&amp;" "&amp;Factor_4[[#This Row],[Magnitud de Cifras]]</f>
        <v>I F 3</v>
      </c>
      <c r="C285" s="199" t="s">
        <v>81</v>
      </c>
      <c r="D285" s="199" t="s">
        <v>169</v>
      </c>
      <c r="E285" s="199">
        <v>3</v>
      </c>
      <c r="F285" s="199">
        <v>121</v>
      </c>
    </row>
    <row r="286" spans="2:6" hidden="1">
      <c r="B286" s="199" t="str">
        <f>Factor_4[[#This Row],[Impacto del cargo]]&amp;" "&amp;Factor_4[[#This Row],[Autonomia]]&amp;" "&amp;Factor_4[[#This Row],[Magnitud de Cifras]]</f>
        <v>I F 4</v>
      </c>
      <c r="C286" s="199" t="s">
        <v>81</v>
      </c>
      <c r="D286" s="199" t="s">
        <v>169</v>
      </c>
      <c r="E286" s="199">
        <v>4</v>
      </c>
      <c r="F286" s="199">
        <v>137</v>
      </c>
    </row>
    <row r="287" spans="2:6" hidden="1">
      <c r="B287" s="199" t="str">
        <f>Factor_4[[#This Row],[Impacto del cargo]]&amp;" "&amp;Factor_4[[#This Row],[Autonomia]]&amp;" "&amp;Factor_4[[#This Row],[Magnitud de Cifras]]</f>
        <v>I F 5</v>
      </c>
      <c r="C287" s="199" t="s">
        <v>81</v>
      </c>
      <c r="D287" s="199" t="s">
        <v>169</v>
      </c>
      <c r="E287" s="199">
        <v>5</v>
      </c>
      <c r="F287" s="199">
        <v>155</v>
      </c>
    </row>
    <row r="288" spans="2:6" hidden="1">
      <c r="B288" s="199" t="str">
        <f>Factor_4[[#This Row],[Impacto del cargo]]&amp;" "&amp;Factor_4[[#This Row],[Autonomia]]&amp;" "&amp;Factor_4[[#This Row],[Magnitud de Cifras]]</f>
        <v>I F 6</v>
      </c>
      <c r="C288" s="199" t="s">
        <v>81</v>
      </c>
      <c r="D288" s="199" t="s">
        <v>169</v>
      </c>
      <c r="E288" s="199">
        <v>6</v>
      </c>
      <c r="F288" s="199">
        <v>175</v>
      </c>
    </row>
    <row r="289" spans="2:6" hidden="1">
      <c r="B289" s="199" t="str">
        <f>Factor_4[[#This Row],[Impacto del cargo]]&amp;" "&amp;Factor_4[[#This Row],[Autonomia]]&amp;" "&amp;Factor_4[[#This Row],[Magnitud de Cifras]]</f>
        <v>I F 7</v>
      </c>
      <c r="C289" s="199" t="s">
        <v>81</v>
      </c>
      <c r="D289" s="199" t="s">
        <v>169</v>
      </c>
      <c r="E289" s="199">
        <v>7</v>
      </c>
      <c r="F289" s="199">
        <v>198</v>
      </c>
    </row>
    <row r="290" spans="2:6" hidden="1">
      <c r="B290" s="199" t="str">
        <f>Factor_4[[#This Row],[Impacto del cargo]]&amp;" "&amp;Factor_4[[#This Row],[Autonomia]]&amp;" "&amp;Factor_4[[#This Row],[Magnitud de Cifras]]</f>
        <v>I F 8</v>
      </c>
      <c r="C290" s="199" t="s">
        <v>81</v>
      </c>
      <c r="D290" s="199" t="s">
        <v>169</v>
      </c>
      <c r="E290" s="199">
        <v>8</v>
      </c>
      <c r="F290" s="199">
        <v>224</v>
      </c>
    </row>
    <row r="291" spans="2:6" hidden="1">
      <c r="B291" s="199" t="str">
        <f>Factor_4[[#This Row],[Impacto del cargo]]&amp;" "&amp;Factor_4[[#This Row],[Autonomia]]&amp;" "&amp;Factor_4[[#This Row],[Magnitud de Cifras]]</f>
        <v>I F 9</v>
      </c>
      <c r="C291" s="199" t="s">
        <v>81</v>
      </c>
      <c r="D291" s="199" t="s">
        <v>169</v>
      </c>
      <c r="E291" s="199">
        <v>9</v>
      </c>
      <c r="F291" s="199">
        <v>254</v>
      </c>
    </row>
    <row r="292" spans="2:6" hidden="1">
      <c r="B292" s="199" t="str">
        <f>Factor_4[[#This Row],[Impacto del cargo]]&amp;" "&amp;Factor_4[[#This Row],[Autonomia]]&amp;" "&amp;Factor_4[[#This Row],[Magnitud de Cifras]]</f>
        <v>I F 10</v>
      </c>
      <c r="C292" s="199" t="s">
        <v>81</v>
      </c>
      <c r="D292" s="199" t="s">
        <v>169</v>
      </c>
      <c r="E292" s="199">
        <v>10</v>
      </c>
      <c r="F292" s="199">
        <v>288</v>
      </c>
    </row>
    <row r="293" spans="2:6" hidden="1">
      <c r="B293" s="199" t="str">
        <f>Factor_4[[#This Row],[Impacto del cargo]]&amp;" "&amp;Factor_4[[#This Row],[Autonomia]]&amp;" "&amp;Factor_4[[#This Row],[Magnitud de Cifras]]</f>
        <v>I F 11</v>
      </c>
      <c r="C293" s="199" t="s">
        <v>81</v>
      </c>
      <c r="D293" s="199" t="s">
        <v>169</v>
      </c>
      <c r="E293" s="199">
        <v>11</v>
      </c>
      <c r="F293" s="199">
        <v>327</v>
      </c>
    </row>
    <row r="294" spans="2:6" hidden="1">
      <c r="B294" s="199" t="str">
        <f>Factor_4[[#This Row],[Impacto del cargo]]&amp;" "&amp;Factor_4[[#This Row],[Autonomia]]&amp;" "&amp;Factor_4[[#This Row],[Magnitud de Cifras]]</f>
        <v>I F 12</v>
      </c>
      <c r="C294" s="199" t="s">
        <v>81</v>
      </c>
      <c r="D294" s="199" t="s">
        <v>169</v>
      </c>
      <c r="E294" s="199">
        <v>12</v>
      </c>
      <c r="F294" s="199">
        <v>371</v>
      </c>
    </row>
    <row r="295" spans="2:6" hidden="1">
      <c r="B295" s="199" t="str">
        <f>Factor_4[[#This Row],[Impacto del cargo]]&amp;" "&amp;Factor_4[[#This Row],[Autonomia]]&amp;" "&amp;Factor_4[[#This Row],[Magnitud de Cifras]]</f>
        <v>I F 13</v>
      </c>
      <c r="C295" s="199" t="s">
        <v>81</v>
      </c>
      <c r="D295" s="199" t="s">
        <v>169</v>
      </c>
      <c r="E295" s="199">
        <v>13</v>
      </c>
      <c r="F295" s="199">
        <v>421</v>
      </c>
    </row>
    <row r="296" spans="2:6" hidden="1">
      <c r="B296" s="199" t="str">
        <f>Factor_4[[#This Row],[Impacto del cargo]]&amp;" "&amp;Factor_4[[#This Row],[Autonomia]]&amp;" "&amp;Factor_4[[#This Row],[Magnitud de Cifras]]</f>
        <v>I F 14</v>
      </c>
      <c r="C296" s="199" t="s">
        <v>81</v>
      </c>
      <c r="D296" s="199" t="s">
        <v>169</v>
      </c>
      <c r="E296" s="199">
        <v>14</v>
      </c>
      <c r="F296" s="199">
        <v>479</v>
      </c>
    </row>
    <row r="297" spans="2:6" hidden="1">
      <c r="B297" s="199" t="str">
        <f>Factor_4[[#This Row],[Impacto del cargo]]&amp;" "&amp;Factor_4[[#This Row],[Autonomia]]&amp;" "&amp;Factor_4[[#This Row],[Magnitud de Cifras]]</f>
        <v>II F 1</v>
      </c>
      <c r="C297" s="199" t="s">
        <v>100</v>
      </c>
      <c r="D297" s="199" t="s">
        <v>169</v>
      </c>
      <c r="E297" s="199">
        <v>1</v>
      </c>
      <c r="F297" s="199">
        <v>97</v>
      </c>
    </row>
    <row r="298" spans="2:6" hidden="1">
      <c r="B298" s="199" t="str">
        <f>Factor_4[[#This Row],[Impacto del cargo]]&amp;" "&amp;Factor_4[[#This Row],[Autonomia]]&amp;" "&amp;Factor_4[[#This Row],[Magnitud de Cifras]]</f>
        <v>II F 2</v>
      </c>
      <c r="C298" s="199" t="s">
        <v>100</v>
      </c>
      <c r="D298" s="199" t="s">
        <v>169</v>
      </c>
      <c r="E298" s="199">
        <v>2</v>
      </c>
      <c r="F298" s="199">
        <v>118</v>
      </c>
    </row>
    <row r="299" spans="2:6" hidden="1">
      <c r="B299" s="199" t="str">
        <f>Factor_4[[#This Row],[Impacto del cargo]]&amp;" "&amp;Factor_4[[#This Row],[Autonomia]]&amp;" "&amp;Factor_4[[#This Row],[Magnitud de Cifras]]</f>
        <v>II F 3</v>
      </c>
      <c r="C299" s="199" t="s">
        <v>100</v>
      </c>
      <c r="D299" s="199" t="s">
        <v>169</v>
      </c>
      <c r="E299" s="199">
        <v>3</v>
      </c>
      <c r="F299" s="199">
        <v>133</v>
      </c>
    </row>
    <row r="300" spans="2:6" hidden="1">
      <c r="B300" s="199" t="str">
        <f>Factor_4[[#This Row],[Impacto del cargo]]&amp;" "&amp;Factor_4[[#This Row],[Autonomia]]&amp;" "&amp;Factor_4[[#This Row],[Magnitud de Cifras]]</f>
        <v>II F 4</v>
      </c>
      <c r="C300" s="199" t="s">
        <v>100</v>
      </c>
      <c r="D300" s="199" t="s">
        <v>169</v>
      </c>
      <c r="E300" s="199">
        <v>4</v>
      </c>
      <c r="F300" s="199">
        <v>149</v>
      </c>
    </row>
    <row r="301" spans="2:6" hidden="1">
      <c r="B301" s="199" t="str">
        <f>Factor_4[[#This Row],[Impacto del cargo]]&amp;" "&amp;Factor_4[[#This Row],[Autonomia]]&amp;" "&amp;Factor_4[[#This Row],[Magnitud de Cifras]]</f>
        <v>II F 5</v>
      </c>
      <c r="C301" s="199" t="s">
        <v>100</v>
      </c>
      <c r="D301" s="199" t="s">
        <v>169</v>
      </c>
      <c r="E301" s="199">
        <v>5</v>
      </c>
      <c r="F301" s="199">
        <v>168</v>
      </c>
    </row>
    <row r="302" spans="2:6" hidden="1">
      <c r="B302" s="199" t="str">
        <f>Factor_4[[#This Row],[Impacto del cargo]]&amp;" "&amp;Factor_4[[#This Row],[Autonomia]]&amp;" "&amp;Factor_4[[#This Row],[Magnitud de Cifras]]</f>
        <v>II F 6</v>
      </c>
      <c r="C302" s="199" t="s">
        <v>100</v>
      </c>
      <c r="D302" s="199" t="s">
        <v>169</v>
      </c>
      <c r="E302" s="199">
        <v>6</v>
      </c>
      <c r="F302" s="199">
        <v>189</v>
      </c>
    </row>
    <row r="303" spans="2:6" hidden="1">
      <c r="B303" s="199" t="str">
        <f>Factor_4[[#This Row],[Impacto del cargo]]&amp;" "&amp;Factor_4[[#This Row],[Autonomia]]&amp;" "&amp;Factor_4[[#This Row],[Magnitud de Cifras]]</f>
        <v>II F 7</v>
      </c>
      <c r="C303" s="199" t="s">
        <v>100</v>
      </c>
      <c r="D303" s="199" t="s">
        <v>169</v>
      </c>
      <c r="E303" s="199">
        <v>7</v>
      </c>
      <c r="F303" s="199">
        <v>213</v>
      </c>
    </row>
    <row r="304" spans="2:6" hidden="1">
      <c r="B304" s="199" t="str">
        <f>Factor_4[[#This Row],[Impacto del cargo]]&amp;" "&amp;Factor_4[[#This Row],[Autonomia]]&amp;" "&amp;Factor_4[[#This Row],[Magnitud de Cifras]]</f>
        <v>II F 8</v>
      </c>
      <c r="C304" s="199" t="s">
        <v>100</v>
      </c>
      <c r="D304" s="199" t="s">
        <v>169</v>
      </c>
      <c r="E304" s="199">
        <v>8</v>
      </c>
      <c r="F304" s="199">
        <v>240</v>
      </c>
    </row>
    <row r="305" spans="2:6" hidden="1">
      <c r="B305" s="199" t="str">
        <f>Factor_4[[#This Row],[Impacto del cargo]]&amp;" "&amp;Factor_4[[#This Row],[Autonomia]]&amp;" "&amp;Factor_4[[#This Row],[Magnitud de Cifras]]</f>
        <v>II F 9</v>
      </c>
      <c r="C305" s="199" t="s">
        <v>100</v>
      </c>
      <c r="D305" s="199" t="s">
        <v>169</v>
      </c>
      <c r="E305" s="199">
        <v>9</v>
      </c>
      <c r="F305" s="199">
        <v>271</v>
      </c>
    </row>
    <row r="306" spans="2:6" hidden="1">
      <c r="B306" s="199" t="str">
        <f>Factor_4[[#This Row],[Impacto del cargo]]&amp;" "&amp;Factor_4[[#This Row],[Autonomia]]&amp;" "&amp;Factor_4[[#This Row],[Magnitud de Cifras]]</f>
        <v>II F 10</v>
      </c>
      <c r="C306" s="199" t="s">
        <v>100</v>
      </c>
      <c r="D306" s="199" t="s">
        <v>169</v>
      </c>
      <c r="E306" s="199">
        <v>10</v>
      </c>
      <c r="F306" s="199">
        <v>307</v>
      </c>
    </row>
    <row r="307" spans="2:6" hidden="1">
      <c r="B307" s="199" t="str">
        <f>Factor_4[[#This Row],[Impacto del cargo]]&amp;" "&amp;Factor_4[[#This Row],[Autonomia]]&amp;" "&amp;Factor_4[[#This Row],[Magnitud de Cifras]]</f>
        <v>II F 11</v>
      </c>
      <c r="C307" s="199" t="s">
        <v>100</v>
      </c>
      <c r="D307" s="199" t="s">
        <v>169</v>
      </c>
      <c r="E307" s="199">
        <v>11</v>
      </c>
      <c r="F307" s="199">
        <v>347</v>
      </c>
    </row>
    <row r="308" spans="2:6" hidden="1">
      <c r="B308" s="199" t="str">
        <f>Factor_4[[#This Row],[Impacto del cargo]]&amp;" "&amp;Factor_4[[#This Row],[Autonomia]]&amp;" "&amp;Factor_4[[#This Row],[Magnitud de Cifras]]</f>
        <v>II F 12</v>
      </c>
      <c r="C308" s="199" t="s">
        <v>100</v>
      </c>
      <c r="D308" s="199" t="s">
        <v>169</v>
      </c>
      <c r="E308" s="199">
        <v>12</v>
      </c>
      <c r="F308" s="199">
        <v>393</v>
      </c>
    </row>
    <row r="309" spans="2:6" hidden="1">
      <c r="B309" s="199" t="str">
        <f>Factor_4[[#This Row],[Impacto del cargo]]&amp;" "&amp;Factor_4[[#This Row],[Autonomia]]&amp;" "&amp;Factor_4[[#This Row],[Magnitud de Cifras]]</f>
        <v>II F 13</v>
      </c>
      <c r="C309" s="199" t="s">
        <v>100</v>
      </c>
      <c r="D309" s="199" t="s">
        <v>169</v>
      </c>
      <c r="E309" s="199">
        <v>13</v>
      </c>
      <c r="F309" s="199">
        <v>445</v>
      </c>
    </row>
    <row r="310" spans="2:6" hidden="1">
      <c r="B310" s="199" t="str">
        <f>Factor_4[[#This Row],[Impacto del cargo]]&amp;" "&amp;Factor_4[[#This Row],[Autonomia]]&amp;" "&amp;Factor_4[[#This Row],[Magnitud de Cifras]]</f>
        <v>II F 14</v>
      </c>
      <c r="C310" s="199" t="s">
        <v>100</v>
      </c>
      <c r="D310" s="199" t="s">
        <v>169</v>
      </c>
      <c r="E310" s="199">
        <v>14</v>
      </c>
      <c r="F310" s="199">
        <v>505</v>
      </c>
    </row>
    <row r="311" spans="2:6" hidden="1">
      <c r="B311" s="199" t="str">
        <f>Factor_4[[#This Row],[Impacto del cargo]]&amp;" "&amp;Factor_4[[#This Row],[Autonomia]]&amp;" "&amp;Factor_4[[#This Row],[Magnitud de Cifras]]</f>
        <v>III F 1</v>
      </c>
      <c r="C311" s="199" t="s">
        <v>120</v>
      </c>
      <c r="D311" s="199" t="s">
        <v>169</v>
      </c>
      <c r="E311" s="199">
        <v>1</v>
      </c>
      <c r="F311" s="199">
        <v>111</v>
      </c>
    </row>
    <row r="312" spans="2:6" hidden="1">
      <c r="B312" s="199" t="str">
        <f>Factor_4[[#This Row],[Impacto del cargo]]&amp;" "&amp;Factor_4[[#This Row],[Autonomia]]&amp;" "&amp;Factor_4[[#This Row],[Magnitud de Cifras]]</f>
        <v>III F 2</v>
      </c>
      <c r="C312" s="199" t="s">
        <v>120</v>
      </c>
      <c r="D312" s="199" t="s">
        <v>169</v>
      </c>
      <c r="E312" s="199">
        <v>2</v>
      </c>
      <c r="F312" s="199">
        <v>132</v>
      </c>
    </row>
    <row r="313" spans="2:6" hidden="1">
      <c r="B313" s="199" t="str">
        <f>Factor_4[[#This Row],[Impacto del cargo]]&amp;" "&amp;Factor_4[[#This Row],[Autonomia]]&amp;" "&amp;Factor_4[[#This Row],[Magnitud de Cifras]]</f>
        <v>III F 3</v>
      </c>
      <c r="C313" s="199" t="s">
        <v>120</v>
      </c>
      <c r="D313" s="199" t="s">
        <v>169</v>
      </c>
      <c r="E313" s="199">
        <v>3</v>
      </c>
      <c r="F313" s="199">
        <v>148</v>
      </c>
    </row>
    <row r="314" spans="2:6" hidden="1">
      <c r="B314" s="199" t="str">
        <f>Factor_4[[#This Row],[Impacto del cargo]]&amp;" "&amp;Factor_4[[#This Row],[Autonomia]]&amp;" "&amp;Factor_4[[#This Row],[Magnitud de Cifras]]</f>
        <v>III F 4</v>
      </c>
      <c r="C314" s="199" t="s">
        <v>120</v>
      </c>
      <c r="D314" s="199" t="s">
        <v>169</v>
      </c>
      <c r="E314" s="199">
        <v>4</v>
      </c>
      <c r="F314" s="199">
        <v>166</v>
      </c>
    </row>
    <row r="315" spans="2:6" hidden="1">
      <c r="B315" s="199" t="str">
        <f>Factor_4[[#This Row],[Impacto del cargo]]&amp;" "&amp;Factor_4[[#This Row],[Autonomia]]&amp;" "&amp;Factor_4[[#This Row],[Magnitud de Cifras]]</f>
        <v>III F 5</v>
      </c>
      <c r="C315" s="199" t="s">
        <v>120</v>
      </c>
      <c r="D315" s="199" t="s">
        <v>169</v>
      </c>
      <c r="E315" s="199">
        <v>5</v>
      </c>
      <c r="F315" s="199">
        <v>185</v>
      </c>
    </row>
    <row r="316" spans="2:6" hidden="1">
      <c r="B316" s="199" t="str">
        <f>Factor_4[[#This Row],[Impacto del cargo]]&amp;" "&amp;Factor_4[[#This Row],[Autonomia]]&amp;" "&amp;Factor_4[[#This Row],[Magnitud de Cifras]]</f>
        <v>III F 6</v>
      </c>
      <c r="C316" s="199" t="s">
        <v>120</v>
      </c>
      <c r="D316" s="199" t="s">
        <v>169</v>
      </c>
      <c r="E316" s="199">
        <v>6</v>
      </c>
      <c r="F316" s="199">
        <v>208</v>
      </c>
    </row>
    <row r="317" spans="2:6" hidden="1">
      <c r="B317" s="199" t="str">
        <f>Factor_4[[#This Row],[Impacto del cargo]]&amp;" "&amp;Factor_4[[#This Row],[Autonomia]]&amp;" "&amp;Factor_4[[#This Row],[Magnitud de Cifras]]</f>
        <v>III F 7</v>
      </c>
      <c r="C317" s="199" t="s">
        <v>120</v>
      </c>
      <c r="D317" s="199" t="s">
        <v>169</v>
      </c>
      <c r="E317" s="199">
        <v>7</v>
      </c>
      <c r="F317" s="199">
        <v>233</v>
      </c>
    </row>
    <row r="318" spans="2:6" hidden="1">
      <c r="B318" s="199" t="str">
        <f>Factor_4[[#This Row],[Impacto del cargo]]&amp;" "&amp;Factor_4[[#This Row],[Autonomia]]&amp;" "&amp;Factor_4[[#This Row],[Magnitud de Cifras]]</f>
        <v>III F 8</v>
      </c>
      <c r="C318" s="199" t="s">
        <v>120</v>
      </c>
      <c r="D318" s="199" t="s">
        <v>169</v>
      </c>
      <c r="E318" s="199">
        <v>8</v>
      </c>
      <c r="F318" s="199">
        <v>262</v>
      </c>
    </row>
    <row r="319" spans="2:6" hidden="1">
      <c r="B319" s="199" t="str">
        <f>Factor_4[[#This Row],[Impacto del cargo]]&amp;" "&amp;Factor_4[[#This Row],[Autonomia]]&amp;" "&amp;Factor_4[[#This Row],[Magnitud de Cifras]]</f>
        <v>III F 9</v>
      </c>
      <c r="C319" s="199" t="s">
        <v>120</v>
      </c>
      <c r="D319" s="199" t="s">
        <v>169</v>
      </c>
      <c r="E319" s="199">
        <v>9</v>
      </c>
      <c r="F319" s="199">
        <v>295</v>
      </c>
    </row>
    <row r="320" spans="2:6" hidden="1">
      <c r="B320" s="199" t="str">
        <f>Factor_4[[#This Row],[Impacto del cargo]]&amp;" "&amp;Factor_4[[#This Row],[Autonomia]]&amp;" "&amp;Factor_4[[#This Row],[Magnitud de Cifras]]</f>
        <v>III F 10</v>
      </c>
      <c r="C320" s="199" t="s">
        <v>120</v>
      </c>
      <c r="D320" s="199" t="s">
        <v>169</v>
      </c>
      <c r="E320" s="199">
        <v>10</v>
      </c>
      <c r="F320" s="199">
        <v>332</v>
      </c>
    </row>
    <row r="321" spans="2:6" hidden="1">
      <c r="B321" s="199" t="str">
        <f>Factor_4[[#This Row],[Impacto del cargo]]&amp;" "&amp;Factor_4[[#This Row],[Autonomia]]&amp;" "&amp;Factor_4[[#This Row],[Magnitud de Cifras]]</f>
        <v>III F 11</v>
      </c>
      <c r="C321" s="199" t="s">
        <v>120</v>
      </c>
      <c r="D321" s="199" t="s">
        <v>169</v>
      </c>
      <c r="E321" s="199">
        <v>11</v>
      </c>
      <c r="F321" s="199">
        <v>374</v>
      </c>
    </row>
    <row r="322" spans="2:6" hidden="1">
      <c r="B322" s="199" t="str">
        <f>Factor_4[[#This Row],[Impacto del cargo]]&amp;" "&amp;Factor_4[[#This Row],[Autonomia]]&amp;" "&amp;Factor_4[[#This Row],[Magnitud de Cifras]]</f>
        <v>III F 12</v>
      </c>
      <c r="C322" s="199" t="s">
        <v>120</v>
      </c>
      <c r="D322" s="199" t="s">
        <v>169</v>
      </c>
      <c r="E322" s="199">
        <v>12</v>
      </c>
      <c r="F322" s="199">
        <v>422</v>
      </c>
    </row>
    <row r="323" spans="2:6" hidden="1">
      <c r="B323" s="199" t="str">
        <f>Factor_4[[#This Row],[Impacto del cargo]]&amp;" "&amp;Factor_4[[#This Row],[Autonomia]]&amp;" "&amp;Factor_4[[#This Row],[Magnitud de Cifras]]</f>
        <v>III F 13</v>
      </c>
      <c r="C323" s="199" t="s">
        <v>120</v>
      </c>
      <c r="D323" s="199" t="s">
        <v>169</v>
      </c>
      <c r="E323" s="199">
        <v>13</v>
      </c>
      <c r="F323" s="199">
        <v>477</v>
      </c>
    </row>
    <row r="324" spans="2:6" hidden="1">
      <c r="B324" s="199" t="str">
        <f>Factor_4[[#This Row],[Impacto del cargo]]&amp;" "&amp;Factor_4[[#This Row],[Autonomia]]&amp;" "&amp;Factor_4[[#This Row],[Magnitud de Cifras]]</f>
        <v>III F 14</v>
      </c>
      <c r="C324" s="199" t="s">
        <v>120</v>
      </c>
      <c r="D324" s="199" t="s">
        <v>169</v>
      </c>
      <c r="E324" s="199">
        <v>14</v>
      </c>
      <c r="F324" s="199">
        <v>539</v>
      </c>
    </row>
    <row r="325" spans="2:6" hidden="1">
      <c r="B325" s="199" t="str">
        <f>Factor_4[[#This Row],[Impacto del cargo]]&amp;" "&amp;Factor_4[[#This Row],[Autonomia]]&amp;" "&amp;Factor_4[[#This Row],[Magnitud de Cifras]]</f>
        <v>IV F 1</v>
      </c>
      <c r="C325" s="199" t="s">
        <v>139</v>
      </c>
      <c r="D325" s="199" t="s">
        <v>169</v>
      </c>
      <c r="E325" s="199">
        <v>1</v>
      </c>
      <c r="F325" s="199">
        <v>131</v>
      </c>
    </row>
    <row r="326" spans="2:6" hidden="1">
      <c r="B326" s="199" t="str">
        <f>Factor_4[[#This Row],[Impacto del cargo]]&amp;" "&amp;Factor_4[[#This Row],[Autonomia]]&amp;" "&amp;Factor_4[[#This Row],[Magnitud de Cifras]]</f>
        <v>IV F 2</v>
      </c>
      <c r="C326" s="199" t="s">
        <v>139</v>
      </c>
      <c r="D326" s="199" t="s">
        <v>169</v>
      </c>
      <c r="E326" s="199">
        <v>2</v>
      </c>
      <c r="F326" s="199">
        <v>151</v>
      </c>
    </row>
    <row r="327" spans="2:6" hidden="1">
      <c r="B327" s="199" t="str">
        <f>Factor_4[[#This Row],[Impacto del cargo]]&amp;" "&amp;Factor_4[[#This Row],[Autonomia]]&amp;" "&amp;Factor_4[[#This Row],[Magnitud de Cifras]]</f>
        <v>IV F 3</v>
      </c>
      <c r="C327" s="199" t="s">
        <v>139</v>
      </c>
      <c r="D327" s="199" t="s">
        <v>169</v>
      </c>
      <c r="E327" s="199">
        <v>3</v>
      </c>
      <c r="F327" s="199">
        <v>168</v>
      </c>
    </row>
    <row r="328" spans="2:6" hidden="1">
      <c r="B328" s="199" t="str">
        <f>Factor_4[[#This Row],[Impacto del cargo]]&amp;" "&amp;Factor_4[[#This Row],[Autonomia]]&amp;" "&amp;Factor_4[[#This Row],[Magnitud de Cifras]]</f>
        <v>IV F 4</v>
      </c>
      <c r="C328" s="199" t="s">
        <v>139</v>
      </c>
      <c r="D328" s="199" t="s">
        <v>169</v>
      </c>
      <c r="E328" s="199">
        <v>4</v>
      </c>
      <c r="F328" s="199">
        <v>187</v>
      </c>
    </row>
    <row r="329" spans="2:6" hidden="1">
      <c r="B329" s="199" t="str">
        <f>Factor_4[[#This Row],[Impacto del cargo]]&amp;" "&amp;Factor_4[[#This Row],[Autonomia]]&amp;" "&amp;Factor_4[[#This Row],[Magnitud de Cifras]]</f>
        <v>IV F 5</v>
      </c>
      <c r="C329" s="199" t="s">
        <v>139</v>
      </c>
      <c r="D329" s="199" t="s">
        <v>169</v>
      </c>
      <c r="E329" s="199">
        <v>5</v>
      </c>
      <c r="F329" s="199">
        <v>209</v>
      </c>
    </row>
    <row r="330" spans="2:6" hidden="1">
      <c r="B330" s="199" t="str">
        <f>Factor_4[[#This Row],[Impacto del cargo]]&amp;" "&amp;Factor_4[[#This Row],[Autonomia]]&amp;" "&amp;Factor_4[[#This Row],[Magnitud de Cifras]]</f>
        <v>IV F 6</v>
      </c>
      <c r="C330" s="199" t="s">
        <v>139</v>
      </c>
      <c r="D330" s="199" t="s">
        <v>169</v>
      </c>
      <c r="E330" s="199">
        <v>6</v>
      </c>
      <c r="F330" s="199">
        <v>233</v>
      </c>
    </row>
    <row r="331" spans="2:6" hidden="1">
      <c r="B331" s="199" t="str">
        <f>Factor_4[[#This Row],[Impacto del cargo]]&amp;" "&amp;Factor_4[[#This Row],[Autonomia]]&amp;" "&amp;Factor_4[[#This Row],[Magnitud de Cifras]]</f>
        <v>IV F 7</v>
      </c>
      <c r="C331" s="199" t="s">
        <v>139</v>
      </c>
      <c r="D331" s="199" t="s">
        <v>169</v>
      </c>
      <c r="E331" s="199">
        <v>7</v>
      </c>
      <c r="F331" s="199">
        <v>260</v>
      </c>
    </row>
    <row r="332" spans="2:6" hidden="1">
      <c r="B332" s="199" t="str">
        <f>Factor_4[[#This Row],[Impacto del cargo]]&amp;" "&amp;Factor_4[[#This Row],[Autonomia]]&amp;" "&amp;Factor_4[[#This Row],[Magnitud de Cifras]]</f>
        <v>IV F 8</v>
      </c>
      <c r="C332" s="199" t="s">
        <v>139</v>
      </c>
      <c r="D332" s="199" t="s">
        <v>169</v>
      </c>
      <c r="E332" s="199">
        <v>8</v>
      </c>
      <c r="F332" s="199">
        <v>291</v>
      </c>
    </row>
    <row r="333" spans="2:6" hidden="1">
      <c r="B333" s="199" t="str">
        <f>Factor_4[[#This Row],[Impacto del cargo]]&amp;" "&amp;Factor_4[[#This Row],[Autonomia]]&amp;" "&amp;Factor_4[[#This Row],[Magnitud de Cifras]]</f>
        <v>IV F 9</v>
      </c>
      <c r="C333" s="199" t="s">
        <v>139</v>
      </c>
      <c r="D333" s="199" t="s">
        <v>169</v>
      </c>
      <c r="E333" s="199">
        <v>9</v>
      </c>
      <c r="F333" s="199">
        <v>326</v>
      </c>
    </row>
    <row r="334" spans="2:6" hidden="1">
      <c r="B334" s="199" t="str">
        <f>Factor_4[[#This Row],[Impacto del cargo]]&amp;" "&amp;Factor_4[[#This Row],[Autonomia]]&amp;" "&amp;Factor_4[[#This Row],[Magnitud de Cifras]]</f>
        <v>IV F 10</v>
      </c>
      <c r="C334" s="199" t="s">
        <v>139</v>
      </c>
      <c r="D334" s="199" t="s">
        <v>169</v>
      </c>
      <c r="E334" s="199">
        <v>10</v>
      </c>
      <c r="F334" s="199">
        <v>366</v>
      </c>
    </row>
    <row r="335" spans="2:6" hidden="1">
      <c r="B335" s="199" t="str">
        <f>Factor_4[[#This Row],[Impacto del cargo]]&amp;" "&amp;Factor_4[[#This Row],[Autonomia]]&amp;" "&amp;Factor_4[[#This Row],[Magnitud de Cifras]]</f>
        <v>IV F 11</v>
      </c>
      <c r="C335" s="199" t="s">
        <v>139</v>
      </c>
      <c r="D335" s="199" t="s">
        <v>169</v>
      </c>
      <c r="E335" s="199">
        <v>11</v>
      </c>
      <c r="F335" s="199">
        <v>410</v>
      </c>
    </row>
    <row r="336" spans="2:6" hidden="1">
      <c r="B336" s="199" t="str">
        <f>Factor_4[[#This Row],[Impacto del cargo]]&amp;" "&amp;Factor_4[[#This Row],[Autonomia]]&amp;" "&amp;Factor_4[[#This Row],[Magnitud de Cifras]]</f>
        <v>IV F 12</v>
      </c>
      <c r="C336" s="199" t="s">
        <v>139</v>
      </c>
      <c r="D336" s="199" t="s">
        <v>169</v>
      </c>
      <c r="E336" s="199">
        <v>12</v>
      </c>
      <c r="F336" s="199">
        <v>461</v>
      </c>
    </row>
    <row r="337" spans="2:6" hidden="1">
      <c r="B337" s="199" t="str">
        <f>Factor_4[[#This Row],[Impacto del cargo]]&amp;" "&amp;Factor_4[[#This Row],[Autonomia]]&amp;" "&amp;Factor_4[[#This Row],[Magnitud de Cifras]]</f>
        <v>IV F 13</v>
      </c>
      <c r="C337" s="199" t="s">
        <v>139</v>
      </c>
      <c r="D337" s="199" t="s">
        <v>169</v>
      </c>
      <c r="E337" s="199">
        <v>13</v>
      </c>
      <c r="F337" s="199">
        <v>518</v>
      </c>
    </row>
    <row r="338" spans="2:6" hidden="1">
      <c r="B338" s="199" t="str">
        <f>Factor_4[[#This Row],[Impacto del cargo]]&amp;" "&amp;Factor_4[[#This Row],[Autonomia]]&amp;" "&amp;Factor_4[[#This Row],[Magnitud de Cifras]]</f>
        <v>IV F 14</v>
      </c>
      <c r="C338" s="199" t="s">
        <v>139</v>
      </c>
      <c r="D338" s="199" t="s">
        <v>169</v>
      </c>
      <c r="E338" s="199">
        <v>14</v>
      </c>
      <c r="F338" s="199">
        <v>584</v>
      </c>
    </row>
    <row r="339" spans="2:6" hidden="1">
      <c r="B339" s="199" t="str">
        <f>Factor_4[[#This Row],[Impacto del cargo]]&amp;" "&amp;Factor_4[[#This Row],[Autonomia]]&amp;" "&amp;Factor_4[[#This Row],[Magnitud de Cifras]]</f>
        <v>I G 1</v>
      </c>
      <c r="C339" s="199" t="s">
        <v>81</v>
      </c>
      <c r="D339" s="199" t="s">
        <v>18</v>
      </c>
      <c r="E339" s="199">
        <v>1</v>
      </c>
      <c r="F339" s="199">
        <v>122</v>
      </c>
    </row>
    <row r="340" spans="2:6" hidden="1">
      <c r="B340" s="199" t="str">
        <f>Factor_4[[#This Row],[Impacto del cargo]]&amp;" "&amp;Factor_4[[#This Row],[Autonomia]]&amp;" "&amp;Factor_4[[#This Row],[Magnitud de Cifras]]</f>
        <v>I G 2</v>
      </c>
      <c r="C340" s="199" t="s">
        <v>81</v>
      </c>
      <c r="D340" s="199" t="s">
        <v>18</v>
      </c>
      <c r="E340" s="199">
        <v>2</v>
      </c>
      <c r="F340" s="199">
        <v>148</v>
      </c>
    </row>
    <row r="341" spans="2:6" hidden="1">
      <c r="B341" s="199" t="str">
        <f>Factor_4[[#This Row],[Impacto del cargo]]&amp;" "&amp;Factor_4[[#This Row],[Autonomia]]&amp;" "&amp;Factor_4[[#This Row],[Magnitud de Cifras]]</f>
        <v>I G 3</v>
      </c>
      <c r="C341" s="199" t="s">
        <v>81</v>
      </c>
      <c r="D341" s="199" t="s">
        <v>18</v>
      </c>
      <c r="E341" s="199">
        <v>3</v>
      </c>
      <c r="F341" s="199">
        <v>167</v>
      </c>
    </row>
    <row r="342" spans="2:6" hidden="1">
      <c r="B342" s="199" t="str">
        <f>Factor_4[[#This Row],[Impacto del cargo]]&amp;" "&amp;Factor_4[[#This Row],[Autonomia]]&amp;" "&amp;Factor_4[[#This Row],[Magnitud de Cifras]]</f>
        <v>I G 4</v>
      </c>
      <c r="C342" s="199" t="s">
        <v>81</v>
      </c>
      <c r="D342" s="199" t="s">
        <v>18</v>
      </c>
      <c r="E342" s="199">
        <v>4</v>
      </c>
      <c r="F342" s="199">
        <v>190</v>
      </c>
    </row>
    <row r="343" spans="2:6" hidden="1">
      <c r="B343" s="199" t="str">
        <f>Factor_4[[#This Row],[Impacto del cargo]]&amp;" "&amp;Factor_4[[#This Row],[Autonomia]]&amp;" "&amp;Factor_4[[#This Row],[Magnitud de Cifras]]</f>
        <v>I G 5</v>
      </c>
      <c r="C343" s="199" t="s">
        <v>81</v>
      </c>
      <c r="D343" s="199" t="s">
        <v>18</v>
      </c>
      <c r="E343" s="199">
        <v>5</v>
      </c>
      <c r="F343" s="199">
        <v>216</v>
      </c>
    </row>
    <row r="344" spans="2:6" hidden="1">
      <c r="B344" s="199" t="str">
        <f>Factor_4[[#This Row],[Impacto del cargo]]&amp;" "&amp;Factor_4[[#This Row],[Autonomia]]&amp;" "&amp;Factor_4[[#This Row],[Magnitud de Cifras]]</f>
        <v>I G 6</v>
      </c>
      <c r="C344" s="199" t="s">
        <v>81</v>
      </c>
      <c r="D344" s="199" t="s">
        <v>18</v>
      </c>
      <c r="E344" s="199">
        <v>6</v>
      </c>
      <c r="F344" s="199">
        <v>245</v>
      </c>
    </row>
    <row r="345" spans="2:6" hidden="1">
      <c r="B345" s="199" t="str">
        <f>Factor_4[[#This Row],[Impacto del cargo]]&amp;" "&amp;Factor_4[[#This Row],[Autonomia]]&amp;" "&amp;Factor_4[[#This Row],[Magnitud de Cifras]]</f>
        <v>I G 7</v>
      </c>
      <c r="C345" s="199" t="s">
        <v>81</v>
      </c>
      <c r="D345" s="199" t="s">
        <v>18</v>
      </c>
      <c r="E345" s="199">
        <v>7</v>
      </c>
      <c r="F345" s="199">
        <v>278</v>
      </c>
    </row>
    <row r="346" spans="2:6" hidden="1">
      <c r="B346" s="199" t="str">
        <f>Factor_4[[#This Row],[Impacto del cargo]]&amp;" "&amp;Factor_4[[#This Row],[Autonomia]]&amp;" "&amp;Factor_4[[#This Row],[Magnitud de Cifras]]</f>
        <v>I G 8</v>
      </c>
      <c r="C346" s="199" t="s">
        <v>81</v>
      </c>
      <c r="D346" s="199" t="s">
        <v>18</v>
      </c>
      <c r="E346" s="199">
        <v>8</v>
      </c>
      <c r="F346" s="199">
        <v>317</v>
      </c>
    </row>
    <row r="347" spans="2:6" hidden="1">
      <c r="B347" s="199" t="str">
        <f>Factor_4[[#This Row],[Impacto del cargo]]&amp;" "&amp;Factor_4[[#This Row],[Autonomia]]&amp;" "&amp;Factor_4[[#This Row],[Magnitud de Cifras]]</f>
        <v>I G 9</v>
      </c>
      <c r="C347" s="199" t="s">
        <v>81</v>
      </c>
      <c r="D347" s="199" t="s">
        <v>18</v>
      </c>
      <c r="E347" s="199">
        <v>9</v>
      </c>
      <c r="F347" s="199">
        <v>360</v>
      </c>
    </row>
    <row r="348" spans="2:6" hidden="1">
      <c r="B348" s="199" t="str">
        <f>Factor_4[[#This Row],[Impacto del cargo]]&amp;" "&amp;Factor_4[[#This Row],[Autonomia]]&amp;" "&amp;Factor_4[[#This Row],[Magnitud de Cifras]]</f>
        <v>I G 10</v>
      </c>
      <c r="C348" s="199" t="s">
        <v>81</v>
      </c>
      <c r="D348" s="199" t="s">
        <v>18</v>
      </c>
      <c r="E348" s="199">
        <v>10</v>
      </c>
      <c r="F348" s="199">
        <v>410</v>
      </c>
    </row>
    <row r="349" spans="2:6" hidden="1">
      <c r="B349" s="199" t="str">
        <f>Factor_4[[#This Row],[Impacto del cargo]]&amp;" "&amp;Factor_4[[#This Row],[Autonomia]]&amp;" "&amp;Factor_4[[#This Row],[Magnitud de Cifras]]</f>
        <v>I G 11</v>
      </c>
      <c r="C349" s="199" t="s">
        <v>81</v>
      </c>
      <c r="D349" s="199" t="s">
        <v>18</v>
      </c>
      <c r="E349" s="199">
        <v>11</v>
      </c>
      <c r="F349" s="199">
        <v>468</v>
      </c>
    </row>
    <row r="350" spans="2:6" hidden="1">
      <c r="B350" s="199" t="str">
        <f>Factor_4[[#This Row],[Impacto del cargo]]&amp;" "&amp;Factor_4[[#This Row],[Autonomia]]&amp;" "&amp;Factor_4[[#This Row],[Magnitud de Cifras]]</f>
        <v>I G 12</v>
      </c>
      <c r="C350" s="199" t="s">
        <v>81</v>
      </c>
      <c r="D350" s="199" t="s">
        <v>18</v>
      </c>
      <c r="E350" s="199">
        <v>12</v>
      </c>
      <c r="F350" s="199">
        <v>533</v>
      </c>
    </row>
    <row r="351" spans="2:6" hidden="1">
      <c r="B351" s="199" t="str">
        <f>Factor_4[[#This Row],[Impacto del cargo]]&amp;" "&amp;Factor_4[[#This Row],[Autonomia]]&amp;" "&amp;Factor_4[[#This Row],[Magnitud de Cifras]]</f>
        <v>I G 13</v>
      </c>
      <c r="C351" s="199" t="s">
        <v>81</v>
      </c>
      <c r="D351" s="199" t="s">
        <v>18</v>
      </c>
      <c r="E351" s="199">
        <v>13</v>
      </c>
      <c r="F351" s="199">
        <v>608</v>
      </c>
    </row>
    <row r="352" spans="2:6" hidden="1">
      <c r="B352" s="199" t="str">
        <f>Factor_4[[#This Row],[Impacto del cargo]]&amp;" "&amp;Factor_4[[#This Row],[Autonomia]]&amp;" "&amp;Factor_4[[#This Row],[Magnitud de Cifras]]</f>
        <v>I G 14</v>
      </c>
      <c r="C352" s="199" t="s">
        <v>81</v>
      </c>
      <c r="D352" s="199" t="s">
        <v>18</v>
      </c>
      <c r="E352" s="199">
        <v>14</v>
      </c>
      <c r="F352" s="199">
        <v>694</v>
      </c>
    </row>
    <row r="353" spans="2:6" hidden="1">
      <c r="B353" s="199" t="str">
        <f>Factor_4[[#This Row],[Impacto del cargo]]&amp;" "&amp;Factor_4[[#This Row],[Autonomia]]&amp;" "&amp;Factor_4[[#This Row],[Magnitud de Cifras]]</f>
        <v>II G 1</v>
      </c>
      <c r="C353" s="199" t="s">
        <v>100</v>
      </c>
      <c r="D353" s="199" t="s">
        <v>18</v>
      </c>
      <c r="E353" s="199">
        <v>1</v>
      </c>
      <c r="F353" s="199">
        <v>132</v>
      </c>
    </row>
    <row r="354" spans="2:6" hidden="1">
      <c r="B354" s="199" t="str">
        <f>Factor_4[[#This Row],[Impacto del cargo]]&amp;" "&amp;Factor_4[[#This Row],[Autonomia]]&amp;" "&amp;Factor_4[[#This Row],[Magnitud de Cifras]]</f>
        <v>II G 2</v>
      </c>
      <c r="C354" s="199" t="s">
        <v>100</v>
      </c>
      <c r="D354" s="199" t="s">
        <v>18</v>
      </c>
      <c r="E354" s="199">
        <v>2</v>
      </c>
      <c r="F354" s="199">
        <v>158</v>
      </c>
    </row>
    <row r="355" spans="2:6" hidden="1">
      <c r="B355" s="199" t="str">
        <f>Factor_4[[#This Row],[Impacto del cargo]]&amp;" "&amp;Factor_4[[#This Row],[Autonomia]]&amp;" "&amp;Factor_4[[#This Row],[Magnitud de Cifras]]</f>
        <v>II G 3</v>
      </c>
      <c r="C355" s="199" t="s">
        <v>100</v>
      </c>
      <c r="D355" s="199" t="s">
        <v>18</v>
      </c>
      <c r="E355" s="199">
        <v>3</v>
      </c>
      <c r="F355" s="199">
        <v>179</v>
      </c>
    </row>
    <row r="356" spans="2:6" hidden="1">
      <c r="B356" s="199" t="str">
        <f>Factor_4[[#This Row],[Impacto del cargo]]&amp;" "&amp;Factor_4[[#This Row],[Autonomia]]&amp;" "&amp;Factor_4[[#This Row],[Magnitud de Cifras]]</f>
        <v>II G 4</v>
      </c>
      <c r="C356" s="199" t="s">
        <v>100</v>
      </c>
      <c r="D356" s="199" t="s">
        <v>18</v>
      </c>
      <c r="E356" s="199">
        <v>4</v>
      </c>
      <c r="F356" s="199">
        <v>202</v>
      </c>
    </row>
    <row r="357" spans="2:6" hidden="1">
      <c r="B357" s="199" t="str">
        <f>Factor_4[[#This Row],[Impacto del cargo]]&amp;" "&amp;Factor_4[[#This Row],[Autonomia]]&amp;" "&amp;Factor_4[[#This Row],[Magnitud de Cifras]]</f>
        <v>II G 5</v>
      </c>
      <c r="C357" s="199" t="s">
        <v>100</v>
      </c>
      <c r="D357" s="199" t="s">
        <v>18</v>
      </c>
      <c r="E357" s="199">
        <v>5</v>
      </c>
      <c r="F357" s="199">
        <v>229</v>
      </c>
    </row>
    <row r="358" spans="2:6" hidden="1">
      <c r="B358" s="199" t="str">
        <f>Factor_4[[#This Row],[Impacto del cargo]]&amp;" "&amp;Factor_4[[#This Row],[Autonomia]]&amp;" "&amp;Factor_4[[#This Row],[Magnitud de Cifras]]</f>
        <v>II G 6</v>
      </c>
      <c r="C358" s="199" t="s">
        <v>100</v>
      </c>
      <c r="D358" s="199" t="s">
        <v>18</v>
      </c>
      <c r="E358" s="199">
        <v>6</v>
      </c>
      <c r="F358" s="199">
        <v>259</v>
      </c>
    </row>
    <row r="359" spans="2:6" hidden="1">
      <c r="B359" s="199" t="str">
        <f>Factor_4[[#This Row],[Impacto del cargo]]&amp;" "&amp;Factor_4[[#This Row],[Autonomia]]&amp;" "&amp;Factor_4[[#This Row],[Magnitud de Cifras]]</f>
        <v>II G 7</v>
      </c>
      <c r="C359" s="199" t="s">
        <v>100</v>
      </c>
      <c r="D359" s="199" t="s">
        <v>18</v>
      </c>
      <c r="E359" s="199">
        <v>7</v>
      </c>
      <c r="F359" s="199">
        <v>294</v>
      </c>
    </row>
    <row r="360" spans="2:6" hidden="1">
      <c r="B360" s="199" t="str">
        <f>Factor_4[[#This Row],[Impacto del cargo]]&amp;" "&amp;Factor_4[[#This Row],[Autonomia]]&amp;" "&amp;Factor_4[[#This Row],[Magnitud de Cifras]]</f>
        <v>II G 8</v>
      </c>
      <c r="C360" s="199" t="s">
        <v>100</v>
      </c>
      <c r="D360" s="199" t="s">
        <v>18</v>
      </c>
      <c r="E360" s="199">
        <v>8</v>
      </c>
      <c r="F360" s="199">
        <v>333</v>
      </c>
    </row>
    <row r="361" spans="2:6" hidden="1">
      <c r="B361" s="199" t="str">
        <f>Factor_4[[#This Row],[Impacto del cargo]]&amp;" "&amp;Factor_4[[#This Row],[Autonomia]]&amp;" "&amp;Factor_4[[#This Row],[Magnitud de Cifras]]</f>
        <v>II G 9</v>
      </c>
      <c r="C361" s="199" t="s">
        <v>100</v>
      </c>
      <c r="D361" s="199" t="s">
        <v>18</v>
      </c>
      <c r="E361" s="199">
        <v>9</v>
      </c>
      <c r="F361" s="199">
        <v>378</v>
      </c>
    </row>
    <row r="362" spans="2:6" hidden="1">
      <c r="B362" s="199" t="str">
        <f>Factor_4[[#This Row],[Impacto del cargo]]&amp;" "&amp;Factor_4[[#This Row],[Autonomia]]&amp;" "&amp;Factor_4[[#This Row],[Magnitud de Cifras]]</f>
        <v>II G 10</v>
      </c>
      <c r="C362" s="199" t="s">
        <v>100</v>
      </c>
      <c r="D362" s="199" t="s">
        <v>18</v>
      </c>
      <c r="E362" s="199">
        <v>10</v>
      </c>
      <c r="F362" s="199">
        <v>429</v>
      </c>
    </row>
    <row r="363" spans="2:6" hidden="1">
      <c r="B363" s="199" t="str">
        <f>Factor_4[[#This Row],[Impacto del cargo]]&amp;" "&amp;Factor_4[[#This Row],[Autonomia]]&amp;" "&amp;Factor_4[[#This Row],[Magnitud de Cifras]]</f>
        <v>II G 11</v>
      </c>
      <c r="C363" s="199" t="s">
        <v>100</v>
      </c>
      <c r="D363" s="199" t="s">
        <v>18</v>
      </c>
      <c r="E363" s="199">
        <v>11</v>
      </c>
      <c r="F363" s="199">
        <v>488</v>
      </c>
    </row>
    <row r="364" spans="2:6" hidden="1">
      <c r="B364" s="199" t="str">
        <f>Factor_4[[#This Row],[Impacto del cargo]]&amp;" "&amp;Factor_4[[#This Row],[Autonomia]]&amp;" "&amp;Factor_4[[#This Row],[Magnitud de Cifras]]</f>
        <v>II G 12</v>
      </c>
      <c r="C364" s="199" t="s">
        <v>100</v>
      </c>
      <c r="D364" s="199" t="s">
        <v>18</v>
      </c>
      <c r="E364" s="199">
        <v>12</v>
      </c>
      <c r="F364" s="199">
        <v>555</v>
      </c>
    </row>
    <row r="365" spans="2:6" hidden="1">
      <c r="B365" s="199" t="str">
        <f>Factor_4[[#This Row],[Impacto del cargo]]&amp;" "&amp;Factor_4[[#This Row],[Autonomia]]&amp;" "&amp;Factor_4[[#This Row],[Magnitud de Cifras]]</f>
        <v>II G 13</v>
      </c>
      <c r="C365" s="199" t="s">
        <v>100</v>
      </c>
      <c r="D365" s="199" t="s">
        <v>18</v>
      </c>
      <c r="E365" s="199">
        <v>13</v>
      </c>
      <c r="F365" s="199">
        <v>632</v>
      </c>
    </row>
    <row r="366" spans="2:6" hidden="1">
      <c r="B366" s="199" t="str">
        <f>Factor_4[[#This Row],[Impacto del cargo]]&amp;" "&amp;Factor_4[[#This Row],[Autonomia]]&amp;" "&amp;Factor_4[[#This Row],[Magnitud de Cifras]]</f>
        <v>II G 14</v>
      </c>
      <c r="C366" s="199" t="s">
        <v>100</v>
      </c>
      <c r="D366" s="199" t="s">
        <v>18</v>
      </c>
      <c r="E366" s="199">
        <v>14</v>
      </c>
      <c r="F366" s="199">
        <v>719</v>
      </c>
    </row>
    <row r="367" spans="2:6" hidden="1">
      <c r="B367" s="199" t="str">
        <f>Factor_4[[#This Row],[Impacto del cargo]]&amp;" "&amp;Factor_4[[#This Row],[Autonomia]]&amp;" "&amp;Factor_4[[#This Row],[Magnitud de Cifras]]</f>
        <v>III G 1</v>
      </c>
      <c r="C367" s="199" t="s">
        <v>120</v>
      </c>
      <c r="D367" s="199" t="s">
        <v>18</v>
      </c>
      <c r="E367" s="199">
        <v>1</v>
      </c>
      <c r="F367" s="199">
        <v>146</v>
      </c>
    </row>
    <row r="368" spans="2:6" hidden="1">
      <c r="B368" s="199" t="str">
        <f>Factor_4[[#This Row],[Impacto del cargo]]&amp;" "&amp;Factor_4[[#This Row],[Autonomia]]&amp;" "&amp;Factor_4[[#This Row],[Magnitud de Cifras]]</f>
        <v>III G 2</v>
      </c>
      <c r="C368" s="199" t="s">
        <v>120</v>
      </c>
      <c r="D368" s="199" t="s">
        <v>18</v>
      </c>
      <c r="E368" s="199">
        <v>2</v>
      </c>
      <c r="F368" s="199">
        <v>172</v>
      </c>
    </row>
    <row r="369" spans="2:6" hidden="1">
      <c r="B369" s="199" t="str">
        <f>Factor_4[[#This Row],[Impacto del cargo]]&amp;" "&amp;Factor_4[[#This Row],[Autonomia]]&amp;" "&amp;Factor_4[[#This Row],[Magnitud de Cifras]]</f>
        <v>III G 3</v>
      </c>
      <c r="C369" s="199" t="s">
        <v>120</v>
      </c>
      <c r="D369" s="199" t="s">
        <v>18</v>
      </c>
      <c r="E369" s="199">
        <v>3</v>
      </c>
      <c r="F369" s="199">
        <v>194</v>
      </c>
    </row>
    <row r="370" spans="2:6" hidden="1">
      <c r="B370" s="199" t="str">
        <f>Factor_4[[#This Row],[Impacto del cargo]]&amp;" "&amp;Factor_4[[#This Row],[Autonomia]]&amp;" "&amp;Factor_4[[#This Row],[Magnitud de Cifras]]</f>
        <v>III G 4</v>
      </c>
      <c r="C370" s="199" t="s">
        <v>120</v>
      </c>
      <c r="D370" s="199" t="s">
        <v>18</v>
      </c>
      <c r="E370" s="199">
        <v>4</v>
      </c>
      <c r="F370" s="199">
        <v>219</v>
      </c>
    </row>
    <row r="371" spans="2:6" hidden="1">
      <c r="B371" s="199" t="str">
        <f>Factor_4[[#This Row],[Impacto del cargo]]&amp;" "&amp;Factor_4[[#This Row],[Autonomia]]&amp;" "&amp;Factor_4[[#This Row],[Magnitud de Cifras]]</f>
        <v>III G 5</v>
      </c>
      <c r="C371" s="199" t="s">
        <v>120</v>
      </c>
      <c r="D371" s="199" t="s">
        <v>18</v>
      </c>
      <c r="E371" s="199">
        <v>5</v>
      </c>
      <c r="F371" s="199">
        <v>246</v>
      </c>
    </row>
    <row r="372" spans="2:6" hidden="1">
      <c r="B372" s="199" t="str">
        <f>Factor_4[[#This Row],[Impacto del cargo]]&amp;" "&amp;Factor_4[[#This Row],[Autonomia]]&amp;" "&amp;Factor_4[[#This Row],[Magnitud de Cifras]]</f>
        <v>III G 6</v>
      </c>
      <c r="C372" s="199" t="s">
        <v>120</v>
      </c>
      <c r="D372" s="199" t="s">
        <v>18</v>
      </c>
      <c r="E372" s="199">
        <v>6</v>
      </c>
      <c r="F372" s="199">
        <v>278</v>
      </c>
    </row>
    <row r="373" spans="2:6" hidden="1">
      <c r="B373" s="199" t="str">
        <f>Factor_4[[#This Row],[Impacto del cargo]]&amp;" "&amp;Factor_4[[#This Row],[Autonomia]]&amp;" "&amp;Factor_4[[#This Row],[Magnitud de Cifras]]</f>
        <v>III G 7</v>
      </c>
      <c r="C373" s="199" t="s">
        <v>120</v>
      </c>
      <c r="D373" s="199" t="s">
        <v>18</v>
      </c>
      <c r="E373" s="199">
        <v>7</v>
      </c>
      <c r="F373" s="199">
        <v>314</v>
      </c>
    </row>
    <row r="374" spans="2:6" hidden="1">
      <c r="B374" s="199" t="str">
        <f>Factor_4[[#This Row],[Impacto del cargo]]&amp;" "&amp;Factor_4[[#This Row],[Autonomia]]&amp;" "&amp;Factor_4[[#This Row],[Magnitud de Cifras]]</f>
        <v>III G 8</v>
      </c>
      <c r="C374" s="199" t="s">
        <v>120</v>
      </c>
      <c r="D374" s="199" t="s">
        <v>18</v>
      </c>
      <c r="E374" s="199">
        <v>8</v>
      </c>
      <c r="F374" s="199">
        <v>355</v>
      </c>
    </row>
    <row r="375" spans="2:6" hidden="1">
      <c r="B375" s="199" t="str">
        <f>Factor_4[[#This Row],[Impacto del cargo]]&amp;" "&amp;Factor_4[[#This Row],[Autonomia]]&amp;" "&amp;Factor_4[[#This Row],[Magnitud de Cifras]]</f>
        <v>III G 9</v>
      </c>
      <c r="C375" s="199" t="s">
        <v>120</v>
      </c>
      <c r="D375" s="199" t="s">
        <v>18</v>
      </c>
      <c r="E375" s="199">
        <v>9</v>
      </c>
      <c r="F375" s="199">
        <v>402</v>
      </c>
    </row>
    <row r="376" spans="2:6" hidden="1">
      <c r="B376" s="199" t="str">
        <f>Factor_4[[#This Row],[Impacto del cargo]]&amp;" "&amp;Factor_4[[#This Row],[Autonomia]]&amp;" "&amp;Factor_4[[#This Row],[Magnitud de Cifras]]</f>
        <v>III G 10</v>
      </c>
      <c r="C376" s="199" t="s">
        <v>120</v>
      </c>
      <c r="D376" s="199" t="s">
        <v>18</v>
      </c>
      <c r="E376" s="199">
        <v>10</v>
      </c>
      <c r="F376" s="199">
        <v>455</v>
      </c>
    </row>
    <row r="377" spans="2:6" hidden="1">
      <c r="B377" s="199" t="str">
        <f>Factor_4[[#This Row],[Impacto del cargo]]&amp;" "&amp;Factor_4[[#This Row],[Autonomia]]&amp;" "&amp;Factor_4[[#This Row],[Magnitud de Cifras]]</f>
        <v>III G 11</v>
      </c>
      <c r="C377" s="199" t="s">
        <v>120</v>
      </c>
      <c r="D377" s="199" t="s">
        <v>18</v>
      </c>
      <c r="E377" s="199">
        <v>11</v>
      </c>
      <c r="F377" s="199">
        <v>515</v>
      </c>
    </row>
    <row r="378" spans="2:6" hidden="1">
      <c r="B378" s="199" t="str">
        <f>Factor_4[[#This Row],[Impacto del cargo]]&amp;" "&amp;Factor_4[[#This Row],[Autonomia]]&amp;" "&amp;Factor_4[[#This Row],[Magnitud de Cifras]]</f>
        <v>III G 12</v>
      </c>
      <c r="C378" s="199" t="s">
        <v>120</v>
      </c>
      <c r="D378" s="199" t="s">
        <v>18</v>
      </c>
      <c r="E378" s="199">
        <v>12</v>
      </c>
      <c r="F378" s="199">
        <v>584</v>
      </c>
    </row>
    <row r="379" spans="2:6" hidden="1">
      <c r="B379" s="199" t="str">
        <f>Factor_4[[#This Row],[Impacto del cargo]]&amp;" "&amp;Factor_4[[#This Row],[Autonomia]]&amp;" "&amp;Factor_4[[#This Row],[Magnitud de Cifras]]</f>
        <v>III G 13</v>
      </c>
      <c r="C379" s="199" t="s">
        <v>120</v>
      </c>
      <c r="D379" s="199" t="s">
        <v>18</v>
      </c>
      <c r="E379" s="199">
        <v>13</v>
      </c>
      <c r="F379" s="199">
        <v>663</v>
      </c>
    </row>
    <row r="380" spans="2:6" hidden="1">
      <c r="B380" s="199" t="str">
        <f>Factor_4[[#This Row],[Impacto del cargo]]&amp;" "&amp;Factor_4[[#This Row],[Autonomia]]&amp;" "&amp;Factor_4[[#This Row],[Magnitud de Cifras]]</f>
        <v>III G 14</v>
      </c>
      <c r="C380" s="199" t="s">
        <v>120</v>
      </c>
      <c r="D380" s="199" t="s">
        <v>18</v>
      </c>
      <c r="E380" s="199">
        <v>14</v>
      </c>
      <c r="F380" s="199">
        <v>753</v>
      </c>
    </row>
    <row r="381" spans="2:6" hidden="1">
      <c r="B381" s="199" t="str">
        <f>Factor_4[[#This Row],[Impacto del cargo]]&amp;" "&amp;Factor_4[[#This Row],[Autonomia]]&amp;" "&amp;Factor_4[[#This Row],[Magnitud de Cifras]]</f>
        <v>IV G 1</v>
      </c>
      <c r="C381" s="199" t="s">
        <v>139</v>
      </c>
      <c r="D381" s="199" t="s">
        <v>18</v>
      </c>
      <c r="E381" s="199">
        <v>1</v>
      </c>
      <c r="F381" s="199">
        <v>166</v>
      </c>
    </row>
    <row r="382" spans="2:6" hidden="1">
      <c r="B382" s="199" t="str">
        <f>Factor_4[[#This Row],[Impacto del cargo]]&amp;" "&amp;Factor_4[[#This Row],[Autonomia]]&amp;" "&amp;Factor_4[[#This Row],[Magnitud de Cifras]]</f>
        <v>IV G 2</v>
      </c>
      <c r="C382" s="199" t="s">
        <v>139</v>
      </c>
      <c r="D382" s="199" t="s">
        <v>18</v>
      </c>
      <c r="E382" s="199">
        <v>2</v>
      </c>
      <c r="F382" s="199">
        <v>191</v>
      </c>
    </row>
    <row r="383" spans="2:6" hidden="1">
      <c r="B383" s="199" t="str">
        <f>Factor_4[[#This Row],[Impacto del cargo]]&amp;" "&amp;Factor_4[[#This Row],[Autonomia]]&amp;" "&amp;Factor_4[[#This Row],[Magnitud de Cifras]]</f>
        <v>IV G 3</v>
      </c>
      <c r="C383" s="199" t="s">
        <v>139</v>
      </c>
      <c r="D383" s="199" t="s">
        <v>18</v>
      </c>
      <c r="E383" s="199">
        <v>3</v>
      </c>
      <c r="F383" s="199">
        <v>214</v>
      </c>
    </row>
    <row r="384" spans="2:6" hidden="1">
      <c r="B384" s="199" t="str">
        <f>Factor_4[[#This Row],[Impacto del cargo]]&amp;" "&amp;Factor_4[[#This Row],[Autonomia]]&amp;" "&amp;Factor_4[[#This Row],[Magnitud de Cifras]]</f>
        <v>IV G 4</v>
      </c>
      <c r="C384" s="199" t="s">
        <v>139</v>
      </c>
      <c r="D384" s="199" t="s">
        <v>18</v>
      </c>
      <c r="E384" s="199">
        <v>4</v>
      </c>
      <c r="F384" s="199">
        <v>240</v>
      </c>
    </row>
    <row r="385" spans="2:6" hidden="1">
      <c r="B385" s="199" t="str">
        <f>Factor_4[[#This Row],[Impacto del cargo]]&amp;" "&amp;Factor_4[[#This Row],[Autonomia]]&amp;" "&amp;Factor_4[[#This Row],[Magnitud de Cifras]]</f>
        <v>IV G 5</v>
      </c>
      <c r="C385" s="199" t="s">
        <v>139</v>
      </c>
      <c r="D385" s="199" t="s">
        <v>18</v>
      </c>
      <c r="E385" s="199">
        <v>5</v>
      </c>
      <c r="F385" s="199">
        <v>270</v>
      </c>
    </row>
    <row r="386" spans="2:6" hidden="1">
      <c r="B386" s="199" t="str">
        <f>Factor_4[[#This Row],[Impacto del cargo]]&amp;" "&amp;Factor_4[[#This Row],[Autonomia]]&amp;" "&amp;Factor_4[[#This Row],[Magnitud de Cifras]]</f>
        <v>IV G 6</v>
      </c>
      <c r="C386" s="199" t="s">
        <v>139</v>
      </c>
      <c r="D386" s="199" t="s">
        <v>18</v>
      </c>
      <c r="E386" s="199">
        <v>6</v>
      </c>
      <c r="F386" s="199">
        <v>303</v>
      </c>
    </row>
    <row r="387" spans="2:6" hidden="1">
      <c r="B387" s="199" t="str">
        <f>Factor_4[[#This Row],[Impacto del cargo]]&amp;" "&amp;Factor_4[[#This Row],[Autonomia]]&amp;" "&amp;Factor_4[[#This Row],[Magnitud de Cifras]]</f>
        <v>IV G 7</v>
      </c>
      <c r="C387" s="199" t="s">
        <v>139</v>
      </c>
      <c r="D387" s="199" t="s">
        <v>18</v>
      </c>
      <c r="E387" s="199">
        <v>7</v>
      </c>
      <c r="F387" s="199">
        <v>341</v>
      </c>
    </row>
    <row r="388" spans="2:6" hidden="1">
      <c r="B388" s="199" t="str">
        <f>Factor_4[[#This Row],[Impacto del cargo]]&amp;" "&amp;Factor_4[[#This Row],[Autonomia]]&amp;" "&amp;Factor_4[[#This Row],[Magnitud de Cifras]]</f>
        <v>IV G 8</v>
      </c>
      <c r="C388" s="199" t="s">
        <v>139</v>
      </c>
      <c r="D388" s="199" t="s">
        <v>18</v>
      </c>
      <c r="E388" s="199">
        <v>8</v>
      </c>
      <c r="F388" s="199">
        <v>384</v>
      </c>
    </row>
    <row r="389" spans="2:6" hidden="1">
      <c r="B389" s="199" t="str">
        <f>Factor_4[[#This Row],[Impacto del cargo]]&amp;" "&amp;Factor_4[[#This Row],[Autonomia]]&amp;" "&amp;Factor_4[[#This Row],[Magnitud de Cifras]]</f>
        <v>IV G 9</v>
      </c>
      <c r="C389" s="199" t="s">
        <v>139</v>
      </c>
      <c r="D389" s="199" t="s">
        <v>18</v>
      </c>
      <c r="E389" s="199">
        <v>9</v>
      </c>
      <c r="F389" s="199">
        <v>433</v>
      </c>
    </row>
    <row r="390" spans="2:6" hidden="1">
      <c r="B390" s="199" t="str">
        <f>Factor_4[[#This Row],[Impacto del cargo]]&amp;" "&amp;Factor_4[[#This Row],[Autonomia]]&amp;" "&amp;Factor_4[[#This Row],[Magnitud de Cifras]]</f>
        <v>IV G 10</v>
      </c>
      <c r="C390" s="199" t="s">
        <v>139</v>
      </c>
      <c r="D390" s="199" t="s">
        <v>18</v>
      </c>
      <c r="E390" s="199">
        <v>10</v>
      </c>
      <c r="F390" s="199">
        <v>488</v>
      </c>
    </row>
    <row r="391" spans="2:6" hidden="1">
      <c r="B391" s="199" t="str">
        <f>Factor_4[[#This Row],[Impacto del cargo]]&amp;" "&amp;Factor_4[[#This Row],[Autonomia]]&amp;" "&amp;Factor_4[[#This Row],[Magnitud de Cifras]]</f>
        <v>IV G 11</v>
      </c>
      <c r="C391" s="199" t="s">
        <v>139</v>
      </c>
      <c r="D391" s="199" t="s">
        <v>18</v>
      </c>
      <c r="E391" s="199">
        <v>11</v>
      </c>
      <c r="F391" s="199">
        <v>551</v>
      </c>
    </row>
    <row r="392" spans="2:6" hidden="1">
      <c r="B392" s="199" t="str">
        <f>Factor_4[[#This Row],[Impacto del cargo]]&amp;" "&amp;Factor_4[[#This Row],[Autonomia]]&amp;" "&amp;Factor_4[[#This Row],[Magnitud de Cifras]]</f>
        <v>IV G 12</v>
      </c>
      <c r="C392" s="199" t="s">
        <v>139</v>
      </c>
      <c r="D392" s="199" t="s">
        <v>18</v>
      </c>
      <c r="E392" s="199">
        <v>12</v>
      </c>
      <c r="F392" s="199">
        <v>623</v>
      </c>
    </row>
    <row r="393" spans="2:6" hidden="1">
      <c r="B393" s="199" t="str">
        <f>Factor_4[[#This Row],[Impacto del cargo]]&amp;" "&amp;Factor_4[[#This Row],[Autonomia]]&amp;" "&amp;Factor_4[[#This Row],[Magnitud de Cifras]]</f>
        <v>IV G 13</v>
      </c>
      <c r="C393" s="199" t="s">
        <v>139</v>
      </c>
      <c r="D393" s="199" t="s">
        <v>18</v>
      </c>
      <c r="E393" s="199">
        <v>13</v>
      </c>
      <c r="F393" s="199">
        <v>705</v>
      </c>
    </row>
    <row r="394" spans="2:6" hidden="1">
      <c r="B394" s="247" t="str">
        <f>Factor_4[[#This Row],[Impacto del cargo]]&amp;" "&amp;Factor_4[[#This Row],[Autonomia]]&amp;" "&amp;Factor_4[[#This Row],[Magnitud de Cifras]]</f>
        <v>IV G 14</v>
      </c>
      <c r="C394" s="247" t="s">
        <v>139</v>
      </c>
      <c r="D394" s="247" t="s">
        <v>18</v>
      </c>
      <c r="E394" s="247">
        <v>14</v>
      </c>
      <c r="F394" s="247">
        <v>798</v>
      </c>
    </row>
    <row r="395" spans="2:6"/>
  </sheetData>
  <sheetProtection password="E91B" sheet="1" objects="1" scenarios="1"/>
  <pageMargins left="0.7" right="0.7" top="0.75" bottom="0.75" header="0.3" footer="0.3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2">
    <tabColor rgb="FF3F80CD"/>
  </sheetPr>
  <dimension ref="A1:D5"/>
  <sheetViews>
    <sheetView workbookViewId="0"/>
  </sheetViews>
  <sheetFormatPr baseColWidth="10" defaultColWidth="0" defaultRowHeight="13.8" zeroHeight="1"/>
  <cols>
    <col min="1" max="1" width="2.5546875" style="13" customWidth="1"/>
    <col min="2" max="2" width="21.44140625" style="13" customWidth="1"/>
    <col min="3" max="3" width="12.5546875" style="13" customWidth="1"/>
    <col min="4" max="4" width="2.5546875" style="13" customWidth="1"/>
    <col min="5" max="16384" width="9.44140625" style="13" hidden="1"/>
  </cols>
  <sheetData>
    <row r="1" spans="2:3"/>
    <row r="2" spans="2:3">
      <c r="B2" s="668" t="s">
        <v>891</v>
      </c>
      <c r="C2" s="668"/>
    </row>
    <row r="3" spans="2:3">
      <c r="B3" s="253" t="s">
        <v>892</v>
      </c>
      <c r="C3" s="253" t="str">
        <f ca="1">IF(ADDRESS(1,1,1,0)="R1C1","Inglés",IF(ADDRESS(1,1,1,0)="F1C1","Español",NOW()))</f>
        <v>Español</v>
      </c>
    </row>
    <row r="4" spans="2:3">
      <c r="B4" s="253" t="s">
        <v>893</v>
      </c>
      <c r="C4" s="253" t="str">
        <f ca="1">IF(C3="Español","#.##0","#,##0")</f>
        <v>#.##0</v>
      </c>
    </row>
    <row r="5" spans="2:3"/>
  </sheetData>
  <mergeCells count="1">
    <mergeCell ref="B2:C2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3F80CD"/>
  </sheetPr>
  <dimension ref="A2:H15"/>
  <sheetViews>
    <sheetView workbookViewId="0">
      <selection activeCell="F27" sqref="F27"/>
    </sheetView>
  </sheetViews>
  <sheetFormatPr baseColWidth="10" defaultColWidth="11.44140625" defaultRowHeight="13.8"/>
  <cols>
    <col min="1" max="1" width="1.5546875" style="12" customWidth="1"/>
    <col min="2" max="2" width="13.44140625" style="12" customWidth="1"/>
    <col min="3" max="3" width="16.5546875" style="12" customWidth="1"/>
    <col min="4" max="4" width="1.5546875" style="12" customWidth="1"/>
    <col min="5" max="5" width="8.5546875" style="12" customWidth="1"/>
    <col min="6" max="6" width="27.44140625" style="12" customWidth="1"/>
    <col min="7" max="7" width="2.5546875" style="12" customWidth="1"/>
    <col min="8" max="16384" width="11.44140625" style="12"/>
  </cols>
  <sheetData>
    <row r="2" spans="2:8">
      <c r="B2" s="519" t="s">
        <v>0</v>
      </c>
      <c r="C2" s="519"/>
      <c r="D2" s="10"/>
      <c r="E2" s="519" t="s">
        <v>1</v>
      </c>
      <c r="F2" s="519"/>
    </row>
    <row r="3" spans="2:8">
      <c r="B3" s="10"/>
      <c r="C3" s="10"/>
      <c r="D3" s="10"/>
      <c r="E3" s="10"/>
      <c r="F3" s="10"/>
    </row>
    <row r="4" spans="2:8">
      <c r="B4" s="217" t="s">
        <v>2</v>
      </c>
      <c r="C4" s="208">
        <v>2623</v>
      </c>
      <c r="D4" s="10"/>
      <c r="E4" s="217" t="s">
        <v>3</v>
      </c>
      <c r="F4" s="208" t="str">
        <f>ADDRESS(ROW(Categorias_Registro[]),COLUMN(Categorias_Registro[]),1,1,"Categorias")&amp;":"&amp;ADDRESS(ROW(Categorias_Registro[]),COLUMN(Categorias_Registro[])+COLUMNS(Categorias_Registro[])-1,1,1)</f>
        <v>Categorias!$B$6:$H$6</v>
      </c>
    </row>
    <row r="5" spans="2:8">
      <c r="B5" s="218" t="s">
        <v>4</v>
      </c>
      <c r="C5" s="208">
        <v>87</v>
      </c>
      <c r="D5" s="10"/>
      <c r="E5" s="219" t="s">
        <v>5</v>
      </c>
      <c r="F5" s="208" t="str">
        <f>ADDRESS(ROW(Categorias_Registro[])+1,COLUMN(Categorias_Registro[]),1,1,"Categorias")&amp;":"&amp;ADDRESS(ROW(Categorias_Registro[])+Techo-Piso,COLUMN(Categorias_Registro[]),1,1)</f>
        <v>Categorias!$B$7:$B$2542</v>
      </c>
    </row>
    <row r="6" spans="2:8">
      <c r="B6" s="219" t="s">
        <v>6</v>
      </c>
      <c r="C6" s="215">
        <f>MAX(Categorias_Registro[Categoria],1)</f>
        <v>25</v>
      </c>
      <c r="D6" s="10"/>
      <c r="E6" s="10"/>
      <c r="F6" s="10"/>
    </row>
    <row r="7" spans="2:8">
      <c r="B7" s="10"/>
      <c r="C7" s="10"/>
      <c r="D7" s="10"/>
      <c r="E7" s="10"/>
      <c r="F7" s="10"/>
    </row>
    <row r="8" spans="2:8">
      <c r="B8" s="220" t="s">
        <v>7</v>
      </c>
      <c r="C8" s="221" t="s">
        <v>8</v>
      </c>
      <c r="D8" s="10"/>
      <c r="E8" s="10"/>
      <c r="F8" s="10"/>
    </row>
    <row r="9" spans="2:8">
      <c r="B9" s="209">
        <v>0</v>
      </c>
      <c r="C9" s="210">
        <v>0.15</v>
      </c>
      <c r="D9" s="10"/>
      <c r="E9" s="10"/>
      <c r="F9" s="10"/>
    </row>
    <row r="10" spans="2:8">
      <c r="B10" s="211"/>
      <c r="C10" s="212"/>
      <c r="D10" s="10"/>
      <c r="E10" s="10"/>
      <c r="F10" s="10"/>
      <c r="H10" s="196"/>
    </row>
    <row r="11" spans="2:8">
      <c r="B11" s="209"/>
      <c r="C11" s="210"/>
      <c r="D11" s="10"/>
      <c r="E11" s="10"/>
      <c r="F11" s="10"/>
      <c r="H11" s="196"/>
    </row>
    <row r="12" spans="2:8">
      <c r="B12" s="213"/>
      <c r="C12" s="214"/>
      <c r="D12" s="10"/>
      <c r="E12" s="10"/>
      <c r="F12" s="10"/>
      <c r="H12" s="196"/>
    </row>
    <row r="13" spans="2:8">
      <c r="H13" s="196"/>
    </row>
    <row r="14" spans="2:8">
      <c r="H14" s="196"/>
    </row>
    <row r="15" spans="2:8">
      <c r="H15" s="196"/>
    </row>
  </sheetData>
  <mergeCells count="2">
    <mergeCell ref="B2:C2"/>
    <mergeCell ref="E2:F2"/>
  </mergeCells>
  <pageMargins left="0.7" right="0.7" top="0.75" bottom="0.75" header="0.3" footer="0.3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70C0"/>
  </sheetPr>
  <dimension ref="A4:I2542"/>
  <sheetViews>
    <sheetView workbookViewId="0">
      <selection activeCell="A4" sqref="A4:XFD1048576"/>
    </sheetView>
  </sheetViews>
  <sheetFormatPr baseColWidth="10" defaultColWidth="0" defaultRowHeight="13.8"/>
  <cols>
    <col min="1" max="1" width="1.5546875" style="12" customWidth="1"/>
    <col min="2" max="7" width="10.5546875" style="10" customWidth="1"/>
    <col min="8" max="8" width="16.44140625" style="10" bestFit="1" customWidth="1"/>
    <col min="9" max="9" width="2.5546875" style="12" customWidth="1"/>
    <col min="10" max="16384" width="9.44140625" style="12" hidden="1"/>
  </cols>
  <sheetData>
    <row r="4" spans="2:8" ht="9" customHeight="1"/>
    <row r="5" spans="2:8" ht="27.6">
      <c r="B5" s="216" t="s">
        <v>9</v>
      </c>
      <c r="C5" s="216" t="s">
        <v>10</v>
      </c>
      <c r="D5" s="216" t="s">
        <v>11</v>
      </c>
      <c r="E5" s="216" t="s">
        <v>12</v>
      </c>
      <c r="F5" s="216" t="s">
        <v>13</v>
      </c>
      <c r="G5" s="216" t="s">
        <v>14</v>
      </c>
      <c r="H5" s="216" t="s">
        <v>15</v>
      </c>
    </row>
    <row r="6" spans="2:8">
      <c r="B6" s="15">
        <f>Techo - ROW() + ROW(Categorias_Registro[])</f>
        <v>2623</v>
      </c>
      <c r="C6" s="15">
        <f>IF(Categorias_Registro[[#This Row],[Puntos]]&lt;=ROUND(Piso,0),Piso,IF(Categorias_Registro[[#This Row],[Puntos]]&lt;D7,C7,D7+1))</f>
        <v>2488</v>
      </c>
      <c r="D6" s="15">
        <f>IF(Categorias_Registro[[#This Row],[Puntos]]=ROUND(Piso,0),ROUND(Categorias_Registro[[#This Row],[Puntos]]*(1+Categorias_Registro[[#This Row],[Amplitud]]),0),IF(Categorias_Registro[[#This Row],[Puntos]]&lt;D7,D7,ROUND(D7*(1+Categorias_Registro[[#This Row],[Amplitud]]),0)))</f>
        <v>2860</v>
      </c>
      <c r="E6" s="15">
        <f>E7+IF(D7=Categorias_Registro[[#This Row],[Máximo]],0,1)</f>
        <v>25</v>
      </c>
      <c r="F6" s="15">
        <f>ROUND(Categorias_Registro[[#This Row],[Mínimo]]+((Categorias_Registro[[#This Row],[Máximo]]-Categorias_Registro[[#This Row],[Mínimo]])/2),0)</f>
        <v>2674</v>
      </c>
      <c r="G6" s="78">
        <f>VLOOKUP(Categorias_Registro[[#This Row],[Puntos]],Categorias_Configuracion[],MATCH(Categorias_Configuracion[[#Headers],[% Amplitud]],Categorias_Configuracion[#Headers],0),TRUE)</f>
        <v>0.15</v>
      </c>
      <c r="H6" s="15" t="str">
        <f ca="1">TEXT(Categorias_Registro[[#This Row],[Mínimo]],Formato_Rango_Categorias)&amp;" - "&amp;TEXT(Categorias_Registro[[#This Row],[Máximo]],Formato_Rango_Categorias)</f>
        <v>2.488 - 2.860</v>
      </c>
    </row>
    <row r="7" spans="2:8">
      <c r="B7" s="15">
        <f>Techo - ROW() + ROW(Categorias_Registro[])</f>
        <v>2622</v>
      </c>
      <c r="C7" s="15">
        <f>IF(Categorias_Registro[[#This Row],[Puntos]]&lt;=ROUND(Piso,0),Piso,IF(Categorias_Registro[[#This Row],[Puntos]]&lt;D8,C8,D8+1))</f>
        <v>2488</v>
      </c>
      <c r="D7" s="15">
        <f>IF(Categorias_Registro[[#This Row],[Puntos]]=ROUND(Piso,0),ROUND(Categorias_Registro[[#This Row],[Puntos]]*(1+Categorias_Registro[[#This Row],[Amplitud]]),0),IF(Categorias_Registro[[#This Row],[Puntos]]&lt;D8,D8,ROUND(D8*(1+Categorias_Registro[[#This Row],[Amplitud]]),0)))</f>
        <v>2860</v>
      </c>
      <c r="E7" s="15">
        <f>E8+IF(D8=Categorias_Registro[[#This Row],[Máximo]],0,1)</f>
        <v>25</v>
      </c>
      <c r="F7" s="15">
        <f>ROUND(Categorias_Registro[[#This Row],[Mínimo]]+((Categorias_Registro[[#This Row],[Máximo]]-Categorias_Registro[[#This Row],[Mínimo]])/2),0)</f>
        <v>2674</v>
      </c>
      <c r="G7" s="78">
        <f>VLOOKUP(Categorias_Registro[[#This Row],[Puntos]],Categorias_Configuracion[],MATCH(Categorias_Configuracion[[#Headers],[% Amplitud]],Categorias_Configuracion[#Headers],0),TRUE)</f>
        <v>0.15</v>
      </c>
      <c r="H7" s="15" t="str">
        <f ca="1">TEXT(Categorias_Registro[[#This Row],[Mínimo]],Formato_Rango_Categorias)&amp;" - "&amp;TEXT(Categorias_Registro[[#This Row],[Máximo]],Formato_Rango_Categorias)</f>
        <v>2.488 - 2.860</v>
      </c>
    </row>
    <row r="8" spans="2:8">
      <c r="B8" s="15">
        <f>Techo - ROW() + ROW(Categorias_Registro[])</f>
        <v>2621</v>
      </c>
      <c r="C8" s="15">
        <f>IF(Categorias_Registro[[#This Row],[Puntos]]&lt;=ROUND(Piso,0),Piso,IF(Categorias_Registro[[#This Row],[Puntos]]&lt;D9,C9,D9+1))</f>
        <v>2488</v>
      </c>
      <c r="D8" s="15">
        <f>IF(Categorias_Registro[[#This Row],[Puntos]]=ROUND(Piso,0),ROUND(Categorias_Registro[[#This Row],[Puntos]]*(1+Categorias_Registro[[#This Row],[Amplitud]]),0),IF(Categorias_Registro[[#This Row],[Puntos]]&lt;D9,D9,ROUND(D9*(1+Categorias_Registro[[#This Row],[Amplitud]]),0)))</f>
        <v>2860</v>
      </c>
      <c r="E8" s="15">
        <f>E9+IF(D9=Categorias_Registro[[#This Row],[Máximo]],0,1)</f>
        <v>25</v>
      </c>
      <c r="F8" s="15">
        <f>ROUND(Categorias_Registro[[#This Row],[Mínimo]]+((Categorias_Registro[[#This Row],[Máximo]]-Categorias_Registro[[#This Row],[Mínimo]])/2),0)</f>
        <v>2674</v>
      </c>
      <c r="G8" s="78">
        <f>VLOOKUP(Categorias_Registro[[#This Row],[Puntos]],Categorias_Configuracion[],MATCH(Categorias_Configuracion[[#Headers],[% Amplitud]],Categorias_Configuracion[#Headers],0),TRUE)</f>
        <v>0.15</v>
      </c>
      <c r="H8" s="15" t="str">
        <f ca="1">TEXT(Categorias_Registro[[#This Row],[Mínimo]],Formato_Rango_Categorias)&amp;" - "&amp;TEXT(Categorias_Registro[[#This Row],[Máximo]],Formato_Rango_Categorias)</f>
        <v>2.488 - 2.860</v>
      </c>
    </row>
    <row r="9" spans="2:8">
      <c r="B9" s="15">
        <f>Techo - ROW() + ROW(Categorias_Registro[])</f>
        <v>2620</v>
      </c>
      <c r="C9" s="15">
        <f>IF(Categorias_Registro[[#This Row],[Puntos]]&lt;=ROUND(Piso,0),Piso,IF(Categorias_Registro[[#This Row],[Puntos]]&lt;D10,C10,D10+1))</f>
        <v>2488</v>
      </c>
      <c r="D9" s="15">
        <f>IF(Categorias_Registro[[#This Row],[Puntos]]=ROUND(Piso,0),ROUND(Categorias_Registro[[#This Row],[Puntos]]*(1+Categorias_Registro[[#This Row],[Amplitud]]),0),IF(Categorias_Registro[[#This Row],[Puntos]]&lt;D10,D10,ROUND(D10*(1+Categorias_Registro[[#This Row],[Amplitud]]),0)))</f>
        <v>2860</v>
      </c>
      <c r="E9" s="15">
        <f>E10+IF(D10=Categorias_Registro[[#This Row],[Máximo]],0,1)</f>
        <v>25</v>
      </c>
      <c r="F9" s="15">
        <f>ROUND(Categorias_Registro[[#This Row],[Mínimo]]+((Categorias_Registro[[#This Row],[Máximo]]-Categorias_Registro[[#This Row],[Mínimo]])/2),0)</f>
        <v>2674</v>
      </c>
      <c r="G9" s="78">
        <f>VLOOKUP(Categorias_Registro[[#This Row],[Puntos]],Categorias_Configuracion[],MATCH(Categorias_Configuracion[[#Headers],[% Amplitud]],Categorias_Configuracion[#Headers],0),TRUE)</f>
        <v>0.15</v>
      </c>
      <c r="H9" s="15" t="str">
        <f ca="1">TEXT(Categorias_Registro[[#This Row],[Mínimo]],Formato_Rango_Categorias)&amp;" - "&amp;TEXT(Categorias_Registro[[#This Row],[Máximo]],Formato_Rango_Categorias)</f>
        <v>2.488 - 2.860</v>
      </c>
    </row>
    <row r="10" spans="2:8">
      <c r="B10" s="15">
        <f>Techo - ROW() + ROW(Categorias_Registro[])</f>
        <v>2619</v>
      </c>
      <c r="C10" s="15">
        <f>IF(Categorias_Registro[[#This Row],[Puntos]]&lt;=ROUND(Piso,0),Piso,IF(Categorias_Registro[[#This Row],[Puntos]]&lt;D11,C11,D11+1))</f>
        <v>2488</v>
      </c>
      <c r="D10" s="15">
        <f>IF(Categorias_Registro[[#This Row],[Puntos]]=ROUND(Piso,0),ROUND(Categorias_Registro[[#This Row],[Puntos]]*(1+Categorias_Registro[[#This Row],[Amplitud]]),0),IF(Categorias_Registro[[#This Row],[Puntos]]&lt;D11,D11,ROUND(D11*(1+Categorias_Registro[[#This Row],[Amplitud]]),0)))</f>
        <v>2860</v>
      </c>
      <c r="E10" s="15">
        <f>E11+IF(D11=Categorias_Registro[[#This Row],[Máximo]],0,1)</f>
        <v>25</v>
      </c>
      <c r="F10" s="15">
        <f>ROUND(Categorias_Registro[[#This Row],[Mínimo]]+((Categorias_Registro[[#This Row],[Máximo]]-Categorias_Registro[[#This Row],[Mínimo]])/2),0)</f>
        <v>2674</v>
      </c>
      <c r="G10" s="78">
        <f>VLOOKUP(Categorias_Registro[[#This Row],[Puntos]],Categorias_Configuracion[],MATCH(Categorias_Configuracion[[#Headers],[% Amplitud]],Categorias_Configuracion[#Headers],0),TRUE)</f>
        <v>0.15</v>
      </c>
      <c r="H10" s="15" t="str">
        <f ca="1">TEXT(Categorias_Registro[[#This Row],[Mínimo]],Formato_Rango_Categorias)&amp;" - "&amp;TEXT(Categorias_Registro[[#This Row],[Máximo]],Formato_Rango_Categorias)</f>
        <v>2.488 - 2.860</v>
      </c>
    </row>
    <row r="11" spans="2:8">
      <c r="B11" s="15">
        <f>Techo - ROW() + ROW(Categorias_Registro[])</f>
        <v>2618</v>
      </c>
      <c r="C11" s="15">
        <f>IF(Categorias_Registro[[#This Row],[Puntos]]&lt;=ROUND(Piso,0),Piso,IF(Categorias_Registro[[#This Row],[Puntos]]&lt;D12,C12,D12+1))</f>
        <v>2488</v>
      </c>
      <c r="D11" s="15">
        <f>IF(Categorias_Registro[[#This Row],[Puntos]]=ROUND(Piso,0),ROUND(Categorias_Registro[[#This Row],[Puntos]]*(1+Categorias_Registro[[#This Row],[Amplitud]]),0),IF(Categorias_Registro[[#This Row],[Puntos]]&lt;D12,D12,ROUND(D12*(1+Categorias_Registro[[#This Row],[Amplitud]]),0)))</f>
        <v>2860</v>
      </c>
      <c r="E11" s="15">
        <f>E12+IF(D12=Categorias_Registro[[#This Row],[Máximo]],0,1)</f>
        <v>25</v>
      </c>
      <c r="F11" s="15">
        <f>ROUND(Categorias_Registro[[#This Row],[Mínimo]]+((Categorias_Registro[[#This Row],[Máximo]]-Categorias_Registro[[#This Row],[Mínimo]])/2),0)</f>
        <v>2674</v>
      </c>
      <c r="G11" s="78">
        <f>VLOOKUP(Categorias_Registro[[#This Row],[Puntos]],Categorias_Configuracion[],MATCH(Categorias_Configuracion[[#Headers],[% Amplitud]],Categorias_Configuracion[#Headers],0),TRUE)</f>
        <v>0.15</v>
      </c>
      <c r="H11" s="15" t="str">
        <f ca="1">TEXT(Categorias_Registro[[#This Row],[Mínimo]],Formato_Rango_Categorias)&amp;" - "&amp;TEXT(Categorias_Registro[[#This Row],[Máximo]],Formato_Rango_Categorias)</f>
        <v>2.488 - 2.860</v>
      </c>
    </row>
    <row r="12" spans="2:8">
      <c r="B12" s="15">
        <f>Techo - ROW() + ROW(Categorias_Registro[])</f>
        <v>2617</v>
      </c>
      <c r="C12" s="15">
        <f>IF(Categorias_Registro[[#This Row],[Puntos]]&lt;=ROUND(Piso,0),Piso,IF(Categorias_Registro[[#This Row],[Puntos]]&lt;D13,C13,D13+1))</f>
        <v>2488</v>
      </c>
      <c r="D12" s="15">
        <f>IF(Categorias_Registro[[#This Row],[Puntos]]=ROUND(Piso,0),ROUND(Categorias_Registro[[#This Row],[Puntos]]*(1+Categorias_Registro[[#This Row],[Amplitud]]),0),IF(Categorias_Registro[[#This Row],[Puntos]]&lt;D13,D13,ROUND(D13*(1+Categorias_Registro[[#This Row],[Amplitud]]),0)))</f>
        <v>2860</v>
      </c>
      <c r="E12" s="15">
        <f>E13+IF(D13=Categorias_Registro[[#This Row],[Máximo]],0,1)</f>
        <v>25</v>
      </c>
      <c r="F12" s="15">
        <f>ROUND(Categorias_Registro[[#This Row],[Mínimo]]+((Categorias_Registro[[#This Row],[Máximo]]-Categorias_Registro[[#This Row],[Mínimo]])/2),0)</f>
        <v>2674</v>
      </c>
      <c r="G12" s="78">
        <f>VLOOKUP(Categorias_Registro[[#This Row],[Puntos]],Categorias_Configuracion[],MATCH(Categorias_Configuracion[[#Headers],[% Amplitud]],Categorias_Configuracion[#Headers],0),TRUE)</f>
        <v>0.15</v>
      </c>
      <c r="H12" s="15" t="str">
        <f ca="1">TEXT(Categorias_Registro[[#This Row],[Mínimo]],Formato_Rango_Categorias)&amp;" - "&amp;TEXT(Categorias_Registro[[#This Row],[Máximo]],Formato_Rango_Categorias)</f>
        <v>2.488 - 2.860</v>
      </c>
    </row>
    <row r="13" spans="2:8">
      <c r="B13" s="15">
        <f>Techo - ROW() + ROW(Categorias_Registro[])</f>
        <v>2616</v>
      </c>
      <c r="C13" s="15">
        <f>IF(Categorias_Registro[[#This Row],[Puntos]]&lt;=ROUND(Piso,0),Piso,IF(Categorias_Registro[[#This Row],[Puntos]]&lt;D14,C14,D14+1))</f>
        <v>2488</v>
      </c>
      <c r="D13" s="15">
        <f>IF(Categorias_Registro[[#This Row],[Puntos]]=ROUND(Piso,0),ROUND(Categorias_Registro[[#This Row],[Puntos]]*(1+Categorias_Registro[[#This Row],[Amplitud]]),0),IF(Categorias_Registro[[#This Row],[Puntos]]&lt;D14,D14,ROUND(D14*(1+Categorias_Registro[[#This Row],[Amplitud]]),0)))</f>
        <v>2860</v>
      </c>
      <c r="E13" s="15">
        <f>E14+IF(D14=Categorias_Registro[[#This Row],[Máximo]],0,1)</f>
        <v>25</v>
      </c>
      <c r="F13" s="15">
        <f>ROUND(Categorias_Registro[[#This Row],[Mínimo]]+((Categorias_Registro[[#This Row],[Máximo]]-Categorias_Registro[[#This Row],[Mínimo]])/2),0)</f>
        <v>2674</v>
      </c>
      <c r="G13" s="78">
        <f>VLOOKUP(Categorias_Registro[[#This Row],[Puntos]],Categorias_Configuracion[],MATCH(Categorias_Configuracion[[#Headers],[% Amplitud]],Categorias_Configuracion[#Headers],0),TRUE)</f>
        <v>0.15</v>
      </c>
      <c r="H13" s="15" t="str">
        <f ca="1">TEXT(Categorias_Registro[[#This Row],[Mínimo]],Formato_Rango_Categorias)&amp;" - "&amp;TEXT(Categorias_Registro[[#This Row],[Máximo]],Formato_Rango_Categorias)</f>
        <v>2.488 - 2.860</v>
      </c>
    </row>
    <row r="14" spans="2:8">
      <c r="B14" s="15">
        <f>Techo - ROW() + ROW(Categorias_Registro[])</f>
        <v>2615</v>
      </c>
      <c r="C14" s="15">
        <f>IF(Categorias_Registro[[#This Row],[Puntos]]&lt;=ROUND(Piso,0),Piso,IF(Categorias_Registro[[#This Row],[Puntos]]&lt;D15,C15,D15+1))</f>
        <v>2488</v>
      </c>
      <c r="D14" s="15">
        <f>IF(Categorias_Registro[[#This Row],[Puntos]]=ROUND(Piso,0),ROUND(Categorias_Registro[[#This Row],[Puntos]]*(1+Categorias_Registro[[#This Row],[Amplitud]]),0),IF(Categorias_Registro[[#This Row],[Puntos]]&lt;D15,D15,ROUND(D15*(1+Categorias_Registro[[#This Row],[Amplitud]]),0)))</f>
        <v>2860</v>
      </c>
      <c r="E14" s="15">
        <f>E15+IF(D15=Categorias_Registro[[#This Row],[Máximo]],0,1)</f>
        <v>25</v>
      </c>
      <c r="F14" s="15">
        <f>ROUND(Categorias_Registro[[#This Row],[Mínimo]]+((Categorias_Registro[[#This Row],[Máximo]]-Categorias_Registro[[#This Row],[Mínimo]])/2),0)</f>
        <v>2674</v>
      </c>
      <c r="G14" s="78">
        <f>VLOOKUP(Categorias_Registro[[#This Row],[Puntos]],Categorias_Configuracion[],MATCH(Categorias_Configuracion[[#Headers],[% Amplitud]],Categorias_Configuracion[#Headers],0),TRUE)</f>
        <v>0.15</v>
      </c>
      <c r="H14" s="15" t="str">
        <f ca="1">TEXT(Categorias_Registro[[#This Row],[Mínimo]],Formato_Rango_Categorias)&amp;" - "&amp;TEXT(Categorias_Registro[[#This Row],[Máximo]],Formato_Rango_Categorias)</f>
        <v>2.488 - 2.860</v>
      </c>
    </row>
    <row r="15" spans="2:8">
      <c r="B15" s="15">
        <f>Techo - ROW() + ROW(Categorias_Registro[])</f>
        <v>2614</v>
      </c>
      <c r="C15" s="15">
        <f>IF(Categorias_Registro[[#This Row],[Puntos]]&lt;=ROUND(Piso,0),Piso,IF(Categorias_Registro[[#This Row],[Puntos]]&lt;D16,C16,D16+1))</f>
        <v>2488</v>
      </c>
      <c r="D15" s="15">
        <f>IF(Categorias_Registro[[#This Row],[Puntos]]=ROUND(Piso,0),ROUND(Categorias_Registro[[#This Row],[Puntos]]*(1+Categorias_Registro[[#This Row],[Amplitud]]),0),IF(Categorias_Registro[[#This Row],[Puntos]]&lt;D16,D16,ROUND(D16*(1+Categorias_Registro[[#This Row],[Amplitud]]),0)))</f>
        <v>2860</v>
      </c>
      <c r="E15" s="15">
        <f>E16+IF(D16=Categorias_Registro[[#This Row],[Máximo]],0,1)</f>
        <v>25</v>
      </c>
      <c r="F15" s="15">
        <f>ROUND(Categorias_Registro[[#This Row],[Mínimo]]+((Categorias_Registro[[#This Row],[Máximo]]-Categorias_Registro[[#This Row],[Mínimo]])/2),0)</f>
        <v>2674</v>
      </c>
      <c r="G15" s="78">
        <f>VLOOKUP(Categorias_Registro[[#This Row],[Puntos]],Categorias_Configuracion[],MATCH(Categorias_Configuracion[[#Headers],[% Amplitud]],Categorias_Configuracion[#Headers],0),TRUE)</f>
        <v>0.15</v>
      </c>
      <c r="H15" s="15" t="str">
        <f ca="1">TEXT(Categorias_Registro[[#This Row],[Mínimo]],Formato_Rango_Categorias)&amp;" - "&amp;TEXT(Categorias_Registro[[#This Row],[Máximo]],Formato_Rango_Categorias)</f>
        <v>2.488 - 2.860</v>
      </c>
    </row>
    <row r="16" spans="2:8">
      <c r="B16" s="15">
        <f>Techo - ROW() + ROW(Categorias_Registro[])</f>
        <v>2613</v>
      </c>
      <c r="C16" s="15">
        <f>IF(Categorias_Registro[[#This Row],[Puntos]]&lt;=ROUND(Piso,0),Piso,IF(Categorias_Registro[[#This Row],[Puntos]]&lt;D17,C17,D17+1))</f>
        <v>2488</v>
      </c>
      <c r="D16" s="15">
        <f>IF(Categorias_Registro[[#This Row],[Puntos]]=ROUND(Piso,0),ROUND(Categorias_Registro[[#This Row],[Puntos]]*(1+Categorias_Registro[[#This Row],[Amplitud]]),0),IF(Categorias_Registro[[#This Row],[Puntos]]&lt;D17,D17,ROUND(D17*(1+Categorias_Registro[[#This Row],[Amplitud]]),0)))</f>
        <v>2860</v>
      </c>
      <c r="E16" s="15">
        <f>E17+IF(D17=Categorias_Registro[[#This Row],[Máximo]],0,1)</f>
        <v>25</v>
      </c>
      <c r="F16" s="15">
        <f>ROUND(Categorias_Registro[[#This Row],[Mínimo]]+((Categorias_Registro[[#This Row],[Máximo]]-Categorias_Registro[[#This Row],[Mínimo]])/2),0)</f>
        <v>2674</v>
      </c>
      <c r="G16" s="78">
        <f>VLOOKUP(Categorias_Registro[[#This Row],[Puntos]],Categorias_Configuracion[],MATCH(Categorias_Configuracion[[#Headers],[% Amplitud]],Categorias_Configuracion[#Headers],0),TRUE)</f>
        <v>0.15</v>
      </c>
      <c r="H16" s="15" t="str">
        <f ca="1">TEXT(Categorias_Registro[[#This Row],[Mínimo]],Formato_Rango_Categorias)&amp;" - "&amp;TEXT(Categorias_Registro[[#This Row],[Máximo]],Formato_Rango_Categorias)</f>
        <v>2.488 - 2.860</v>
      </c>
    </row>
    <row r="17" spans="2:8">
      <c r="B17" s="15">
        <f>Techo - ROW() + ROW(Categorias_Registro[])</f>
        <v>2612</v>
      </c>
      <c r="C17" s="15">
        <f>IF(Categorias_Registro[[#This Row],[Puntos]]&lt;=ROUND(Piso,0),Piso,IF(Categorias_Registro[[#This Row],[Puntos]]&lt;D18,C18,D18+1))</f>
        <v>2488</v>
      </c>
      <c r="D17" s="15">
        <f>IF(Categorias_Registro[[#This Row],[Puntos]]=ROUND(Piso,0),ROUND(Categorias_Registro[[#This Row],[Puntos]]*(1+Categorias_Registro[[#This Row],[Amplitud]]),0),IF(Categorias_Registro[[#This Row],[Puntos]]&lt;D18,D18,ROUND(D18*(1+Categorias_Registro[[#This Row],[Amplitud]]),0)))</f>
        <v>2860</v>
      </c>
      <c r="E17" s="15">
        <f>E18+IF(D18=Categorias_Registro[[#This Row],[Máximo]],0,1)</f>
        <v>25</v>
      </c>
      <c r="F17" s="15">
        <f>ROUND(Categorias_Registro[[#This Row],[Mínimo]]+((Categorias_Registro[[#This Row],[Máximo]]-Categorias_Registro[[#This Row],[Mínimo]])/2),0)</f>
        <v>2674</v>
      </c>
      <c r="G17" s="78">
        <f>VLOOKUP(Categorias_Registro[[#This Row],[Puntos]],Categorias_Configuracion[],MATCH(Categorias_Configuracion[[#Headers],[% Amplitud]],Categorias_Configuracion[#Headers],0),TRUE)</f>
        <v>0.15</v>
      </c>
      <c r="H17" s="15" t="str">
        <f ca="1">TEXT(Categorias_Registro[[#This Row],[Mínimo]],Formato_Rango_Categorias)&amp;" - "&amp;TEXT(Categorias_Registro[[#This Row],[Máximo]],Formato_Rango_Categorias)</f>
        <v>2.488 - 2.860</v>
      </c>
    </row>
    <row r="18" spans="2:8">
      <c r="B18" s="15">
        <f>Techo - ROW() + ROW(Categorias_Registro[])</f>
        <v>2611</v>
      </c>
      <c r="C18" s="15">
        <f>IF(Categorias_Registro[[#This Row],[Puntos]]&lt;=ROUND(Piso,0),Piso,IF(Categorias_Registro[[#This Row],[Puntos]]&lt;D19,C19,D19+1))</f>
        <v>2488</v>
      </c>
      <c r="D18" s="15">
        <f>IF(Categorias_Registro[[#This Row],[Puntos]]=ROUND(Piso,0),ROUND(Categorias_Registro[[#This Row],[Puntos]]*(1+Categorias_Registro[[#This Row],[Amplitud]]),0),IF(Categorias_Registro[[#This Row],[Puntos]]&lt;D19,D19,ROUND(D19*(1+Categorias_Registro[[#This Row],[Amplitud]]),0)))</f>
        <v>2860</v>
      </c>
      <c r="E18" s="15">
        <f>E19+IF(D19=Categorias_Registro[[#This Row],[Máximo]],0,1)</f>
        <v>25</v>
      </c>
      <c r="F18" s="15">
        <f>ROUND(Categorias_Registro[[#This Row],[Mínimo]]+((Categorias_Registro[[#This Row],[Máximo]]-Categorias_Registro[[#This Row],[Mínimo]])/2),0)</f>
        <v>2674</v>
      </c>
      <c r="G18" s="78">
        <f>VLOOKUP(Categorias_Registro[[#This Row],[Puntos]],Categorias_Configuracion[],MATCH(Categorias_Configuracion[[#Headers],[% Amplitud]],Categorias_Configuracion[#Headers],0),TRUE)</f>
        <v>0.15</v>
      </c>
      <c r="H18" s="15" t="str">
        <f ca="1">TEXT(Categorias_Registro[[#This Row],[Mínimo]],Formato_Rango_Categorias)&amp;" - "&amp;TEXT(Categorias_Registro[[#This Row],[Máximo]],Formato_Rango_Categorias)</f>
        <v>2.488 - 2.860</v>
      </c>
    </row>
    <row r="19" spans="2:8">
      <c r="B19" s="15">
        <f>Techo - ROW() + ROW(Categorias_Registro[])</f>
        <v>2610</v>
      </c>
      <c r="C19" s="15">
        <f>IF(Categorias_Registro[[#This Row],[Puntos]]&lt;=ROUND(Piso,0),Piso,IF(Categorias_Registro[[#This Row],[Puntos]]&lt;D20,C20,D20+1))</f>
        <v>2488</v>
      </c>
      <c r="D19" s="15">
        <f>IF(Categorias_Registro[[#This Row],[Puntos]]=ROUND(Piso,0),ROUND(Categorias_Registro[[#This Row],[Puntos]]*(1+Categorias_Registro[[#This Row],[Amplitud]]),0),IF(Categorias_Registro[[#This Row],[Puntos]]&lt;D20,D20,ROUND(D20*(1+Categorias_Registro[[#This Row],[Amplitud]]),0)))</f>
        <v>2860</v>
      </c>
      <c r="E19" s="15">
        <f>E20+IF(D20=Categorias_Registro[[#This Row],[Máximo]],0,1)</f>
        <v>25</v>
      </c>
      <c r="F19" s="15">
        <f>ROUND(Categorias_Registro[[#This Row],[Mínimo]]+((Categorias_Registro[[#This Row],[Máximo]]-Categorias_Registro[[#This Row],[Mínimo]])/2),0)</f>
        <v>2674</v>
      </c>
      <c r="G19" s="78">
        <f>VLOOKUP(Categorias_Registro[[#This Row],[Puntos]],Categorias_Configuracion[],MATCH(Categorias_Configuracion[[#Headers],[% Amplitud]],Categorias_Configuracion[#Headers],0),TRUE)</f>
        <v>0.15</v>
      </c>
      <c r="H19" s="15" t="str">
        <f ca="1">TEXT(Categorias_Registro[[#This Row],[Mínimo]],Formato_Rango_Categorias)&amp;" - "&amp;TEXT(Categorias_Registro[[#This Row],[Máximo]],Formato_Rango_Categorias)</f>
        <v>2.488 - 2.860</v>
      </c>
    </row>
    <row r="20" spans="2:8">
      <c r="B20" s="15">
        <f>Techo - ROW() + ROW(Categorias_Registro[])</f>
        <v>2609</v>
      </c>
      <c r="C20" s="15">
        <f>IF(Categorias_Registro[[#This Row],[Puntos]]&lt;=ROUND(Piso,0),Piso,IF(Categorias_Registro[[#This Row],[Puntos]]&lt;D21,C21,D21+1))</f>
        <v>2488</v>
      </c>
      <c r="D20" s="15">
        <f>IF(Categorias_Registro[[#This Row],[Puntos]]=ROUND(Piso,0),ROUND(Categorias_Registro[[#This Row],[Puntos]]*(1+Categorias_Registro[[#This Row],[Amplitud]]),0),IF(Categorias_Registro[[#This Row],[Puntos]]&lt;D21,D21,ROUND(D21*(1+Categorias_Registro[[#This Row],[Amplitud]]),0)))</f>
        <v>2860</v>
      </c>
      <c r="E20" s="15">
        <f>E21+IF(D21=Categorias_Registro[[#This Row],[Máximo]],0,1)</f>
        <v>25</v>
      </c>
      <c r="F20" s="15">
        <f>ROUND(Categorias_Registro[[#This Row],[Mínimo]]+((Categorias_Registro[[#This Row],[Máximo]]-Categorias_Registro[[#This Row],[Mínimo]])/2),0)</f>
        <v>2674</v>
      </c>
      <c r="G20" s="78">
        <f>VLOOKUP(Categorias_Registro[[#This Row],[Puntos]],Categorias_Configuracion[],MATCH(Categorias_Configuracion[[#Headers],[% Amplitud]],Categorias_Configuracion[#Headers],0),TRUE)</f>
        <v>0.15</v>
      </c>
      <c r="H20" s="15" t="str">
        <f ca="1">TEXT(Categorias_Registro[[#This Row],[Mínimo]],Formato_Rango_Categorias)&amp;" - "&amp;TEXT(Categorias_Registro[[#This Row],[Máximo]],Formato_Rango_Categorias)</f>
        <v>2.488 - 2.860</v>
      </c>
    </row>
    <row r="21" spans="2:8">
      <c r="B21" s="15">
        <f>Techo - ROW() + ROW(Categorias_Registro[])</f>
        <v>2608</v>
      </c>
      <c r="C21" s="15">
        <f>IF(Categorias_Registro[[#This Row],[Puntos]]&lt;=ROUND(Piso,0),Piso,IF(Categorias_Registro[[#This Row],[Puntos]]&lt;D22,C22,D22+1))</f>
        <v>2488</v>
      </c>
      <c r="D21" s="15">
        <f>IF(Categorias_Registro[[#This Row],[Puntos]]=ROUND(Piso,0),ROUND(Categorias_Registro[[#This Row],[Puntos]]*(1+Categorias_Registro[[#This Row],[Amplitud]]),0),IF(Categorias_Registro[[#This Row],[Puntos]]&lt;D22,D22,ROUND(D22*(1+Categorias_Registro[[#This Row],[Amplitud]]),0)))</f>
        <v>2860</v>
      </c>
      <c r="E21" s="15">
        <f>E22+IF(D22=Categorias_Registro[[#This Row],[Máximo]],0,1)</f>
        <v>25</v>
      </c>
      <c r="F21" s="15">
        <f>ROUND(Categorias_Registro[[#This Row],[Mínimo]]+((Categorias_Registro[[#This Row],[Máximo]]-Categorias_Registro[[#This Row],[Mínimo]])/2),0)</f>
        <v>2674</v>
      </c>
      <c r="G21" s="78">
        <f>VLOOKUP(Categorias_Registro[[#This Row],[Puntos]],Categorias_Configuracion[],MATCH(Categorias_Configuracion[[#Headers],[% Amplitud]],Categorias_Configuracion[#Headers],0),TRUE)</f>
        <v>0.15</v>
      </c>
      <c r="H21" s="15" t="str">
        <f ca="1">TEXT(Categorias_Registro[[#This Row],[Mínimo]],Formato_Rango_Categorias)&amp;" - "&amp;TEXT(Categorias_Registro[[#This Row],[Máximo]],Formato_Rango_Categorias)</f>
        <v>2.488 - 2.860</v>
      </c>
    </row>
    <row r="22" spans="2:8">
      <c r="B22" s="15">
        <f>Techo - ROW() + ROW(Categorias_Registro[])</f>
        <v>2607</v>
      </c>
      <c r="C22" s="15">
        <f>IF(Categorias_Registro[[#This Row],[Puntos]]&lt;=ROUND(Piso,0),Piso,IF(Categorias_Registro[[#This Row],[Puntos]]&lt;D23,C23,D23+1))</f>
        <v>2488</v>
      </c>
      <c r="D22" s="15">
        <f>IF(Categorias_Registro[[#This Row],[Puntos]]=ROUND(Piso,0),ROUND(Categorias_Registro[[#This Row],[Puntos]]*(1+Categorias_Registro[[#This Row],[Amplitud]]),0),IF(Categorias_Registro[[#This Row],[Puntos]]&lt;D23,D23,ROUND(D23*(1+Categorias_Registro[[#This Row],[Amplitud]]),0)))</f>
        <v>2860</v>
      </c>
      <c r="E22" s="15">
        <f>E23+IF(D23=Categorias_Registro[[#This Row],[Máximo]],0,1)</f>
        <v>25</v>
      </c>
      <c r="F22" s="15">
        <f>ROUND(Categorias_Registro[[#This Row],[Mínimo]]+((Categorias_Registro[[#This Row],[Máximo]]-Categorias_Registro[[#This Row],[Mínimo]])/2),0)</f>
        <v>2674</v>
      </c>
      <c r="G22" s="78">
        <f>VLOOKUP(Categorias_Registro[[#This Row],[Puntos]],Categorias_Configuracion[],MATCH(Categorias_Configuracion[[#Headers],[% Amplitud]],Categorias_Configuracion[#Headers],0),TRUE)</f>
        <v>0.15</v>
      </c>
      <c r="H22" s="15" t="str">
        <f ca="1">TEXT(Categorias_Registro[[#This Row],[Mínimo]],Formato_Rango_Categorias)&amp;" - "&amp;TEXT(Categorias_Registro[[#This Row],[Máximo]],Formato_Rango_Categorias)</f>
        <v>2.488 - 2.860</v>
      </c>
    </row>
    <row r="23" spans="2:8">
      <c r="B23" s="15">
        <f>Techo - ROW() + ROW(Categorias_Registro[])</f>
        <v>2606</v>
      </c>
      <c r="C23" s="15">
        <f>IF(Categorias_Registro[[#This Row],[Puntos]]&lt;=ROUND(Piso,0),Piso,IF(Categorias_Registro[[#This Row],[Puntos]]&lt;D24,C24,D24+1))</f>
        <v>2488</v>
      </c>
      <c r="D23" s="15">
        <f>IF(Categorias_Registro[[#This Row],[Puntos]]=ROUND(Piso,0),ROUND(Categorias_Registro[[#This Row],[Puntos]]*(1+Categorias_Registro[[#This Row],[Amplitud]]),0),IF(Categorias_Registro[[#This Row],[Puntos]]&lt;D24,D24,ROUND(D24*(1+Categorias_Registro[[#This Row],[Amplitud]]),0)))</f>
        <v>2860</v>
      </c>
      <c r="E23" s="15">
        <f>E24+IF(D24=Categorias_Registro[[#This Row],[Máximo]],0,1)</f>
        <v>25</v>
      </c>
      <c r="F23" s="15">
        <f>ROUND(Categorias_Registro[[#This Row],[Mínimo]]+((Categorias_Registro[[#This Row],[Máximo]]-Categorias_Registro[[#This Row],[Mínimo]])/2),0)</f>
        <v>2674</v>
      </c>
      <c r="G23" s="78">
        <f>VLOOKUP(Categorias_Registro[[#This Row],[Puntos]],Categorias_Configuracion[],MATCH(Categorias_Configuracion[[#Headers],[% Amplitud]],Categorias_Configuracion[#Headers],0),TRUE)</f>
        <v>0.15</v>
      </c>
      <c r="H23" s="15" t="str">
        <f ca="1">TEXT(Categorias_Registro[[#This Row],[Mínimo]],Formato_Rango_Categorias)&amp;" - "&amp;TEXT(Categorias_Registro[[#This Row],[Máximo]],Formato_Rango_Categorias)</f>
        <v>2.488 - 2.860</v>
      </c>
    </row>
    <row r="24" spans="2:8">
      <c r="B24" s="15">
        <f>Techo - ROW() + ROW(Categorias_Registro[])</f>
        <v>2605</v>
      </c>
      <c r="C24" s="15">
        <f>IF(Categorias_Registro[[#This Row],[Puntos]]&lt;=ROUND(Piso,0),Piso,IF(Categorias_Registro[[#This Row],[Puntos]]&lt;D25,C25,D25+1))</f>
        <v>2488</v>
      </c>
      <c r="D24" s="15">
        <f>IF(Categorias_Registro[[#This Row],[Puntos]]=ROUND(Piso,0),ROUND(Categorias_Registro[[#This Row],[Puntos]]*(1+Categorias_Registro[[#This Row],[Amplitud]]),0),IF(Categorias_Registro[[#This Row],[Puntos]]&lt;D25,D25,ROUND(D25*(1+Categorias_Registro[[#This Row],[Amplitud]]),0)))</f>
        <v>2860</v>
      </c>
      <c r="E24" s="15">
        <f>E25+IF(D25=Categorias_Registro[[#This Row],[Máximo]],0,1)</f>
        <v>25</v>
      </c>
      <c r="F24" s="15">
        <f>ROUND(Categorias_Registro[[#This Row],[Mínimo]]+((Categorias_Registro[[#This Row],[Máximo]]-Categorias_Registro[[#This Row],[Mínimo]])/2),0)</f>
        <v>2674</v>
      </c>
      <c r="G24" s="78">
        <f>VLOOKUP(Categorias_Registro[[#This Row],[Puntos]],Categorias_Configuracion[],MATCH(Categorias_Configuracion[[#Headers],[% Amplitud]],Categorias_Configuracion[#Headers],0),TRUE)</f>
        <v>0.15</v>
      </c>
      <c r="H24" s="15" t="str">
        <f ca="1">TEXT(Categorias_Registro[[#This Row],[Mínimo]],Formato_Rango_Categorias)&amp;" - "&amp;TEXT(Categorias_Registro[[#This Row],[Máximo]],Formato_Rango_Categorias)</f>
        <v>2.488 - 2.860</v>
      </c>
    </row>
    <row r="25" spans="2:8">
      <c r="B25" s="15">
        <f>Techo - ROW() + ROW(Categorias_Registro[])</f>
        <v>2604</v>
      </c>
      <c r="C25" s="15">
        <f>IF(Categorias_Registro[[#This Row],[Puntos]]&lt;=ROUND(Piso,0),Piso,IF(Categorias_Registro[[#This Row],[Puntos]]&lt;D26,C26,D26+1))</f>
        <v>2488</v>
      </c>
      <c r="D25" s="15">
        <f>IF(Categorias_Registro[[#This Row],[Puntos]]=ROUND(Piso,0),ROUND(Categorias_Registro[[#This Row],[Puntos]]*(1+Categorias_Registro[[#This Row],[Amplitud]]),0),IF(Categorias_Registro[[#This Row],[Puntos]]&lt;D26,D26,ROUND(D26*(1+Categorias_Registro[[#This Row],[Amplitud]]),0)))</f>
        <v>2860</v>
      </c>
      <c r="E25" s="15">
        <f>E26+IF(D26=Categorias_Registro[[#This Row],[Máximo]],0,1)</f>
        <v>25</v>
      </c>
      <c r="F25" s="15">
        <f>ROUND(Categorias_Registro[[#This Row],[Mínimo]]+((Categorias_Registro[[#This Row],[Máximo]]-Categorias_Registro[[#This Row],[Mínimo]])/2),0)</f>
        <v>2674</v>
      </c>
      <c r="G25" s="78">
        <f>VLOOKUP(Categorias_Registro[[#This Row],[Puntos]],Categorias_Configuracion[],MATCH(Categorias_Configuracion[[#Headers],[% Amplitud]],Categorias_Configuracion[#Headers],0),TRUE)</f>
        <v>0.15</v>
      </c>
      <c r="H25" s="15" t="str">
        <f ca="1">TEXT(Categorias_Registro[[#This Row],[Mínimo]],Formato_Rango_Categorias)&amp;" - "&amp;TEXT(Categorias_Registro[[#This Row],[Máximo]],Formato_Rango_Categorias)</f>
        <v>2.488 - 2.860</v>
      </c>
    </row>
    <row r="26" spans="2:8">
      <c r="B26" s="15">
        <f>Techo - ROW() + ROW(Categorias_Registro[])</f>
        <v>2603</v>
      </c>
      <c r="C26" s="15">
        <f>IF(Categorias_Registro[[#This Row],[Puntos]]&lt;=ROUND(Piso,0),Piso,IF(Categorias_Registro[[#This Row],[Puntos]]&lt;D27,C27,D27+1))</f>
        <v>2488</v>
      </c>
      <c r="D26" s="15">
        <f>IF(Categorias_Registro[[#This Row],[Puntos]]=ROUND(Piso,0),ROUND(Categorias_Registro[[#This Row],[Puntos]]*(1+Categorias_Registro[[#This Row],[Amplitud]]),0),IF(Categorias_Registro[[#This Row],[Puntos]]&lt;D27,D27,ROUND(D27*(1+Categorias_Registro[[#This Row],[Amplitud]]),0)))</f>
        <v>2860</v>
      </c>
      <c r="E26" s="15">
        <f>E27+IF(D27=Categorias_Registro[[#This Row],[Máximo]],0,1)</f>
        <v>25</v>
      </c>
      <c r="F26" s="15">
        <f>ROUND(Categorias_Registro[[#This Row],[Mínimo]]+((Categorias_Registro[[#This Row],[Máximo]]-Categorias_Registro[[#This Row],[Mínimo]])/2),0)</f>
        <v>2674</v>
      </c>
      <c r="G26" s="78">
        <f>VLOOKUP(Categorias_Registro[[#This Row],[Puntos]],Categorias_Configuracion[],MATCH(Categorias_Configuracion[[#Headers],[% Amplitud]],Categorias_Configuracion[#Headers],0),TRUE)</f>
        <v>0.15</v>
      </c>
      <c r="H26" s="15" t="str">
        <f ca="1">TEXT(Categorias_Registro[[#This Row],[Mínimo]],Formato_Rango_Categorias)&amp;" - "&amp;TEXT(Categorias_Registro[[#This Row],[Máximo]],Formato_Rango_Categorias)</f>
        <v>2.488 - 2.860</v>
      </c>
    </row>
    <row r="27" spans="2:8">
      <c r="B27" s="15">
        <f>Techo - ROW() + ROW(Categorias_Registro[])</f>
        <v>2602</v>
      </c>
      <c r="C27" s="15">
        <f>IF(Categorias_Registro[[#This Row],[Puntos]]&lt;=ROUND(Piso,0),Piso,IF(Categorias_Registro[[#This Row],[Puntos]]&lt;D28,C28,D28+1))</f>
        <v>2488</v>
      </c>
      <c r="D27" s="15">
        <f>IF(Categorias_Registro[[#This Row],[Puntos]]=ROUND(Piso,0),ROUND(Categorias_Registro[[#This Row],[Puntos]]*(1+Categorias_Registro[[#This Row],[Amplitud]]),0),IF(Categorias_Registro[[#This Row],[Puntos]]&lt;D28,D28,ROUND(D28*(1+Categorias_Registro[[#This Row],[Amplitud]]),0)))</f>
        <v>2860</v>
      </c>
      <c r="E27" s="15">
        <f>E28+IF(D28=Categorias_Registro[[#This Row],[Máximo]],0,1)</f>
        <v>25</v>
      </c>
      <c r="F27" s="15">
        <f>ROUND(Categorias_Registro[[#This Row],[Mínimo]]+((Categorias_Registro[[#This Row],[Máximo]]-Categorias_Registro[[#This Row],[Mínimo]])/2),0)</f>
        <v>2674</v>
      </c>
      <c r="G27" s="78">
        <f>VLOOKUP(Categorias_Registro[[#This Row],[Puntos]],Categorias_Configuracion[],MATCH(Categorias_Configuracion[[#Headers],[% Amplitud]],Categorias_Configuracion[#Headers],0),TRUE)</f>
        <v>0.15</v>
      </c>
      <c r="H27" s="15" t="str">
        <f ca="1">TEXT(Categorias_Registro[[#This Row],[Mínimo]],Formato_Rango_Categorias)&amp;" - "&amp;TEXT(Categorias_Registro[[#This Row],[Máximo]],Formato_Rango_Categorias)</f>
        <v>2.488 - 2.860</v>
      </c>
    </row>
    <row r="28" spans="2:8">
      <c r="B28" s="15">
        <f>Techo - ROW() + ROW(Categorias_Registro[])</f>
        <v>2601</v>
      </c>
      <c r="C28" s="15">
        <f>IF(Categorias_Registro[[#This Row],[Puntos]]&lt;=ROUND(Piso,0),Piso,IF(Categorias_Registro[[#This Row],[Puntos]]&lt;D29,C29,D29+1))</f>
        <v>2488</v>
      </c>
      <c r="D28" s="15">
        <f>IF(Categorias_Registro[[#This Row],[Puntos]]=ROUND(Piso,0),ROUND(Categorias_Registro[[#This Row],[Puntos]]*(1+Categorias_Registro[[#This Row],[Amplitud]]),0),IF(Categorias_Registro[[#This Row],[Puntos]]&lt;D29,D29,ROUND(D29*(1+Categorias_Registro[[#This Row],[Amplitud]]),0)))</f>
        <v>2860</v>
      </c>
      <c r="E28" s="15">
        <f>E29+IF(D29=Categorias_Registro[[#This Row],[Máximo]],0,1)</f>
        <v>25</v>
      </c>
      <c r="F28" s="15">
        <f>ROUND(Categorias_Registro[[#This Row],[Mínimo]]+((Categorias_Registro[[#This Row],[Máximo]]-Categorias_Registro[[#This Row],[Mínimo]])/2),0)</f>
        <v>2674</v>
      </c>
      <c r="G28" s="78">
        <f>VLOOKUP(Categorias_Registro[[#This Row],[Puntos]],Categorias_Configuracion[],MATCH(Categorias_Configuracion[[#Headers],[% Amplitud]],Categorias_Configuracion[#Headers],0),TRUE)</f>
        <v>0.15</v>
      </c>
      <c r="H28" s="15" t="str">
        <f ca="1">TEXT(Categorias_Registro[[#This Row],[Mínimo]],Formato_Rango_Categorias)&amp;" - "&amp;TEXT(Categorias_Registro[[#This Row],[Máximo]],Formato_Rango_Categorias)</f>
        <v>2.488 - 2.860</v>
      </c>
    </row>
    <row r="29" spans="2:8">
      <c r="B29" s="15">
        <f>Techo - ROW() + ROW(Categorias_Registro[])</f>
        <v>2600</v>
      </c>
      <c r="C29" s="15">
        <f>IF(Categorias_Registro[[#This Row],[Puntos]]&lt;=ROUND(Piso,0),Piso,IF(Categorias_Registro[[#This Row],[Puntos]]&lt;D30,C30,D30+1))</f>
        <v>2488</v>
      </c>
      <c r="D29" s="15">
        <f>IF(Categorias_Registro[[#This Row],[Puntos]]=ROUND(Piso,0),ROUND(Categorias_Registro[[#This Row],[Puntos]]*(1+Categorias_Registro[[#This Row],[Amplitud]]),0),IF(Categorias_Registro[[#This Row],[Puntos]]&lt;D30,D30,ROUND(D30*(1+Categorias_Registro[[#This Row],[Amplitud]]),0)))</f>
        <v>2860</v>
      </c>
      <c r="E29" s="15">
        <f>E30+IF(D30=Categorias_Registro[[#This Row],[Máximo]],0,1)</f>
        <v>25</v>
      </c>
      <c r="F29" s="15">
        <f>ROUND(Categorias_Registro[[#This Row],[Mínimo]]+((Categorias_Registro[[#This Row],[Máximo]]-Categorias_Registro[[#This Row],[Mínimo]])/2),0)</f>
        <v>2674</v>
      </c>
      <c r="G29" s="78">
        <f>VLOOKUP(Categorias_Registro[[#This Row],[Puntos]],Categorias_Configuracion[],MATCH(Categorias_Configuracion[[#Headers],[% Amplitud]],Categorias_Configuracion[#Headers],0),TRUE)</f>
        <v>0.15</v>
      </c>
      <c r="H29" s="15" t="str">
        <f ca="1">TEXT(Categorias_Registro[[#This Row],[Mínimo]],Formato_Rango_Categorias)&amp;" - "&amp;TEXT(Categorias_Registro[[#This Row],[Máximo]],Formato_Rango_Categorias)</f>
        <v>2.488 - 2.860</v>
      </c>
    </row>
    <row r="30" spans="2:8">
      <c r="B30" s="15">
        <f>Techo - ROW() + ROW(Categorias_Registro[])</f>
        <v>2599</v>
      </c>
      <c r="C30" s="15">
        <f>IF(Categorias_Registro[[#This Row],[Puntos]]&lt;=ROUND(Piso,0),Piso,IF(Categorias_Registro[[#This Row],[Puntos]]&lt;D31,C31,D31+1))</f>
        <v>2488</v>
      </c>
      <c r="D30" s="15">
        <f>IF(Categorias_Registro[[#This Row],[Puntos]]=ROUND(Piso,0),ROUND(Categorias_Registro[[#This Row],[Puntos]]*(1+Categorias_Registro[[#This Row],[Amplitud]]),0),IF(Categorias_Registro[[#This Row],[Puntos]]&lt;D31,D31,ROUND(D31*(1+Categorias_Registro[[#This Row],[Amplitud]]),0)))</f>
        <v>2860</v>
      </c>
      <c r="E30" s="15">
        <f>E31+IF(D31=Categorias_Registro[[#This Row],[Máximo]],0,1)</f>
        <v>25</v>
      </c>
      <c r="F30" s="15">
        <f>ROUND(Categorias_Registro[[#This Row],[Mínimo]]+((Categorias_Registro[[#This Row],[Máximo]]-Categorias_Registro[[#This Row],[Mínimo]])/2),0)</f>
        <v>2674</v>
      </c>
      <c r="G30" s="78">
        <f>VLOOKUP(Categorias_Registro[[#This Row],[Puntos]],Categorias_Configuracion[],MATCH(Categorias_Configuracion[[#Headers],[% Amplitud]],Categorias_Configuracion[#Headers],0),TRUE)</f>
        <v>0.15</v>
      </c>
      <c r="H30" s="15" t="str">
        <f ca="1">TEXT(Categorias_Registro[[#This Row],[Mínimo]],Formato_Rango_Categorias)&amp;" - "&amp;TEXT(Categorias_Registro[[#This Row],[Máximo]],Formato_Rango_Categorias)</f>
        <v>2.488 - 2.860</v>
      </c>
    </row>
    <row r="31" spans="2:8">
      <c r="B31" s="15">
        <f>Techo - ROW() + ROW(Categorias_Registro[])</f>
        <v>2598</v>
      </c>
      <c r="C31" s="15">
        <f>IF(Categorias_Registro[[#This Row],[Puntos]]&lt;=ROUND(Piso,0),Piso,IF(Categorias_Registro[[#This Row],[Puntos]]&lt;D32,C32,D32+1))</f>
        <v>2488</v>
      </c>
      <c r="D31" s="15">
        <f>IF(Categorias_Registro[[#This Row],[Puntos]]=ROUND(Piso,0),ROUND(Categorias_Registro[[#This Row],[Puntos]]*(1+Categorias_Registro[[#This Row],[Amplitud]]),0),IF(Categorias_Registro[[#This Row],[Puntos]]&lt;D32,D32,ROUND(D32*(1+Categorias_Registro[[#This Row],[Amplitud]]),0)))</f>
        <v>2860</v>
      </c>
      <c r="E31" s="15">
        <f>E32+IF(D32=Categorias_Registro[[#This Row],[Máximo]],0,1)</f>
        <v>25</v>
      </c>
      <c r="F31" s="15">
        <f>ROUND(Categorias_Registro[[#This Row],[Mínimo]]+((Categorias_Registro[[#This Row],[Máximo]]-Categorias_Registro[[#This Row],[Mínimo]])/2),0)</f>
        <v>2674</v>
      </c>
      <c r="G31" s="78">
        <f>VLOOKUP(Categorias_Registro[[#This Row],[Puntos]],Categorias_Configuracion[],MATCH(Categorias_Configuracion[[#Headers],[% Amplitud]],Categorias_Configuracion[#Headers],0),TRUE)</f>
        <v>0.15</v>
      </c>
      <c r="H31" s="15" t="str">
        <f ca="1">TEXT(Categorias_Registro[[#This Row],[Mínimo]],Formato_Rango_Categorias)&amp;" - "&amp;TEXT(Categorias_Registro[[#This Row],[Máximo]],Formato_Rango_Categorias)</f>
        <v>2.488 - 2.860</v>
      </c>
    </row>
    <row r="32" spans="2:8">
      <c r="B32" s="15">
        <f>Techo - ROW() + ROW(Categorias_Registro[])</f>
        <v>2597</v>
      </c>
      <c r="C32" s="15">
        <f>IF(Categorias_Registro[[#This Row],[Puntos]]&lt;=ROUND(Piso,0),Piso,IF(Categorias_Registro[[#This Row],[Puntos]]&lt;D33,C33,D33+1))</f>
        <v>2488</v>
      </c>
      <c r="D32" s="15">
        <f>IF(Categorias_Registro[[#This Row],[Puntos]]=ROUND(Piso,0),ROUND(Categorias_Registro[[#This Row],[Puntos]]*(1+Categorias_Registro[[#This Row],[Amplitud]]),0),IF(Categorias_Registro[[#This Row],[Puntos]]&lt;D33,D33,ROUND(D33*(1+Categorias_Registro[[#This Row],[Amplitud]]),0)))</f>
        <v>2860</v>
      </c>
      <c r="E32" s="15">
        <f>E33+IF(D33=Categorias_Registro[[#This Row],[Máximo]],0,1)</f>
        <v>25</v>
      </c>
      <c r="F32" s="15">
        <f>ROUND(Categorias_Registro[[#This Row],[Mínimo]]+((Categorias_Registro[[#This Row],[Máximo]]-Categorias_Registro[[#This Row],[Mínimo]])/2),0)</f>
        <v>2674</v>
      </c>
      <c r="G32" s="78">
        <f>VLOOKUP(Categorias_Registro[[#This Row],[Puntos]],Categorias_Configuracion[],MATCH(Categorias_Configuracion[[#Headers],[% Amplitud]],Categorias_Configuracion[#Headers],0),TRUE)</f>
        <v>0.15</v>
      </c>
      <c r="H32" s="15" t="str">
        <f ca="1">TEXT(Categorias_Registro[[#This Row],[Mínimo]],Formato_Rango_Categorias)&amp;" - "&amp;TEXT(Categorias_Registro[[#This Row],[Máximo]],Formato_Rango_Categorias)</f>
        <v>2.488 - 2.860</v>
      </c>
    </row>
    <row r="33" spans="2:8">
      <c r="B33" s="15">
        <f>Techo - ROW() + ROW(Categorias_Registro[])</f>
        <v>2596</v>
      </c>
      <c r="C33" s="15">
        <f>IF(Categorias_Registro[[#This Row],[Puntos]]&lt;=ROUND(Piso,0),Piso,IF(Categorias_Registro[[#This Row],[Puntos]]&lt;D34,C34,D34+1))</f>
        <v>2488</v>
      </c>
      <c r="D33" s="15">
        <f>IF(Categorias_Registro[[#This Row],[Puntos]]=ROUND(Piso,0),ROUND(Categorias_Registro[[#This Row],[Puntos]]*(1+Categorias_Registro[[#This Row],[Amplitud]]),0),IF(Categorias_Registro[[#This Row],[Puntos]]&lt;D34,D34,ROUND(D34*(1+Categorias_Registro[[#This Row],[Amplitud]]),0)))</f>
        <v>2860</v>
      </c>
      <c r="E33" s="15">
        <f>E34+IF(D34=Categorias_Registro[[#This Row],[Máximo]],0,1)</f>
        <v>25</v>
      </c>
      <c r="F33" s="15">
        <f>ROUND(Categorias_Registro[[#This Row],[Mínimo]]+((Categorias_Registro[[#This Row],[Máximo]]-Categorias_Registro[[#This Row],[Mínimo]])/2),0)</f>
        <v>2674</v>
      </c>
      <c r="G33" s="78">
        <f>VLOOKUP(Categorias_Registro[[#This Row],[Puntos]],Categorias_Configuracion[],MATCH(Categorias_Configuracion[[#Headers],[% Amplitud]],Categorias_Configuracion[#Headers],0),TRUE)</f>
        <v>0.15</v>
      </c>
      <c r="H33" s="15" t="str">
        <f ca="1">TEXT(Categorias_Registro[[#This Row],[Mínimo]],Formato_Rango_Categorias)&amp;" - "&amp;TEXT(Categorias_Registro[[#This Row],[Máximo]],Formato_Rango_Categorias)</f>
        <v>2.488 - 2.860</v>
      </c>
    </row>
    <row r="34" spans="2:8">
      <c r="B34" s="15">
        <f>Techo - ROW() + ROW(Categorias_Registro[])</f>
        <v>2595</v>
      </c>
      <c r="C34" s="15">
        <f>IF(Categorias_Registro[[#This Row],[Puntos]]&lt;=ROUND(Piso,0),Piso,IF(Categorias_Registro[[#This Row],[Puntos]]&lt;D35,C35,D35+1))</f>
        <v>2488</v>
      </c>
      <c r="D34" s="15">
        <f>IF(Categorias_Registro[[#This Row],[Puntos]]=ROUND(Piso,0),ROUND(Categorias_Registro[[#This Row],[Puntos]]*(1+Categorias_Registro[[#This Row],[Amplitud]]),0),IF(Categorias_Registro[[#This Row],[Puntos]]&lt;D35,D35,ROUND(D35*(1+Categorias_Registro[[#This Row],[Amplitud]]),0)))</f>
        <v>2860</v>
      </c>
      <c r="E34" s="15">
        <f>E35+IF(D35=Categorias_Registro[[#This Row],[Máximo]],0,1)</f>
        <v>25</v>
      </c>
      <c r="F34" s="15">
        <f>ROUND(Categorias_Registro[[#This Row],[Mínimo]]+((Categorias_Registro[[#This Row],[Máximo]]-Categorias_Registro[[#This Row],[Mínimo]])/2),0)</f>
        <v>2674</v>
      </c>
      <c r="G34" s="78">
        <f>VLOOKUP(Categorias_Registro[[#This Row],[Puntos]],Categorias_Configuracion[],MATCH(Categorias_Configuracion[[#Headers],[% Amplitud]],Categorias_Configuracion[#Headers],0),TRUE)</f>
        <v>0.15</v>
      </c>
      <c r="H34" s="15" t="str">
        <f ca="1">TEXT(Categorias_Registro[[#This Row],[Mínimo]],Formato_Rango_Categorias)&amp;" - "&amp;TEXT(Categorias_Registro[[#This Row],[Máximo]],Formato_Rango_Categorias)</f>
        <v>2.488 - 2.860</v>
      </c>
    </row>
    <row r="35" spans="2:8">
      <c r="B35" s="15">
        <f>Techo - ROW() + ROW(Categorias_Registro[])</f>
        <v>2594</v>
      </c>
      <c r="C35" s="15">
        <f>IF(Categorias_Registro[[#This Row],[Puntos]]&lt;=ROUND(Piso,0),Piso,IF(Categorias_Registro[[#This Row],[Puntos]]&lt;D36,C36,D36+1))</f>
        <v>2488</v>
      </c>
      <c r="D35" s="15">
        <f>IF(Categorias_Registro[[#This Row],[Puntos]]=ROUND(Piso,0),ROUND(Categorias_Registro[[#This Row],[Puntos]]*(1+Categorias_Registro[[#This Row],[Amplitud]]),0),IF(Categorias_Registro[[#This Row],[Puntos]]&lt;D36,D36,ROUND(D36*(1+Categorias_Registro[[#This Row],[Amplitud]]),0)))</f>
        <v>2860</v>
      </c>
      <c r="E35" s="15">
        <f>E36+IF(D36=Categorias_Registro[[#This Row],[Máximo]],0,1)</f>
        <v>25</v>
      </c>
      <c r="F35" s="15">
        <f>ROUND(Categorias_Registro[[#This Row],[Mínimo]]+((Categorias_Registro[[#This Row],[Máximo]]-Categorias_Registro[[#This Row],[Mínimo]])/2),0)</f>
        <v>2674</v>
      </c>
      <c r="G35" s="78">
        <f>VLOOKUP(Categorias_Registro[[#This Row],[Puntos]],Categorias_Configuracion[],MATCH(Categorias_Configuracion[[#Headers],[% Amplitud]],Categorias_Configuracion[#Headers],0),TRUE)</f>
        <v>0.15</v>
      </c>
      <c r="H35" s="15" t="str">
        <f ca="1">TEXT(Categorias_Registro[[#This Row],[Mínimo]],Formato_Rango_Categorias)&amp;" - "&amp;TEXT(Categorias_Registro[[#This Row],[Máximo]],Formato_Rango_Categorias)</f>
        <v>2.488 - 2.860</v>
      </c>
    </row>
    <row r="36" spans="2:8">
      <c r="B36" s="15">
        <f>Techo - ROW() + ROW(Categorias_Registro[])</f>
        <v>2593</v>
      </c>
      <c r="C36" s="15">
        <f>IF(Categorias_Registro[[#This Row],[Puntos]]&lt;=ROUND(Piso,0),Piso,IF(Categorias_Registro[[#This Row],[Puntos]]&lt;D37,C37,D37+1))</f>
        <v>2488</v>
      </c>
      <c r="D36" s="15">
        <f>IF(Categorias_Registro[[#This Row],[Puntos]]=ROUND(Piso,0),ROUND(Categorias_Registro[[#This Row],[Puntos]]*(1+Categorias_Registro[[#This Row],[Amplitud]]),0),IF(Categorias_Registro[[#This Row],[Puntos]]&lt;D37,D37,ROUND(D37*(1+Categorias_Registro[[#This Row],[Amplitud]]),0)))</f>
        <v>2860</v>
      </c>
      <c r="E36" s="15">
        <f>E37+IF(D37=Categorias_Registro[[#This Row],[Máximo]],0,1)</f>
        <v>25</v>
      </c>
      <c r="F36" s="15">
        <f>ROUND(Categorias_Registro[[#This Row],[Mínimo]]+((Categorias_Registro[[#This Row],[Máximo]]-Categorias_Registro[[#This Row],[Mínimo]])/2),0)</f>
        <v>2674</v>
      </c>
      <c r="G36" s="78">
        <f>VLOOKUP(Categorias_Registro[[#This Row],[Puntos]],Categorias_Configuracion[],MATCH(Categorias_Configuracion[[#Headers],[% Amplitud]],Categorias_Configuracion[#Headers],0),TRUE)</f>
        <v>0.15</v>
      </c>
      <c r="H36" s="15" t="str">
        <f ca="1">TEXT(Categorias_Registro[[#This Row],[Mínimo]],Formato_Rango_Categorias)&amp;" - "&amp;TEXT(Categorias_Registro[[#This Row],[Máximo]],Formato_Rango_Categorias)</f>
        <v>2.488 - 2.860</v>
      </c>
    </row>
    <row r="37" spans="2:8">
      <c r="B37" s="15">
        <f>Techo - ROW() + ROW(Categorias_Registro[])</f>
        <v>2592</v>
      </c>
      <c r="C37" s="15">
        <f>IF(Categorias_Registro[[#This Row],[Puntos]]&lt;=ROUND(Piso,0),Piso,IF(Categorias_Registro[[#This Row],[Puntos]]&lt;D38,C38,D38+1))</f>
        <v>2488</v>
      </c>
      <c r="D37" s="15">
        <f>IF(Categorias_Registro[[#This Row],[Puntos]]=ROUND(Piso,0),ROUND(Categorias_Registro[[#This Row],[Puntos]]*(1+Categorias_Registro[[#This Row],[Amplitud]]),0),IF(Categorias_Registro[[#This Row],[Puntos]]&lt;D38,D38,ROUND(D38*(1+Categorias_Registro[[#This Row],[Amplitud]]),0)))</f>
        <v>2860</v>
      </c>
      <c r="E37" s="15">
        <f>E38+IF(D38=Categorias_Registro[[#This Row],[Máximo]],0,1)</f>
        <v>25</v>
      </c>
      <c r="F37" s="15">
        <f>ROUND(Categorias_Registro[[#This Row],[Mínimo]]+((Categorias_Registro[[#This Row],[Máximo]]-Categorias_Registro[[#This Row],[Mínimo]])/2),0)</f>
        <v>2674</v>
      </c>
      <c r="G37" s="78">
        <f>VLOOKUP(Categorias_Registro[[#This Row],[Puntos]],Categorias_Configuracion[],MATCH(Categorias_Configuracion[[#Headers],[% Amplitud]],Categorias_Configuracion[#Headers],0),TRUE)</f>
        <v>0.15</v>
      </c>
      <c r="H37" s="15" t="str">
        <f ca="1">TEXT(Categorias_Registro[[#This Row],[Mínimo]],Formato_Rango_Categorias)&amp;" - "&amp;TEXT(Categorias_Registro[[#This Row],[Máximo]],Formato_Rango_Categorias)</f>
        <v>2.488 - 2.860</v>
      </c>
    </row>
    <row r="38" spans="2:8">
      <c r="B38" s="15">
        <f>Techo - ROW() + ROW(Categorias_Registro[])</f>
        <v>2591</v>
      </c>
      <c r="C38" s="15">
        <f>IF(Categorias_Registro[[#This Row],[Puntos]]&lt;=ROUND(Piso,0),Piso,IF(Categorias_Registro[[#This Row],[Puntos]]&lt;D39,C39,D39+1))</f>
        <v>2488</v>
      </c>
      <c r="D38" s="15">
        <f>IF(Categorias_Registro[[#This Row],[Puntos]]=ROUND(Piso,0),ROUND(Categorias_Registro[[#This Row],[Puntos]]*(1+Categorias_Registro[[#This Row],[Amplitud]]),0),IF(Categorias_Registro[[#This Row],[Puntos]]&lt;D39,D39,ROUND(D39*(1+Categorias_Registro[[#This Row],[Amplitud]]),0)))</f>
        <v>2860</v>
      </c>
      <c r="E38" s="15">
        <f>E39+IF(D39=Categorias_Registro[[#This Row],[Máximo]],0,1)</f>
        <v>25</v>
      </c>
      <c r="F38" s="15">
        <f>ROUND(Categorias_Registro[[#This Row],[Mínimo]]+((Categorias_Registro[[#This Row],[Máximo]]-Categorias_Registro[[#This Row],[Mínimo]])/2),0)</f>
        <v>2674</v>
      </c>
      <c r="G38" s="78">
        <f>VLOOKUP(Categorias_Registro[[#This Row],[Puntos]],Categorias_Configuracion[],MATCH(Categorias_Configuracion[[#Headers],[% Amplitud]],Categorias_Configuracion[#Headers],0),TRUE)</f>
        <v>0.15</v>
      </c>
      <c r="H38" s="15" t="str">
        <f ca="1">TEXT(Categorias_Registro[[#This Row],[Mínimo]],Formato_Rango_Categorias)&amp;" - "&amp;TEXT(Categorias_Registro[[#This Row],[Máximo]],Formato_Rango_Categorias)</f>
        <v>2.488 - 2.860</v>
      </c>
    </row>
    <row r="39" spans="2:8">
      <c r="B39" s="15">
        <f>Techo - ROW() + ROW(Categorias_Registro[])</f>
        <v>2590</v>
      </c>
      <c r="C39" s="15">
        <f>IF(Categorias_Registro[[#This Row],[Puntos]]&lt;=ROUND(Piso,0),Piso,IF(Categorias_Registro[[#This Row],[Puntos]]&lt;D40,C40,D40+1))</f>
        <v>2488</v>
      </c>
      <c r="D39" s="15">
        <f>IF(Categorias_Registro[[#This Row],[Puntos]]=ROUND(Piso,0),ROUND(Categorias_Registro[[#This Row],[Puntos]]*(1+Categorias_Registro[[#This Row],[Amplitud]]),0),IF(Categorias_Registro[[#This Row],[Puntos]]&lt;D40,D40,ROUND(D40*(1+Categorias_Registro[[#This Row],[Amplitud]]),0)))</f>
        <v>2860</v>
      </c>
      <c r="E39" s="15">
        <f>E40+IF(D40=Categorias_Registro[[#This Row],[Máximo]],0,1)</f>
        <v>25</v>
      </c>
      <c r="F39" s="15">
        <f>ROUND(Categorias_Registro[[#This Row],[Mínimo]]+((Categorias_Registro[[#This Row],[Máximo]]-Categorias_Registro[[#This Row],[Mínimo]])/2),0)</f>
        <v>2674</v>
      </c>
      <c r="G39" s="78">
        <f>VLOOKUP(Categorias_Registro[[#This Row],[Puntos]],Categorias_Configuracion[],MATCH(Categorias_Configuracion[[#Headers],[% Amplitud]],Categorias_Configuracion[#Headers],0),TRUE)</f>
        <v>0.15</v>
      </c>
      <c r="H39" s="15" t="str">
        <f ca="1">TEXT(Categorias_Registro[[#This Row],[Mínimo]],Formato_Rango_Categorias)&amp;" - "&amp;TEXT(Categorias_Registro[[#This Row],[Máximo]],Formato_Rango_Categorias)</f>
        <v>2.488 - 2.860</v>
      </c>
    </row>
    <row r="40" spans="2:8">
      <c r="B40" s="15">
        <f>Techo - ROW() + ROW(Categorias_Registro[])</f>
        <v>2589</v>
      </c>
      <c r="C40" s="15">
        <f>IF(Categorias_Registro[[#This Row],[Puntos]]&lt;=ROUND(Piso,0),Piso,IF(Categorias_Registro[[#This Row],[Puntos]]&lt;D41,C41,D41+1))</f>
        <v>2488</v>
      </c>
      <c r="D40" s="15">
        <f>IF(Categorias_Registro[[#This Row],[Puntos]]=ROUND(Piso,0),ROUND(Categorias_Registro[[#This Row],[Puntos]]*(1+Categorias_Registro[[#This Row],[Amplitud]]),0),IF(Categorias_Registro[[#This Row],[Puntos]]&lt;D41,D41,ROUND(D41*(1+Categorias_Registro[[#This Row],[Amplitud]]),0)))</f>
        <v>2860</v>
      </c>
      <c r="E40" s="15">
        <f>E41+IF(D41=Categorias_Registro[[#This Row],[Máximo]],0,1)</f>
        <v>25</v>
      </c>
      <c r="F40" s="15">
        <f>ROUND(Categorias_Registro[[#This Row],[Mínimo]]+((Categorias_Registro[[#This Row],[Máximo]]-Categorias_Registro[[#This Row],[Mínimo]])/2),0)</f>
        <v>2674</v>
      </c>
      <c r="G40" s="78">
        <f>VLOOKUP(Categorias_Registro[[#This Row],[Puntos]],Categorias_Configuracion[],MATCH(Categorias_Configuracion[[#Headers],[% Amplitud]],Categorias_Configuracion[#Headers],0),TRUE)</f>
        <v>0.15</v>
      </c>
      <c r="H40" s="15" t="str">
        <f ca="1">TEXT(Categorias_Registro[[#This Row],[Mínimo]],Formato_Rango_Categorias)&amp;" - "&amp;TEXT(Categorias_Registro[[#This Row],[Máximo]],Formato_Rango_Categorias)</f>
        <v>2.488 - 2.860</v>
      </c>
    </row>
    <row r="41" spans="2:8">
      <c r="B41" s="15">
        <f>Techo - ROW() + ROW(Categorias_Registro[])</f>
        <v>2588</v>
      </c>
      <c r="C41" s="15">
        <f>IF(Categorias_Registro[[#This Row],[Puntos]]&lt;=ROUND(Piso,0),Piso,IF(Categorias_Registro[[#This Row],[Puntos]]&lt;D42,C42,D42+1))</f>
        <v>2488</v>
      </c>
      <c r="D41" s="15">
        <f>IF(Categorias_Registro[[#This Row],[Puntos]]=ROUND(Piso,0),ROUND(Categorias_Registro[[#This Row],[Puntos]]*(1+Categorias_Registro[[#This Row],[Amplitud]]),0),IF(Categorias_Registro[[#This Row],[Puntos]]&lt;D42,D42,ROUND(D42*(1+Categorias_Registro[[#This Row],[Amplitud]]),0)))</f>
        <v>2860</v>
      </c>
      <c r="E41" s="15">
        <f>E42+IF(D42=Categorias_Registro[[#This Row],[Máximo]],0,1)</f>
        <v>25</v>
      </c>
      <c r="F41" s="15">
        <f>ROUND(Categorias_Registro[[#This Row],[Mínimo]]+((Categorias_Registro[[#This Row],[Máximo]]-Categorias_Registro[[#This Row],[Mínimo]])/2),0)</f>
        <v>2674</v>
      </c>
      <c r="G41" s="78">
        <f>VLOOKUP(Categorias_Registro[[#This Row],[Puntos]],Categorias_Configuracion[],MATCH(Categorias_Configuracion[[#Headers],[% Amplitud]],Categorias_Configuracion[#Headers],0),TRUE)</f>
        <v>0.15</v>
      </c>
      <c r="H41" s="15" t="str">
        <f ca="1">TEXT(Categorias_Registro[[#This Row],[Mínimo]],Formato_Rango_Categorias)&amp;" - "&amp;TEXT(Categorias_Registro[[#This Row],[Máximo]],Formato_Rango_Categorias)</f>
        <v>2.488 - 2.860</v>
      </c>
    </row>
    <row r="42" spans="2:8">
      <c r="B42" s="15">
        <f>Techo - ROW() + ROW(Categorias_Registro[])</f>
        <v>2587</v>
      </c>
      <c r="C42" s="15">
        <f>IF(Categorias_Registro[[#This Row],[Puntos]]&lt;=ROUND(Piso,0),Piso,IF(Categorias_Registro[[#This Row],[Puntos]]&lt;D43,C43,D43+1))</f>
        <v>2488</v>
      </c>
      <c r="D42" s="15">
        <f>IF(Categorias_Registro[[#This Row],[Puntos]]=ROUND(Piso,0),ROUND(Categorias_Registro[[#This Row],[Puntos]]*(1+Categorias_Registro[[#This Row],[Amplitud]]),0),IF(Categorias_Registro[[#This Row],[Puntos]]&lt;D43,D43,ROUND(D43*(1+Categorias_Registro[[#This Row],[Amplitud]]),0)))</f>
        <v>2860</v>
      </c>
      <c r="E42" s="15">
        <f>E43+IF(D43=Categorias_Registro[[#This Row],[Máximo]],0,1)</f>
        <v>25</v>
      </c>
      <c r="F42" s="15">
        <f>ROUND(Categorias_Registro[[#This Row],[Mínimo]]+((Categorias_Registro[[#This Row],[Máximo]]-Categorias_Registro[[#This Row],[Mínimo]])/2),0)</f>
        <v>2674</v>
      </c>
      <c r="G42" s="78">
        <f>VLOOKUP(Categorias_Registro[[#This Row],[Puntos]],Categorias_Configuracion[],MATCH(Categorias_Configuracion[[#Headers],[% Amplitud]],Categorias_Configuracion[#Headers],0),TRUE)</f>
        <v>0.15</v>
      </c>
      <c r="H42" s="15" t="str">
        <f ca="1">TEXT(Categorias_Registro[[#This Row],[Mínimo]],Formato_Rango_Categorias)&amp;" - "&amp;TEXT(Categorias_Registro[[#This Row],[Máximo]],Formato_Rango_Categorias)</f>
        <v>2.488 - 2.860</v>
      </c>
    </row>
    <row r="43" spans="2:8">
      <c r="B43" s="15">
        <f>Techo - ROW() + ROW(Categorias_Registro[])</f>
        <v>2586</v>
      </c>
      <c r="C43" s="15">
        <f>IF(Categorias_Registro[[#This Row],[Puntos]]&lt;=ROUND(Piso,0),Piso,IF(Categorias_Registro[[#This Row],[Puntos]]&lt;D44,C44,D44+1))</f>
        <v>2488</v>
      </c>
      <c r="D43" s="15">
        <f>IF(Categorias_Registro[[#This Row],[Puntos]]=ROUND(Piso,0),ROUND(Categorias_Registro[[#This Row],[Puntos]]*(1+Categorias_Registro[[#This Row],[Amplitud]]),0),IF(Categorias_Registro[[#This Row],[Puntos]]&lt;D44,D44,ROUND(D44*(1+Categorias_Registro[[#This Row],[Amplitud]]),0)))</f>
        <v>2860</v>
      </c>
      <c r="E43" s="15">
        <f>E44+IF(D44=Categorias_Registro[[#This Row],[Máximo]],0,1)</f>
        <v>25</v>
      </c>
      <c r="F43" s="15">
        <f>ROUND(Categorias_Registro[[#This Row],[Mínimo]]+((Categorias_Registro[[#This Row],[Máximo]]-Categorias_Registro[[#This Row],[Mínimo]])/2),0)</f>
        <v>2674</v>
      </c>
      <c r="G43" s="78">
        <f>VLOOKUP(Categorias_Registro[[#This Row],[Puntos]],Categorias_Configuracion[],MATCH(Categorias_Configuracion[[#Headers],[% Amplitud]],Categorias_Configuracion[#Headers],0),TRUE)</f>
        <v>0.15</v>
      </c>
      <c r="H43" s="15" t="str">
        <f ca="1">TEXT(Categorias_Registro[[#This Row],[Mínimo]],Formato_Rango_Categorias)&amp;" - "&amp;TEXT(Categorias_Registro[[#This Row],[Máximo]],Formato_Rango_Categorias)</f>
        <v>2.488 - 2.860</v>
      </c>
    </row>
    <row r="44" spans="2:8">
      <c r="B44" s="15">
        <f>Techo - ROW() + ROW(Categorias_Registro[])</f>
        <v>2585</v>
      </c>
      <c r="C44" s="15">
        <f>IF(Categorias_Registro[[#This Row],[Puntos]]&lt;=ROUND(Piso,0),Piso,IF(Categorias_Registro[[#This Row],[Puntos]]&lt;D45,C45,D45+1))</f>
        <v>2488</v>
      </c>
      <c r="D44" s="15">
        <f>IF(Categorias_Registro[[#This Row],[Puntos]]=ROUND(Piso,0),ROUND(Categorias_Registro[[#This Row],[Puntos]]*(1+Categorias_Registro[[#This Row],[Amplitud]]),0),IF(Categorias_Registro[[#This Row],[Puntos]]&lt;D45,D45,ROUND(D45*(1+Categorias_Registro[[#This Row],[Amplitud]]),0)))</f>
        <v>2860</v>
      </c>
      <c r="E44" s="15">
        <f>E45+IF(D45=Categorias_Registro[[#This Row],[Máximo]],0,1)</f>
        <v>25</v>
      </c>
      <c r="F44" s="15">
        <f>ROUND(Categorias_Registro[[#This Row],[Mínimo]]+((Categorias_Registro[[#This Row],[Máximo]]-Categorias_Registro[[#This Row],[Mínimo]])/2),0)</f>
        <v>2674</v>
      </c>
      <c r="G44" s="78">
        <f>VLOOKUP(Categorias_Registro[[#This Row],[Puntos]],Categorias_Configuracion[],MATCH(Categorias_Configuracion[[#Headers],[% Amplitud]],Categorias_Configuracion[#Headers],0),TRUE)</f>
        <v>0.15</v>
      </c>
      <c r="H44" s="15" t="str">
        <f ca="1">TEXT(Categorias_Registro[[#This Row],[Mínimo]],Formato_Rango_Categorias)&amp;" - "&amp;TEXT(Categorias_Registro[[#This Row],[Máximo]],Formato_Rango_Categorias)</f>
        <v>2.488 - 2.860</v>
      </c>
    </row>
    <row r="45" spans="2:8">
      <c r="B45" s="15">
        <f>Techo - ROW() + ROW(Categorias_Registro[])</f>
        <v>2584</v>
      </c>
      <c r="C45" s="15">
        <f>IF(Categorias_Registro[[#This Row],[Puntos]]&lt;=ROUND(Piso,0),Piso,IF(Categorias_Registro[[#This Row],[Puntos]]&lt;D46,C46,D46+1))</f>
        <v>2488</v>
      </c>
      <c r="D45" s="15">
        <f>IF(Categorias_Registro[[#This Row],[Puntos]]=ROUND(Piso,0),ROUND(Categorias_Registro[[#This Row],[Puntos]]*(1+Categorias_Registro[[#This Row],[Amplitud]]),0),IF(Categorias_Registro[[#This Row],[Puntos]]&lt;D46,D46,ROUND(D46*(1+Categorias_Registro[[#This Row],[Amplitud]]),0)))</f>
        <v>2860</v>
      </c>
      <c r="E45" s="15">
        <f>E46+IF(D46=Categorias_Registro[[#This Row],[Máximo]],0,1)</f>
        <v>25</v>
      </c>
      <c r="F45" s="15">
        <f>ROUND(Categorias_Registro[[#This Row],[Mínimo]]+((Categorias_Registro[[#This Row],[Máximo]]-Categorias_Registro[[#This Row],[Mínimo]])/2),0)</f>
        <v>2674</v>
      </c>
      <c r="G45" s="78">
        <f>VLOOKUP(Categorias_Registro[[#This Row],[Puntos]],Categorias_Configuracion[],MATCH(Categorias_Configuracion[[#Headers],[% Amplitud]],Categorias_Configuracion[#Headers],0),TRUE)</f>
        <v>0.15</v>
      </c>
      <c r="H45" s="15" t="str">
        <f ca="1">TEXT(Categorias_Registro[[#This Row],[Mínimo]],Formato_Rango_Categorias)&amp;" - "&amp;TEXT(Categorias_Registro[[#This Row],[Máximo]],Formato_Rango_Categorias)</f>
        <v>2.488 - 2.860</v>
      </c>
    </row>
    <row r="46" spans="2:8">
      <c r="B46" s="15">
        <f>Techo - ROW() + ROW(Categorias_Registro[])</f>
        <v>2583</v>
      </c>
      <c r="C46" s="15">
        <f>IF(Categorias_Registro[[#This Row],[Puntos]]&lt;=ROUND(Piso,0),Piso,IF(Categorias_Registro[[#This Row],[Puntos]]&lt;D47,C47,D47+1))</f>
        <v>2488</v>
      </c>
      <c r="D46" s="15">
        <f>IF(Categorias_Registro[[#This Row],[Puntos]]=ROUND(Piso,0),ROUND(Categorias_Registro[[#This Row],[Puntos]]*(1+Categorias_Registro[[#This Row],[Amplitud]]),0),IF(Categorias_Registro[[#This Row],[Puntos]]&lt;D47,D47,ROUND(D47*(1+Categorias_Registro[[#This Row],[Amplitud]]),0)))</f>
        <v>2860</v>
      </c>
      <c r="E46" s="15">
        <f>E47+IF(D47=Categorias_Registro[[#This Row],[Máximo]],0,1)</f>
        <v>25</v>
      </c>
      <c r="F46" s="15">
        <f>ROUND(Categorias_Registro[[#This Row],[Mínimo]]+((Categorias_Registro[[#This Row],[Máximo]]-Categorias_Registro[[#This Row],[Mínimo]])/2),0)</f>
        <v>2674</v>
      </c>
      <c r="G46" s="78">
        <f>VLOOKUP(Categorias_Registro[[#This Row],[Puntos]],Categorias_Configuracion[],MATCH(Categorias_Configuracion[[#Headers],[% Amplitud]],Categorias_Configuracion[#Headers],0),TRUE)</f>
        <v>0.15</v>
      </c>
      <c r="H46" s="15" t="str">
        <f ca="1">TEXT(Categorias_Registro[[#This Row],[Mínimo]],Formato_Rango_Categorias)&amp;" - "&amp;TEXT(Categorias_Registro[[#This Row],[Máximo]],Formato_Rango_Categorias)</f>
        <v>2.488 - 2.860</v>
      </c>
    </row>
    <row r="47" spans="2:8">
      <c r="B47" s="15">
        <f>Techo - ROW() + ROW(Categorias_Registro[])</f>
        <v>2582</v>
      </c>
      <c r="C47" s="15">
        <f>IF(Categorias_Registro[[#This Row],[Puntos]]&lt;=ROUND(Piso,0),Piso,IF(Categorias_Registro[[#This Row],[Puntos]]&lt;D48,C48,D48+1))</f>
        <v>2488</v>
      </c>
      <c r="D47" s="15">
        <f>IF(Categorias_Registro[[#This Row],[Puntos]]=ROUND(Piso,0),ROUND(Categorias_Registro[[#This Row],[Puntos]]*(1+Categorias_Registro[[#This Row],[Amplitud]]),0),IF(Categorias_Registro[[#This Row],[Puntos]]&lt;D48,D48,ROUND(D48*(1+Categorias_Registro[[#This Row],[Amplitud]]),0)))</f>
        <v>2860</v>
      </c>
      <c r="E47" s="15">
        <f>E48+IF(D48=Categorias_Registro[[#This Row],[Máximo]],0,1)</f>
        <v>25</v>
      </c>
      <c r="F47" s="15">
        <f>ROUND(Categorias_Registro[[#This Row],[Mínimo]]+((Categorias_Registro[[#This Row],[Máximo]]-Categorias_Registro[[#This Row],[Mínimo]])/2),0)</f>
        <v>2674</v>
      </c>
      <c r="G47" s="78">
        <f>VLOOKUP(Categorias_Registro[[#This Row],[Puntos]],Categorias_Configuracion[],MATCH(Categorias_Configuracion[[#Headers],[% Amplitud]],Categorias_Configuracion[#Headers],0),TRUE)</f>
        <v>0.15</v>
      </c>
      <c r="H47" s="15" t="str">
        <f ca="1">TEXT(Categorias_Registro[[#This Row],[Mínimo]],Formato_Rango_Categorias)&amp;" - "&amp;TEXT(Categorias_Registro[[#This Row],[Máximo]],Formato_Rango_Categorias)</f>
        <v>2.488 - 2.860</v>
      </c>
    </row>
    <row r="48" spans="2:8">
      <c r="B48" s="15">
        <f>Techo - ROW() + ROW(Categorias_Registro[])</f>
        <v>2581</v>
      </c>
      <c r="C48" s="15">
        <f>IF(Categorias_Registro[[#This Row],[Puntos]]&lt;=ROUND(Piso,0),Piso,IF(Categorias_Registro[[#This Row],[Puntos]]&lt;D49,C49,D49+1))</f>
        <v>2488</v>
      </c>
      <c r="D48" s="15">
        <f>IF(Categorias_Registro[[#This Row],[Puntos]]=ROUND(Piso,0),ROUND(Categorias_Registro[[#This Row],[Puntos]]*(1+Categorias_Registro[[#This Row],[Amplitud]]),0),IF(Categorias_Registro[[#This Row],[Puntos]]&lt;D49,D49,ROUND(D49*(1+Categorias_Registro[[#This Row],[Amplitud]]),0)))</f>
        <v>2860</v>
      </c>
      <c r="E48" s="15">
        <f>E49+IF(D49=Categorias_Registro[[#This Row],[Máximo]],0,1)</f>
        <v>25</v>
      </c>
      <c r="F48" s="15">
        <f>ROUND(Categorias_Registro[[#This Row],[Mínimo]]+((Categorias_Registro[[#This Row],[Máximo]]-Categorias_Registro[[#This Row],[Mínimo]])/2),0)</f>
        <v>2674</v>
      </c>
      <c r="G48" s="78">
        <f>VLOOKUP(Categorias_Registro[[#This Row],[Puntos]],Categorias_Configuracion[],MATCH(Categorias_Configuracion[[#Headers],[% Amplitud]],Categorias_Configuracion[#Headers],0),TRUE)</f>
        <v>0.15</v>
      </c>
      <c r="H48" s="15" t="str">
        <f ca="1">TEXT(Categorias_Registro[[#This Row],[Mínimo]],Formato_Rango_Categorias)&amp;" - "&amp;TEXT(Categorias_Registro[[#This Row],[Máximo]],Formato_Rango_Categorias)</f>
        <v>2.488 - 2.860</v>
      </c>
    </row>
    <row r="49" spans="2:8">
      <c r="B49" s="15">
        <f>Techo - ROW() + ROW(Categorias_Registro[])</f>
        <v>2580</v>
      </c>
      <c r="C49" s="15">
        <f>IF(Categorias_Registro[[#This Row],[Puntos]]&lt;=ROUND(Piso,0),Piso,IF(Categorias_Registro[[#This Row],[Puntos]]&lt;D50,C50,D50+1))</f>
        <v>2488</v>
      </c>
      <c r="D49" s="15">
        <f>IF(Categorias_Registro[[#This Row],[Puntos]]=ROUND(Piso,0),ROUND(Categorias_Registro[[#This Row],[Puntos]]*(1+Categorias_Registro[[#This Row],[Amplitud]]),0),IF(Categorias_Registro[[#This Row],[Puntos]]&lt;D50,D50,ROUND(D50*(1+Categorias_Registro[[#This Row],[Amplitud]]),0)))</f>
        <v>2860</v>
      </c>
      <c r="E49" s="15">
        <f>E50+IF(D50=Categorias_Registro[[#This Row],[Máximo]],0,1)</f>
        <v>25</v>
      </c>
      <c r="F49" s="15">
        <f>ROUND(Categorias_Registro[[#This Row],[Mínimo]]+((Categorias_Registro[[#This Row],[Máximo]]-Categorias_Registro[[#This Row],[Mínimo]])/2),0)</f>
        <v>2674</v>
      </c>
      <c r="G49" s="78">
        <f>VLOOKUP(Categorias_Registro[[#This Row],[Puntos]],Categorias_Configuracion[],MATCH(Categorias_Configuracion[[#Headers],[% Amplitud]],Categorias_Configuracion[#Headers],0),TRUE)</f>
        <v>0.15</v>
      </c>
      <c r="H49" s="15" t="str">
        <f ca="1">TEXT(Categorias_Registro[[#This Row],[Mínimo]],Formato_Rango_Categorias)&amp;" - "&amp;TEXT(Categorias_Registro[[#This Row],[Máximo]],Formato_Rango_Categorias)</f>
        <v>2.488 - 2.860</v>
      </c>
    </row>
    <row r="50" spans="2:8">
      <c r="B50" s="15">
        <f>Techo - ROW() + ROW(Categorias_Registro[])</f>
        <v>2579</v>
      </c>
      <c r="C50" s="15">
        <f>IF(Categorias_Registro[[#This Row],[Puntos]]&lt;=ROUND(Piso,0),Piso,IF(Categorias_Registro[[#This Row],[Puntos]]&lt;D51,C51,D51+1))</f>
        <v>2488</v>
      </c>
      <c r="D50" s="15">
        <f>IF(Categorias_Registro[[#This Row],[Puntos]]=ROUND(Piso,0),ROUND(Categorias_Registro[[#This Row],[Puntos]]*(1+Categorias_Registro[[#This Row],[Amplitud]]),0),IF(Categorias_Registro[[#This Row],[Puntos]]&lt;D51,D51,ROUND(D51*(1+Categorias_Registro[[#This Row],[Amplitud]]),0)))</f>
        <v>2860</v>
      </c>
      <c r="E50" s="15">
        <f>E51+IF(D51=Categorias_Registro[[#This Row],[Máximo]],0,1)</f>
        <v>25</v>
      </c>
      <c r="F50" s="15">
        <f>ROUND(Categorias_Registro[[#This Row],[Mínimo]]+((Categorias_Registro[[#This Row],[Máximo]]-Categorias_Registro[[#This Row],[Mínimo]])/2),0)</f>
        <v>2674</v>
      </c>
      <c r="G50" s="78">
        <f>VLOOKUP(Categorias_Registro[[#This Row],[Puntos]],Categorias_Configuracion[],MATCH(Categorias_Configuracion[[#Headers],[% Amplitud]],Categorias_Configuracion[#Headers],0),TRUE)</f>
        <v>0.15</v>
      </c>
      <c r="H50" s="15" t="str">
        <f ca="1">TEXT(Categorias_Registro[[#This Row],[Mínimo]],Formato_Rango_Categorias)&amp;" - "&amp;TEXT(Categorias_Registro[[#This Row],[Máximo]],Formato_Rango_Categorias)</f>
        <v>2.488 - 2.860</v>
      </c>
    </row>
    <row r="51" spans="2:8">
      <c r="B51" s="15">
        <f>Techo - ROW() + ROW(Categorias_Registro[])</f>
        <v>2578</v>
      </c>
      <c r="C51" s="15">
        <f>IF(Categorias_Registro[[#This Row],[Puntos]]&lt;=ROUND(Piso,0),Piso,IF(Categorias_Registro[[#This Row],[Puntos]]&lt;D52,C52,D52+1))</f>
        <v>2488</v>
      </c>
      <c r="D51" s="15">
        <f>IF(Categorias_Registro[[#This Row],[Puntos]]=ROUND(Piso,0),ROUND(Categorias_Registro[[#This Row],[Puntos]]*(1+Categorias_Registro[[#This Row],[Amplitud]]),0),IF(Categorias_Registro[[#This Row],[Puntos]]&lt;D52,D52,ROUND(D52*(1+Categorias_Registro[[#This Row],[Amplitud]]),0)))</f>
        <v>2860</v>
      </c>
      <c r="E51" s="15">
        <f>E52+IF(D52=Categorias_Registro[[#This Row],[Máximo]],0,1)</f>
        <v>25</v>
      </c>
      <c r="F51" s="15">
        <f>ROUND(Categorias_Registro[[#This Row],[Mínimo]]+((Categorias_Registro[[#This Row],[Máximo]]-Categorias_Registro[[#This Row],[Mínimo]])/2),0)</f>
        <v>2674</v>
      </c>
      <c r="G51" s="78">
        <f>VLOOKUP(Categorias_Registro[[#This Row],[Puntos]],Categorias_Configuracion[],MATCH(Categorias_Configuracion[[#Headers],[% Amplitud]],Categorias_Configuracion[#Headers],0),TRUE)</f>
        <v>0.15</v>
      </c>
      <c r="H51" s="15" t="str">
        <f ca="1">TEXT(Categorias_Registro[[#This Row],[Mínimo]],Formato_Rango_Categorias)&amp;" - "&amp;TEXT(Categorias_Registro[[#This Row],[Máximo]],Formato_Rango_Categorias)</f>
        <v>2.488 - 2.860</v>
      </c>
    </row>
    <row r="52" spans="2:8">
      <c r="B52" s="15">
        <f>Techo - ROW() + ROW(Categorias_Registro[])</f>
        <v>2577</v>
      </c>
      <c r="C52" s="15">
        <f>IF(Categorias_Registro[[#This Row],[Puntos]]&lt;=ROUND(Piso,0),Piso,IF(Categorias_Registro[[#This Row],[Puntos]]&lt;D53,C53,D53+1))</f>
        <v>2488</v>
      </c>
      <c r="D52" s="15">
        <f>IF(Categorias_Registro[[#This Row],[Puntos]]=ROUND(Piso,0),ROUND(Categorias_Registro[[#This Row],[Puntos]]*(1+Categorias_Registro[[#This Row],[Amplitud]]),0),IF(Categorias_Registro[[#This Row],[Puntos]]&lt;D53,D53,ROUND(D53*(1+Categorias_Registro[[#This Row],[Amplitud]]),0)))</f>
        <v>2860</v>
      </c>
      <c r="E52" s="15">
        <f>E53+IF(D53=Categorias_Registro[[#This Row],[Máximo]],0,1)</f>
        <v>25</v>
      </c>
      <c r="F52" s="15">
        <f>ROUND(Categorias_Registro[[#This Row],[Mínimo]]+((Categorias_Registro[[#This Row],[Máximo]]-Categorias_Registro[[#This Row],[Mínimo]])/2),0)</f>
        <v>2674</v>
      </c>
      <c r="G52" s="78">
        <f>VLOOKUP(Categorias_Registro[[#This Row],[Puntos]],Categorias_Configuracion[],MATCH(Categorias_Configuracion[[#Headers],[% Amplitud]],Categorias_Configuracion[#Headers],0),TRUE)</f>
        <v>0.15</v>
      </c>
      <c r="H52" s="15" t="str">
        <f ca="1">TEXT(Categorias_Registro[[#This Row],[Mínimo]],Formato_Rango_Categorias)&amp;" - "&amp;TEXT(Categorias_Registro[[#This Row],[Máximo]],Formato_Rango_Categorias)</f>
        <v>2.488 - 2.860</v>
      </c>
    </row>
    <row r="53" spans="2:8">
      <c r="B53" s="15">
        <f>Techo - ROW() + ROW(Categorias_Registro[])</f>
        <v>2576</v>
      </c>
      <c r="C53" s="15">
        <f>IF(Categorias_Registro[[#This Row],[Puntos]]&lt;=ROUND(Piso,0),Piso,IF(Categorias_Registro[[#This Row],[Puntos]]&lt;D54,C54,D54+1))</f>
        <v>2488</v>
      </c>
      <c r="D53" s="15">
        <f>IF(Categorias_Registro[[#This Row],[Puntos]]=ROUND(Piso,0),ROUND(Categorias_Registro[[#This Row],[Puntos]]*(1+Categorias_Registro[[#This Row],[Amplitud]]),0),IF(Categorias_Registro[[#This Row],[Puntos]]&lt;D54,D54,ROUND(D54*(1+Categorias_Registro[[#This Row],[Amplitud]]),0)))</f>
        <v>2860</v>
      </c>
      <c r="E53" s="15">
        <f>E54+IF(D54=Categorias_Registro[[#This Row],[Máximo]],0,1)</f>
        <v>25</v>
      </c>
      <c r="F53" s="15">
        <f>ROUND(Categorias_Registro[[#This Row],[Mínimo]]+((Categorias_Registro[[#This Row],[Máximo]]-Categorias_Registro[[#This Row],[Mínimo]])/2),0)</f>
        <v>2674</v>
      </c>
      <c r="G53" s="78">
        <f>VLOOKUP(Categorias_Registro[[#This Row],[Puntos]],Categorias_Configuracion[],MATCH(Categorias_Configuracion[[#Headers],[% Amplitud]],Categorias_Configuracion[#Headers],0),TRUE)</f>
        <v>0.15</v>
      </c>
      <c r="H53" s="15" t="str">
        <f ca="1">TEXT(Categorias_Registro[[#This Row],[Mínimo]],Formato_Rango_Categorias)&amp;" - "&amp;TEXT(Categorias_Registro[[#This Row],[Máximo]],Formato_Rango_Categorias)</f>
        <v>2.488 - 2.860</v>
      </c>
    </row>
    <row r="54" spans="2:8">
      <c r="B54" s="15">
        <f>Techo - ROW() + ROW(Categorias_Registro[])</f>
        <v>2575</v>
      </c>
      <c r="C54" s="15">
        <f>IF(Categorias_Registro[[#This Row],[Puntos]]&lt;=ROUND(Piso,0),Piso,IF(Categorias_Registro[[#This Row],[Puntos]]&lt;D55,C55,D55+1))</f>
        <v>2488</v>
      </c>
      <c r="D54" s="15">
        <f>IF(Categorias_Registro[[#This Row],[Puntos]]=ROUND(Piso,0),ROUND(Categorias_Registro[[#This Row],[Puntos]]*(1+Categorias_Registro[[#This Row],[Amplitud]]),0),IF(Categorias_Registro[[#This Row],[Puntos]]&lt;D55,D55,ROUND(D55*(1+Categorias_Registro[[#This Row],[Amplitud]]),0)))</f>
        <v>2860</v>
      </c>
      <c r="E54" s="15">
        <f>E55+IF(D55=Categorias_Registro[[#This Row],[Máximo]],0,1)</f>
        <v>25</v>
      </c>
      <c r="F54" s="15">
        <f>ROUND(Categorias_Registro[[#This Row],[Mínimo]]+((Categorias_Registro[[#This Row],[Máximo]]-Categorias_Registro[[#This Row],[Mínimo]])/2),0)</f>
        <v>2674</v>
      </c>
      <c r="G54" s="78">
        <f>VLOOKUP(Categorias_Registro[[#This Row],[Puntos]],Categorias_Configuracion[],MATCH(Categorias_Configuracion[[#Headers],[% Amplitud]],Categorias_Configuracion[#Headers],0),TRUE)</f>
        <v>0.15</v>
      </c>
      <c r="H54" s="15" t="str">
        <f ca="1">TEXT(Categorias_Registro[[#This Row],[Mínimo]],Formato_Rango_Categorias)&amp;" - "&amp;TEXT(Categorias_Registro[[#This Row],[Máximo]],Formato_Rango_Categorias)</f>
        <v>2.488 - 2.860</v>
      </c>
    </row>
    <row r="55" spans="2:8">
      <c r="B55" s="15">
        <f>Techo - ROW() + ROW(Categorias_Registro[])</f>
        <v>2574</v>
      </c>
      <c r="C55" s="15">
        <f>IF(Categorias_Registro[[#This Row],[Puntos]]&lt;=ROUND(Piso,0),Piso,IF(Categorias_Registro[[#This Row],[Puntos]]&lt;D56,C56,D56+1))</f>
        <v>2488</v>
      </c>
      <c r="D55" s="15">
        <f>IF(Categorias_Registro[[#This Row],[Puntos]]=ROUND(Piso,0),ROUND(Categorias_Registro[[#This Row],[Puntos]]*(1+Categorias_Registro[[#This Row],[Amplitud]]),0),IF(Categorias_Registro[[#This Row],[Puntos]]&lt;D56,D56,ROUND(D56*(1+Categorias_Registro[[#This Row],[Amplitud]]),0)))</f>
        <v>2860</v>
      </c>
      <c r="E55" s="15">
        <f>E56+IF(D56=Categorias_Registro[[#This Row],[Máximo]],0,1)</f>
        <v>25</v>
      </c>
      <c r="F55" s="15">
        <f>ROUND(Categorias_Registro[[#This Row],[Mínimo]]+((Categorias_Registro[[#This Row],[Máximo]]-Categorias_Registro[[#This Row],[Mínimo]])/2),0)</f>
        <v>2674</v>
      </c>
      <c r="G55" s="78">
        <f>VLOOKUP(Categorias_Registro[[#This Row],[Puntos]],Categorias_Configuracion[],MATCH(Categorias_Configuracion[[#Headers],[% Amplitud]],Categorias_Configuracion[#Headers],0),TRUE)</f>
        <v>0.15</v>
      </c>
      <c r="H55" s="15" t="str">
        <f ca="1">TEXT(Categorias_Registro[[#This Row],[Mínimo]],Formato_Rango_Categorias)&amp;" - "&amp;TEXT(Categorias_Registro[[#This Row],[Máximo]],Formato_Rango_Categorias)</f>
        <v>2.488 - 2.860</v>
      </c>
    </row>
    <row r="56" spans="2:8">
      <c r="B56" s="15">
        <f>Techo - ROW() + ROW(Categorias_Registro[])</f>
        <v>2573</v>
      </c>
      <c r="C56" s="15">
        <f>IF(Categorias_Registro[[#This Row],[Puntos]]&lt;=ROUND(Piso,0),Piso,IF(Categorias_Registro[[#This Row],[Puntos]]&lt;D57,C57,D57+1))</f>
        <v>2488</v>
      </c>
      <c r="D56" s="15">
        <f>IF(Categorias_Registro[[#This Row],[Puntos]]=ROUND(Piso,0),ROUND(Categorias_Registro[[#This Row],[Puntos]]*(1+Categorias_Registro[[#This Row],[Amplitud]]),0),IF(Categorias_Registro[[#This Row],[Puntos]]&lt;D57,D57,ROUND(D57*(1+Categorias_Registro[[#This Row],[Amplitud]]),0)))</f>
        <v>2860</v>
      </c>
      <c r="E56" s="15">
        <f>E57+IF(D57=Categorias_Registro[[#This Row],[Máximo]],0,1)</f>
        <v>25</v>
      </c>
      <c r="F56" s="15">
        <f>ROUND(Categorias_Registro[[#This Row],[Mínimo]]+((Categorias_Registro[[#This Row],[Máximo]]-Categorias_Registro[[#This Row],[Mínimo]])/2),0)</f>
        <v>2674</v>
      </c>
      <c r="G56" s="78">
        <f>VLOOKUP(Categorias_Registro[[#This Row],[Puntos]],Categorias_Configuracion[],MATCH(Categorias_Configuracion[[#Headers],[% Amplitud]],Categorias_Configuracion[#Headers],0),TRUE)</f>
        <v>0.15</v>
      </c>
      <c r="H56" s="15" t="str">
        <f ca="1">TEXT(Categorias_Registro[[#This Row],[Mínimo]],Formato_Rango_Categorias)&amp;" - "&amp;TEXT(Categorias_Registro[[#This Row],[Máximo]],Formato_Rango_Categorias)</f>
        <v>2.488 - 2.860</v>
      </c>
    </row>
    <row r="57" spans="2:8">
      <c r="B57" s="15">
        <f>Techo - ROW() + ROW(Categorias_Registro[])</f>
        <v>2572</v>
      </c>
      <c r="C57" s="15">
        <f>IF(Categorias_Registro[[#This Row],[Puntos]]&lt;=ROUND(Piso,0),Piso,IF(Categorias_Registro[[#This Row],[Puntos]]&lt;D58,C58,D58+1))</f>
        <v>2488</v>
      </c>
      <c r="D57" s="15">
        <f>IF(Categorias_Registro[[#This Row],[Puntos]]=ROUND(Piso,0),ROUND(Categorias_Registro[[#This Row],[Puntos]]*(1+Categorias_Registro[[#This Row],[Amplitud]]),0),IF(Categorias_Registro[[#This Row],[Puntos]]&lt;D58,D58,ROUND(D58*(1+Categorias_Registro[[#This Row],[Amplitud]]),0)))</f>
        <v>2860</v>
      </c>
      <c r="E57" s="15">
        <f>E58+IF(D58=Categorias_Registro[[#This Row],[Máximo]],0,1)</f>
        <v>25</v>
      </c>
      <c r="F57" s="15">
        <f>ROUND(Categorias_Registro[[#This Row],[Mínimo]]+((Categorias_Registro[[#This Row],[Máximo]]-Categorias_Registro[[#This Row],[Mínimo]])/2),0)</f>
        <v>2674</v>
      </c>
      <c r="G57" s="78">
        <f>VLOOKUP(Categorias_Registro[[#This Row],[Puntos]],Categorias_Configuracion[],MATCH(Categorias_Configuracion[[#Headers],[% Amplitud]],Categorias_Configuracion[#Headers],0),TRUE)</f>
        <v>0.15</v>
      </c>
      <c r="H57" s="15" t="str">
        <f ca="1">TEXT(Categorias_Registro[[#This Row],[Mínimo]],Formato_Rango_Categorias)&amp;" - "&amp;TEXT(Categorias_Registro[[#This Row],[Máximo]],Formato_Rango_Categorias)</f>
        <v>2.488 - 2.860</v>
      </c>
    </row>
    <row r="58" spans="2:8">
      <c r="B58" s="15">
        <f>Techo - ROW() + ROW(Categorias_Registro[])</f>
        <v>2571</v>
      </c>
      <c r="C58" s="15">
        <f>IF(Categorias_Registro[[#This Row],[Puntos]]&lt;=ROUND(Piso,0),Piso,IF(Categorias_Registro[[#This Row],[Puntos]]&lt;D59,C59,D59+1))</f>
        <v>2488</v>
      </c>
      <c r="D58" s="15">
        <f>IF(Categorias_Registro[[#This Row],[Puntos]]=ROUND(Piso,0),ROUND(Categorias_Registro[[#This Row],[Puntos]]*(1+Categorias_Registro[[#This Row],[Amplitud]]),0),IF(Categorias_Registro[[#This Row],[Puntos]]&lt;D59,D59,ROUND(D59*(1+Categorias_Registro[[#This Row],[Amplitud]]),0)))</f>
        <v>2860</v>
      </c>
      <c r="E58" s="15">
        <f>E59+IF(D59=Categorias_Registro[[#This Row],[Máximo]],0,1)</f>
        <v>25</v>
      </c>
      <c r="F58" s="15">
        <f>ROUND(Categorias_Registro[[#This Row],[Mínimo]]+((Categorias_Registro[[#This Row],[Máximo]]-Categorias_Registro[[#This Row],[Mínimo]])/2),0)</f>
        <v>2674</v>
      </c>
      <c r="G58" s="78">
        <f>VLOOKUP(Categorias_Registro[[#This Row],[Puntos]],Categorias_Configuracion[],MATCH(Categorias_Configuracion[[#Headers],[% Amplitud]],Categorias_Configuracion[#Headers],0),TRUE)</f>
        <v>0.15</v>
      </c>
      <c r="H58" s="15" t="str">
        <f ca="1">TEXT(Categorias_Registro[[#This Row],[Mínimo]],Formato_Rango_Categorias)&amp;" - "&amp;TEXT(Categorias_Registro[[#This Row],[Máximo]],Formato_Rango_Categorias)</f>
        <v>2.488 - 2.860</v>
      </c>
    </row>
    <row r="59" spans="2:8">
      <c r="B59" s="15">
        <f>Techo - ROW() + ROW(Categorias_Registro[])</f>
        <v>2570</v>
      </c>
      <c r="C59" s="15">
        <f>IF(Categorias_Registro[[#This Row],[Puntos]]&lt;=ROUND(Piso,0),Piso,IF(Categorias_Registro[[#This Row],[Puntos]]&lt;D60,C60,D60+1))</f>
        <v>2488</v>
      </c>
      <c r="D59" s="15">
        <f>IF(Categorias_Registro[[#This Row],[Puntos]]=ROUND(Piso,0),ROUND(Categorias_Registro[[#This Row],[Puntos]]*(1+Categorias_Registro[[#This Row],[Amplitud]]),0),IF(Categorias_Registro[[#This Row],[Puntos]]&lt;D60,D60,ROUND(D60*(1+Categorias_Registro[[#This Row],[Amplitud]]),0)))</f>
        <v>2860</v>
      </c>
      <c r="E59" s="15">
        <f>E60+IF(D60=Categorias_Registro[[#This Row],[Máximo]],0,1)</f>
        <v>25</v>
      </c>
      <c r="F59" s="15">
        <f>ROUND(Categorias_Registro[[#This Row],[Mínimo]]+((Categorias_Registro[[#This Row],[Máximo]]-Categorias_Registro[[#This Row],[Mínimo]])/2),0)</f>
        <v>2674</v>
      </c>
      <c r="G59" s="78">
        <f>VLOOKUP(Categorias_Registro[[#This Row],[Puntos]],Categorias_Configuracion[],MATCH(Categorias_Configuracion[[#Headers],[% Amplitud]],Categorias_Configuracion[#Headers],0),TRUE)</f>
        <v>0.15</v>
      </c>
      <c r="H59" s="15" t="str">
        <f ca="1">TEXT(Categorias_Registro[[#This Row],[Mínimo]],Formato_Rango_Categorias)&amp;" - "&amp;TEXT(Categorias_Registro[[#This Row],[Máximo]],Formato_Rango_Categorias)</f>
        <v>2.488 - 2.860</v>
      </c>
    </row>
    <row r="60" spans="2:8">
      <c r="B60" s="15">
        <f>Techo - ROW() + ROW(Categorias_Registro[])</f>
        <v>2569</v>
      </c>
      <c r="C60" s="15">
        <f>IF(Categorias_Registro[[#This Row],[Puntos]]&lt;=ROUND(Piso,0),Piso,IF(Categorias_Registro[[#This Row],[Puntos]]&lt;D61,C61,D61+1))</f>
        <v>2488</v>
      </c>
      <c r="D60" s="15">
        <f>IF(Categorias_Registro[[#This Row],[Puntos]]=ROUND(Piso,0),ROUND(Categorias_Registro[[#This Row],[Puntos]]*(1+Categorias_Registro[[#This Row],[Amplitud]]),0),IF(Categorias_Registro[[#This Row],[Puntos]]&lt;D61,D61,ROUND(D61*(1+Categorias_Registro[[#This Row],[Amplitud]]),0)))</f>
        <v>2860</v>
      </c>
      <c r="E60" s="15">
        <f>E61+IF(D61=Categorias_Registro[[#This Row],[Máximo]],0,1)</f>
        <v>25</v>
      </c>
      <c r="F60" s="15">
        <f>ROUND(Categorias_Registro[[#This Row],[Mínimo]]+((Categorias_Registro[[#This Row],[Máximo]]-Categorias_Registro[[#This Row],[Mínimo]])/2),0)</f>
        <v>2674</v>
      </c>
      <c r="G60" s="78">
        <f>VLOOKUP(Categorias_Registro[[#This Row],[Puntos]],Categorias_Configuracion[],MATCH(Categorias_Configuracion[[#Headers],[% Amplitud]],Categorias_Configuracion[#Headers],0),TRUE)</f>
        <v>0.15</v>
      </c>
      <c r="H60" s="15" t="str">
        <f ca="1">TEXT(Categorias_Registro[[#This Row],[Mínimo]],Formato_Rango_Categorias)&amp;" - "&amp;TEXT(Categorias_Registro[[#This Row],[Máximo]],Formato_Rango_Categorias)</f>
        <v>2.488 - 2.860</v>
      </c>
    </row>
    <row r="61" spans="2:8">
      <c r="B61" s="15">
        <f>Techo - ROW() + ROW(Categorias_Registro[])</f>
        <v>2568</v>
      </c>
      <c r="C61" s="15">
        <f>IF(Categorias_Registro[[#This Row],[Puntos]]&lt;=ROUND(Piso,0),Piso,IF(Categorias_Registro[[#This Row],[Puntos]]&lt;D62,C62,D62+1))</f>
        <v>2488</v>
      </c>
      <c r="D61" s="15">
        <f>IF(Categorias_Registro[[#This Row],[Puntos]]=ROUND(Piso,0),ROUND(Categorias_Registro[[#This Row],[Puntos]]*(1+Categorias_Registro[[#This Row],[Amplitud]]),0),IF(Categorias_Registro[[#This Row],[Puntos]]&lt;D62,D62,ROUND(D62*(1+Categorias_Registro[[#This Row],[Amplitud]]),0)))</f>
        <v>2860</v>
      </c>
      <c r="E61" s="15">
        <f>E62+IF(D62=Categorias_Registro[[#This Row],[Máximo]],0,1)</f>
        <v>25</v>
      </c>
      <c r="F61" s="15">
        <f>ROUND(Categorias_Registro[[#This Row],[Mínimo]]+((Categorias_Registro[[#This Row],[Máximo]]-Categorias_Registro[[#This Row],[Mínimo]])/2),0)</f>
        <v>2674</v>
      </c>
      <c r="G61" s="78">
        <f>VLOOKUP(Categorias_Registro[[#This Row],[Puntos]],Categorias_Configuracion[],MATCH(Categorias_Configuracion[[#Headers],[% Amplitud]],Categorias_Configuracion[#Headers],0),TRUE)</f>
        <v>0.15</v>
      </c>
      <c r="H61" s="15" t="str">
        <f ca="1">TEXT(Categorias_Registro[[#This Row],[Mínimo]],Formato_Rango_Categorias)&amp;" - "&amp;TEXT(Categorias_Registro[[#This Row],[Máximo]],Formato_Rango_Categorias)</f>
        <v>2.488 - 2.860</v>
      </c>
    </row>
    <row r="62" spans="2:8">
      <c r="B62" s="15">
        <f>Techo - ROW() + ROW(Categorias_Registro[])</f>
        <v>2567</v>
      </c>
      <c r="C62" s="15">
        <f>IF(Categorias_Registro[[#This Row],[Puntos]]&lt;=ROUND(Piso,0),Piso,IF(Categorias_Registro[[#This Row],[Puntos]]&lt;D63,C63,D63+1))</f>
        <v>2488</v>
      </c>
      <c r="D62" s="15">
        <f>IF(Categorias_Registro[[#This Row],[Puntos]]=ROUND(Piso,0),ROUND(Categorias_Registro[[#This Row],[Puntos]]*(1+Categorias_Registro[[#This Row],[Amplitud]]),0),IF(Categorias_Registro[[#This Row],[Puntos]]&lt;D63,D63,ROUND(D63*(1+Categorias_Registro[[#This Row],[Amplitud]]),0)))</f>
        <v>2860</v>
      </c>
      <c r="E62" s="15">
        <f>E63+IF(D63=Categorias_Registro[[#This Row],[Máximo]],0,1)</f>
        <v>25</v>
      </c>
      <c r="F62" s="15">
        <f>ROUND(Categorias_Registro[[#This Row],[Mínimo]]+((Categorias_Registro[[#This Row],[Máximo]]-Categorias_Registro[[#This Row],[Mínimo]])/2),0)</f>
        <v>2674</v>
      </c>
      <c r="G62" s="78">
        <f>VLOOKUP(Categorias_Registro[[#This Row],[Puntos]],Categorias_Configuracion[],MATCH(Categorias_Configuracion[[#Headers],[% Amplitud]],Categorias_Configuracion[#Headers],0),TRUE)</f>
        <v>0.15</v>
      </c>
      <c r="H62" s="15" t="str">
        <f ca="1">TEXT(Categorias_Registro[[#This Row],[Mínimo]],Formato_Rango_Categorias)&amp;" - "&amp;TEXT(Categorias_Registro[[#This Row],[Máximo]],Formato_Rango_Categorias)</f>
        <v>2.488 - 2.860</v>
      </c>
    </row>
    <row r="63" spans="2:8">
      <c r="B63" s="15">
        <f>Techo - ROW() + ROW(Categorias_Registro[])</f>
        <v>2566</v>
      </c>
      <c r="C63" s="15">
        <f>IF(Categorias_Registro[[#This Row],[Puntos]]&lt;=ROUND(Piso,0),Piso,IF(Categorias_Registro[[#This Row],[Puntos]]&lt;D64,C64,D64+1))</f>
        <v>2488</v>
      </c>
      <c r="D63" s="15">
        <f>IF(Categorias_Registro[[#This Row],[Puntos]]=ROUND(Piso,0),ROUND(Categorias_Registro[[#This Row],[Puntos]]*(1+Categorias_Registro[[#This Row],[Amplitud]]),0),IF(Categorias_Registro[[#This Row],[Puntos]]&lt;D64,D64,ROUND(D64*(1+Categorias_Registro[[#This Row],[Amplitud]]),0)))</f>
        <v>2860</v>
      </c>
      <c r="E63" s="15">
        <f>E64+IF(D64=Categorias_Registro[[#This Row],[Máximo]],0,1)</f>
        <v>25</v>
      </c>
      <c r="F63" s="15">
        <f>ROUND(Categorias_Registro[[#This Row],[Mínimo]]+((Categorias_Registro[[#This Row],[Máximo]]-Categorias_Registro[[#This Row],[Mínimo]])/2),0)</f>
        <v>2674</v>
      </c>
      <c r="G63" s="78">
        <f>VLOOKUP(Categorias_Registro[[#This Row],[Puntos]],Categorias_Configuracion[],MATCH(Categorias_Configuracion[[#Headers],[% Amplitud]],Categorias_Configuracion[#Headers],0),TRUE)</f>
        <v>0.15</v>
      </c>
      <c r="H63" s="15" t="str">
        <f ca="1">TEXT(Categorias_Registro[[#This Row],[Mínimo]],Formato_Rango_Categorias)&amp;" - "&amp;TEXT(Categorias_Registro[[#This Row],[Máximo]],Formato_Rango_Categorias)</f>
        <v>2.488 - 2.860</v>
      </c>
    </row>
    <row r="64" spans="2:8">
      <c r="B64" s="15">
        <f>Techo - ROW() + ROW(Categorias_Registro[])</f>
        <v>2565</v>
      </c>
      <c r="C64" s="15">
        <f>IF(Categorias_Registro[[#This Row],[Puntos]]&lt;=ROUND(Piso,0),Piso,IF(Categorias_Registro[[#This Row],[Puntos]]&lt;D65,C65,D65+1))</f>
        <v>2488</v>
      </c>
      <c r="D64" s="15">
        <f>IF(Categorias_Registro[[#This Row],[Puntos]]=ROUND(Piso,0),ROUND(Categorias_Registro[[#This Row],[Puntos]]*(1+Categorias_Registro[[#This Row],[Amplitud]]),0),IF(Categorias_Registro[[#This Row],[Puntos]]&lt;D65,D65,ROUND(D65*(1+Categorias_Registro[[#This Row],[Amplitud]]),0)))</f>
        <v>2860</v>
      </c>
      <c r="E64" s="15">
        <f>E65+IF(D65=Categorias_Registro[[#This Row],[Máximo]],0,1)</f>
        <v>25</v>
      </c>
      <c r="F64" s="15">
        <f>ROUND(Categorias_Registro[[#This Row],[Mínimo]]+((Categorias_Registro[[#This Row],[Máximo]]-Categorias_Registro[[#This Row],[Mínimo]])/2),0)</f>
        <v>2674</v>
      </c>
      <c r="G64" s="78">
        <f>VLOOKUP(Categorias_Registro[[#This Row],[Puntos]],Categorias_Configuracion[],MATCH(Categorias_Configuracion[[#Headers],[% Amplitud]],Categorias_Configuracion[#Headers],0),TRUE)</f>
        <v>0.15</v>
      </c>
      <c r="H64" s="15" t="str">
        <f ca="1">TEXT(Categorias_Registro[[#This Row],[Mínimo]],Formato_Rango_Categorias)&amp;" - "&amp;TEXT(Categorias_Registro[[#This Row],[Máximo]],Formato_Rango_Categorias)</f>
        <v>2.488 - 2.860</v>
      </c>
    </row>
    <row r="65" spans="2:8">
      <c r="B65" s="15">
        <f>Techo - ROW() + ROW(Categorias_Registro[])</f>
        <v>2564</v>
      </c>
      <c r="C65" s="15">
        <f>IF(Categorias_Registro[[#This Row],[Puntos]]&lt;=ROUND(Piso,0),Piso,IF(Categorias_Registro[[#This Row],[Puntos]]&lt;D66,C66,D66+1))</f>
        <v>2488</v>
      </c>
      <c r="D65" s="15">
        <f>IF(Categorias_Registro[[#This Row],[Puntos]]=ROUND(Piso,0),ROUND(Categorias_Registro[[#This Row],[Puntos]]*(1+Categorias_Registro[[#This Row],[Amplitud]]),0),IF(Categorias_Registro[[#This Row],[Puntos]]&lt;D66,D66,ROUND(D66*(1+Categorias_Registro[[#This Row],[Amplitud]]),0)))</f>
        <v>2860</v>
      </c>
      <c r="E65" s="15">
        <f>E66+IF(D66=Categorias_Registro[[#This Row],[Máximo]],0,1)</f>
        <v>25</v>
      </c>
      <c r="F65" s="15">
        <f>ROUND(Categorias_Registro[[#This Row],[Mínimo]]+((Categorias_Registro[[#This Row],[Máximo]]-Categorias_Registro[[#This Row],[Mínimo]])/2),0)</f>
        <v>2674</v>
      </c>
      <c r="G65" s="78">
        <f>VLOOKUP(Categorias_Registro[[#This Row],[Puntos]],Categorias_Configuracion[],MATCH(Categorias_Configuracion[[#Headers],[% Amplitud]],Categorias_Configuracion[#Headers],0),TRUE)</f>
        <v>0.15</v>
      </c>
      <c r="H65" s="15" t="str">
        <f ca="1">TEXT(Categorias_Registro[[#This Row],[Mínimo]],Formato_Rango_Categorias)&amp;" - "&amp;TEXT(Categorias_Registro[[#This Row],[Máximo]],Formato_Rango_Categorias)</f>
        <v>2.488 - 2.860</v>
      </c>
    </row>
    <row r="66" spans="2:8">
      <c r="B66" s="15">
        <f>Techo - ROW() + ROW(Categorias_Registro[])</f>
        <v>2563</v>
      </c>
      <c r="C66" s="15">
        <f>IF(Categorias_Registro[[#This Row],[Puntos]]&lt;=ROUND(Piso,0),Piso,IF(Categorias_Registro[[#This Row],[Puntos]]&lt;D67,C67,D67+1))</f>
        <v>2488</v>
      </c>
      <c r="D66" s="15">
        <f>IF(Categorias_Registro[[#This Row],[Puntos]]=ROUND(Piso,0),ROUND(Categorias_Registro[[#This Row],[Puntos]]*(1+Categorias_Registro[[#This Row],[Amplitud]]),0),IF(Categorias_Registro[[#This Row],[Puntos]]&lt;D67,D67,ROUND(D67*(1+Categorias_Registro[[#This Row],[Amplitud]]),0)))</f>
        <v>2860</v>
      </c>
      <c r="E66" s="15">
        <f>E67+IF(D67=Categorias_Registro[[#This Row],[Máximo]],0,1)</f>
        <v>25</v>
      </c>
      <c r="F66" s="15">
        <f>ROUND(Categorias_Registro[[#This Row],[Mínimo]]+((Categorias_Registro[[#This Row],[Máximo]]-Categorias_Registro[[#This Row],[Mínimo]])/2),0)</f>
        <v>2674</v>
      </c>
      <c r="G66" s="78">
        <f>VLOOKUP(Categorias_Registro[[#This Row],[Puntos]],Categorias_Configuracion[],MATCH(Categorias_Configuracion[[#Headers],[% Amplitud]],Categorias_Configuracion[#Headers],0),TRUE)</f>
        <v>0.15</v>
      </c>
      <c r="H66" s="15" t="str">
        <f ca="1">TEXT(Categorias_Registro[[#This Row],[Mínimo]],Formato_Rango_Categorias)&amp;" - "&amp;TEXT(Categorias_Registro[[#This Row],[Máximo]],Formato_Rango_Categorias)</f>
        <v>2.488 - 2.860</v>
      </c>
    </row>
    <row r="67" spans="2:8">
      <c r="B67" s="15">
        <f>Techo - ROW() + ROW(Categorias_Registro[])</f>
        <v>2562</v>
      </c>
      <c r="C67" s="15">
        <f>IF(Categorias_Registro[[#This Row],[Puntos]]&lt;=ROUND(Piso,0),Piso,IF(Categorias_Registro[[#This Row],[Puntos]]&lt;D68,C68,D68+1))</f>
        <v>2488</v>
      </c>
      <c r="D67" s="15">
        <f>IF(Categorias_Registro[[#This Row],[Puntos]]=ROUND(Piso,0),ROUND(Categorias_Registro[[#This Row],[Puntos]]*(1+Categorias_Registro[[#This Row],[Amplitud]]),0),IF(Categorias_Registro[[#This Row],[Puntos]]&lt;D68,D68,ROUND(D68*(1+Categorias_Registro[[#This Row],[Amplitud]]),0)))</f>
        <v>2860</v>
      </c>
      <c r="E67" s="15">
        <f>E68+IF(D68=Categorias_Registro[[#This Row],[Máximo]],0,1)</f>
        <v>25</v>
      </c>
      <c r="F67" s="15">
        <f>ROUND(Categorias_Registro[[#This Row],[Mínimo]]+((Categorias_Registro[[#This Row],[Máximo]]-Categorias_Registro[[#This Row],[Mínimo]])/2),0)</f>
        <v>2674</v>
      </c>
      <c r="G67" s="78">
        <f>VLOOKUP(Categorias_Registro[[#This Row],[Puntos]],Categorias_Configuracion[],MATCH(Categorias_Configuracion[[#Headers],[% Amplitud]],Categorias_Configuracion[#Headers],0),TRUE)</f>
        <v>0.15</v>
      </c>
      <c r="H67" s="15" t="str">
        <f ca="1">TEXT(Categorias_Registro[[#This Row],[Mínimo]],Formato_Rango_Categorias)&amp;" - "&amp;TEXT(Categorias_Registro[[#This Row],[Máximo]],Formato_Rango_Categorias)</f>
        <v>2.488 - 2.860</v>
      </c>
    </row>
    <row r="68" spans="2:8">
      <c r="B68" s="15">
        <f>Techo - ROW() + ROW(Categorias_Registro[])</f>
        <v>2561</v>
      </c>
      <c r="C68" s="15">
        <f>IF(Categorias_Registro[[#This Row],[Puntos]]&lt;=ROUND(Piso,0),Piso,IF(Categorias_Registro[[#This Row],[Puntos]]&lt;D69,C69,D69+1))</f>
        <v>2488</v>
      </c>
      <c r="D68" s="15">
        <f>IF(Categorias_Registro[[#This Row],[Puntos]]=ROUND(Piso,0),ROUND(Categorias_Registro[[#This Row],[Puntos]]*(1+Categorias_Registro[[#This Row],[Amplitud]]),0),IF(Categorias_Registro[[#This Row],[Puntos]]&lt;D69,D69,ROUND(D69*(1+Categorias_Registro[[#This Row],[Amplitud]]),0)))</f>
        <v>2860</v>
      </c>
      <c r="E68" s="15">
        <f>E69+IF(D69=Categorias_Registro[[#This Row],[Máximo]],0,1)</f>
        <v>25</v>
      </c>
      <c r="F68" s="15">
        <f>ROUND(Categorias_Registro[[#This Row],[Mínimo]]+((Categorias_Registro[[#This Row],[Máximo]]-Categorias_Registro[[#This Row],[Mínimo]])/2),0)</f>
        <v>2674</v>
      </c>
      <c r="G68" s="78">
        <f>VLOOKUP(Categorias_Registro[[#This Row],[Puntos]],Categorias_Configuracion[],MATCH(Categorias_Configuracion[[#Headers],[% Amplitud]],Categorias_Configuracion[#Headers],0),TRUE)</f>
        <v>0.15</v>
      </c>
      <c r="H68" s="15" t="str">
        <f ca="1">TEXT(Categorias_Registro[[#This Row],[Mínimo]],Formato_Rango_Categorias)&amp;" - "&amp;TEXT(Categorias_Registro[[#This Row],[Máximo]],Formato_Rango_Categorias)</f>
        <v>2.488 - 2.860</v>
      </c>
    </row>
    <row r="69" spans="2:8">
      <c r="B69" s="15">
        <f>Techo - ROW() + ROW(Categorias_Registro[])</f>
        <v>2560</v>
      </c>
      <c r="C69" s="15">
        <f>IF(Categorias_Registro[[#This Row],[Puntos]]&lt;=ROUND(Piso,0),Piso,IF(Categorias_Registro[[#This Row],[Puntos]]&lt;D70,C70,D70+1))</f>
        <v>2488</v>
      </c>
      <c r="D69" s="15">
        <f>IF(Categorias_Registro[[#This Row],[Puntos]]=ROUND(Piso,0),ROUND(Categorias_Registro[[#This Row],[Puntos]]*(1+Categorias_Registro[[#This Row],[Amplitud]]),0),IF(Categorias_Registro[[#This Row],[Puntos]]&lt;D70,D70,ROUND(D70*(1+Categorias_Registro[[#This Row],[Amplitud]]),0)))</f>
        <v>2860</v>
      </c>
      <c r="E69" s="15">
        <f>E70+IF(D70=Categorias_Registro[[#This Row],[Máximo]],0,1)</f>
        <v>25</v>
      </c>
      <c r="F69" s="15">
        <f>ROUND(Categorias_Registro[[#This Row],[Mínimo]]+((Categorias_Registro[[#This Row],[Máximo]]-Categorias_Registro[[#This Row],[Mínimo]])/2),0)</f>
        <v>2674</v>
      </c>
      <c r="G69" s="78">
        <f>VLOOKUP(Categorias_Registro[[#This Row],[Puntos]],Categorias_Configuracion[],MATCH(Categorias_Configuracion[[#Headers],[% Amplitud]],Categorias_Configuracion[#Headers],0),TRUE)</f>
        <v>0.15</v>
      </c>
      <c r="H69" s="15" t="str">
        <f ca="1">TEXT(Categorias_Registro[[#This Row],[Mínimo]],Formato_Rango_Categorias)&amp;" - "&amp;TEXT(Categorias_Registro[[#This Row],[Máximo]],Formato_Rango_Categorias)</f>
        <v>2.488 - 2.860</v>
      </c>
    </row>
    <row r="70" spans="2:8">
      <c r="B70" s="15">
        <f>Techo - ROW() + ROW(Categorias_Registro[])</f>
        <v>2559</v>
      </c>
      <c r="C70" s="15">
        <f>IF(Categorias_Registro[[#This Row],[Puntos]]&lt;=ROUND(Piso,0),Piso,IF(Categorias_Registro[[#This Row],[Puntos]]&lt;D71,C71,D71+1))</f>
        <v>2488</v>
      </c>
      <c r="D70" s="15">
        <f>IF(Categorias_Registro[[#This Row],[Puntos]]=ROUND(Piso,0),ROUND(Categorias_Registro[[#This Row],[Puntos]]*(1+Categorias_Registro[[#This Row],[Amplitud]]),0),IF(Categorias_Registro[[#This Row],[Puntos]]&lt;D71,D71,ROUND(D71*(1+Categorias_Registro[[#This Row],[Amplitud]]),0)))</f>
        <v>2860</v>
      </c>
      <c r="E70" s="15">
        <f>E71+IF(D71=Categorias_Registro[[#This Row],[Máximo]],0,1)</f>
        <v>25</v>
      </c>
      <c r="F70" s="15">
        <f>ROUND(Categorias_Registro[[#This Row],[Mínimo]]+((Categorias_Registro[[#This Row],[Máximo]]-Categorias_Registro[[#This Row],[Mínimo]])/2),0)</f>
        <v>2674</v>
      </c>
      <c r="G70" s="78">
        <f>VLOOKUP(Categorias_Registro[[#This Row],[Puntos]],Categorias_Configuracion[],MATCH(Categorias_Configuracion[[#Headers],[% Amplitud]],Categorias_Configuracion[#Headers],0),TRUE)</f>
        <v>0.15</v>
      </c>
      <c r="H70" s="15" t="str">
        <f ca="1">TEXT(Categorias_Registro[[#This Row],[Mínimo]],Formato_Rango_Categorias)&amp;" - "&amp;TEXT(Categorias_Registro[[#This Row],[Máximo]],Formato_Rango_Categorias)</f>
        <v>2.488 - 2.860</v>
      </c>
    </row>
    <row r="71" spans="2:8">
      <c r="B71" s="15">
        <f>Techo - ROW() + ROW(Categorias_Registro[])</f>
        <v>2558</v>
      </c>
      <c r="C71" s="15">
        <f>IF(Categorias_Registro[[#This Row],[Puntos]]&lt;=ROUND(Piso,0),Piso,IF(Categorias_Registro[[#This Row],[Puntos]]&lt;D72,C72,D72+1))</f>
        <v>2488</v>
      </c>
      <c r="D71" s="15">
        <f>IF(Categorias_Registro[[#This Row],[Puntos]]=ROUND(Piso,0),ROUND(Categorias_Registro[[#This Row],[Puntos]]*(1+Categorias_Registro[[#This Row],[Amplitud]]),0),IF(Categorias_Registro[[#This Row],[Puntos]]&lt;D72,D72,ROUND(D72*(1+Categorias_Registro[[#This Row],[Amplitud]]),0)))</f>
        <v>2860</v>
      </c>
      <c r="E71" s="15">
        <f>E72+IF(D72=Categorias_Registro[[#This Row],[Máximo]],0,1)</f>
        <v>25</v>
      </c>
      <c r="F71" s="15">
        <f>ROUND(Categorias_Registro[[#This Row],[Mínimo]]+((Categorias_Registro[[#This Row],[Máximo]]-Categorias_Registro[[#This Row],[Mínimo]])/2),0)</f>
        <v>2674</v>
      </c>
      <c r="G71" s="78">
        <f>VLOOKUP(Categorias_Registro[[#This Row],[Puntos]],Categorias_Configuracion[],MATCH(Categorias_Configuracion[[#Headers],[% Amplitud]],Categorias_Configuracion[#Headers],0),TRUE)</f>
        <v>0.15</v>
      </c>
      <c r="H71" s="15" t="str">
        <f ca="1">TEXT(Categorias_Registro[[#This Row],[Mínimo]],Formato_Rango_Categorias)&amp;" - "&amp;TEXT(Categorias_Registro[[#This Row],[Máximo]],Formato_Rango_Categorias)</f>
        <v>2.488 - 2.860</v>
      </c>
    </row>
    <row r="72" spans="2:8">
      <c r="B72" s="15">
        <f>Techo - ROW() + ROW(Categorias_Registro[])</f>
        <v>2557</v>
      </c>
      <c r="C72" s="15">
        <f>IF(Categorias_Registro[[#This Row],[Puntos]]&lt;=ROUND(Piso,0),Piso,IF(Categorias_Registro[[#This Row],[Puntos]]&lt;D73,C73,D73+1))</f>
        <v>2488</v>
      </c>
      <c r="D72" s="15">
        <f>IF(Categorias_Registro[[#This Row],[Puntos]]=ROUND(Piso,0),ROUND(Categorias_Registro[[#This Row],[Puntos]]*(1+Categorias_Registro[[#This Row],[Amplitud]]),0),IF(Categorias_Registro[[#This Row],[Puntos]]&lt;D73,D73,ROUND(D73*(1+Categorias_Registro[[#This Row],[Amplitud]]),0)))</f>
        <v>2860</v>
      </c>
      <c r="E72" s="15">
        <f>E73+IF(D73=Categorias_Registro[[#This Row],[Máximo]],0,1)</f>
        <v>25</v>
      </c>
      <c r="F72" s="15">
        <f>ROUND(Categorias_Registro[[#This Row],[Mínimo]]+((Categorias_Registro[[#This Row],[Máximo]]-Categorias_Registro[[#This Row],[Mínimo]])/2),0)</f>
        <v>2674</v>
      </c>
      <c r="G72" s="78">
        <f>VLOOKUP(Categorias_Registro[[#This Row],[Puntos]],Categorias_Configuracion[],MATCH(Categorias_Configuracion[[#Headers],[% Amplitud]],Categorias_Configuracion[#Headers],0),TRUE)</f>
        <v>0.15</v>
      </c>
      <c r="H72" s="15" t="str">
        <f ca="1">TEXT(Categorias_Registro[[#This Row],[Mínimo]],Formato_Rango_Categorias)&amp;" - "&amp;TEXT(Categorias_Registro[[#This Row],[Máximo]],Formato_Rango_Categorias)</f>
        <v>2.488 - 2.860</v>
      </c>
    </row>
    <row r="73" spans="2:8">
      <c r="B73" s="15">
        <f>Techo - ROW() + ROW(Categorias_Registro[])</f>
        <v>2556</v>
      </c>
      <c r="C73" s="15">
        <f>IF(Categorias_Registro[[#This Row],[Puntos]]&lt;=ROUND(Piso,0),Piso,IF(Categorias_Registro[[#This Row],[Puntos]]&lt;D74,C74,D74+1))</f>
        <v>2488</v>
      </c>
      <c r="D73" s="15">
        <f>IF(Categorias_Registro[[#This Row],[Puntos]]=ROUND(Piso,0),ROUND(Categorias_Registro[[#This Row],[Puntos]]*(1+Categorias_Registro[[#This Row],[Amplitud]]),0),IF(Categorias_Registro[[#This Row],[Puntos]]&lt;D74,D74,ROUND(D74*(1+Categorias_Registro[[#This Row],[Amplitud]]),0)))</f>
        <v>2860</v>
      </c>
      <c r="E73" s="15">
        <f>E74+IF(D74=Categorias_Registro[[#This Row],[Máximo]],0,1)</f>
        <v>25</v>
      </c>
      <c r="F73" s="15">
        <f>ROUND(Categorias_Registro[[#This Row],[Mínimo]]+((Categorias_Registro[[#This Row],[Máximo]]-Categorias_Registro[[#This Row],[Mínimo]])/2),0)</f>
        <v>2674</v>
      </c>
      <c r="G73" s="78">
        <f>VLOOKUP(Categorias_Registro[[#This Row],[Puntos]],Categorias_Configuracion[],MATCH(Categorias_Configuracion[[#Headers],[% Amplitud]],Categorias_Configuracion[#Headers],0),TRUE)</f>
        <v>0.15</v>
      </c>
      <c r="H73" s="15" t="str">
        <f ca="1">TEXT(Categorias_Registro[[#This Row],[Mínimo]],Formato_Rango_Categorias)&amp;" - "&amp;TEXT(Categorias_Registro[[#This Row],[Máximo]],Formato_Rango_Categorias)</f>
        <v>2.488 - 2.860</v>
      </c>
    </row>
    <row r="74" spans="2:8">
      <c r="B74" s="15">
        <f>Techo - ROW() + ROW(Categorias_Registro[])</f>
        <v>2555</v>
      </c>
      <c r="C74" s="15">
        <f>IF(Categorias_Registro[[#This Row],[Puntos]]&lt;=ROUND(Piso,0),Piso,IF(Categorias_Registro[[#This Row],[Puntos]]&lt;D75,C75,D75+1))</f>
        <v>2488</v>
      </c>
      <c r="D74" s="15">
        <f>IF(Categorias_Registro[[#This Row],[Puntos]]=ROUND(Piso,0),ROUND(Categorias_Registro[[#This Row],[Puntos]]*(1+Categorias_Registro[[#This Row],[Amplitud]]),0),IF(Categorias_Registro[[#This Row],[Puntos]]&lt;D75,D75,ROUND(D75*(1+Categorias_Registro[[#This Row],[Amplitud]]),0)))</f>
        <v>2860</v>
      </c>
      <c r="E74" s="15">
        <f>E75+IF(D75=Categorias_Registro[[#This Row],[Máximo]],0,1)</f>
        <v>25</v>
      </c>
      <c r="F74" s="15">
        <f>ROUND(Categorias_Registro[[#This Row],[Mínimo]]+((Categorias_Registro[[#This Row],[Máximo]]-Categorias_Registro[[#This Row],[Mínimo]])/2),0)</f>
        <v>2674</v>
      </c>
      <c r="G74" s="78">
        <f>VLOOKUP(Categorias_Registro[[#This Row],[Puntos]],Categorias_Configuracion[],MATCH(Categorias_Configuracion[[#Headers],[% Amplitud]],Categorias_Configuracion[#Headers],0),TRUE)</f>
        <v>0.15</v>
      </c>
      <c r="H74" s="15" t="str">
        <f ca="1">TEXT(Categorias_Registro[[#This Row],[Mínimo]],Formato_Rango_Categorias)&amp;" - "&amp;TEXT(Categorias_Registro[[#This Row],[Máximo]],Formato_Rango_Categorias)</f>
        <v>2.488 - 2.860</v>
      </c>
    </row>
    <row r="75" spans="2:8">
      <c r="B75" s="15">
        <f>Techo - ROW() + ROW(Categorias_Registro[])</f>
        <v>2554</v>
      </c>
      <c r="C75" s="15">
        <f>IF(Categorias_Registro[[#This Row],[Puntos]]&lt;=ROUND(Piso,0),Piso,IF(Categorias_Registro[[#This Row],[Puntos]]&lt;D76,C76,D76+1))</f>
        <v>2488</v>
      </c>
      <c r="D75" s="15">
        <f>IF(Categorias_Registro[[#This Row],[Puntos]]=ROUND(Piso,0),ROUND(Categorias_Registro[[#This Row],[Puntos]]*(1+Categorias_Registro[[#This Row],[Amplitud]]),0),IF(Categorias_Registro[[#This Row],[Puntos]]&lt;D76,D76,ROUND(D76*(1+Categorias_Registro[[#This Row],[Amplitud]]),0)))</f>
        <v>2860</v>
      </c>
      <c r="E75" s="15">
        <f>E76+IF(D76=Categorias_Registro[[#This Row],[Máximo]],0,1)</f>
        <v>25</v>
      </c>
      <c r="F75" s="15">
        <f>ROUND(Categorias_Registro[[#This Row],[Mínimo]]+((Categorias_Registro[[#This Row],[Máximo]]-Categorias_Registro[[#This Row],[Mínimo]])/2),0)</f>
        <v>2674</v>
      </c>
      <c r="G75" s="78">
        <f>VLOOKUP(Categorias_Registro[[#This Row],[Puntos]],Categorias_Configuracion[],MATCH(Categorias_Configuracion[[#Headers],[% Amplitud]],Categorias_Configuracion[#Headers],0),TRUE)</f>
        <v>0.15</v>
      </c>
      <c r="H75" s="15" t="str">
        <f ca="1">TEXT(Categorias_Registro[[#This Row],[Mínimo]],Formato_Rango_Categorias)&amp;" - "&amp;TEXT(Categorias_Registro[[#This Row],[Máximo]],Formato_Rango_Categorias)</f>
        <v>2.488 - 2.860</v>
      </c>
    </row>
    <row r="76" spans="2:8">
      <c r="B76" s="15">
        <f>Techo - ROW() + ROW(Categorias_Registro[])</f>
        <v>2553</v>
      </c>
      <c r="C76" s="15">
        <f>IF(Categorias_Registro[[#This Row],[Puntos]]&lt;=ROUND(Piso,0),Piso,IF(Categorias_Registro[[#This Row],[Puntos]]&lt;D77,C77,D77+1))</f>
        <v>2488</v>
      </c>
      <c r="D76" s="15">
        <f>IF(Categorias_Registro[[#This Row],[Puntos]]=ROUND(Piso,0),ROUND(Categorias_Registro[[#This Row],[Puntos]]*(1+Categorias_Registro[[#This Row],[Amplitud]]),0),IF(Categorias_Registro[[#This Row],[Puntos]]&lt;D77,D77,ROUND(D77*(1+Categorias_Registro[[#This Row],[Amplitud]]),0)))</f>
        <v>2860</v>
      </c>
      <c r="E76" s="15">
        <f>E77+IF(D77=Categorias_Registro[[#This Row],[Máximo]],0,1)</f>
        <v>25</v>
      </c>
      <c r="F76" s="15">
        <f>ROUND(Categorias_Registro[[#This Row],[Mínimo]]+((Categorias_Registro[[#This Row],[Máximo]]-Categorias_Registro[[#This Row],[Mínimo]])/2),0)</f>
        <v>2674</v>
      </c>
      <c r="G76" s="78">
        <f>VLOOKUP(Categorias_Registro[[#This Row],[Puntos]],Categorias_Configuracion[],MATCH(Categorias_Configuracion[[#Headers],[% Amplitud]],Categorias_Configuracion[#Headers],0),TRUE)</f>
        <v>0.15</v>
      </c>
      <c r="H76" s="15" t="str">
        <f ca="1">TEXT(Categorias_Registro[[#This Row],[Mínimo]],Formato_Rango_Categorias)&amp;" - "&amp;TEXT(Categorias_Registro[[#This Row],[Máximo]],Formato_Rango_Categorias)</f>
        <v>2.488 - 2.860</v>
      </c>
    </row>
    <row r="77" spans="2:8">
      <c r="B77" s="15">
        <f>Techo - ROW() + ROW(Categorias_Registro[])</f>
        <v>2552</v>
      </c>
      <c r="C77" s="15">
        <f>IF(Categorias_Registro[[#This Row],[Puntos]]&lt;=ROUND(Piso,0),Piso,IF(Categorias_Registro[[#This Row],[Puntos]]&lt;D78,C78,D78+1))</f>
        <v>2488</v>
      </c>
      <c r="D77" s="15">
        <f>IF(Categorias_Registro[[#This Row],[Puntos]]=ROUND(Piso,0),ROUND(Categorias_Registro[[#This Row],[Puntos]]*(1+Categorias_Registro[[#This Row],[Amplitud]]),0),IF(Categorias_Registro[[#This Row],[Puntos]]&lt;D78,D78,ROUND(D78*(1+Categorias_Registro[[#This Row],[Amplitud]]),0)))</f>
        <v>2860</v>
      </c>
      <c r="E77" s="15">
        <f>E78+IF(D78=Categorias_Registro[[#This Row],[Máximo]],0,1)</f>
        <v>25</v>
      </c>
      <c r="F77" s="15">
        <f>ROUND(Categorias_Registro[[#This Row],[Mínimo]]+((Categorias_Registro[[#This Row],[Máximo]]-Categorias_Registro[[#This Row],[Mínimo]])/2),0)</f>
        <v>2674</v>
      </c>
      <c r="G77" s="78">
        <f>VLOOKUP(Categorias_Registro[[#This Row],[Puntos]],Categorias_Configuracion[],MATCH(Categorias_Configuracion[[#Headers],[% Amplitud]],Categorias_Configuracion[#Headers],0),TRUE)</f>
        <v>0.15</v>
      </c>
      <c r="H77" s="15" t="str">
        <f ca="1">TEXT(Categorias_Registro[[#This Row],[Mínimo]],Formato_Rango_Categorias)&amp;" - "&amp;TEXT(Categorias_Registro[[#This Row],[Máximo]],Formato_Rango_Categorias)</f>
        <v>2.488 - 2.860</v>
      </c>
    </row>
    <row r="78" spans="2:8">
      <c r="B78" s="15">
        <f>Techo - ROW() + ROW(Categorias_Registro[])</f>
        <v>2551</v>
      </c>
      <c r="C78" s="15">
        <f>IF(Categorias_Registro[[#This Row],[Puntos]]&lt;=ROUND(Piso,0),Piso,IF(Categorias_Registro[[#This Row],[Puntos]]&lt;D79,C79,D79+1))</f>
        <v>2488</v>
      </c>
      <c r="D78" s="15">
        <f>IF(Categorias_Registro[[#This Row],[Puntos]]=ROUND(Piso,0),ROUND(Categorias_Registro[[#This Row],[Puntos]]*(1+Categorias_Registro[[#This Row],[Amplitud]]),0),IF(Categorias_Registro[[#This Row],[Puntos]]&lt;D79,D79,ROUND(D79*(1+Categorias_Registro[[#This Row],[Amplitud]]),0)))</f>
        <v>2860</v>
      </c>
      <c r="E78" s="15">
        <f>E79+IF(D79=Categorias_Registro[[#This Row],[Máximo]],0,1)</f>
        <v>25</v>
      </c>
      <c r="F78" s="15">
        <f>ROUND(Categorias_Registro[[#This Row],[Mínimo]]+((Categorias_Registro[[#This Row],[Máximo]]-Categorias_Registro[[#This Row],[Mínimo]])/2),0)</f>
        <v>2674</v>
      </c>
      <c r="G78" s="78">
        <f>VLOOKUP(Categorias_Registro[[#This Row],[Puntos]],Categorias_Configuracion[],MATCH(Categorias_Configuracion[[#Headers],[% Amplitud]],Categorias_Configuracion[#Headers],0),TRUE)</f>
        <v>0.15</v>
      </c>
      <c r="H78" s="15" t="str">
        <f ca="1">TEXT(Categorias_Registro[[#This Row],[Mínimo]],Formato_Rango_Categorias)&amp;" - "&amp;TEXT(Categorias_Registro[[#This Row],[Máximo]],Formato_Rango_Categorias)</f>
        <v>2.488 - 2.860</v>
      </c>
    </row>
    <row r="79" spans="2:8">
      <c r="B79" s="15">
        <f>Techo - ROW() + ROW(Categorias_Registro[])</f>
        <v>2550</v>
      </c>
      <c r="C79" s="15">
        <f>IF(Categorias_Registro[[#This Row],[Puntos]]&lt;=ROUND(Piso,0),Piso,IF(Categorias_Registro[[#This Row],[Puntos]]&lt;D80,C80,D80+1))</f>
        <v>2488</v>
      </c>
      <c r="D79" s="15">
        <f>IF(Categorias_Registro[[#This Row],[Puntos]]=ROUND(Piso,0),ROUND(Categorias_Registro[[#This Row],[Puntos]]*(1+Categorias_Registro[[#This Row],[Amplitud]]),0),IF(Categorias_Registro[[#This Row],[Puntos]]&lt;D80,D80,ROUND(D80*(1+Categorias_Registro[[#This Row],[Amplitud]]),0)))</f>
        <v>2860</v>
      </c>
      <c r="E79" s="15">
        <f>E80+IF(D80=Categorias_Registro[[#This Row],[Máximo]],0,1)</f>
        <v>25</v>
      </c>
      <c r="F79" s="15">
        <f>ROUND(Categorias_Registro[[#This Row],[Mínimo]]+((Categorias_Registro[[#This Row],[Máximo]]-Categorias_Registro[[#This Row],[Mínimo]])/2),0)</f>
        <v>2674</v>
      </c>
      <c r="G79" s="78">
        <f>VLOOKUP(Categorias_Registro[[#This Row],[Puntos]],Categorias_Configuracion[],MATCH(Categorias_Configuracion[[#Headers],[% Amplitud]],Categorias_Configuracion[#Headers],0),TRUE)</f>
        <v>0.15</v>
      </c>
      <c r="H79" s="15" t="str">
        <f ca="1">TEXT(Categorias_Registro[[#This Row],[Mínimo]],Formato_Rango_Categorias)&amp;" - "&amp;TEXT(Categorias_Registro[[#This Row],[Máximo]],Formato_Rango_Categorias)</f>
        <v>2.488 - 2.860</v>
      </c>
    </row>
    <row r="80" spans="2:8">
      <c r="B80" s="15">
        <f>Techo - ROW() + ROW(Categorias_Registro[])</f>
        <v>2549</v>
      </c>
      <c r="C80" s="15">
        <f>IF(Categorias_Registro[[#This Row],[Puntos]]&lt;=ROUND(Piso,0),Piso,IF(Categorias_Registro[[#This Row],[Puntos]]&lt;D81,C81,D81+1))</f>
        <v>2488</v>
      </c>
      <c r="D80" s="15">
        <f>IF(Categorias_Registro[[#This Row],[Puntos]]=ROUND(Piso,0),ROUND(Categorias_Registro[[#This Row],[Puntos]]*(1+Categorias_Registro[[#This Row],[Amplitud]]),0),IF(Categorias_Registro[[#This Row],[Puntos]]&lt;D81,D81,ROUND(D81*(1+Categorias_Registro[[#This Row],[Amplitud]]),0)))</f>
        <v>2860</v>
      </c>
      <c r="E80" s="15">
        <f>E81+IF(D81=Categorias_Registro[[#This Row],[Máximo]],0,1)</f>
        <v>25</v>
      </c>
      <c r="F80" s="15">
        <f>ROUND(Categorias_Registro[[#This Row],[Mínimo]]+((Categorias_Registro[[#This Row],[Máximo]]-Categorias_Registro[[#This Row],[Mínimo]])/2),0)</f>
        <v>2674</v>
      </c>
      <c r="G80" s="78">
        <f>VLOOKUP(Categorias_Registro[[#This Row],[Puntos]],Categorias_Configuracion[],MATCH(Categorias_Configuracion[[#Headers],[% Amplitud]],Categorias_Configuracion[#Headers],0),TRUE)</f>
        <v>0.15</v>
      </c>
      <c r="H80" s="15" t="str">
        <f ca="1">TEXT(Categorias_Registro[[#This Row],[Mínimo]],Formato_Rango_Categorias)&amp;" - "&amp;TEXT(Categorias_Registro[[#This Row],[Máximo]],Formato_Rango_Categorias)</f>
        <v>2.488 - 2.860</v>
      </c>
    </row>
    <row r="81" spans="2:8">
      <c r="B81" s="15">
        <f>Techo - ROW() + ROW(Categorias_Registro[])</f>
        <v>2548</v>
      </c>
      <c r="C81" s="15">
        <f>IF(Categorias_Registro[[#This Row],[Puntos]]&lt;=ROUND(Piso,0),Piso,IF(Categorias_Registro[[#This Row],[Puntos]]&lt;D82,C82,D82+1))</f>
        <v>2488</v>
      </c>
      <c r="D81" s="15">
        <f>IF(Categorias_Registro[[#This Row],[Puntos]]=ROUND(Piso,0),ROUND(Categorias_Registro[[#This Row],[Puntos]]*(1+Categorias_Registro[[#This Row],[Amplitud]]),0),IF(Categorias_Registro[[#This Row],[Puntos]]&lt;D82,D82,ROUND(D82*(1+Categorias_Registro[[#This Row],[Amplitud]]),0)))</f>
        <v>2860</v>
      </c>
      <c r="E81" s="15">
        <f>E82+IF(D82=Categorias_Registro[[#This Row],[Máximo]],0,1)</f>
        <v>25</v>
      </c>
      <c r="F81" s="15">
        <f>ROUND(Categorias_Registro[[#This Row],[Mínimo]]+((Categorias_Registro[[#This Row],[Máximo]]-Categorias_Registro[[#This Row],[Mínimo]])/2),0)</f>
        <v>2674</v>
      </c>
      <c r="G81" s="78">
        <f>VLOOKUP(Categorias_Registro[[#This Row],[Puntos]],Categorias_Configuracion[],MATCH(Categorias_Configuracion[[#Headers],[% Amplitud]],Categorias_Configuracion[#Headers],0),TRUE)</f>
        <v>0.15</v>
      </c>
      <c r="H81" s="15" t="str">
        <f ca="1">TEXT(Categorias_Registro[[#This Row],[Mínimo]],Formato_Rango_Categorias)&amp;" - "&amp;TEXT(Categorias_Registro[[#This Row],[Máximo]],Formato_Rango_Categorias)</f>
        <v>2.488 - 2.860</v>
      </c>
    </row>
    <row r="82" spans="2:8">
      <c r="B82" s="15">
        <f>Techo - ROW() + ROW(Categorias_Registro[])</f>
        <v>2547</v>
      </c>
      <c r="C82" s="15">
        <f>IF(Categorias_Registro[[#This Row],[Puntos]]&lt;=ROUND(Piso,0),Piso,IF(Categorias_Registro[[#This Row],[Puntos]]&lt;D83,C83,D83+1))</f>
        <v>2488</v>
      </c>
      <c r="D82" s="15">
        <f>IF(Categorias_Registro[[#This Row],[Puntos]]=ROUND(Piso,0),ROUND(Categorias_Registro[[#This Row],[Puntos]]*(1+Categorias_Registro[[#This Row],[Amplitud]]),0),IF(Categorias_Registro[[#This Row],[Puntos]]&lt;D83,D83,ROUND(D83*(1+Categorias_Registro[[#This Row],[Amplitud]]),0)))</f>
        <v>2860</v>
      </c>
      <c r="E82" s="15">
        <f>E83+IF(D83=Categorias_Registro[[#This Row],[Máximo]],0,1)</f>
        <v>25</v>
      </c>
      <c r="F82" s="15">
        <f>ROUND(Categorias_Registro[[#This Row],[Mínimo]]+((Categorias_Registro[[#This Row],[Máximo]]-Categorias_Registro[[#This Row],[Mínimo]])/2),0)</f>
        <v>2674</v>
      </c>
      <c r="G82" s="78">
        <f>VLOOKUP(Categorias_Registro[[#This Row],[Puntos]],Categorias_Configuracion[],MATCH(Categorias_Configuracion[[#Headers],[% Amplitud]],Categorias_Configuracion[#Headers],0),TRUE)</f>
        <v>0.15</v>
      </c>
      <c r="H82" s="15" t="str">
        <f ca="1">TEXT(Categorias_Registro[[#This Row],[Mínimo]],Formato_Rango_Categorias)&amp;" - "&amp;TEXT(Categorias_Registro[[#This Row],[Máximo]],Formato_Rango_Categorias)</f>
        <v>2.488 - 2.860</v>
      </c>
    </row>
    <row r="83" spans="2:8">
      <c r="B83" s="15">
        <f>Techo - ROW() + ROW(Categorias_Registro[])</f>
        <v>2546</v>
      </c>
      <c r="C83" s="15">
        <f>IF(Categorias_Registro[[#This Row],[Puntos]]&lt;=ROUND(Piso,0),Piso,IF(Categorias_Registro[[#This Row],[Puntos]]&lt;D84,C84,D84+1))</f>
        <v>2488</v>
      </c>
      <c r="D83" s="15">
        <f>IF(Categorias_Registro[[#This Row],[Puntos]]=ROUND(Piso,0),ROUND(Categorias_Registro[[#This Row],[Puntos]]*(1+Categorias_Registro[[#This Row],[Amplitud]]),0),IF(Categorias_Registro[[#This Row],[Puntos]]&lt;D84,D84,ROUND(D84*(1+Categorias_Registro[[#This Row],[Amplitud]]),0)))</f>
        <v>2860</v>
      </c>
      <c r="E83" s="15">
        <f>E84+IF(D84=Categorias_Registro[[#This Row],[Máximo]],0,1)</f>
        <v>25</v>
      </c>
      <c r="F83" s="15">
        <f>ROUND(Categorias_Registro[[#This Row],[Mínimo]]+((Categorias_Registro[[#This Row],[Máximo]]-Categorias_Registro[[#This Row],[Mínimo]])/2),0)</f>
        <v>2674</v>
      </c>
      <c r="G83" s="78">
        <f>VLOOKUP(Categorias_Registro[[#This Row],[Puntos]],Categorias_Configuracion[],MATCH(Categorias_Configuracion[[#Headers],[% Amplitud]],Categorias_Configuracion[#Headers],0),TRUE)</f>
        <v>0.15</v>
      </c>
      <c r="H83" s="15" t="str">
        <f ca="1">TEXT(Categorias_Registro[[#This Row],[Mínimo]],Formato_Rango_Categorias)&amp;" - "&amp;TEXT(Categorias_Registro[[#This Row],[Máximo]],Formato_Rango_Categorias)</f>
        <v>2.488 - 2.860</v>
      </c>
    </row>
    <row r="84" spans="2:8">
      <c r="B84" s="15">
        <f>Techo - ROW() + ROW(Categorias_Registro[])</f>
        <v>2545</v>
      </c>
      <c r="C84" s="15">
        <f>IF(Categorias_Registro[[#This Row],[Puntos]]&lt;=ROUND(Piso,0),Piso,IF(Categorias_Registro[[#This Row],[Puntos]]&lt;D85,C85,D85+1))</f>
        <v>2488</v>
      </c>
      <c r="D84" s="15">
        <f>IF(Categorias_Registro[[#This Row],[Puntos]]=ROUND(Piso,0),ROUND(Categorias_Registro[[#This Row],[Puntos]]*(1+Categorias_Registro[[#This Row],[Amplitud]]),0),IF(Categorias_Registro[[#This Row],[Puntos]]&lt;D85,D85,ROUND(D85*(1+Categorias_Registro[[#This Row],[Amplitud]]),0)))</f>
        <v>2860</v>
      </c>
      <c r="E84" s="15">
        <f>E85+IF(D85=Categorias_Registro[[#This Row],[Máximo]],0,1)</f>
        <v>25</v>
      </c>
      <c r="F84" s="15">
        <f>ROUND(Categorias_Registro[[#This Row],[Mínimo]]+((Categorias_Registro[[#This Row],[Máximo]]-Categorias_Registro[[#This Row],[Mínimo]])/2),0)</f>
        <v>2674</v>
      </c>
      <c r="G84" s="78">
        <f>VLOOKUP(Categorias_Registro[[#This Row],[Puntos]],Categorias_Configuracion[],MATCH(Categorias_Configuracion[[#Headers],[% Amplitud]],Categorias_Configuracion[#Headers],0),TRUE)</f>
        <v>0.15</v>
      </c>
      <c r="H84" s="15" t="str">
        <f ca="1">TEXT(Categorias_Registro[[#This Row],[Mínimo]],Formato_Rango_Categorias)&amp;" - "&amp;TEXT(Categorias_Registro[[#This Row],[Máximo]],Formato_Rango_Categorias)</f>
        <v>2.488 - 2.860</v>
      </c>
    </row>
    <row r="85" spans="2:8">
      <c r="B85" s="15">
        <f>Techo - ROW() + ROW(Categorias_Registro[])</f>
        <v>2544</v>
      </c>
      <c r="C85" s="15">
        <f>IF(Categorias_Registro[[#This Row],[Puntos]]&lt;=ROUND(Piso,0),Piso,IF(Categorias_Registro[[#This Row],[Puntos]]&lt;D86,C86,D86+1))</f>
        <v>2488</v>
      </c>
      <c r="D85" s="15">
        <f>IF(Categorias_Registro[[#This Row],[Puntos]]=ROUND(Piso,0),ROUND(Categorias_Registro[[#This Row],[Puntos]]*(1+Categorias_Registro[[#This Row],[Amplitud]]),0),IF(Categorias_Registro[[#This Row],[Puntos]]&lt;D86,D86,ROUND(D86*(1+Categorias_Registro[[#This Row],[Amplitud]]),0)))</f>
        <v>2860</v>
      </c>
      <c r="E85" s="15">
        <f>E86+IF(D86=Categorias_Registro[[#This Row],[Máximo]],0,1)</f>
        <v>25</v>
      </c>
      <c r="F85" s="15">
        <f>ROUND(Categorias_Registro[[#This Row],[Mínimo]]+((Categorias_Registro[[#This Row],[Máximo]]-Categorias_Registro[[#This Row],[Mínimo]])/2),0)</f>
        <v>2674</v>
      </c>
      <c r="G85" s="78">
        <f>VLOOKUP(Categorias_Registro[[#This Row],[Puntos]],Categorias_Configuracion[],MATCH(Categorias_Configuracion[[#Headers],[% Amplitud]],Categorias_Configuracion[#Headers],0),TRUE)</f>
        <v>0.15</v>
      </c>
      <c r="H85" s="15" t="str">
        <f ca="1">TEXT(Categorias_Registro[[#This Row],[Mínimo]],Formato_Rango_Categorias)&amp;" - "&amp;TEXT(Categorias_Registro[[#This Row],[Máximo]],Formato_Rango_Categorias)</f>
        <v>2.488 - 2.860</v>
      </c>
    </row>
    <row r="86" spans="2:8">
      <c r="B86" s="15">
        <f>Techo - ROW() + ROW(Categorias_Registro[])</f>
        <v>2543</v>
      </c>
      <c r="C86" s="15">
        <f>IF(Categorias_Registro[[#This Row],[Puntos]]&lt;=ROUND(Piso,0),Piso,IF(Categorias_Registro[[#This Row],[Puntos]]&lt;D87,C87,D87+1))</f>
        <v>2488</v>
      </c>
      <c r="D86" s="15">
        <f>IF(Categorias_Registro[[#This Row],[Puntos]]=ROUND(Piso,0),ROUND(Categorias_Registro[[#This Row],[Puntos]]*(1+Categorias_Registro[[#This Row],[Amplitud]]),0),IF(Categorias_Registro[[#This Row],[Puntos]]&lt;D87,D87,ROUND(D87*(1+Categorias_Registro[[#This Row],[Amplitud]]),0)))</f>
        <v>2860</v>
      </c>
      <c r="E86" s="15">
        <f>E87+IF(D87=Categorias_Registro[[#This Row],[Máximo]],0,1)</f>
        <v>25</v>
      </c>
      <c r="F86" s="15">
        <f>ROUND(Categorias_Registro[[#This Row],[Mínimo]]+((Categorias_Registro[[#This Row],[Máximo]]-Categorias_Registro[[#This Row],[Mínimo]])/2),0)</f>
        <v>2674</v>
      </c>
      <c r="G86" s="78">
        <f>VLOOKUP(Categorias_Registro[[#This Row],[Puntos]],Categorias_Configuracion[],MATCH(Categorias_Configuracion[[#Headers],[% Amplitud]],Categorias_Configuracion[#Headers],0),TRUE)</f>
        <v>0.15</v>
      </c>
      <c r="H86" s="15" t="str">
        <f ca="1">TEXT(Categorias_Registro[[#This Row],[Mínimo]],Formato_Rango_Categorias)&amp;" - "&amp;TEXT(Categorias_Registro[[#This Row],[Máximo]],Formato_Rango_Categorias)</f>
        <v>2.488 - 2.860</v>
      </c>
    </row>
    <row r="87" spans="2:8">
      <c r="B87" s="15">
        <f>Techo - ROW() + ROW(Categorias_Registro[])</f>
        <v>2542</v>
      </c>
      <c r="C87" s="15">
        <f>IF(Categorias_Registro[[#This Row],[Puntos]]&lt;=ROUND(Piso,0),Piso,IF(Categorias_Registro[[#This Row],[Puntos]]&lt;D88,C88,D88+1))</f>
        <v>2488</v>
      </c>
      <c r="D87" s="15">
        <f>IF(Categorias_Registro[[#This Row],[Puntos]]=ROUND(Piso,0),ROUND(Categorias_Registro[[#This Row],[Puntos]]*(1+Categorias_Registro[[#This Row],[Amplitud]]),0),IF(Categorias_Registro[[#This Row],[Puntos]]&lt;D88,D88,ROUND(D88*(1+Categorias_Registro[[#This Row],[Amplitud]]),0)))</f>
        <v>2860</v>
      </c>
      <c r="E87" s="15">
        <f>E88+IF(D88=Categorias_Registro[[#This Row],[Máximo]],0,1)</f>
        <v>25</v>
      </c>
      <c r="F87" s="15">
        <f>ROUND(Categorias_Registro[[#This Row],[Mínimo]]+((Categorias_Registro[[#This Row],[Máximo]]-Categorias_Registro[[#This Row],[Mínimo]])/2),0)</f>
        <v>2674</v>
      </c>
      <c r="G87" s="78">
        <f>VLOOKUP(Categorias_Registro[[#This Row],[Puntos]],Categorias_Configuracion[],MATCH(Categorias_Configuracion[[#Headers],[% Amplitud]],Categorias_Configuracion[#Headers],0),TRUE)</f>
        <v>0.15</v>
      </c>
      <c r="H87" s="15" t="str">
        <f ca="1">TEXT(Categorias_Registro[[#This Row],[Mínimo]],Formato_Rango_Categorias)&amp;" - "&amp;TEXT(Categorias_Registro[[#This Row],[Máximo]],Formato_Rango_Categorias)</f>
        <v>2.488 - 2.860</v>
      </c>
    </row>
    <row r="88" spans="2:8">
      <c r="B88" s="15">
        <f>Techo - ROW() + ROW(Categorias_Registro[])</f>
        <v>2541</v>
      </c>
      <c r="C88" s="15">
        <f>IF(Categorias_Registro[[#This Row],[Puntos]]&lt;=ROUND(Piso,0),Piso,IF(Categorias_Registro[[#This Row],[Puntos]]&lt;D89,C89,D89+1))</f>
        <v>2488</v>
      </c>
      <c r="D88" s="15">
        <f>IF(Categorias_Registro[[#This Row],[Puntos]]=ROUND(Piso,0),ROUND(Categorias_Registro[[#This Row],[Puntos]]*(1+Categorias_Registro[[#This Row],[Amplitud]]),0),IF(Categorias_Registro[[#This Row],[Puntos]]&lt;D89,D89,ROUND(D89*(1+Categorias_Registro[[#This Row],[Amplitud]]),0)))</f>
        <v>2860</v>
      </c>
      <c r="E88" s="15">
        <f>E89+IF(D89=Categorias_Registro[[#This Row],[Máximo]],0,1)</f>
        <v>25</v>
      </c>
      <c r="F88" s="15">
        <f>ROUND(Categorias_Registro[[#This Row],[Mínimo]]+((Categorias_Registro[[#This Row],[Máximo]]-Categorias_Registro[[#This Row],[Mínimo]])/2),0)</f>
        <v>2674</v>
      </c>
      <c r="G88" s="78">
        <f>VLOOKUP(Categorias_Registro[[#This Row],[Puntos]],Categorias_Configuracion[],MATCH(Categorias_Configuracion[[#Headers],[% Amplitud]],Categorias_Configuracion[#Headers],0),TRUE)</f>
        <v>0.15</v>
      </c>
      <c r="H88" s="15" t="str">
        <f ca="1">TEXT(Categorias_Registro[[#This Row],[Mínimo]],Formato_Rango_Categorias)&amp;" - "&amp;TEXT(Categorias_Registro[[#This Row],[Máximo]],Formato_Rango_Categorias)</f>
        <v>2.488 - 2.860</v>
      </c>
    </row>
    <row r="89" spans="2:8">
      <c r="B89" s="15">
        <f>Techo - ROW() + ROW(Categorias_Registro[])</f>
        <v>2540</v>
      </c>
      <c r="C89" s="15">
        <f>IF(Categorias_Registro[[#This Row],[Puntos]]&lt;=ROUND(Piso,0),Piso,IF(Categorias_Registro[[#This Row],[Puntos]]&lt;D90,C90,D90+1))</f>
        <v>2488</v>
      </c>
      <c r="D89" s="15">
        <f>IF(Categorias_Registro[[#This Row],[Puntos]]=ROUND(Piso,0),ROUND(Categorias_Registro[[#This Row],[Puntos]]*(1+Categorias_Registro[[#This Row],[Amplitud]]),0),IF(Categorias_Registro[[#This Row],[Puntos]]&lt;D90,D90,ROUND(D90*(1+Categorias_Registro[[#This Row],[Amplitud]]),0)))</f>
        <v>2860</v>
      </c>
      <c r="E89" s="15">
        <f>E90+IF(D90=Categorias_Registro[[#This Row],[Máximo]],0,1)</f>
        <v>25</v>
      </c>
      <c r="F89" s="15">
        <f>ROUND(Categorias_Registro[[#This Row],[Mínimo]]+((Categorias_Registro[[#This Row],[Máximo]]-Categorias_Registro[[#This Row],[Mínimo]])/2),0)</f>
        <v>2674</v>
      </c>
      <c r="G89" s="78">
        <f>VLOOKUP(Categorias_Registro[[#This Row],[Puntos]],Categorias_Configuracion[],MATCH(Categorias_Configuracion[[#Headers],[% Amplitud]],Categorias_Configuracion[#Headers],0),TRUE)</f>
        <v>0.15</v>
      </c>
      <c r="H89" s="15" t="str">
        <f ca="1">TEXT(Categorias_Registro[[#This Row],[Mínimo]],Formato_Rango_Categorias)&amp;" - "&amp;TEXT(Categorias_Registro[[#This Row],[Máximo]],Formato_Rango_Categorias)</f>
        <v>2.488 - 2.860</v>
      </c>
    </row>
    <row r="90" spans="2:8">
      <c r="B90" s="15">
        <f>Techo - ROW() + ROW(Categorias_Registro[])</f>
        <v>2539</v>
      </c>
      <c r="C90" s="15">
        <f>IF(Categorias_Registro[[#This Row],[Puntos]]&lt;=ROUND(Piso,0),Piso,IF(Categorias_Registro[[#This Row],[Puntos]]&lt;D91,C91,D91+1))</f>
        <v>2488</v>
      </c>
      <c r="D90" s="15">
        <f>IF(Categorias_Registro[[#This Row],[Puntos]]=ROUND(Piso,0),ROUND(Categorias_Registro[[#This Row],[Puntos]]*(1+Categorias_Registro[[#This Row],[Amplitud]]),0),IF(Categorias_Registro[[#This Row],[Puntos]]&lt;D91,D91,ROUND(D91*(1+Categorias_Registro[[#This Row],[Amplitud]]),0)))</f>
        <v>2860</v>
      </c>
      <c r="E90" s="15">
        <f>E91+IF(D91=Categorias_Registro[[#This Row],[Máximo]],0,1)</f>
        <v>25</v>
      </c>
      <c r="F90" s="15">
        <f>ROUND(Categorias_Registro[[#This Row],[Mínimo]]+((Categorias_Registro[[#This Row],[Máximo]]-Categorias_Registro[[#This Row],[Mínimo]])/2),0)</f>
        <v>2674</v>
      </c>
      <c r="G90" s="78">
        <f>VLOOKUP(Categorias_Registro[[#This Row],[Puntos]],Categorias_Configuracion[],MATCH(Categorias_Configuracion[[#Headers],[% Amplitud]],Categorias_Configuracion[#Headers],0),TRUE)</f>
        <v>0.15</v>
      </c>
      <c r="H90" s="15" t="str">
        <f ca="1">TEXT(Categorias_Registro[[#This Row],[Mínimo]],Formato_Rango_Categorias)&amp;" - "&amp;TEXT(Categorias_Registro[[#This Row],[Máximo]],Formato_Rango_Categorias)</f>
        <v>2.488 - 2.860</v>
      </c>
    </row>
    <row r="91" spans="2:8">
      <c r="B91" s="15">
        <f>Techo - ROW() + ROW(Categorias_Registro[])</f>
        <v>2538</v>
      </c>
      <c r="C91" s="15">
        <f>IF(Categorias_Registro[[#This Row],[Puntos]]&lt;=ROUND(Piso,0),Piso,IF(Categorias_Registro[[#This Row],[Puntos]]&lt;D92,C92,D92+1))</f>
        <v>2488</v>
      </c>
      <c r="D91" s="15">
        <f>IF(Categorias_Registro[[#This Row],[Puntos]]=ROUND(Piso,0),ROUND(Categorias_Registro[[#This Row],[Puntos]]*(1+Categorias_Registro[[#This Row],[Amplitud]]),0),IF(Categorias_Registro[[#This Row],[Puntos]]&lt;D92,D92,ROUND(D92*(1+Categorias_Registro[[#This Row],[Amplitud]]),0)))</f>
        <v>2860</v>
      </c>
      <c r="E91" s="15">
        <f>E92+IF(D92=Categorias_Registro[[#This Row],[Máximo]],0,1)</f>
        <v>25</v>
      </c>
      <c r="F91" s="15">
        <f>ROUND(Categorias_Registro[[#This Row],[Mínimo]]+((Categorias_Registro[[#This Row],[Máximo]]-Categorias_Registro[[#This Row],[Mínimo]])/2),0)</f>
        <v>2674</v>
      </c>
      <c r="G91" s="78">
        <f>VLOOKUP(Categorias_Registro[[#This Row],[Puntos]],Categorias_Configuracion[],MATCH(Categorias_Configuracion[[#Headers],[% Amplitud]],Categorias_Configuracion[#Headers],0),TRUE)</f>
        <v>0.15</v>
      </c>
      <c r="H91" s="15" t="str">
        <f ca="1">TEXT(Categorias_Registro[[#This Row],[Mínimo]],Formato_Rango_Categorias)&amp;" - "&amp;TEXT(Categorias_Registro[[#This Row],[Máximo]],Formato_Rango_Categorias)</f>
        <v>2.488 - 2.860</v>
      </c>
    </row>
    <row r="92" spans="2:8">
      <c r="B92" s="15">
        <f>Techo - ROW() + ROW(Categorias_Registro[])</f>
        <v>2537</v>
      </c>
      <c r="C92" s="15">
        <f>IF(Categorias_Registro[[#This Row],[Puntos]]&lt;=ROUND(Piso,0),Piso,IF(Categorias_Registro[[#This Row],[Puntos]]&lt;D93,C93,D93+1))</f>
        <v>2488</v>
      </c>
      <c r="D92" s="15">
        <f>IF(Categorias_Registro[[#This Row],[Puntos]]=ROUND(Piso,0),ROUND(Categorias_Registro[[#This Row],[Puntos]]*(1+Categorias_Registro[[#This Row],[Amplitud]]),0),IF(Categorias_Registro[[#This Row],[Puntos]]&lt;D93,D93,ROUND(D93*(1+Categorias_Registro[[#This Row],[Amplitud]]),0)))</f>
        <v>2860</v>
      </c>
      <c r="E92" s="15">
        <f>E93+IF(D93=Categorias_Registro[[#This Row],[Máximo]],0,1)</f>
        <v>25</v>
      </c>
      <c r="F92" s="15">
        <f>ROUND(Categorias_Registro[[#This Row],[Mínimo]]+((Categorias_Registro[[#This Row],[Máximo]]-Categorias_Registro[[#This Row],[Mínimo]])/2),0)</f>
        <v>2674</v>
      </c>
      <c r="G92" s="78">
        <f>VLOOKUP(Categorias_Registro[[#This Row],[Puntos]],Categorias_Configuracion[],MATCH(Categorias_Configuracion[[#Headers],[% Amplitud]],Categorias_Configuracion[#Headers],0),TRUE)</f>
        <v>0.15</v>
      </c>
      <c r="H92" s="15" t="str">
        <f ca="1">TEXT(Categorias_Registro[[#This Row],[Mínimo]],Formato_Rango_Categorias)&amp;" - "&amp;TEXT(Categorias_Registro[[#This Row],[Máximo]],Formato_Rango_Categorias)</f>
        <v>2.488 - 2.860</v>
      </c>
    </row>
    <row r="93" spans="2:8">
      <c r="B93" s="15">
        <f>Techo - ROW() + ROW(Categorias_Registro[])</f>
        <v>2536</v>
      </c>
      <c r="C93" s="15">
        <f>IF(Categorias_Registro[[#This Row],[Puntos]]&lt;=ROUND(Piso,0),Piso,IF(Categorias_Registro[[#This Row],[Puntos]]&lt;D94,C94,D94+1))</f>
        <v>2488</v>
      </c>
      <c r="D93" s="15">
        <f>IF(Categorias_Registro[[#This Row],[Puntos]]=ROUND(Piso,0),ROUND(Categorias_Registro[[#This Row],[Puntos]]*(1+Categorias_Registro[[#This Row],[Amplitud]]),0),IF(Categorias_Registro[[#This Row],[Puntos]]&lt;D94,D94,ROUND(D94*(1+Categorias_Registro[[#This Row],[Amplitud]]),0)))</f>
        <v>2860</v>
      </c>
      <c r="E93" s="15">
        <f>E94+IF(D94=Categorias_Registro[[#This Row],[Máximo]],0,1)</f>
        <v>25</v>
      </c>
      <c r="F93" s="15">
        <f>ROUND(Categorias_Registro[[#This Row],[Mínimo]]+((Categorias_Registro[[#This Row],[Máximo]]-Categorias_Registro[[#This Row],[Mínimo]])/2),0)</f>
        <v>2674</v>
      </c>
      <c r="G93" s="78">
        <f>VLOOKUP(Categorias_Registro[[#This Row],[Puntos]],Categorias_Configuracion[],MATCH(Categorias_Configuracion[[#Headers],[% Amplitud]],Categorias_Configuracion[#Headers],0),TRUE)</f>
        <v>0.15</v>
      </c>
      <c r="H93" s="15" t="str">
        <f ca="1">TEXT(Categorias_Registro[[#This Row],[Mínimo]],Formato_Rango_Categorias)&amp;" - "&amp;TEXT(Categorias_Registro[[#This Row],[Máximo]],Formato_Rango_Categorias)</f>
        <v>2.488 - 2.860</v>
      </c>
    </row>
    <row r="94" spans="2:8">
      <c r="B94" s="15">
        <f>Techo - ROW() + ROW(Categorias_Registro[])</f>
        <v>2535</v>
      </c>
      <c r="C94" s="15">
        <f>IF(Categorias_Registro[[#This Row],[Puntos]]&lt;=ROUND(Piso,0),Piso,IF(Categorias_Registro[[#This Row],[Puntos]]&lt;D95,C95,D95+1))</f>
        <v>2488</v>
      </c>
      <c r="D94" s="15">
        <f>IF(Categorias_Registro[[#This Row],[Puntos]]=ROUND(Piso,0),ROUND(Categorias_Registro[[#This Row],[Puntos]]*(1+Categorias_Registro[[#This Row],[Amplitud]]),0),IF(Categorias_Registro[[#This Row],[Puntos]]&lt;D95,D95,ROUND(D95*(1+Categorias_Registro[[#This Row],[Amplitud]]),0)))</f>
        <v>2860</v>
      </c>
      <c r="E94" s="15">
        <f>E95+IF(D95=Categorias_Registro[[#This Row],[Máximo]],0,1)</f>
        <v>25</v>
      </c>
      <c r="F94" s="15">
        <f>ROUND(Categorias_Registro[[#This Row],[Mínimo]]+((Categorias_Registro[[#This Row],[Máximo]]-Categorias_Registro[[#This Row],[Mínimo]])/2),0)</f>
        <v>2674</v>
      </c>
      <c r="G94" s="78">
        <f>VLOOKUP(Categorias_Registro[[#This Row],[Puntos]],Categorias_Configuracion[],MATCH(Categorias_Configuracion[[#Headers],[% Amplitud]],Categorias_Configuracion[#Headers],0),TRUE)</f>
        <v>0.15</v>
      </c>
      <c r="H94" s="15" t="str">
        <f ca="1">TEXT(Categorias_Registro[[#This Row],[Mínimo]],Formato_Rango_Categorias)&amp;" - "&amp;TEXT(Categorias_Registro[[#This Row],[Máximo]],Formato_Rango_Categorias)</f>
        <v>2.488 - 2.860</v>
      </c>
    </row>
    <row r="95" spans="2:8">
      <c r="B95" s="15">
        <f>Techo - ROW() + ROW(Categorias_Registro[])</f>
        <v>2534</v>
      </c>
      <c r="C95" s="15">
        <f>IF(Categorias_Registro[[#This Row],[Puntos]]&lt;=ROUND(Piso,0),Piso,IF(Categorias_Registro[[#This Row],[Puntos]]&lt;D96,C96,D96+1))</f>
        <v>2488</v>
      </c>
      <c r="D95" s="15">
        <f>IF(Categorias_Registro[[#This Row],[Puntos]]=ROUND(Piso,0),ROUND(Categorias_Registro[[#This Row],[Puntos]]*(1+Categorias_Registro[[#This Row],[Amplitud]]),0),IF(Categorias_Registro[[#This Row],[Puntos]]&lt;D96,D96,ROUND(D96*(1+Categorias_Registro[[#This Row],[Amplitud]]),0)))</f>
        <v>2860</v>
      </c>
      <c r="E95" s="15">
        <f>E96+IF(D96=Categorias_Registro[[#This Row],[Máximo]],0,1)</f>
        <v>25</v>
      </c>
      <c r="F95" s="15">
        <f>ROUND(Categorias_Registro[[#This Row],[Mínimo]]+((Categorias_Registro[[#This Row],[Máximo]]-Categorias_Registro[[#This Row],[Mínimo]])/2),0)</f>
        <v>2674</v>
      </c>
      <c r="G95" s="78">
        <f>VLOOKUP(Categorias_Registro[[#This Row],[Puntos]],Categorias_Configuracion[],MATCH(Categorias_Configuracion[[#Headers],[% Amplitud]],Categorias_Configuracion[#Headers],0),TRUE)</f>
        <v>0.15</v>
      </c>
      <c r="H95" s="15" t="str">
        <f ca="1">TEXT(Categorias_Registro[[#This Row],[Mínimo]],Formato_Rango_Categorias)&amp;" - "&amp;TEXT(Categorias_Registro[[#This Row],[Máximo]],Formato_Rango_Categorias)</f>
        <v>2.488 - 2.860</v>
      </c>
    </row>
    <row r="96" spans="2:8">
      <c r="B96" s="15">
        <f>Techo - ROW() + ROW(Categorias_Registro[])</f>
        <v>2533</v>
      </c>
      <c r="C96" s="15">
        <f>IF(Categorias_Registro[[#This Row],[Puntos]]&lt;=ROUND(Piso,0),Piso,IF(Categorias_Registro[[#This Row],[Puntos]]&lt;D97,C97,D97+1))</f>
        <v>2488</v>
      </c>
      <c r="D96" s="15">
        <f>IF(Categorias_Registro[[#This Row],[Puntos]]=ROUND(Piso,0),ROUND(Categorias_Registro[[#This Row],[Puntos]]*(1+Categorias_Registro[[#This Row],[Amplitud]]),0),IF(Categorias_Registro[[#This Row],[Puntos]]&lt;D97,D97,ROUND(D97*(1+Categorias_Registro[[#This Row],[Amplitud]]),0)))</f>
        <v>2860</v>
      </c>
      <c r="E96" s="15">
        <f>E97+IF(D97=Categorias_Registro[[#This Row],[Máximo]],0,1)</f>
        <v>25</v>
      </c>
      <c r="F96" s="15">
        <f>ROUND(Categorias_Registro[[#This Row],[Mínimo]]+((Categorias_Registro[[#This Row],[Máximo]]-Categorias_Registro[[#This Row],[Mínimo]])/2),0)</f>
        <v>2674</v>
      </c>
      <c r="G96" s="78">
        <f>VLOOKUP(Categorias_Registro[[#This Row],[Puntos]],Categorias_Configuracion[],MATCH(Categorias_Configuracion[[#Headers],[% Amplitud]],Categorias_Configuracion[#Headers],0),TRUE)</f>
        <v>0.15</v>
      </c>
      <c r="H96" s="15" t="str">
        <f ca="1">TEXT(Categorias_Registro[[#This Row],[Mínimo]],Formato_Rango_Categorias)&amp;" - "&amp;TEXT(Categorias_Registro[[#This Row],[Máximo]],Formato_Rango_Categorias)</f>
        <v>2.488 - 2.860</v>
      </c>
    </row>
    <row r="97" spans="2:8">
      <c r="B97" s="15">
        <f>Techo - ROW() + ROW(Categorias_Registro[])</f>
        <v>2532</v>
      </c>
      <c r="C97" s="15">
        <f>IF(Categorias_Registro[[#This Row],[Puntos]]&lt;=ROUND(Piso,0),Piso,IF(Categorias_Registro[[#This Row],[Puntos]]&lt;D98,C98,D98+1))</f>
        <v>2488</v>
      </c>
      <c r="D97" s="15">
        <f>IF(Categorias_Registro[[#This Row],[Puntos]]=ROUND(Piso,0),ROUND(Categorias_Registro[[#This Row],[Puntos]]*(1+Categorias_Registro[[#This Row],[Amplitud]]),0),IF(Categorias_Registro[[#This Row],[Puntos]]&lt;D98,D98,ROUND(D98*(1+Categorias_Registro[[#This Row],[Amplitud]]),0)))</f>
        <v>2860</v>
      </c>
      <c r="E97" s="15">
        <f>E98+IF(D98=Categorias_Registro[[#This Row],[Máximo]],0,1)</f>
        <v>25</v>
      </c>
      <c r="F97" s="15">
        <f>ROUND(Categorias_Registro[[#This Row],[Mínimo]]+((Categorias_Registro[[#This Row],[Máximo]]-Categorias_Registro[[#This Row],[Mínimo]])/2),0)</f>
        <v>2674</v>
      </c>
      <c r="G97" s="78">
        <f>VLOOKUP(Categorias_Registro[[#This Row],[Puntos]],Categorias_Configuracion[],MATCH(Categorias_Configuracion[[#Headers],[% Amplitud]],Categorias_Configuracion[#Headers],0),TRUE)</f>
        <v>0.15</v>
      </c>
      <c r="H97" s="15" t="str">
        <f ca="1">TEXT(Categorias_Registro[[#This Row],[Mínimo]],Formato_Rango_Categorias)&amp;" - "&amp;TEXT(Categorias_Registro[[#This Row],[Máximo]],Formato_Rango_Categorias)</f>
        <v>2.488 - 2.860</v>
      </c>
    </row>
    <row r="98" spans="2:8">
      <c r="B98" s="15">
        <f>Techo - ROW() + ROW(Categorias_Registro[])</f>
        <v>2531</v>
      </c>
      <c r="C98" s="15">
        <f>IF(Categorias_Registro[[#This Row],[Puntos]]&lt;=ROUND(Piso,0),Piso,IF(Categorias_Registro[[#This Row],[Puntos]]&lt;D99,C99,D99+1))</f>
        <v>2488</v>
      </c>
      <c r="D98" s="15">
        <f>IF(Categorias_Registro[[#This Row],[Puntos]]=ROUND(Piso,0),ROUND(Categorias_Registro[[#This Row],[Puntos]]*(1+Categorias_Registro[[#This Row],[Amplitud]]),0),IF(Categorias_Registro[[#This Row],[Puntos]]&lt;D99,D99,ROUND(D99*(1+Categorias_Registro[[#This Row],[Amplitud]]),0)))</f>
        <v>2860</v>
      </c>
      <c r="E98" s="15">
        <f>E99+IF(D99=Categorias_Registro[[#This Row],[Máximo]],0,1)</f>
        <v>25</v>
      </c>
      <c r="F98" s="15">
        <f>ROUND(Categorias_Registro[[#This Row],[Mínimo]]+((Categorias_Registro[[#This Row],[Máximo]]-Categorias_Registro[[#This Row],[Mínimo]])/2),0)</f>
        <v>2674</v>
      </c>
      <c r="G98" s="78">
        <f>VLOOKUP(Categorias_Registro[[#This Row],[Puntos]],Categorias_Configuracion[],MATCH(Categorias_Configuracion[[#Headers],[% Amplitud]],Categorias_Configuracion[#Headers],0),TRUE)</f>
        <v>0.15</v>
      </c>
      <c r="H98" s="15" t="str">
        <f ca="1">TEXT(Categorias_Registro[[#This Row],[Mínimo]],Formato_Rango_Categorias)&amp;" - "&amp;TEXT(Categorias_Registro[[#This Row],[Máximo]],Formato_Rango_Categorias)</f>
        <v>2.488 - 2.860</v>
      </c>
    </row>
    <row r="99" spans="2:8">
      <c r="B99" s="15">
        <f>Techo - ROW() + ROW(Categorias_Registro[])</f>
        <v>2530</v>
      </c>
      <c r="C99" s="15">
        <f>IF(Categorias_Registro[[#This Row],[Puntos]]&lt;=ROUND(Piso,0),Piso,IF(Categorias_Registro[[#This Row],[Puntos]]&lt;D100,C100,D100+1))</f>
        <v>2488</v>
      </c>
      <c r="D99" s="15">
        <f>IF(Categorias_Registro[[#This Row],[Puntos]]=ROUND(Piso,0),ROUND(Categorias_Registro[[#This Row],[Puntos]]*(1+Categorias_Registro[[#This Row],[Amplitud]]),0),IF(Categorias_Registro[[#This Row],[Puntos]]&lt;D100,D100,ROUND(D100*(1+Categorias_Registro[[#This Row],[Amplitud]]),0)))</f>
        <v>2860</v>
      </c>
      <c r="E99" s="15">
        <f>E100+IF(D100=Categorias_Registro[[#This Row],[Máximo]],0,1)</f>
        <v>25</v>
      </c>
      <c r="F99" s="15">
        <f>ROUND(Categorias_Registro[[#This Row],[Mínimo]]+((Categorias_Registro[[#This Row],[Máximo]]-Categorias_Registro[[#This Row],[Mínimo]])/2),0)</f>
        <v>2674</v>
      </c>
      <c r="G99" s="78">
        <f>VLOOKUP(Categorias_Registro[[#This Row],[Puntos]],Categorias_Configuracion[],MATCH(Categorias_Configuracion[[#Headers],[% Amplitud]],Categorias_Configuracion[#Headers],0),TRUE)</f>
        <v>0.15</v>
      </c>
      <c r="H99" s="15" t="str">
        <f ca="1">TEXT(Categorias_Registro[[#This Row],[Mínimo]],Formato_Rango_Categorias)&amp;" - "&amp;TEXT(Categorias_Registro[[#This Row],[Máximo]],Formato_Rango_Categorias)</f>
        <v>2.488 - 2.860</v>
      </c>
    </row>
    <row r="100" spans="2:8">
      <c r="B100" s="15">
        <f>Techo - ROW() + ROW(Categorias_Registro[])</f>
        <v>2529</v>
      </c>
      <c r="C100" s="15">
        <f>IF(Categorias_Registro[[#This Row],[Puntos]]&lt;=ROUND(Piso,0),Piso,IF(Categorias_Registro[[#This Row],[Puntos]]&lt;D101,C101,D101+1))</f>
        <v>2488</v>
      </c>
      <c r="D100" s="15">
        <f>IF(Categorias_Registro[[#This Row],[Puntos]]=ROUND(Piso,0),ROUND(Categorias_Registro[[#This Row],[Puntos]]*(1+Categorias_Registro[[#This Row],[Amplitud]]),0),IF(Categorias_Registro[[#This Row],[Puntos]]&lt;D101,D101,ROUND(D101*(1+Categorias_Registro[[#This Row],[Amplitud]]),0)))</f>
        <v>2860</v>
      </c>
      <c r="E100" s="15">
        <f>E101+IF(D101=Categorias_Registro[[#This Row],[Máximo]],0,1)</f>
        <v>25</v>
      </c>
      <c r="F100" s="15">
        <f>ROUND(Categorias_Registro[[#This Row],[Mínimo]]+((Categorias_Registro[[#This Row],[Máximo]]-Categorias_Registro[[#This Row],[Mínimo]])/2),0)</f>
        <v>2674</v>
      </c>
      <c r="G100" s="78">
        <f>VLOOKUP(Categorias_Registro[[#This Row],[Puntos]],Categorias_Configuracion[],MATCH(Categorias_Configuracion[[#Headers],[% Amplitud]],Categorias_Configuracion[#Headers],0),TRUE)</f>
        <v>0.15</v>
      </c>
      <c r="H100" s="15" t="str">
        <f ca="1">TEXT(Categorias_Registro[[#This Row],[Mínimo]],Formato_Rango_Categorias)&amp;" - "&amp;TEXT(Categorias_Registro[[#This Row],[Máximo]],Formato_Rango_Categorias)</f>
        <v>2.488 - 2.860</v>
      </c>
    </row>
    <row r="101" spans="2:8">
      <c r="B101" s="15">
        <f>Techo - ROW() + ROW(Categorias_Registro[])</f>
        <v>2528</v>
      </c>
      <c r="C101" s="15">
        <f>IF(Categorias_Registro[[#This Row],[Puntos]]&lt;=ROUND(Piso,0),Piso,IF(Categorias_Registro[[#This Row],[Puntos]]&lt;D102,C102,D102+1))</f>
        <v>2488</v>
      </c>
      <c r="D101" s="15">
        <f>IF(Categorias_Registro[[#This Row],[Puntos]]=ROUND(Piso,0),ROUND(Categorias_Registro[[#This Row],[Puntos]]*(1+Categorias_Registro[[#This Row],[Amplitud]]),0),IF(Categorias_Registro[[#This Row],[Puntos]]&lt;D102,D102,ROUND(D102*(1+Categorias_Registro[[#This Row],[Amplitud]]),0)))</f>
        <v>2860</v>
      </c>
      <c r="E101" s="15">
        <f>E102+IF(D102=Categorias_Registro[[#This Row],[Máximo]],0,1)</f>
        <v>25</v>
      </c>
      <c r="F101" s="15">
        <f>ROUND(Categorias_Registro[[#This Row],[Mínimo]]+((Categorias_Registro[[#This Row],[Máximo]]-Categorias_Registro[[#This Row],[Mínimo]])/2),0)</f>
        <v>2674</v>
      </c>
      <c r="G101" s="78">
        <f>VLOOKUP(Categorias_Registro[[#This Row],[Puntos]],Categorias_Configuracion[],MATCH(Categorias_Configuracion[[#Headers],[% Amplitud]],Categorias_Configuracion[#Headers],0),TRUE)</f>
        <v>0.15</v>
      </c>
      <c r="H101" s="15" t="str">
        <f ca="1">TEXT(Categorias_Registro[[#This Row],[Mínimo]],Formato_Rango_Categorias)&amp;" - "&amp;TEXT(Categorias_Registro[[#This Row],[Máximo]],Formato_Rango_Categorias)</f>
        <v>2.488 - 2.860</v>
      </c>
    </row>
    <row r="102" spans="2:8">
      <c r="B102" s="15">
        <f>Techo - ROW() + ROW(Categorias_Registro[])</f>
        <v>2527</v>
      </c>
      <c r="C102" s="15">
        <f>IF(Categorias_Registro[[#This Row],[Puntos]]&lt;=ROUND(Piso,0),Piso,IF(Categorias_Registro[[#This Row],[Puntos]]&lt;D103,C103,D103+1))</f>
        <v>2488</v>
      </c>
      <c r="D102" s="15">
        <f>IF(Categorias_Registro[[#This Row],[Puntos]]=ROUND(Piso,0),ROUND(Categorias_Registro[[#This Row],[Puntos]]*(1+Categorias_Registro[[#This Row],[Amplitud]]),0),IF(Categorias_Registro[[#This Row],[Puntos]]&lt;D103,D103,ROUND(D103*(1+Categorias_Registro[[#This Row],[Amplitud]]),0)))</f>
        <v>2860</v>
      </c>
      <c r="E102" s="15">
        <f>E103+IF(D103=Categorias_Registro[[#This Row],[Máximo]],0,1)</f>
        <v>25</v>
      </c>
      <c r="F102" s="15">
        <f>ROUND(Categorias_Registro[[#This Row],[Mínimo]]+((Categorias_Registro[[#This Row],[Máximo]]-Categorias_Registro[[#This Row],[Mínimo]])/2),0)</f>
        <v>2674</v>
      </c>
      <c r="G102" s="78">
        <f>VLOOKUP(Categorias_Registro[[#This Row],[Puntos]],Categorias_Configuracion[],MATCH(Categorias_Configuracion[[#Headers],[% Amplitud]],Categorias_Configuracion[#Headers],0),TRUE)</f>
        <v>0.15</v>
      </c>
      <c r="H102" s="15" t="str">
        <f ca="1">TEXT(Categorias_Registro[[#This Row],[Mínimo]],Formato_Rango_Categorias)&amp;" - "&amp;TEXT(Categorias_Registro[[#This Row],[Máximo]],Formato_Rango_Categorias)</f>
        <v>2.488 - 2.860</v>
      </c>
    </row>
    <row r="103" spans="2:8">
      <c r="B103" s="15">
        <f>Techo - ROW() + ROW(Categorias_Registro[])</f>
        <v>2526</v>
      </c>
      <c r="C103" s="15">
        <f>IF(Categorias_Registro[[#This Row],[Puntos]]&lt;=ROUND(Piso,0),Piso,IF(Categorias_Registro[[#This Row],[Puntos]]&lt;D104,C104,D104+1))</f>
        <v>2488</v>
      </c>
      <c r="D103" s="15">
        <f>IF(Categorias_Registro[[#This Row],[Puntos]]=ROUND(Piso,0),ROUND(Categorias_Registro[[#This Row],[Puntos]]*(1+Categorias_Registro[[#This Row],[Amplitud]]),0),IF(Categorias_Registro[[#This Row],[Puntos]]&lt;D104,D104,ROUND(D104*(1+Categorias_Registro[[#This Row],[Amplitud]]),0)))</f>
        <v>2860</v>
      </c>
      <c r="E103" s="15">
        <f>E104+IF(D104=Categorias_Registro[[#This Row],[Máximo]],0,1)</f>
        <v>25</v>
      </c>
      <c r="F103" s="15">
        <f>ROUND(Categorias_Registro[[#This Row],[Mínimo]]+((Categorias_Registro[[#This Row],[Máximo]]-Categorias_Registro[[#This Row],[Mínimo]])/2),0)</f>
        <v>2674</v>
      </c>
      <c r="G103" s="78">
        <f>VLOOKUP(Categorias_Registro[[#This Row],[Puntos]],Categorias_Configuracion[],MATCH(Categorias_Configuracion[[#Headers],[% Amplitud]],Categorias_Configuracion[#Headers],0),TRUE)</f>
        <v>0.15</v>
      </c>
      <c r="H103" s="15" t="str">
        <f ca="1">TEXT(Categorias_Registro[[#This Row],[Mínimo]],Formato_Rango_Categorias)&amp;" - "&amp;TEXT(Categorias_Registro[[#This Row],[Máximo]],Formato_Rango_Categorias)</f>
        <v>2.488 - 2.860</v>
      </c>
    </row>
    <row r="104" spans="2:8">
      <c r="B104" s="15">
        <f>Techo - ROW() + ROW(Categorias_Registro[])</f>
        <v>2525</v>
      </c>
      <c r="C104" s="15">
        <f>IF(Categorias_Registro[[#This Row],[Puntos]]&lt;=ROUND(Piso,0),Piso,IF(Categorias_Registro[[#This Row],[Puntos]]&lt;D105,C105,D105+1))</f>
        <v>2488</v>
      </c>
      <c r="D104" s="15">
        <f>IF(Categorias_Registro[[#This Row],[Puntos]]=ROUND(Piso,0),ROUND(Categorias_Registro[[#This Row],[Puntos]]*(1+Categorias_Registro[[#This Row],[Amplitud]]),0),IF(Categorias_Registro[[#This Row],[Puntos]]&lt;D105,D105,ROUND(D105*(1+Categorias_Registro[[#This Row],[Amplitud]]),0)))</f>
        <v>2860</v>
      </c>
      <c r="E104" s="15">
        <f>E105+IF(D105=Categorias_Registro[[#This Row],[Máximo]],0,1)</f>
        <v>25</v>
      </c>
      <c r="F104" s="15">
        <f>ROUND(Categorias_Registro[[#This Row],[Mínimo]]+((Categorias_Registro[[#This Row],[Máximo]]-Categorias_Registro[[#This Row],[Mínimo]])/2),0)</f>
        <v>2674</v>
      </c>
      <c r="G104" s="78">
        <f>VLOOKUP(Categorias_Registro[[#This Row],[Puntos]],Categorias_Configuracion[],MATCH(Categorias_Configuracion[[#Headers],[% Amplitud]],Categorias_Configuracion[#Headers],0),TRUE)</f>
        <v>0.15</v>
      </c>
      <c r="H104" s="15" t="str">
        <f ca="1">TEXT(Categorias_Registro[[#This Row],[Mínimo]],Formato_Rango_Categorias)&amp;" - "&amp;TEXT(Categorias_Registro[[#This Row],[Máximo]],Formato_Rango_Categorias)</f>
        <v>2.488 - 2.860</v>
      </c>
    </row>
    <row r="105" spans="2:8">
      <c r="B105" s="15">
        <f>Techo - ROW() + ROW(Categorias_Registro[])</f>
        <v>2524</v>
      </c>
      <c r="C105" s="15">
        <f>IF(Categorias_Registro[[#This Row],[Puntos]]&lt;=ROUND(Piso,0),Piso,IF(Categorias_Registro[[#This Row],[Puntos]]&lt;D106,C106,D106+1))</f>
        <v>2488</v>
      </c>
      <c r="D105" s="15">
        <f>IF(Categorias_Registro[[#This Row],[Puntos]]=ROUND(Piso,0),ROUND(Categorias_Registro[[#This Row],[Puntos]]*(1+Categorias_Registro[[#This Row],[Amplitud]]),0),IF(Categorias_Registro[[#This Row],[Puntos]]&lt;D106,D106,ROUND(D106*(1+Categorias_Registro[[#This Row],[Amplitud]]),0)))</f>
        <v>2860</v>
      </c>
      <c r="E105" s="15">
        <f>E106+IF(D106=Categorias_Registro[[#This Row],[Máximo]],0,1)</f>
        <v>25</v>
      </c>
      <c r="F105" s="15">
        <f>ROUND(Categorias_Registro[[#This Row],[Mínimo]]+((Categorias_Registro[[#This Row],[Máximo]]-Categorias_Registro[[#This Row],[Mínimo]])/2),0)</f>
        <v>2674</v>
      </c>
      <c r="G105" s="78">
        <f>VLOOKUP(Categorias_Registro[[#This Row],[Puntos]],Categorias_Configuracion[],MATCH(Categorias_Configuracion[[#Headers],[% Amplitud]],Categorias_Configuracion[#Headers],0),TRUE)</f>
        <v>0.15</v>
      </c>
      <c r="H105" s="15" t="str">
        <f ca="1">TEXT(Categorias_Registro[[#This Row],[Mínimo]],Formato_Rango_Categorias)&amp;" - "&amp;TEXT(Categorias_Registro[[#This Row],[Máximo]],Formato_Rango_Categorias)</f>
        <v>2.488 - 2.860</v>
      </c>
    </row>
    <row r="106" spans="2:8">
      <c r="B106" s="15">
        <f>Techo - ROW() + ROW(Categorias_Registro[])</f>
        <v>2523</v>
      </c>
      <c r="C106" s="15">
        <f>IF(Categorias_Registro[[#This Row],[Puntos]]&lt;=ROUND(Piso,0),Piso,IF(Categorias_Registro[[#This Row],[Puntos]]&lt;D107,C107,D107+1))</f>
        <v>2488</v>
      </c>
      <c r="D106" s="15">
        <f>IF(Categorias_Registro[[#This Row],[Puntos]]=ROUND(Piso,0),ROUND(Categorias_Registro[[#This Row],[Puntos]]*(1+Categorias_Registro[[#This Row],[Amplitud]]),0),IF(Categorias_Registro[[#This Row],[Puntos]]&lt;D107,D107,ROUND(D107*(1+Categorias_Registro[[#This Row],[Amplitud]]),0)))</f>
        <v>2860</v>
      </c>
      <c r="E106" s="15">
        <f>E107+IF(D107=Categorias_Registro[[#This Row],[Máximo]],0,1)</f>
        <v>25</v>
      </c>
      <c r="F106" s="15">
        <f>ROUND(Categorias_Registro[[#This Row],[Mínimo]]+((Categorias_Registro[[#This Row],[Máximo]]-Categorias_Registro[[#This Row],[Mínimo]])/2),0)</f>
        <v>2674</v>
      </c>
      <c r="G106" s="78">
        <f>VLOOKUP(Categorias_Registro[[#This Row],[Puntos]],Categorias_Configuracion[],MATCH(Categorias_Configuracion[[#Headers],[% Amplitud]],Categorias_Configuracion[#Headers],0),TRUE)</f>
        <v>0.15</v>
      </c>
      <c r="H106" s="15" t="str">
        <f ca="1">TEXT(Categorias_Registro[[#This Row],[Mínimo]],Formato_Rango_Categorias)&amp;" - "&amp;TEXT(Categorias_Registro[[#This Row],[Máximo]],Formato_Rango_Categorias)</f>
        <v>2.488 - 2.860</v>
      </c>
    </row>
    <row r="107" spans="2:8">
      <c r="B107" s="15">
        <f>Techo - ROW() + ROW(Categorias_Registro[])</f>
        <v>2522</v>
      </c>
      <c r="C107" s="15">
        <f>IF(Categorias_Registro[[#This Row],[Puntos]]&lt;=ROUND(Piso,0),Piso,IF(Categorias_Registro[[#This Row],[Puntos]]&lt;D108,C108,D108+1))</f>
        <v>2488</v>
      </c>
      <c r="D107" s="15">
        <f>IF(Categorias_Registro[[#This Row],[Puntos]]=ROUND(Piso,0),ROUND(Categorias_Registro[[#This Row],[Puntos]]*(1+Categorias_Registro[[#This Row],[Amplitud]]),0),IF(Categorias_Registro[[#This Row],[Puntos]]&lt;D108,D108,ROUND(D108*(1+Categorias_Registro[[#This Row],[Amplitud]]),0)))</f>
        <v>2860</v>
      </c>
      <c r="E107" s="15">
        <f>E108+IF(D108=Categorias_Registro[[#This Row],[Máximo]],0,1)</f>
        <v>25</v>
      </c>
      <c r="F107" s="15">
        <f>ROUND(Categorias_Registro[[#This Row],[Mínimo]]+((Categorias_Registro[[#This Row],[Máximo]]-Categorias_Registro[[#This Row],[Mínimo]])/2),0)</f>
        <v>2674</v>
      </c>
      <c r="G107" s="78">
        <f>VLOOKUP(Categorias_Registro[[#This Row],[Puntos]],Categorias_Configuracion[],MATCH(Categorias_Configuracion[[#Headers],[% Amplitud]],Categorias_Configuracion[#Headers],0),TRUE)</f>
        <v>0.15</v>
      </c>
      <c r="H107" s="15" t="str">
        <f ca="1">TEXT(Categorias_Registro[[#This Row],[Mínimo]],Formato_Rango_Categorias)&amp;" - "&amp;TEXT(Categorias_Registro[[#This Row],[Máximo]],Formato_Rango_Categorias)</f>
        <v>2.488 - 2.860</v>
      </c>
    </row>
    <row r="108" spans="2:8">
      <c r="B108" s="15">
        <f>Techo - ROW() + ROW(Categorias_Registro[])</f>
        <v>2521</v>
      </c>
      <c r="C108" s="15">
        <f>IF(Categorias_Registro[[#This Row],[Puntos]]&lt;=ROUND(Piso,0),Piso,IF(Categorias_Registro[[#This Row],[Puntos]]&lt;D109,C109,D109+1))</f>
        <v>2488</v>
      </c>
      <c r="D108" s="15">
        <f>IF(Categorias_Registro[[#This Row],[Puntos]]=ROUND(Piso,0),ROUND(Categorias_Registro[[#This Row],[Puntos]]*(1+Categorias_Registro[[#This Row],[Amplitud]]),0),IF(Categorias_Registro[[#This Row],[Puntos]]&lt;D109,D109,ROUND(D109*(1+Categorias_Registro[[#This Row],[Amplitud]]),0)))</f>
        <v>2860</v>
      </c>
      <c r="E108" s="15">
        <f>E109+IF(D109=Categorias_Registro[[#This Row],[Máximo]],0,1)</f>
        <v>25</v>
      </c>
      <c r="F108" s="15">
        <f>ROUND(Categorias_Registro[[#This Row],[Mínimo]]+((Categorias_Registro[[#This Row],[Máximo]]-Categorias_Registro[[#This Row],[Mínimo]])/2),0)</f>
        <v>2674</v>
      </c>
      <c r="G108" s="78">
        <f>VLOOKUP(Categorias_Registro[[#This Row],[Puntos]],Categorias_Configuracion[],MATCH(Categorias_Configuracion[[#Headers],[% Amplitud]],Categorias_Configuracion[#Headers],0),TRUE)</f>
        <v>0.15</v>
      </c>
      <c r="H108" s="15" t="str">
        <f ca="1">TEXT(Categorias_Registro[[#This Row],[Mínimo]],Formato_Rango_Categorias)&amp;" - "&amp;TEXT(Categorias_Registro[[#This Row],[Máximo]],Formato_Rango_Categorias)</f>
        <v>2.488 - 2.860</v>
      </c>
    </row>
    <row r="109" spans="2:8">
      <c r="B109" s="15">
        <f>Techo - ROW() + ROW(Categorias_Registro[])</f>
        <v>2520</v>
      </c>
      <c r="C109" s="15">
        <f>IF(Categorias_Registro[[#This Row],[Puntos]]&lt;=ROUND(Piso,0),Piso,IF(Categorias_Registro[[#This Row],[Puntos]]&lt;D110,C110,D110+1))</f>
        <v>2488</v>
      </c>
      <c r="D109" s="15">
        <f>IF(Categorias_Registro[[#This Row],[Puntos]]=ROUND(Piso,0),ROUND(Categorias_Registro[[#This Row],[Puntos]]*(1+Categorias_Registro[[#This Row],[Amplitud]]),0),IF(Categorias_Registro[[#This Row],[Puntos]]&lt;D110,D110,ROUND(D110*(1+Categorias_Registro[[#This Row],[Amplitud]]),0)))</f>
        <v>2860</v>
      </c>
      <c r="E109" s="15">
        <f>E110+IF(D110=Categorias_Registro[[#This Row],[Máximo]],0,1)</f>
        <v>25</v>
      </c>
      <c r="F109" s="15">
        <f>ROUND(Categorias_Registro[[#This Row],[Mínimo]]+((Categorias_Registro[[#This Row],[Máximo]]-Categorias_Registro[[#This Row],[Mínimo]])/2),0)</f>
        <v>2674</v>
      </c>
      <c r="G109" s="78">
        <f>VLOOKUP(Categorias_Registro[[#This Row],[Puntos]],Categorias_Configuracion[],MATCH(Categorias_Configuracion[[#Headers],[% Amplitud]],Categorias_Configuracion[#Headers],0),TRUE)</f>
        <v>0.15</v>
      </c>
      <c r="H109" s="15" t="str">
        <f ca="1">TEXT(Categorias_Registro[[#This Row],[Mínimo]],Formato_Rango_Categorias)&amp;" - "&amp;TEXT(Categorias_Registro[[#This Row],[Máximo]],Formato_Rango_Categorias)</f>
        <v>2.488 - 2.860</v>
      </c>
    </row>
    <row r="110" spans="2:8">
      <c r="B110" s="15">
        <f>Techo - ROW() + ROW(Categorias_Registro[])</f>
        <v>2519</v>
      </c>
      <c r="C110" s="15">
        <f>IF(Categorias_Registro[[#This Row],[Puntos]]&lt;=ROUND(Piso,0),Piso,IF(Categorias_Registro[[#This Row],[Puntos]]&lt;D111,C111,D111+1))</f>
        <v>2488</v>
      </c>
      <c r="D110" s="15">
        <f>IF(Categorias_Registro[[#This Row],[Puntos]]=ROUND(Piso,0),ROUND(Categorias_Registro[[#This Row],[Puntos]]*(1+Categorias_Registro[[#This Row],[Amplitud]]),0),IF(Categorias_Registro[[#This Row],[Puntos]]&lt;D111,D111,ROUND(D111*(1+Categorias_Registro[[#This Row],[Amplitud]]),0)))</f>
        <v>2860</v>
      </c>
      <c r="E110" s="15">
        <f>E111+IF(D111=Categorias_Registro[[#This Row],[Máximo]],0,1)</f>
        <v>25</v>
      </c>
      <c r="F110" s="15">
        <f>ROUND(Categorias_Registro[[#This Row],[Mínimo]]+((Categorias_Registro[[#This Row],[Máximo]]-Categorias_Registro[[#This Row],[Mínimo]])/2),0)</f>
        <v>2674</v>
      </c>
      <c r="G110" s="78">
        <f>VLOOKUP(Categorias_Registro[[#This Row],[Puntos]],Categorias_Configuracion[],MATCH(Categorias_Configuracion[[#Headers],[% Amplitud]],Categorias_Configuracion[#Headers],0),TRUE)</f>
        <v>0.15</v>
      </c>
      <c r="H110" s="15" t="str">
        <f ca="1">TEXT(Categorias_Registro[[#This Row],[Mínimo]],Formato_Rango_Categorias)&amp;" - "&amp;TEXT(Categorias_Registro[[#This Row],[Máximo]],Formato_Rango_Categorias)</f>
        <v>2.488 - 2.860</v>
      </c>
    </row>
    <row r="111" spans="2:8">
      <c r="B111" s="15">
        <f>Techo - ROW() + ROW(Categorias_Registro[])</f>
        <v>2518</v>
      </c>
      <c r="C111" s="15">
        <f>IF(Categorias_Registro[[#This Row],[Puntos]]&lt;=ROUND(Piso,0),Piso,IF(Categorias_Registro[[#This Row],[Puntos]]&lt;D112,C112,D112+1))</f>
        <v>2488</v>
      </c>
      <c r="D111" s="15">
        <f>IF(Categorias_Registro[[#This Row],[Puntos]]=ROUND(Piso,0),ROUND(Categorias_Registro[[#This Row],[Puntos]]*(1+Categorias_Registro[[#This Row],[Amplitud]]),0),IF(Categorias_Registro[[#This Row],[Puntos]]&lt;D112,D112,ROUND(D112*(1+Categorias_Registro[[#This Row],[Amplitud]]),0)))</f>
        <v>2860</v>
      </c>
      <c r="E111" s="15">
        <f>E112+IF(D112=Categorias_Registro[[#This Row],[Máximo]],0,1)</f>
        <v>25</v>
      </c>
      <c r="F111" s="15">
        <f>ROUND(Categorias_Registro[[#This Row],[Mínimo]]+((Categorias_Registro[[#This Row],[Máximo]]-Categorias_Registro[[#This Row],[Mínimo]])/2),0)</f>
        <v>2674</v>
      </c>
      <c r="G111" s="78">
        <f>VLOOKUP(Categorias_Registro[[#This Row],[Puntos]],Categorias_Configuracion[],MATCH(Categorias_Configuracion[[#Headers],[% Amplitud]],Categorias_Configuracion[#Headers],0),TRUE)</f>
        <v>0.15</v>
      </c>
      <c r="H111" s="15" t="str">
        <f ca="1">TEXT(Categorias_Registro[[#This Row],[Mínimo]],Formato_Rango_Categorias)&amp;" - "&amp;TEXT(Categorias_Registro[[#This Row],[Máximo]],Formato_Rango_Categorias)</f>
        <v>2.488 - 2.860</v>
      </c>
    </row>
    <row r="112" spans="2:8">
      <c r="B112" s="15">
        <f>Techo - ROW() + ROW(Categorias_Registro[])</f>
        <v>2517</v>
      </c>
      <c r="C112" s="15">
        <f>IF(Categorias_Registro[[#This Row],[Puntos]]&lt;=ROUND(Piso,0),Piso,IF(Categorias_Registro[[#This Row],[Puntos]]&lt;D113,C113,D113+1))</f>
        <v>2488</v>
      </c>
      <c r="D112" s="15">
        <f>IF(Categorias_Registro[[#This Row],[Puntos]]=ROUND(Piso,0),ROUND(Categorias_Registro[[#This Row],[Puntos]]*(1+Categorias_Registro[[#This Row],[Amplitud]]),0),IF(Categorias_Registro[[#This Row],[Puntos]]&lt;D113,D113,ROUND(D113*(1+Categorias_Registro[[#This Row],[Amplitud]]),0)))</f>
        <v>2860</v>
      </c>
      <c r="E112" s="15">
        <f>E113+IF(D113=Categorias_Registro[[#This Row],[Máximo]],0,1)</f>
        <v>25</v>
      </c>
      <c r="F112" s="15">
        <f>ROUND(Categorias_Registro[[#This Row],[Mínimo]]+((Categorias_Registro[[#This Row],[Máximo]]-Categorias_Registro[[#This Row],[Mínimo]])/2),0)</f>
        <v>2674</v>
      </c>
      <c r="G112" s="78">
        <f>VLOOKUP(Categorias_Registro[[#This Row],[Puntos]],Categorias_Configuracion[],MATCH(Categorias_Configuracion[[#Headers],[% Amplitud]],Categorias_Configuracion[#Headers],0),TRUE)</f>
        <v>0.15</v>
      </c>
      <c r="H112" s="15" t="str">
        <f ca="1">TEXT(Categorias_Registro[[#This Row],[Mínimo]],Formato_Rango_Categorias)&amp;" - "&amp;TEXT(Categorias_Registro[[#This Row],[Máximo]],Formato_Rango_Categorias)</f>
        <v>2.488 - 2.860</v>
      </c>
    </row>
    <row r="113" spans="2:8">
      <c r="B113" s="15">
        <f>Techo - ROW() + ROW(Categorias_Registro[])</f>
        <v>2516</v>
      </c>
      <c r="C113" s="15">
        <f>IF(Categorias_Registro[[#This Row],[Puntos]]&lt;=ROUND(Piso,0),Piso,IF(Categorias_Registro[[#This Row],[Puntos]]&lt;D114,C114,D114+1))</f>
        <v>2488</v>
      </c>
      <c r="D113" s="15">
        <f>IF(Categorias_Registro[[#This Row],[Puntos]]=ROUND(Piso,0),ROUND(Categorias_Registro[[#This Row],[Puntos]]*(1+Categorias_Registro[[#This Row],[Amplitud]]),0),IF(Categorias_Registro[[#This Row],[Puntos]]&lt;D114,D114,ROUND(D114*(1+Categorias_Registro[[#This Row],[Amplitud]]),0)))</f>
        <v>2860</v>
      </c>
      <c r="E113" s="15">
        <f>E114+IF(D114=Categorias_Registro[[#This Row],[Máximo]],0,1)</f>
        <v>25</v>
      </c>
      <c r="F113" s="15">
        <f>ROUND(Categorias_Registro[[#This Row],[Mínimo]]+((Categorias_Registro[[#This Row],[Máximo]]-Categorias_Registro[[#This Row],[Mínimo]])/2),0)</f>
        <v>2674</v>
      </c>
      <c r="G113" s="78">
        <f>VLOOKUP(Categorias_Registro[[#This Row],[Puntos]],Categorias_Configuracion[],MATCH(Categorias_Configuracion[[#Headers],[% Amplitud]],Categorias_Configuracion[#Headers],0),TRUE)</f>
        <v>0.15</v>
      </c>
      <c r="H113" s="15" t="str">
        <f ca="1">TEXT(Categorias_Registro[[#This Row],[Mínimo]],Formato_Rango_Categorias)&amp;" - "&amp;TEXT(Categorias_Registro[[#This Row],[Máximo]],Formato_Rango_Categorias)</f>
        <v>2.488 - 2.860</v>
      </c>
    </row>
    <row r="114" spans="2:8">
      <c r="B114" s="15">
        <f>Techo - ROW() + ROW(Categorias_Registro[])</f>
        <v>2515</v>
      </c>
      <c r="C114" s="15">
        <f>IF(Categorias_Registro[[#This Row],[Puntos]]&lt;=ROUND(Piso,0),Piso,IF(Categorias_Registro[[#This Row],[Puntos]]&lt;D115,C115,D115+1))</f>
        <v>2488</v>
      </c>
      <c r="D114" s="15">
        <f>IF(Categorias_Registro[[#This Row],[Puntos]]=ROUND(Piso,0),ROUND(Categorias_Registro[[#This Row],[Puntos]]*(1+Categorias_Registro[[#This Row],[Amplitud]]),0),IF(Categorias_Registro[[#This Row],[Puntos]]&lt;D115,D115,ROUND(D115*(1+Categorias_Registro[[#This Row],[Amplitud]]),0)))</f>
        <v>2860</v>
      </c>
      <c r="E114" s="15">
        <f>E115+IF(D115=Categorias_Registro[[#This Row],[Máximo]],0,1)</f>
        <v>25</v>
      </c>
      <c r="F114" s="15">
        <f>ROUND(Categorias_Registro[[#This Row],[Mínimo]]+((Categorias_Registro[[#This Row],[Máximo]]-Categorias_Registro[[#This Row],[Mínimo]])/2),0)</f>
        <v>2674</v>
      </c>
      <c r="G114" s="78">
        <f>VLOOKUP(Categorias_Registro[[#This Row],[Puntos]],Categorias_Configuracion[],MATCH(Categorias_Configuracion[[#Headers],[% Amplitud]],Categorias_Configuracion[#Headers],0),TRUE)</f>
        <v>0.15</v>
      </c>
      <c r="H114" s="15" t="str">
        <f ca="1">TEXT(Categorias_Registro[[#This Row],[Mínimo]],Formato_Rango_Categorias)&amp;" - "&amp;TEXT(Categorias_Registro[[#This Row],[Máximo]],Formato_Rango_Categorias)</f>
        <v>2.488 - 2.860</v>
      </c>
    </row>
    <row r="115" spans="2:8">
      <c r="B115" s="15">
        <f>Techo - ROW() + ROW(Categorias_Registro[])</f>
        <v>2514</v>
      </c>
      <c r="C115" s="15">
        <f>IF(Categorias_Registro[[#This Row],[Puntos]]&lt;=ROUND(Piso,0),Piso,IF(Categorias_Registro[[#This Row],[Puntos]]&lt;D116,C116,D116+1))</f>
        <v>2488</v>
      </c>
      <c r="D115" s="15">
        <f>IF(Categorias_Registro[[#This Row],[Puntos]]=ROUND(Piso,0),ROUND(Categorias_Registro[[#This Row],[Puntos]]*(1+Categorias_Registro[[#This Row],[Amplitud]]),0),IF(Categorias_Registro[[#This Row],[Puntos]]&lt;D116,D116,ROUND(D116*(1+Categorias_Registro[[#This Row],[Amplitud]]),0)))</f>
        <v>2860</v>
      </c>
      <c r="E115" s="15">
        <f>E116+IF(D116=Categorias_Registro[[#This Row],[Máximo]],0,1)</f>
        <v>25</v>
      </c>
      <c r="F115" s="15">
        <f>ROUND(Categorias_Registro[[#This Row],[Mínimo]]+((Categorias_Registro[[#This Row],[Máximo]]-Categorias_Registro[[#This Row],[Mínimo]])/2),0)</f>
        <v>2674</v>
      </c>
      <c r="G115" s="78">
        <f>VLOOKUP(Categorias_Registro[[#This Row],[Puntos]],Categorias_Configuracion[],MATCH(Categorias_Configuracion[[#Headers],[% Amplitud]],Categorias_Configuracion[#Headers],0),TRUE)</f>
        <v>0.15</v>
      </c>
      <c r="H115" s="15" t="str">
        <f ca="1">TEXT(Categorias_Registro[[#This Row],[Mínimo]],Formato_Rango_Categorias)&amp;" - "&amp;TEXT(Categorias_Registro[[#This Row],[Máximo]],Formato_Rango_Categorias)</f>
        <v>2.488 - 2.860</v>
      </c>
    </row>
    <row r="116" spans="2:8">
      <c r="B116" s="15">
        <f>Techo - ROW() + ROW(Categorias_Registro[])</f>
        <v>2513</v>
      </c>
      <c r="C116" s="15">
        <f>IF(Categorias_Registro[[#This Row],[Puntos]]&lt;=ROUND(Piso,0),Piso,IF(Categorias_Registro[[#This Row],[Puntos]]&lt;D117,C117,D117+1))</f>
        <v>2488</v>
      </c>
      <c r="D116" s="15">
        <f>IF(Categorias_Registro[[#This Row],[Puntos]]=ROUND(Piso,0),ROUND(Categorias_Registro[[#This Row],[Puntos]]*(1+Categorias_Registro[[#This Row],[Amplitud]]),0),IF(Categorias_Registro[[#This Row],[Puntos]]&lt;D117,D117,ROUND(D117*(1+Categorias_Registro[[#This Row],[Amplitud]]),0)))</f>
        <v>2860</v>
      </c>
      <c r="E116" s="15">
        <f>E117+IF(D117=Categorias_Registro[[#This Row],[Máximo]],0,1)</f>
        <v>25</v>
      </c>
      <c r="F116" s="15">
        <f>ROUND(Categorias_Registro[[#This Row],[Mínimo]]+((Categorias_Registro[[#This Row],[Máximo]]-Categorias_Registro[[#This Row],[Mínimo]])/2),0)</f>
        <v>2674</v>
      </c>
      <c r="G116" s="78">
        <f>VLOOKUP(Categorias_Registro[[#This Row],[Puntos]],Categorias_Configuracion[],MATCH(Categorias_Configuracion[[#Headers],[% Amplitud]],Categorias_Configuracion[#Headers],0),TRUE)</f>
        <v>0.15</v>
      </c>
      <c r="H116" s="15" t="str">
        <f ca="1">TEXT(Categorias_Registro[[#This Row],[Mínimo]],Formato_Rango_Categorias)&amp;" - "&amp;TEXT(Categorias_Registro[[#This Row],[Máximo]],Formato_Rango_Categorias)</f>
        <v>2.488 - 2.860</v>
      </c>
    </row>
    <row r="117" spans="2:8">
      <c r="B117" s="15">
        <f>Techo - ROW() + ROW(Categorias_Registro[])</f>
        <v>2512</v>
      </c>
      <c r="C117" s="15">
        <f>IF(Categorias_Registro[[#This Row],[Puntos]]&lt;=ROUND(Piso,0),Piso,IF(Categorias_Registro[[#This Row],[Puntos]]&lt;D118,C118,D118+1))</f>
        <v>2488</v>
      </c>
      <c r="D117" s="15">
        <f>IF(Categorias_Registro[[#This Row],[Puntos]]=ROUND(Piso,0),ROUND(Categorias_Registro[[#This Row],[Puntos]]*(1+Categorias_Registro[[#This Row],[Amplitud]]),0),IF(Categorias_Registro[[#This Row],[Puntos]]&lt;D118,D118,ROUND(D118*(1+Categorias_Registro[[#This Row],[Amplitud]]),0)))</f>
        <v>2860</v>
      </c>
      <c r="E117" s="15">
        <f>E118+IF(D118=Categorias_Registro[[#This Row],[Máximo]],0,1)</f>
        <v>25</v>
      </c>
      <c r="F117" s="15">
        <f>ROUND(Categorias_Registro[[#This Row],[Mínimo]]+((Categorias_Registro[[#This Row],[Máximo]]-Categorias_Registro[[#This Row],[Mínimo]])/2),0)</f>
        <v>2674</v>
      </c>
      <c r="G117" s="78">
        <f>VLOOKUP(Categorias_Registro[[#This Row],[Puntos]],Categorias_Configuracion[],MATCH(Categorias_Configuracion[[#Headers],[% Amplitud]],Categorias_Configuracion[#Headers],0),TRUE)</f>
        <v>0.15</v>
      </c>
      <c r="H117" s="15" t="str">
        <f ca="1">TEXT(Categorias_Registro[[#This Row],[Mínimo]],Formato_Rango_Categorias)&amp;" - "&amp;TEXT(Categorias_Registro[[#This Row],[Máximo]],Formato_Rango_Categorias)</f>
        <v>2.488 - 2.860</v>
      </c>
    </row>
    <row r="118" spans="2:8">
      <c r="B118" s="15">
        <f>Techo - ROW() + ROW(Categorias_Registro[])</f>
        <v>2511</v>
      </c>
      <c r="C118" s="15">
        <f>IF(Categorias_Registro[[#This Row],[Puntos]]&lt;=ROUND(Piso,0),Piso,IF(Categorias_Registro[[#This Row],[Puntos]]&lt;D119,C119,D119+1))</f>
        <v>2488</v>
      </c>
      <c r="D118" s="15">
        <f>IF(Categorias_Registro[[#This Row],[Puntos]]=ROUND(Piso,0),ROUND(Categorias_Registro[[#This Row],[Puntos]]*(1+Categorias_Registro[[#This Row],[Amplitud]]),0),IF(Categorias_Registro[[#This Row],[Puntos]]&lt;D119,D119,ROUND(D119*(1+Categorias_Registro[[#This Row],[Amplitud]]),0)))</f>
        <v>2860</v>
      </c>
      <c r="E118" s="15">
        <f>E119+IF(D119=Categorias_Registro[[#This Row],[Máximo]],0,1)</f>
        <v>25</v>
      </c>
      <c r="F118" s="15">
        <f>ROUND(Categorias_Registro[[#This Row],[Mínimo]]+((Categorias_Registro[[#This Row],[Máximo]]-Categorias_Registro[[#This Row],[Mínimo]])/2),0)</f>
        <v>2674</v>
      </c>
      <c r="G118" s="78">
        <f>VLOOKUP(Categorias_Registro[[#This Row],[Puntos]],Categorias_Configuracion[],MATCH(Categorias_Configuracion[[#Headers],[% Amplitud]],Categorias_Configuracion[#Headers],0),TRUE)</f>
        <v>0.15</v>
      </c>
      <c r="H118" s="15" t="str">
        <f ca="1">TEXT(Categorias_Registro[[#This Row],[Mínimo]],Formato_Rango_Categorias)&amp;" - "&amp;TEXT(Categorias_Registro[[#This Row],[Máximo]],Formato_Rango_Categorias)</f>
        <v>2.488 - 2.860</v>
      </c>
    </row>
    <row r="119" spans="2:8">
      <c r="B119" s="15">
        <f>Techo - ROW() + ROW(Categorias_Registro[])</f>
        <v>2510</v>
      </c>
      <c r="C119" s="15">
        <f>IF(Categorias_Registro[[#This Row],[Puntos]]&lt;=ROUND(Piso,0),Piso,IF(Categorias_Registro[[#This Row],[Puntos]]&lt;D120,C120,D120+1))</f>
        <v>2488</v>
      </c>
      <c r="D119" s="15">
        <f>IF(Categorias_Registro[[#This Row],[Puntos]]=ROUND(Piso,0),ROUND(Categorias_Registro[[#This Row],[Puntos]]*(1+Categorias_Registro[[#This Row],[Amplitud]]),0),IF(Categorias_Registro[[#This Row],[Puntos]]&lt;D120,D120,ROUND(D120*(1+Categorias_Registro[[#This Row],[Amplitud]]),0)))</f>
        <v>2860</v>
      </c>
      <c r="E119" s="15">
        <f>E120+IF(D120=Categorias_Registro[[#This Row],[Máximo]],0,1)</f>
        <v>25</v>
      </c>
      <c r="F119" s="15">
        <f>ROUND(Categorias_Registro[[#This Row],[Mínimo]]+((Categorias_Registro[[#This Row],[Máximo]]-Categorias_Registro[[#This Row],[Mínimo]])/2),0)</f>
        <v>2674</v>
      </c>
      <c r="G119" s="78">
        <f>VLOOKUP(Categorias_Registro[[#This Row],[Puntos]],Categorias_Configuracion[],MATCH(Categorias_Configuracion[[#Headers],[% Amplitud]],Categorias_Configuracion[#Headers],0),TRUE)</f>
        <v>0.15</v>
      </c>
      <c r="H119" s="15" t="str">
        <f ca="1">TEXT(Categorias_Registro[[#This Row],[Mínimo]],Formato_Rango_Categorias)&amp;" - "&amp;TEXT(Categorias_Registro[[#This Row],[Máximo]],Formato_Rango_Categorias)</f>
        <v>2.488 - 2.860</v>
      </c>
    </row>
    <row r="120" spans="2:8">
      <c r="B120" s="15">
        <f>Techo - ROW() + ROW(Categorias_Registro[])</f>
        <v>2509</v>
      </c>
      <c r="C120" s="15">
        <f>IF(Categorias_Registro[[#This Row],[Puntos]]&lt;=ROUND(Piso,0),Piso,IF(Categorias_Registro[[#This Row],[Puntos]]&lt;D121,C121,D121+1))</f>
        <v>2488</v>
      </c>
      <c r="D120" s="15">
        <f>IF(Categorias_Registro[[#This Row],[Puntos]]=ROUND(Piso,0),ROUND(Categorias_Registro[[#This Row],[Puntos]]*(1+Categorias_Registro[[#This Row],[Amplitud]]),0),IF(Categorias_Registro[[#This Row],[Puntos]]&lt;D121,D121,ROUND(D121*(1+Categorias_Registro[[#This Row],[Amplitud]]),0)))</f>
        <v>2860</v>
      </c>
      <c r="E120" s="15">
        <f>E121+IF(D121=Categorias_Registro[[#This Row],[Máximo]],0,1)</f>
        <v>25</v>
      </c>
      <c r="F120" s="15">
        <f>ROUND(Categorias_Registro[[#This Row],[Mínimo]]+((Categorias_Registro[[#This Row],[Máximo]]-Categorias_Registro[[#This Row],[Mínimo]])/2),0)</f>
        <v>2674</v>
      </c>
      <c r="G120" s="78">
        <f>VLOOKUP(Categorias_Registro[[#This Row],[Puntos]],Categorias_Configuracion[],MATCH(Categorias_Configuracion[[#Headers],[% Amplitud]],Categorias_Configuracion[#Headers],0),TRUE)</f>
        <v>0.15</v>
      </c>
      <c r="H120" s="15" t="str">
        <f ca="1">TEXT(Categorias_Registro[[#This Row],[Mínimo]],Formato_Rango_Categorias)&amp;" - "&amp;TEXT(Categorias_Registro[[#This Row],[Máximo]],Formato_Rango_Categorias)</f>
        <v>2.488 - 2.860</v>
      </c>
    </row>
    <row r="121" spans="2:8">
      <c r="B121" s="15">
        <f>Techo - ROW() + ROW(Categorias_Registro[])</f>
        <v>2508</v>
      </c>
      <c r="C121" s="15">
        <f>IF(Categorias_Registro[[#This Row],[Puntos]]&lt;=ROUND(Piso,0),Piso,IF(Categorias_Registro[[#This Row],[Puntos]]&lt;D122,C122,D122+1))</f>
        <v>2488</v>
      </c>
      <c r="D121" s="15">
        <f>IF(Categorias_Registro[[#This Row],[Puntos]]=ROUND(Piso,0),ROUND(Categorias_Registro[[#This Row],[Puntos]]*(1+Categorias_Registro[[#This Row],[Amplitud]]),0),IF(Categorias_Registro[[#This Row],[Puntos]]&lt;D122,D122,ROUND(D122*(1+Categorias_Registro[[#This Row],[Amplitud]]),0)))</f>
        <v>2860</v>
      </c>
      <c r="E121" s="15">
        <f>E122+IF(D122=Categorias_Registro[[#This Row],[Máximo]],0,1)</f>
        <v>25</v>
      </c>
      <c r="F121" s="15">
        <f>ROUND(Categorias_Registro[[#This Row],[Mínimo]]+((Categorias_Registro[[#This Row],[Máximo]]-Categorias_Registro[[#This Row],[Mínimo]])/2),0)</f>
        <v>2674</v>
      </c>
      <c r="G121" s="78">
        <f>VLOOKUP(Categorias_Registro[[#This Row],[Puntos]],Categorias_Configuracion[],MATCH(Categorias_Configuracion[[#Headers],[% Amplitud]],Categorias_Configuracion[#Headers],0),TRUE)</f>
        <v>0.15</v>
      </c>
      <c r="H121" s="15" t="str">
        <f ca="1">TEXT(Categorias_Registro[[#This Row],[Mínimo]],Formato_Rango_Categorias)&amp;" - "&amp;TEXT(Categorias_Registro[[#This Row],[Máximo]],Formato_Rango_Categorias)</f>
        <v>2.488 - 2.860</v>
      </c>
    </row>
    <row r="122" spans="2:8">
      <c r="B122" s="15">
        <f>Techo - ROW() + ROW(Categorias_Registro[])</f>
        <v>2507</v>
      </c>
      <c r="C122" s="15">
        <f>IF(Categorias_Registro[[#This Row],[Puntos]]&lt;=ROUND(Piso,0),Piso,IF(Categorias_Registro[[#This Row],[Puntos]]&lt;D123,C123,D123+1))</f>
        <v>2488</v>
      </c>
      <c r="D122" s="15">
        <f>IF(Categorias_Registro[[#This Row],[Puntos]]=ROUND(Piso,0),ROUND(Categorias_Registro[[#This Row],[Puntos]]*(1+Categorias_Registro[[#This Row],[Amplitud]]),0),IF(Categorias_Registro[[#This Row],[Puntos]]&lt;D123,D123,ROUND(D123*(1+Categorias_Registro[[#This Row],[Amplitud]]),0)))</f>
        <v>2860</v>
      </c>
      <c r="E122" s="15">
        <f>E123+IF(D123=Categorias_Registro[[#This Row],[Máximo]],0,1)</f>
        <v>25</v>
      </c>
      <c r="F122" s="15">
        <f>ROUND(Categorias_Registro[[#This Row],[Mínimo]]+((Categorias_Registro[[#This Row],[Máximo]]-Categorias_Registro[[#This Row],[Mínimo]])/2),0)</f>
        <v>2674</v>
      </c>
      <c r="G122" s="78">
        <f>VLOOKUP(Categorias_Registro[[#This Row],[Puntos]],Categorias_Configuracion[],MATCH(Categorias_Configuracion[[#Headers],[% Amplitud]],Categorias_Configuracion[#Headers],0),TRUE)</f>
        <v>0.15</v>
      </c>
      <c r="H122" s="15" t="str">
        <f ca="1">TEXT(Categorias_Registro[[#This Row],[Mínimo]],Formato_Rango_Categorias)&amp;" - "&amp;TEXT(Categorias_Registro[[#This Row],[Máximo]],Formato_Rango_Categorias)</f>
        <v>2.488 - 2.860</v>
      </c>
    </row>
    <row r="123" spans="2:8">
      <c r="B123" s="15">
        <f>Techo - ROW() + ROW(Categorias_Registro[])</f>
        <v>2506</v>
      </c>
      <c r="C123" s="15">
        <f>IF(Categorias_Registro[[#This Row],[Puntos]]&lt;=ROUND(Piso,0),Piso,IF(Categorias_Registro[[#This Row],[Puntos]]&lt;D124,C124,D124+1))</f>
        <v>2488</v>
      </c>
      <c r="D123" s="15">
        <f>IF(Categorias_Registro[[#This Row],[Puntos]]=ROUND(Piso,0),ROUND(Categorias_Registro[[#This Row],[Puntos]]*(1+Categorias_Registro[[#This Row],[Amplitud]]),0),IF(Categorias_Registro[[#This Row],[Puntos]]&lt;D124,D124,ROUND(D124*(1+Categorias_Registro[[#This Row],[Amplitud]]),0)))</f>
        <v>2860</v>
      </c>
      <c r="E123" s="15">
        <f>E124+IF(D124=Categorias_Registro[[#This Row],[Máximo]],0,1)</f>
        <v>25</v>
      </c>
      <c r="F123" s="15">
        <f>ROUND(Categorias_Registro[[#This Row],[Mínimo]]+((Categorias_Registro[[#This Row],[Máximo]]-Categorias_Registro[[#This Row],[Mínimo]])/2),0)</f>
        <v>2674</v>
      </c>
      <c r="G123" s="78">
        <f>VLOOKUP(Categorias_Registro[[#This Row],[Puntos]],Categorias_Configuracion[],MATCH(Categorias_Configuracion[[#Headers],[% Amplitud]],Categorias_Configuracion[#Headers],0),TRUE)</f>
        <v>0.15</v>
      </c>
      <c r="H123" s="15" t="str">
        <f ca="1">TEXT(Categorias_Registro[[#This Row],[Mínimo]],Formato_Rango_Categorias)&amp;" - "&amp;TEXT(Categorias_Registro[[#This Row],[Máximo]],Formato_Rango_Categorias)</f>
        <v>2.488 - 2.860</v>
      </c>
    </row>
    <row r="124" spans="2:8">
      <c r="B124" s="15">
        <f>Techo - ROW() + ROW(Categorias_Registro[])</f>
        <v>2505</v>
      </c>
      <c r="C124" s="15">
        <f>IF(Categorias_Registro[[#This Row],[Puntos]]&lt;=ROUND(Piso,0),Piso,IF(Categorias_Registro[[#This Row],[Puntos]]&lt;D125,C125,D125+1))</f>
        <v>2488</v>
      </c>
      <c r="D124" s="15">
        <f>IF(Categorias_Registro[[#This Row],[Puntos]]=ROUND(Piso,0),ROUND(Categorias_Registro[[#This Row],[Puntos]]*(1+Categorias_Registro[[#This Row],[Amplitud]]),0),IF(Categorias_Registro[[#This Row],[Puntos]]&lt;D125,D125,ROUND(D125*(1+Categorias_Registro[[#This Row],[Amplitud]]),0)))</f>
        <v>2860</v>
      </c>
      <c r="E124" s="15">
        <f>E125+IF(D125=Categorias_Registro[[#This Row],[Máximo]],0,1)</f>
        <v>25</v>
      </c>
      <c r="F124" s="15">
        <f>ROUND(Categorias_Registro[[#This Row],[Mínimo]]+((Categorias_Registro[[#This Row],[Máximo]]-Categorias_Registro[[#This Row],[Mínimo]])/2),0)</f>
        <v>2674</v>
      </c>
      <c r="G124" s="78">
        <f>VLOOKUP(Categorias_Registro[[#This Row],[Puntos]],Categorias_Configuracion[],MATCH(Categorias_Configuracion[[#Headers],[% Amplitud]],Categorias_Configuracion[#Headers],0),TRUE)</f>
        <v>0.15</v>
      </c>
      <c r="H124" s="15" t="str">
        <f ca="1">TEXT(Categorias_Registro[[#This Row],[Mínimo]],Formato_Rango_Categorias)&amp;" - "&amp;TEXT(Categorias_Registro[[#This Row],[Máximo]],Formato_Rango_Categorias)</f>
        <v>2.488 - 2.860</v>
      </c>
    </row>
    <row r="125" spans="2:8">
      <c r="B125" s="15">
        <f>Techo - ROW() + ROW(Categorias_Registro[])</f>
        <v>2504</v>
      </c>
      <c r="C125" s="15">
        <f>IF(Categorias_Registro[[#This Row],[Puntos]]&lt;=ROUND(Piso,0),Piso,IF(Categorias_Registro[[#This Row],[Puntos]]&lt;D126,C126,D126+1))</f>
        <v>2488</v>
      </c>
      <c r="D125" s="15">
        <f>IF(Categorias_Registro[[#This Row],[Puntos]]=ROUND(Piso,0),ROUND(Categorias_Registro[[#This Row],[Puntos]]*(1+Categorias_Registro[[#This Row],[Amplitud]]),0),IF(Categorias_Registro[[#This Row],[Puntos]]&lt;D126,D126,ROUND(D126*(1+Categorias_Registro[[#This Row],[Amplitud]]),0)))</f>
        <v>2860</v>
      </c>
      <c r="E125" s="15">
        <f>E126+IF(D126=Categorias_Registro[[#This Row],[Máximo]],0,1)</f>
        <v>25</v>
      </c>
      <c r="F125" s="15">
        <f>ROUND(Categorias_Registro[[#This Row],[Mínimo]]+((Categorias_Registro[[#This Row],[Máximo]]-Categorias_Registro[[#This Row],[Mínimo]])/2),0)</f>
        <v>2674</v>
      </c>
      <c r="G125" s="78">
        <f>VLOOKUP(Categorias_Registro[[#This Row],[Puntos]],Categorias_Configuracion[],MATCH(Categorias_Configuracion[[#Headers],[% Amplitud]],Categorias_Configuracion[#Headers],0),TRUE)</f>
        <v>0.15</v>
      </c>
      <c r="H125" s="15" t="str">
        <f ca="1">TEXT(Categorias_Registro[[#This Row],[Mínimo]],Formato_Rango_Categorias)&amp;" - "&amp;TEXT(Categorias_Registro[[#This Row],[Máximo]],Formato_Rango_Categorias)</f>
        <v>2.488 - 2.860</v>
      </c>
    </row>
    <row r="126" spans="2:8">
      <c r="B126" s="15">
        <f>Techo - ROW() + ROW(Categorias_Registro[])</f>
        <v>2503</v>
      </c>
      <c r="C126" s="15">
        <f>IF(Categorias_Registro[[#This Row],[Puntos]]&lt;=ROUND(Piso,0),Piso,IF(Categorias_Registro[[#This Row],[Puntos]]&lt;D127,C127,D127+1))</f>
        <v>2488</v>
      </c>
      <c r="D126" s="15">
        <f>IF(Categorias_Registro[[#This Row],[Puntos]]=ROUND(Piso,0),ROUND(Categorias_Registro[[#This Row],[Puntos]]*(1+Categorias_Registro[[#This Row],[Amplitud]]),0),IF(Categorias_Registro[[#This Row],[Puntos]]&lt;D127,D127,ROUND(D127*(1+Categorias_Registro[[#This Row],[Amplitud]]),0)))</f>
        <v>2860</v>
      </c>
      <c r="E126" s="15">
        <f>E127+IF(D127=Categorias_Registro[[#This Row],[Máximo]],0,1)</f>
        <v>25</v>
      </c>
      <c r="F126" s="15">
        <f>ROUND(Categorias_Registro[[#This Row],[Mínimo]]+((Categorias_Registro[[#This Row],[Máximo]]-Categorias_Registro[[#This Row],[Mínimo]])/2),0)</f>
        <v>2674</v>
      </c>
      <c r="G126" s="78">
        <f>VLOOKUP(Categorias_Registro[[#This Row],[Puntos]],Categorias_Configuracion[],MATCH(Categorias_Configuracion[[#Headers],[% Amplitud]],Categorias_Configuracion[#Headers],0),TRUE)</f>
        <v>0.15</v>
      </c>
      <c r="H126" s="15" t="str">
        <f ca="1">TEXT(Categorias_Registro[[#This Row],[Mínimo]],Formato_Rango_Categorias)&amp;" - "&amp;TEXT(Categorias_Registro[[#This Row],[Máximo]],Formato_Rango_Categorias)</f>
        <v>2.488 - 2.860</v>
      </c>
    </row>
    <row r="127" spans="2:8">
      <c r="B127" s="15">
        <f>Techo - ROW() + ROW(Categorias_Registro[])</f>
        <v>2502</v>
      </c>
      <c r="C127" s="15">
        <f>IF(Categorias_Registro[[#This Row],[Puntos]]&lt;=ROUND(Piso,0),Piso,IF(Categorias_Registro[[#This Row],[Puntos]]&lt;D128,C128,D128+1))</f>
        <v>2488</v>
      </c>
      <c r="D127" s="15">
        <f>IF(Categorias_Registro[[#This Row],[Puntos]]=ROUND(Piso,0),ROUND(Categorias_Registro[[#This Row],[Puntos]]*(1+Categorias_Registro[[#This Row],[Amplitud]]),0),IF(Categorias_Registro[[#This Row],[Puntos]]&lt;D128,D128,ROUND(D128*(1+Categorias_Registro[[#This Row],[Amplitud]]),0)))</f>
        <v>2860</v>
      </c>
      <c r="E127" s="15">
        <f>E128+IF(D128=Categorias_Registro[[#This Row],[Máximo]],0,1)</f>
        <v>25</v>
      </c>
      <c r="F127" s="15">
        <f>ROUND(Categorias_Registro[[#This Row],[Mínimo]]+((Categorias_Registro[[#This Row],[Máximo]]-Categorias_Registro[[#This Row],[Mínimo]])/2),0)</f>
        <v>2674</v>
      </c>
      <c r="G127" s="78">
        <f>VLOOKUP(Categorias_Registro[[#This Row],[Puntos]],Categorias_Configuracion[],MATCH(Categorias_Configuracion[[#Headers],[% Amplitud]],Categorias_Configuracion[#Headers],0),TRUE)</f>
        <v>0.15</v>
      </c>
      <c r="H127" s="15" t="str">
        <f ca="1">TEXT(Categorias_Registro[[#This Row],[Mínimo]],Formato_Rango_Categorias)&amp;" - "&amp;TEXT(Categorias_Registro[[#This Row],[Máximo]],Formato_Rango_Categorias)</f>
        <v>2.488 - 2.860</v>
      </c>
    </row>
    <row r="128" spans="2:8">
      <c r="B128" s="15">
        <f>Techo - ROW() + ROW(Categorias_Registro[])</f>
        <v>2501</v>
      </c>
      <c r="C128" s="15">
        <f>IF(Categorias_Registro[[#This Row],[Puntos]]&lt;=ROUND(Piso,0),Piso,IF(Categorias_Registro[[#This Row],[Puntos]]&lt;D129,C129,D129+1))</f>
        <v>2488</v>
      </c>
      <c r="D128" s="15">
        <f>IF(Categorias_Registro[[#This Row],[Puntos]]=ROUND(Piso,0),ROUND(Categorias_Registro[[#This Row],[Puntos]]*(1+Categorias_Registro[[#This Row],[Amplitud]]),0),IF(Categorias_Registro[[#This Row],[Puntos]]&lt;D129,D129,ROUND(D129*(1+Categorias_Registro[[#This Row],[Amplitud]]),0)))</f>
        <v>2860</v>
      </c>
      <c r="E128" s="15">
        <f>E129+IF(D129=Categorias_Registro[[#This Row],[Máximo]],0,1)</f>
        <v>25</v>
      </c>
      <c r="F128" s="15">
        <f>ROUND(Categorias_Registro[[#This Row],[Mínimo]]+((Categorias_Registro[[#This Row],[Máximo]]-Categorias_Registro[[#This Row],[Mínimo]])/2),0)</f>
        <v>2674</v>
      </c>
      <c r="G128" s="78">
        <f>VLOOKUP(Categorias_Registro[[#This Row],[Puntos]],Categorias_Configuracion[],MATCH(Categorias_Configuracion[[#Headers],[% Amplitud]],Categorias_Configuracion[#Headers],0),TRUE)</f>
        <v>0.15</v>
      </c>
      <c r="H128" s="15" t="str">
        <f ca="1">TEXT(Categorias_Registro[[#This Row],[Mínimo]],Formato_Rango_Categorias)&amp;" - "&amp;TEXT(Categorias_Registro[[#This Row],[Máximo]],Formato_Rango_Categorias)</f>
        <v>2.488 - 2.860</v>
      </c>
    </row>
    <row r="129" spans="2:8">
      <c r="B129" s="15">
        <f>Techo - ROW() + ROW(Categorias_Registro[])</f>
        <v>2500</v>
      </c>
      <c r="C129" s="15">
        <f>IF(Categorias_Registro[[#This Row],[Puntos]]&lt;=ROUND(Piso,0),Piso,IF(Categorias_Registro[[#This Row],[Puntos]]&lt;D130,C130,D130+1))</f>
        <v>2488</v>
      </c>
      <c r="D129" s="15">
        <f>IF(Categorias_Registro[[#This Row],[Puntos]]=ROUND(Piso,0),ROUND(Categorias_Registro[[#This Row],[Puntos]]*(1+Categorias_Registro[[#This Row],[Amplitud]]),0),IF(Categorias_Registro[[#This Row],[Puntos]]&lt;D130,D130,ROUND(D130*(1+Categorias_Registro[[#This Row],[Amplitud]]),0)))</f>
        <v>2860</v>
      </c>
      <c r="E129" s="15">
        <f>E130+IF(D130=Categorias_Registro[[#This Row],[Máximo]],0,1)</f>
        <v>25</v>
      </c>
      <c r="F129" s="15">
        <f>ROUND(Categorias_Registro[[#This Row],[Mínimo]]+((Categorias_Registro[[#This Row],[Máximo]]-Categorias_Registro[[#This Row],[Mínimo]])/2),0)</f>
        <v>2674</v>
      </c>
      <c r="G129" s="78">
        <f>VLOOKUP(Categorias_Registro[[#This Row],[Puntos]],Categorias_Configuracion[],MATCH(Categorias_Configuracion[[#Headers],[% Amplitud]],Categorias_Configuracion[#Headers],0),TRUE)</f>
        <v>0.15</v>
      </c>
      <c r="H129" s="15" t="str">
        <f ca="1">TEXT(Categorias_Registro[[#This Row],[Mínimo]],Formato_Rango_Categorias)&amp;" - "&amp;TEXT(Categorias_Registro[[#This Row],[Máximo]],Formato_Rango_Categorias)</f>
        <v>2.488 - 2.860</v>
      </c>
    </row>
    <row r="130" spans="2:8">
      <c r="B130" s="15">
        <f>Techo - ROW() + ROW(Categorias_Registro[])</f>
        <v>2499</v>
      </c>
      <c r="C130" s="15">
        <f>IF(Categorias_Registro[[#This Row],[Puntos]]&lt;=ROUND(Piso,0),Piso,IF(Categorias_Registro[[#This Row],[Puntos]]&lt;D131,C131,D131+1))</f>
        <v>2488</v>
      </c>
      <c r="D130" s="15">
        <f>IF(Categorias_Registro[[#This Row],[Puntos]]=ROUND(Piso,0),ROUND(Categorias_Registro[[#This Row],[Puntos]]*(1+Categorias_Registro[[#This Row],[Amplitud]]),0),IF(Categorias_Registro[[#This Row],[Puntos]]&lt;D131,D131,ROUND(D131*(1+Categorias_Registro[[#This Row],[Amplitud]]),0)))</f>
        <v>2860</v>
      </c>
      <c r="E130" s="15">
        <f>E131+IF(D131=Categorias_Registro[[#This Row],[Máximo]],0,1)</f>
        <v>25</v>
      </c>
      <c r="F130" s="15">
        <f>ROUND(Categorias_Registro[[#This Row],[Mínimo]]+((Categorias_Registro[[#This Row],[Máximo]]-Categorias_Registro[[#This Row],[Mínimo]])/2),0)</f>
        <v>2674</v>
      </c>
      <c r="G130" s="78">
        <f>VLOOKUP(Categorias_Registro[[#This Row],[Puntos]],Categorias_Configuracion[],MATCH(Categorias_Configuracion[[#Headers],[% Amplitud]],Categorias_Configuracion[#Headers],0),TRUE)</f>
        <v>0.15</v>
      </c>
      <c r="H130" s="15" t="str">
        <f ca="1">TEXT(Categorias_Registro[[#This Row],[Mínimo]],Formato_Rango_Categorias)&amp;" - "&amp;TEXT(Categorias_Registro[[#This Row],[Máximo]],Formato_Rango_Categorias)</f>
        <v>2.488 - 2.860</v>
      </c>
    </row>
    <row r="131" spans="2:8">
      <c r="B131" s="15">
        <f>Techo - ROW() + ROW(Categorias_Registro[])</f>
        <v>2498</v>
      </c>
      <c r="C131" s="15">
        <f>IF(Categorias_Registro[[#This Row],[Puntos]]&lt;=ROUND(Piso,0),Piso,IF(Categorias_Registro[[#This Row],[Puntos]]&lt;D132,C132,D132+1))</f>
        <v>2488</v>
      </c>
      <c r="D131" s="15">
        <f>IF(Categorias_Registro[[#This Row],[Puntos]]=ROUND(Piso,0),ROUND(Categorias_Registro[[#This Row],[Puntos]]*(1+Categorias_Registro[[#This Row],[Amplitud]]),0),IF(Categorias_Registro[[#This Row],[Puntos]]&lt;D132,D132,ROUND(D132*(1+Categorias_Registro[[#This Row],[Amplitud]]),0)))</f>
        <v>2860</v>
      </c>
      <c r="E131" s="15">
        <f>E132+IF(D132=Categorias_Registro[[#This Row],[Máximo]],0,1)</f>
        <v>25</v>
      </c>
      <c r="F131" s="15">
        <f>ROUND(Categorias_Registro[[#This Row],[Mínimo]]+((Categorias_Registro[[#This Row],[Máximo]]-Categorias_Registro[[#This Row],[Mínimo]])/2),0)</f>
        <v>2674</v>
      </c>
      <c r="G131" s="78">
        <f>VLOOKUP(Categorias_Registro[[#This Row],[Puntos]],Categorias_Configuracion[],MATCH(Categorias_Configuracion[[#Headers],[% Amplitud]],Categorias_Configuracion[#Headers],0),TRUE)</f>
        <v>0.15</v>
      </c>
      <c r="H131" s="15" t="str">
        <f ca="1">TEXT(Categorias_Registro[[#This Row],[Mínimo]],Formato_Rango_Categorias)&amp;" - "&amp;TEXT(Categorias_Registro[[#This Row],[Máximo]],Formato_Rango_Categorias)</f>
        <v>2.488 - 2.860</v>
      </c>
    </row>
    <row r="132" spans="2:8">
      <c r="B132" s="15">
        <f>Techo - ROW() + ROW(Categorias_Registro[])</f>
        <v>2497</v>
      </c>
      <c r="C132" s="15">
        <f>IF(Categorias_Registro[[#This Row],[Puntos]]&lt;=ROUND(Piso,0),Piso,IF(Categorias_Registro[[#This Row],[Puntos]]&lt;D133,C133,D133+1))</f>
        <v>2488</v>
      </c>
      <c r="D132" s="15">
        <f>IF(Categorias_Registro[[#This Row],[Puntos]]=ROUND(Piso,0),ROUND(Categorias_Registro[[#This Row],[Puntos]]*(1+Categorias_Registro[[#This Row],[Amplitud]]),0),IF(Categorias_Registro[[#This Row],[Puntos]]&lt;D133,D133,ROUND(D133*(1+Categorias_Registro[[#This Row],[Amplitud]]),0)))</f>
        <v>2860</v>
      </c>
      <c r="E132" s="15">
        <f>E133+IF(D133=Categorias_Registro[[#This Row],[Máximo]],0,1)</f>
        <v>25</v>
      </c>
      <c r="F132" s="15">
        <f>ROUND(Categorias_Registro[[#This Row],[Mínimo]]+((Categorias_Registro[[#This Row],[Máximo]]-Categorias_Registro[[#This Row],[Mínimo]])/2),0)</f>
        <v>2674</v>
      </c>
      <c r="G132" s="78">
        <f>VLOOKUP(Categorias_Registro[[#This Row],[Puntos]],Categorias_Configuracion[],MATCH(Categorias_Configuracion[[#Headers],[% Amplitud]],Categorias_Configuracion[#Headers],0),TRUE)</f>
        <v>0.15</v>
      </c>
      <c r="H132" s="15" t="str">
        <f ca="1">TEXT(Categorias_Registro[[#This Row],[Mínimo]],Formato_Rango_Categorias)&amp;" - "&amp;TEXT(Categorias_Registro[[#This Row],[Máximo]],Formato_Rango_Categorias)</f>
        <v>2.488 - 2.860</v>
      </c>
    </row>
    <row r="133" spans="2:8">
      <c r="B133" s="15">
        <f>Techo - ROW() + ROW(Categorias_Registro[])</f>
        <v>2496</v>
      </c>
      <c r="C133" s="15">
        <f>IF(Categorias_Registro[[#This Row],[Puntos]]&lt;=ROUND(Piso,0),Piso,IF(Categorias_Registro[[#This Row],[Puntos]]&lt;D134,C134,D134+1))</f>
        <v>2488</v>
      </c>
      <c r="D133" s="15">
        <f>IF(Categorias_Registro[[#This Row],[Puntos]]=ROUND(Piso,0),ROUND(Categorias_Registro[[#This Row],[Puntos]]*(1+Categorias_Registro[[#This Row],[Amplitud]]),0),IF(Categorias_Registro[[#This Row],[Puntos]]&lt;D134,D134,ROUND(D134*(1+Categorias_Registro[[#This Row],[Amplitud]]),0)))</f>
        <v>2860</v>
      </c>
      <c r="E133" s="15">
        <f>E134+IF(D134=Categorias_Registro[[#This Row],[Máximo]],0,1)</f>
        <v>25</v>
      </c>
      <c r="F133" s="15">
        <f>ROUND(Categorias_Registro[[#This Row],[Mínimo]]+((Categorias_Registro[[#This Row],[Máximo]]-Categorias_Registro[[#This Row],[Mínimo]])/2),0)</f>
        <v>2674</v>
      </c>
      <c r="G133" s="78">
        <f>VLOOKUP(Categorias_Registro[[#This Row],[Puntos]],Categorias_Configuracion[],MATCH(Categorias_Configuracion[[#Headers],[% Amplitud]],Categorias_Configuracion[#Headers],0),TRUE)</f>
        <v>0.15</v>
      </c>
      <c r="H133" s="15" t="str">
        <f ca="1">TEXT(Categorias_Registro[[#This Row],[Mínimo]],Formato_Rango_Categorias)&amp;" - "&amp;TEXT(Categorias_Registro[[#This Row],[Máximo]],Formato_Rango_Categorias)</f>
        <v>2.488 - 2.860</v>
      </c>
    </row>
    <row r="134" spans="2:8">
      <c r="B134" s="15">
        <f>Techo - ROW() + ROW(Categorias_Registro[])</f>
        <v>2495</v>
      </c>
      <c r="C134" s="15">
        <f>IF(Categorias_Registro[[#This Row],[Puntos]]&lt;=ROUND(Piso,0),Piso,IF(Categorias_Registro[[#This Row],[Puntos]]&lt;D135,C135,D135+1))</f>
        <v>2488</v>
      </c>
      <c r="D134" s="15">
        <f>IF(Categorias_Registro[[#This Row],[Puntos]]=ROUND(Piso,0),ROUND(Categorias_Registro[[#This Row],[Puntos]]*(1+Categorias_Registro[[#This Row],[Amplitud]]),0),IF(Categorias_Registro[[#This Row],[Puntos]]&lt;D135,D135,ROUND(D135*(1+Categorias_Registro[[#This Row],[Amplitud]]),0)))</f>
        <v>2860</v>
      </c>
      <c r="E134" s="15">
        <f>E135+IF(D135=Categorias_Registro[[#This Row],[Máximo]],0,1)</f>
        <v>25</v>
      </c>
      <c r="F134" s="15">
        <f>ROUND(Categorias_Registro[[#This Row],[Mínimo]]+((Categorias_Registro[[#This Row],[Máximo]]-Categorias_Registro[[#This Row],[Mínimo]])/2),0)</f>
        <v>2674</v>
      </c>
      <c r="G134" s="78">
        <f>VLOOKUP(Categorias_Registro[[#This Row],[Puntos]],Categorias_Configuracion[],MATCH(Categorias_Configuracion[[#Headers],[% Amplitud]],Categorias_Configuracion[#Headers],0),TRUE)</f>
        <v>0.15</v>
      </c>
      <c r="H134" s="15" t="str">
        <f ca="1">TEXT(Categorias_Registro[[#This Row],[Mínimo]],Formato_Rango_Categorias)&amp;" - "&amp;TEXT(Categorias_Registro[[#This Row],[Máximo]],Formato_Rango_Categorias)</f>
        <v>2.488 - 2.860</v>
      </c>
    </row>
    <row r="135" spans="2:8">
      <c r="B135" s="15">
        <f>Techo - ROW() + ROW(Categorias_Registro[])</f>
        <v>2494</v>
      </c>
      <c r="C135" s="15">
        <f>IF(Categorias_Registro[[#This Row],[Puntos]]&lt;=ROUND(Piso,0),Piso,IF(Categorias_Registro[[#This Row],[Puntos]]&lt;D136,C136,D136+1))</f>
        <v>2488</v>
      </c>
      <c r="D135" s="15">
        <f>IF(Categorias_Registro[[#This Row],[Puntos]]=ROUND(Piso,0),ROUND(Categorias_Registro[[#This Row],[Puntos]]*(1+Categorias_Registro[[#This Row],[Amplitud]]),0),IF(Categorias_Registro[[#This Row],[Puntos]]&lt;D136,D136,ROUND(D136*(1+Categorias_Registro[[#This Row],[Amplitud]]),0)))</f>
        <v>2860</v>
      </c>
      <c r="E135" s="15">
        <f>E136+IF(D136=Categorias_Registro[[#This Row],[Máximo]],0,1)</f>
        <v>25</v>
      </c>
      <c r="F135" s="15">
        <f>ROUND(Categorias_Registro[[#This Row],[Mínimo]]+((Categorias_Registro[[#This Row],[Máximo]]-Categorias_Registro[[#This Row],[Mínimo]])/2),0)</f>
        <v>2674</v>
      </c>
      <c r="G135" s="78">
        <f>VLOOKUP(Categorias_Registro[[#This Row],[Puntos]],Categorias_Configuracion[],MATCH(Categorias_Configuracion[[#Headers],[% Amplitud]],Categorias_Configuracion[#Headers],0),TRUE)</f>
        <v>0.15</v>
      </c>
      <c r="H135" s="15" t="str">
        <f ca="1">TEXT(Categorias_Registro[[#This Row],[Mínimo]],Formato_Rango_Categorias)&amp;" - "&amp;TEXT(Categorias_Registro[[#This Row],[Máximo]],Formato_Rango_Categorias)</f>
        <v>2.488 - 2.860</v>
      </c>
    </row>
    <row r="136" spans="2:8">
      <c r="B136" s="15">
        <f>Techo - ROW() + ROW(Categorias_Registro[])</f>
        <v>2493</v>
      </c>
      <c r="C136" s="15">
        <f>IF(Categorias_Registro[[#This Row],[Puntos]]&lt;=ROUND(Piso,0),Piso,IF(Categorias_Registro[[#This Row],[Puntos]]&lt;D137,C137,D137+1))</f>
        <v>2488</v>
      </c>
      <c r="D136" s="15">
        <f>IF(Categorias_Registro[[#This Row],[Puntos]]=ROUND(Piso,0),ROUND(Categorias_Registro[[#This Row],[Puntos]]*(1+Categorias_Registro[[#This Row],[Amplitud]]),0),IF(Categorias_Registro[[#This Row],[Puntos]]&lt;D137,D137,ROUND(D137*(1+Categorias_Registro[[#This Row],[Amplitud]]),0)))</f>
        <v>2860</v>
      </c>
      <c r="E136" s="15">
        <f>E137+IF(D137=Categorias_Registro[[#This Row],[Máximo]],0,1)</f>
        <v>25</v>
      </c>
      <c r="F136" s="15">
        <f>ROUND(Categorias_Registro[[#This Row],[Mínimo]]+((Categorias_Registro[[#This Row],[Máximo]]-Categorias_Registro[[#This Row],[Mínimo]])/2),0)</f>
        <v>2674</v>
      </c>
      <c r="G136" s="78">
        <f>VLOOKUP(Categorias_Registro[[#This Row],[Puntos]],Categorias_Configuracion[],MATCH(Categorias_Configuracion[[#Headers],[% Amplitud]],Categorias_Configuracion[#Headers],0),TRUE)</f>
        <v>0.15</v>
      </c>
      <c r="H136" s="15" t="str">
        <f ca="1">TEXT(Categorias_Registro[[#This Row],[Mínimo]],Formato_Rango_Categorias)&amp;" - "&amp;TEXT(Categorias_Registro[[#This Row],[Máximo]],Formato_Rango_Categorias)</f>
        <v>2.488 - 2.860</v>
      </c>
    </row>
    <row r="137" spans="2:8">
      <c r="B137" s="15">
        <f>Techo - ROW() + ROW(Categorias_Registro[])</f>
        <v>2492</v>
      </c>
      <c r="C137" s="15">
        <f>IF(Categorias_Registro[[#This Row],[Puntos]]&lt;=ROUND(Piso,0),Piso,IF(Categorias_Registro[[#This Row],[Puntos]]&lt;D138,C138,D138+1))</f>
        <v>2488</v>
      </c>
      <c r="D137" s="15">
        <f>IF(Categorias_Registro[[#This Row],[Puntos]]=ROUND(Piso,0),ROUND(Categorias_Registro[[#This Row],[Puntos]]*(1+Categorias_Registro[[#This Row],[Amplitud]]),0),IF(Categorias_Registro[[#This Row],[Puntos]]&lt;D138,D138,ROUND(D138*(1+Categorias_Registro[[#This Row],[Amplitud]]),0)))</f>
        <v>2860</v>
      </c>
      <c r="E137" s="15">
        <f>E138+IF(D138=Categorias_Registro[[#This Row],[Máximo]],0,1)</f>
        <v>25</v>
      </c>
      <c r="F137" s="15">
        <f>ROUND(Categorias_Registro[[#This Row],[Mínimo]]+((Categorias_Registro[[#This Row],[Máximo]]-Categorias_Registro[[#This Row],[Mínimo]])/2),0)</f>
        <v>2674</v>
      </c>
      <c r="G137" s="78">
        <f>VLOOKUP(Categorias_Registro[[#This Row],[Puntos]],Categorias_Configuracion[],MATCH(Categorias_Configuracion[[#Headers],[% Amplitud]],Categorias_Configuracion[#Headers],0),TRUE)</f>
        <v>0.15</v>
      </c>
      <c r="H137" s="15" t="str">
        <f ca="1">TEXT(Categorias_Registro[[#This Row],[Mínimo]],Formato_Rango_Categorias)&amp;" - "&amp;TEXT(Categorias_Registro[[#This Row],[Máximo]],Formato_Rango_Categorias)</f>
        <v>2.488 - 2.860</v>
      </c>
    </row>
    <row r="138" spans="2:8">
      <c r="B138" s="15">
        <f>Techo - ROW() + ROW(Categorias_Registro[])</f>
        <v>2491</v>
      </c>
      <c r="C138" s="15">
        <f>IF(Categorias_Registro[[#This Row],[Puntos]]&lt;=ROUND(Piso,0),Piso,IF(Categorias_Registro[[#This Row],[Puntos]]&lt;D139,C139,D139+1))</f>
        <v>2488</v>
      </c>
      <c r="D138" s="15">
        <f>IF(Categorias_Registro[[#This Row],[Puntos]]=ROUND(Piso,0),ROUND(Categorias_Registro[[#This Row],[Puntos]]*(1+Categorias_Registro[[#This Row],[Amplitud]]),0),IF(Categorias_Registro[[#This Row],[Puntos]]&lt;D139,D139,ROUND(D139*(1+Categorias_Registro[[#This Row],[Amplitud]]),0)))</f>
        <v>2860</v>
      </c>
      <c r="E138" s="15">
        <f>E139+IF(D139=Categorias_Registro[[#This Row],[Máximo]],0,1)</f>
        <v>25</v>
      </c>
      <c r="F138" s="15">
        <f>ROUND(Categorias_Registro[[#This Row],[Mínimo]]+((Categorias_Registro[[#This Row],[Máximo]]-Categorias_Registro[[#This Row],[Mínimo]])/2),0)</f>
        <v>2674</v>
      </c>
      <c r="G138" s="78">
        <f>VLOOKUP(Categorias_Registro[[#This Row],[Puntos]],Categorias_Configuracion[],MATCH(Categorias_Configuracion[[#Headers],[% Amplitud]],Categorias_Configuracion[#Headers],0),TRUE)</f>
        <v>0.15</v>
      </c>
      <c r="H138" s="15" t="str">
        <f ca="1">TEXT(Categorias_Registro[[#This Row],[Mínimo]],Formato_Rango_Categorias)&amp;" - "&amp;TEXT(Categorias_Registro[[#This Row],[Máximo]],Formato_Rango_Categorias)</f>
        <v>2.488 - 2.860</v>
      </c>
    </row>
    <row r="139" spans="2:8">
      <c r="B139" s="15">
        <f>Techo - ROW() + ROW(Categorias_Registro[])</f>
        <v>2490</v>
      </c>
      <c r="C139" s="15">
        <f>IF(Categorias_Registro[[#This Row],[Puntos]]&lt;=ROUND(Piso,0),Piso,IF(Categorias_Registro[[#This Row],[Puntos]]&lt;D140,C140,D140+1))</f>
        <v>2488</v>
      </c>
      <c r="D139" s="15">
        <f>IF(Categorias_Registro[[#This Row],[Puntos]]=ROUND(Piso,0),ROUND(Categorias_Registro[[#This Row],[Puntos]]*(1+Categorias_Registro[[#This Row],[Amplitud]]),0),IF(Categorias_Registro[[#This Row],[Puntos]]&lt;D140,D140,ROUND(D140*(1+Categorias_Registro[[#This Row],[Amplitud]]),0)))</f>
        <v>2860</v>
      </c>
      <c r="E139" s="15">
        <f>E140+IF(D140=Categorias_Registro[[#This Row],[Máximo]],0,1)</f>
        <v>25</v>
      </c>
      <c r="F139" s="15">
        <f>ROUND(Categorias_Registro[[#This Row],[Mínimo]]+((Categorias_Registro[[#This Row],[Máximo]]-Categorias_Registro[[#This Row],[Mínimo]])/2),0)</f>
        <v>2674</v>
      </c>
      <c r="G139" s="78">
        <f>VLOOKUP(Categorias_Registro[[#This Row],[Puntos]],Categorias_Configuracion[],MATCH(Categorias_Configuracion[[#Headers],[% Amplitud]],Categorias_Configuracion[#Headers],0),TRUE)</f>
        <v>0.15</v>
      </c>
      <c r="H139" s="15" t="str">
        <f ca="1">TEXT(Categorias_Registro[[#This Row],[Mínimo]],Formato_Rango_Categorias)&amp;" - "&amp;TEXT(Categorias_Registro[[#This Row],[Máximo]],Formato_Rango_Categorias)</f>
        <v>2.488 - 2.860</v>
      </c>
    </row>
    <row r="140" spans="2:8">
      <c r="B140" s="15">
        <f>Techo - ROW() + ROW(Categorias_Registro[])</f>
        <v>2489</v>
      </c>
      <c r="C140" s="15">
        <f>IF(Categorias_Registro[[#This Row],[Puntos]]&lt;=ROUND(Piso,0),Piso,IF(Categorias_Registro[[#This Row],[Puntos]]&lt;D141,C141,D141+1))</f>
        <v>2488</v>
      </c>
      <c r="D140" s="15">
        <f>IF(Categorias_Registro[[#This Row],[Puntos]]=ROUND(Piso,0),ROUND(Categorias_Registro[[#This Row],[Puntos]]*(1+Categorias_Registro[[#This Row],[Amplitud]]),0),IF(Categorias_Registro[[#This Row],[Puntos]]&lt;D141,D141,ROUND(D141*(1+Categorias_Registro[[#This Row],[Amplitud]]),0)))</f>
        <v>2860</v>
      </c>
      <c r="E140" s="15">
        <f>E141+IF(D141=Categorias_Registro[[#This Row],[Máximo]],0,1)</f>
        <v>25</v>
      </c>
      <c r="F140" s="15">
        <f>ROUND(Categorias_Registro[[#This Row],[Mínimo]]+((Categorias_Registro[[#This Row],[Máximo]]-Categorias_Registro[[#This Row],[Mínimo]])/2),0)</f>
        <v>2674</v>
      </c>
      <c r="G140" s="78">
        <f>VLOOKUP(Categorias_Registro[[#This Row],[Puntos]],Categorias_Configuracion[],MATCH(Categorias_Configuracion[[#Headers],[% Amplitud]],Categorias_Configuracion[#Headers],0),TRUE)</f>
        <v>0.15</v>
      </c>
      <c r="H140" s="15" t="str">
        <f ca="1">TEXT(Categorias_Registro[[#This Row],[Mínimo]],Formato_Rango_Categorias)&amp;" - "&amp;TEXT(Categorias_Registro[[#This Row],[Máximo]],Formato_Rango_Categorias)</f>
        <v>2.488 - 2.860</v>
      </c>
    </row>
    <row r="141" spans="2:8">
      <c r="B141" s="15">
        <f>Techo - ROW() + ROW(Categorias_Registro[])</f>
        <v>2488</v>
      </c>
      <c r="C141" s="15">
        <f>IF(Categorias_Registro[[#This Row],[Puntos]]&lt;=ROUND(Piso,0),Piso,IF(Categorias_Registro[[#This Row],[Puntos]]&lt;D142,C142,D142+1))</f>
        <v>2488</v>
      </c>
      <c r="D141" s="15">
        <f>IF(Categorias_Registro[[#This Row],[Puntos]]=ROUND(Piso,0),ROUND(Categorias_Registro[[#This Row],[Puntos]]*(1+Categorias_Registro[[#This Row],[Amplitud]]),0),IF(Categorias_Registro[[#This Row],[Puntos]]&lt;D142,D142,ROUND(D142*(1+Categorias_Registro[[#This Row],[Amplitud]]),0)))</f>
        <v>2860</v>
      </c>
      <c r="E141" s="15">
        <f>E142+IF(D142=Categorias_Registro[[#This Row],[Máximo]],0,1)</f>
        <v>25</v>
      </c>
      <c r="F141" s="15">
        <f>ROUND(Categorias_Registro[[#This Row],[Mínimo]]+((Categorias_Registro[[#This Row],[Máximo]]-Categorias_Registro[[#This Row],[Mínimo]])/2),0)</f>
        <v>2674</v>
      </c>
      <c r="G141" s="78">
        <f>VLOOKUP(Categorias_Registro[[#This Row],[Puntos]],Categorias_Configuracion[],MATCH(Categorias_Configuracion[[#Headers],[% Amplitud]],Categorias_Configuracion[#Headers],0),TRUE)</f>
        <v>0.15</v>
      </c>
      <c r="H141" s="15" t="str">
        <f ca="1">TEXT(Categorias_Registro[[#This Row],[Mínimo]],Formato_Rango_Categorias)&amp;" - "&amp;TEXT(Categorias_Registro[[#This Row],[Máximo]],Formato_Rango_Categorias)</f>
        <v>2.488 - 2.860</v>
      </c>
    </row>
    <row r="142" spans="2:8">
      <c r="B142" s="15">
        <f>Techo - ROW() + ROW(Categorias_Registro[])</f>
        <v>2487</v>
      </c>
      <c r="C142" s="15">
        <f>IF(Categorias_Registro[[#This Row],[Puntos]]&lt;=ROUND(Piso,0),Piso,IF(Categorias_Registro[[#This Row],[Puntos]]&lt;D143,C143,D143+1))</f>
        <v>2488</v>
      </c>
      <c r="D142" s="15">
        <f>IF(Categorias_Registro[[#This Row],[Puntos]]=ROUND(Piso,0),ROUND(Categorias_Registro[[#This Row],[Puntos]]*(1+Categorias_Registro[[#This Row],[Amplitud]]),0),IF(Categorias_Registro[[#This Row],[Puntos]]&lt;D143,D143,ROUND(D143*(1+Categorias_Registro[[#This Row],[Amplitud]]),0)))</f>
        <v>2860</v>
      </c>
      <c r="E142" s="15">
        <f>E143+IF(D143=Categorias_Registro[[#This Row],[Máximo]],0,1)</f>
        <v>25</v>
      </c>
      <c r="F142" s="15">
        <f>ROUND(Categorias_Registro[[#This Row],[Mínimo]]+((Categorias_Registro[[#This Row],[Máximo]]-Categorias_Registro[[#This Row],[Mínimo]])/2),0)</f>
        <v>2674</v>
      </c>
      <c r="G142" s="78">
        <f>VLOOKUP(Categorias_Registro[[#This Row],[Puntos]],Categorias_Configuracion[],MATCH(Categorias_Configuracion[[#Headers],[% Amplitud]],Categorias_Configuracion[#Headers],0),TRUE)</f>
        <v>0.15</v>
      </c>
      <c r="H142" s="15" t="str">
        <f ca="1">TEXT(Categorias_Registro[[#This Row],[Mínimo]],Formato_Rango_Categorias)&amp;" - "&amp;TEXT(Categorias_Registro[[#This Row],[Máximo]],Formato_Rango_Categorias)</f>
        <v>2.488 - 2.860</v>
      </c>
    </row>
    <row r="143" spans="2:8">
      <c r="B143" s="15">
        <f>Techo - ROW() + ROW(Categorias_Registro[])</f>
        <v>2486</v>
      </c>
      <c r="C143" s="15">
        <f>IF(Categorias_Registro[[#This Row],[Puntos]]&lt;=ROUND(Piso,0),Piso,IF(Categorias_Registro[[#This Row],[Puntos]]&lt;D144,C144,D144+1))</f>
        <v>2164</v>
      </c>
      <c r="D143" s="15">
        <f>IF(Categorias_Registro[[#This Row],[Puntos]]=ROUND(Piso,0),ROUND(Categorias_Registro[[#This Row],[Puntos]]*(1+Categorias_Registro[[#This Row],[Amplitud]]),0),IF(Categorias_Registro[[#This Row],[Puntos]]&lt;D144,D144,ROUND(D144*(1+Categorias_Registro[[#This Row],[Amplitud]]),0)))</f>
        <v>2487</v>
      </c>
      <c r="E143" s="15">
        <f>E144+IF(D144=Categorias_Registro[[#This Row],[Máximo]],0,1)</f>
        <v>24</v>
      </c>
      <c r="F143" s="15">
        <f>ROUND(Categorias_Registro[[#This Row],[Mínimo]]+((Categorias_Registro[[#This Row],[Máximo]]-Categorias_Registro[[#This Row],[Mínimo]])/2),0)</f>
        <v>2326</v>
      </c>
      <c r="G143" s="78">
        <f>VLOOKUP(Categorias_Registro[[#This Row],[Puntos]],Categorias_Configuracion[],MATCH(Categorias_Configuracion[[#Headers],[% Amplitud]],Categorias_Configuracion[#Headers],0),TRUE)</f>
        <v>0.15</v>
      </c>
      <c r="H143" s="15" t="str">
        <f ca="1">TEXT(Categorias_Registro[[#This Row],[Mínimo]],Formato_Rango_Categorias)&amp;" - "&amp;TEXT(Categorias_Registro[[#This Row],[Máximo]],Formato_Rango_Categorias)</f>
        <v>2.164 - 2.487</v>
      </c>
    </row>
    <row r="144" spans="2:8">
      <c r="B144" s="15">
        <f>Techo - ROW() + ROW(Categorias_Registro[])</f>
        <v>2485</v>
      </c>
      <c r="C144" s="15">
        <f>IF(Categorias_Registro[[#This Row],[Puntos]]&lt;=ROUND(Piso,0),Piso,IF(Categorias_Registro[[#This Row],[Puntos]]&lt;D145,C145,D145+1))</f>
        <v>2164</v>
      </c>
      <c r="D144" s="15">
        <f>IF(Categorias_Registro[[#This Row],[Puntos]]=ROUND(Piso,0),ROUND(Categorias_Registro[[#This Row],[Puntos]]*(1+Categorias_Registro[[#This Row],[Amplitud]]),0),IF(Categorias_Registro[[#This Row],[Puntos]]&lt;D145,D145,ROUND(D145*(1+Categorias_Registro[[#This Row],[Amplitud]]),0)))</f>
        <v>2487</v>
      </c>
      <c r="E144" s="15">
        <f>E145+IF(D145=Categorias_Registro[[#This Row],[Máximo]],0,1)</f>
        <v>24</v>
      </c>
      <c r="F144" s="15">
        <f>ROUND(Categorias_Registro[[#This Row],[Mínimo]]+((Categorias_Registro[[#This Row],[Máximo]]-Categorias_Registro[[#This Row],[Mínimo]])/2),0)</f>
        <v>2326</v>
      </c>
      <c r="G144" s="78">
        <f>VLOOKUP(Categorias_Registro[[#This Row],[Puntos]],Categorias_Configuracion[],MATCH(Categorias_Configuracion[[#Headers],[% Amplitud]],Categorias_Configuracion[#Headers],0),TRUE)</f>
        <v>0.15</v>
      </c>
      <c r="H144" s="15" t="str">
        <f ca="1">TEXT(Categorias_Registro[[#This Row],[Mínimo]],Formato_Rango_Categorias)&amp;" - "&amp;TEXT(Categorias_Registro[[#This Row],[Máximo]],Formato_Rango_Categorias)</f>
        <v>2.164 - 2.487</v>
      </c>
    </row>
    <row r="145" spans="2:8">
      <c r="B145" s="15">
        <f>Techo - ROW() + ROW(Categorias_Registro[])</f>
        <v>2484</v>
      </c>
      <c r="C145" s="15">
        <f>IF(Categorias_Registro[[#This Row],[Puntos]]&lt;=ROUND(Piso,0),Piso,IF(Categorias_Registro[[#This Row],[Puntos]]&lt;D146,C146,D146+1))</f>
        <v>2164</v>
      </c>
      <c r="D145" s="15">
        <f>IF(Categorias_Registro[[#This Row],[Puntos]]=ROUND(Piso,0),ROUND(Categorias_Registro[[#This Row],[Puntos]]*(1+Categorias_Registro[[#This Row],[Amplitud]]),0),IF(Categorias_Registro[[#This Row],[Puntos]]&lt;D146,D146,ROUND(D146*(1+Categorias_Registro[[#This Row],[Amplitud]]),0)))</f>
        <v>2487</v>
      </c>
      <c r="E145" s="15">
        <f>E146+IF(D146=Categorias_Registro[[#This Row],[Máximo]],0,1)</f>
        <v>24</v>
      </c>
      <c r="F145" s="15">
        <f>ROUND(Categorias_Registro[[#This Row],[Mínimo]]+((Categorias_Registro[[#This Row],[Máximo]]-Categorias_Registro[[#This Row],[Mínimo]])/2),0)</f>
        <v>2326</v>
      </c>
      <c r="G145" s="78">
        <f>VLOOKUP(Categorias_Registro[[#This Row],[Puntos]],Categorias_Configuracion[],MATCH(Categorias_Configuracion[[#Headers],[% Amplitud]],Categorias_Configuracion[#Headers],0),TRUE)</f>
        <v>0.15</v>
      </c>
      <c r="H145" s="15" t="str">
        <f ca="1">TEXT(Categorias_Registro[[#This Row],[Mínimo]],Formato_Rango_Categorias)&amp;" - "&amp;TEXT(Categorias_Registro[[#This Row],[Máximo]],Formato_Rango_Categorias)</f>
        <v>2.164 - 2.487</v>
      </c>
    </row>
    <row r="146" spans="2:8">
      <c r="B146" s="15">
        <f>Techo - ROW() + ROW(Categorias_Registro[])</f>
        <v>2483</v>
      </c>
      <c r="C146" s="15">
        <f>IF(Categorias_Registro[[#This Row],[Puntos]]&lt;=ROUND(Piso,0),Piso,IF(Categorias_Registro[[#This Row],[Puntos]]&lt;D147,C147,D147+1))</f>
        <v>2164</v>
      </c>
      <c r="D146" s="15">
        <f>IF(Categorias_Registro[[#This Row],[Puntos]]=ROUND(Piso,0),ROUND(Categorias_Registro[[#This Row],[Puntos]]*(1+Categorias_Registro[[#This Row],[Amplitud]]),0),IF(Categorias_Registro[[#This Row],[Puntos]]&lt;D147,D147,ROUND(D147*(1+Categorias_Registro[[#This Row],[Amplitud]]),0)))</f>
        <v>2487</v>
      </c>
      <c r="E146" s="15">
        <f>E147+IF(D147=Categorias_Registro[[#This Row],[Máximo]],0,1)</f>
        <v>24</v>
      </c>
      <c r="F146" s="15">
        <f>ROUND(Categorias_Registro[[#This Row],[Mínimo]]+((Categorias_Registro[[#This Row],[Máximo]]-Categorias_Registro[[#This Row],[Mínimo]])/2),0)</f>
        <v>2326</v>
      </c>
      <c r="G146" s="78">
        <f>VLOOKUP(Categorias_Registro[[#This Row],[Puntos]],Categorias_Configuracion[],MATCH(Categorias_Configuracion[[#Headers],[% Amplitud]],Categorias_Configuracion[#Headers],0),TRUE)</f>
        <v>0.15</v>
      </c>
      <c r="H146" s="15" t="str">
        <f ca="1">TEXT(Categorias_Registro[[#This Row],[Mínimo]],Formato_Rango_Categorias)&amp;" - "&amp;TEXT(Categorias_Registro[[#This Row],[Máximo]],Formato_Rango_Categorias)</f>
        <v>2.164 - 2.487</v>
      </c>
    </row>
    <row r="147" spans="2:8">
      <c r="B147" s="15">
        <f>Techo - ROW() + ROW(Categorias_Registro[])</f>
        <v>2482</v>
      </c>
      <c r="C147" s="15">
        <f>IF(Categorias_Registro[[#This Row],[Puntos]]&lt;=ROUND(Piso,0),Piso,IF(Categorias_Registro[[#This Row],[Puntos]]&lt;D148,C148,D148+1))</f>
        <v>2164</v>
      </c>
      <c r="D147" s="15">
        <f>IF(Categorias_Registro[[#This Row],[Puntos]]=ROUND(Piso,0),ROUND(Categorias_Registro[[#This Row],[Puntos]]*(1+Categorias_Registro[[#This Row],[Amplitud]]),0),IF(Categorias_Registro[[#This Row],[Puntos]]&lt;D148,D148,ROUND(D148*(1+Categorias_Registro[[#This Row],[Amplitud]]),0)))</f>
        <v>2487</v>
      </c>
      <c r="E147" s="15">
        <f>E148+IF(D148=Categorias_Registro[[#This Row],[Máximo]],0,1)</f>
        <v>24</v>
      </c>
      <c r="F147" s="15">
        <f>ROUND(Categorias_Registro[[#This Row],[Mínimo]]+((Categorias_Registro[[#This Row],[Máximo]]-Categorias_Registro[[#This Row],[Mínimo]])/2),0)</f>
        <v>2326</v>
      </c>
      <c r="G147" s="78">
        <f>VLOOKUP(Categorias_Registro[[#This Row],[Puntos]],Categorias_Configuracion[],MATCH(Categorias_Configuracion[[#Headers],[% Amplitud]],Categorias_Configuracion[#Headers],0),TRUE)</f>
        <v>0.15</v>
      </c>
      <c r="H147" s="15" t="str">
        <f ca="1">TEXT(Categorias_Registro[[#This Row],[Mínimo]],Formato_Rango_Categorias)&amp;" - "&amp;TEXT(Categorias_Registro[[#This Row],[Máximo]],Formato_Rango_Categorias)</f>
        <v>2.164 - 2.487</v>
      </c>
    </row>
    <row r="148" spans="2:8">
      <c r="B148" s="15">
        <f>Techo - ROW() + ROW(Categorias_Registro[])</f>
        <v>2481</v>
      </c>
      <c r="C148" s="15">
        <f>IF(Categorias_Registro[[#This Row],[Puntos]]&lt;=ROUND(Piso,0),Piso,IF(Categorias_Registro[[#This Row],[Puntos]]&lt;D149,C149,D149+1))</f>
        <v>2164</v>
      </c>
      <c r="D148" s="15">
        <f>IF(Categorias_Registro[[#This Row],[Puntos]]=ROUND(Piso,0),ROUND(Categorias_Registro[[#This Row],[Puntos]]*(1+Categorias_Registro[[#This Row],[Amplitud]]),0),IF(Categorias_Registro[[#This Row],[Puntos]]&lt;D149,D149,ROUND(D149*(1+Categorias_Registro[[#This Row],[Amplitud]]),0)))</f>
        <v>2487</v>
      </c>
      <c r="E148" s="15">
        <f>E149+IF(D149=Categorias_Registro[[#This Row],[Máximo]],0,1)</f>
        <v>24</v>
      </c>
      <c r="F148" s="15">
        <f>ROUND(Categorias_Registro[[#This Row],[Mínimo]]+((Categorias_Registro[[#This Row],[Máximo]]-Categorias_Registro[[#This Row],[Mínimo]])/2),0)</f>
        <v>2326</v>
      </c>
      <c r="G148" s="78">
        <f>VLOOKUP(Categorias_Registro[[#This Row],[Puntos]],Categorias_Configuracion[],MATCH(Categorias_Configuracion[[#Headers],[% Amplitud]],Categorias_Configuracion[#Headers],0),TRUE)</f>
        <v>0.15</v>
      </c>
      <c r="H148" s="15" t="str">
        <f ca="1">TEXT(Categorias_Registro[[#This Row],[Mínimo]],Formato_Rango_Categorias)&amp;" - "&amp;TEXT(Categorias_Registro[[#This Row],[Máximo]],Formato_Rango_Categorias)</f>
        <v>2.164 - 2.487</v>
      </c>
    </row>
    <row r="149" spans="2:8">
      <c r="B149" s="15">
        <f>Techo - ROW() + ROW(Categorias_Registro[])</f>
        <v>2480</v>
      </c>
      <c r="C149" s="15">
        <f>IF(Categorias_Registro[[#This Row],[Puntos]]&lt;=ROUND(Piso,0),Piso,IF(Categorias_Registro[[#This Row],[Puntos]]&lt;D150,C150,D150+1))</f>
        <v>2164</v>
      </c>
      <c r="D149" s="15">
        <f>IF(Categorias_Registro[[#This Row],[Puntos]]=ROUND(Piso,0),ROUND(Categorias_Registro[[#This Row],[Puntos]]*(1+Categorias_Registro[[#This Row],[Amplitud]]),0),IF(Categorias_Registro[[#This Row],[Puntos]]&lt;D150,D150,ROUND(D150*(1+Categorias_Registro[[#This Row],[Amplitud]]),0)))</f>
        <v>2487</v>
      </c>
      <c r="E149" s="15">
        <f>E150+IF(D150=Categorias_Registro[[#This Row],[Máximo]],0,1)</f>
        <v>24</v>
      </c>
      <c r="F149" s="15">
        <f>ROUND(Categorias_Registro[[#This Row],[Mínimo]]+((Categorias_Registro[[#This Row],[Máximo]]-Categorias_Registro[[#This Row],[Mínimo]])/2),0)</f>
        <v>2326</v>
      </c>
      <c r="G149" s="78">
        <f>VLOOKUP(Categorias_Registro[[#This Row],[Puntos]],Categorias_Configuracion[],MATCH(Categorias_Configuracion[[#Headers],[% Amplitud]],Categorias_Configuracion[#Headers],0),TRUE)</f>
        <v>0.15</v>
      </c>
      <c r="H149" s="15" t="str">
        <f ca="1">TEXT(Categorias_Registro[[#This Row],[Mínimo]],Formato_Rango_Categorias)&amp;" - "&amp;TEXT(Categorias_Registro[[#This Row],[Máximo]],Formato_Rango_Categorias)</f>
        <v>2.164 - 2.487</v>
      </c>
    </row>
    <row r="150" spans="2:8">
      <c r="B150" s="15">
        <f>Techo - ROW() + ROW(Categorias_Registro[])</f>
        <v>2479</v>
      </c>
      <c r="C150" s="15">
        <f>IF(Categorias_Registro[[#This Row],[Puntos]]&lt;=ROUND(Piso,0),Piso,IF(Categorias_Registro[[#This Row],[Puntos]]&lt;D151,C151,D151+1))</f>
        <v>2164</v>
      </c>
      <c r="D150" s="15">
        <f>IF(Categorias_Registro[[#This Row],[Puntos]]=ROUND(Piso,0),ROUND(Categorias_Registro[[#This Row],[Puntos]]*(1+Categorias_Registro[[#This Row],[Amplitud]]),0),IF(Categorias_Registro[[#This Row],[Puntos]]&lt;D151,D151,ROUND(D151*(1+Categorias_Registro[[#This Row],[Amplitud]]),0)))</f>
        <v>2487</v>
      </c>
      <c r="E150" s="15">
        <f>E151+IF(D151=Categorias_Registro[[#This Row],[Máximo]],0,1)</f>
        <v>24</v>
      </c>
      <c r="F150" s="15">
        <f>ROUND(Categorias_Registro[[#This Row],[Mínimo]]+((Categorias_Registro[[#This Row],[Máximo]]-Categorias_Registro[[#This Row],[Mínimo]])/2),0)</f>
        <v>2326</v>
      </c>
      <c r="G150" s="78">
        <f>VLOOKUP(Categorias_Registro[[#This Row],[Puntos]],Categorias_Configuracion[],MATCH(Categorias_Configuracion[[#Headers],[% Amplitud]],Categorias_Configuracion[#Headers],0),TRUE)</f>
        <v>0.15</v>
      </c>
      <c r="H150" s="15" t="str">
        <f ca="1">TEXT(Categorias_Registro[[#This Row],[Mínimo]],Formato_Rango_Categorias)&amp;" - "&amp;TEXT(Categorias_Registro[[#This Row],[Máximo]],Formato_Rango_Categorias)</f>
        <v>2.164 - 2.487</v>
      </c>
    </row>
    <row r="151" spans="2:8">
      <c r="B151" s="15">
        <f>Techo - ROW() + ROW(Categorias_Registro[])</f>
        <v>2478</v>
      </c>
      <c r="C151" s="15">
        <f>IF(Categorias_Registro[[#This Row],[Puntos]]&lt;=ROUND(Piso,0),Piso,IF(Categorias_Registro[[#This Row],[Puntos]]&lt;D152,C152,D152+1))</f>
        <v>2164</v>
      </c>
      <c r="D151" s="15">
        <f>IF(Categorias_Registro[[#This Row],[Puntos]]=ROUND(Piso,0),ROUND(Categorias_Registro[[#This Row],[Puntos]]*(1+Categorias_Registro[[#This Row],[Amplitud]]),0),IF(Categorias_Registro[[#This Row],[Puntos]]&lt;D152,D152,ROUND(D152*(1+Categorias_Registro[[#This Row],[Amplitud]]),0)))</f>
        <v>2487</v>
      </c>
      <c r="E151" s="15">
        <f>E152+IF(D152=Categorias_Registro[[#This Row],[Máximo]],0,1)</f>
        <v>24</v>
      </c>
      <c r="F151" s="15">
        <f>ROUND(Categorias_Registro[[#This Row],[Mínimo]]+((Categorias_Registro[[#This Row],[Máximo]]-Categorias_Registro[[#This Row],[Mínimo]])/2),0)</f>
        <v>2326</v>
      </c>
      <c r="G151" s="78">
        <f>VLOOKUP(Categorias_Registro[[#This Row],[Puntos]],Categorias_Configuracion[],MATCH(Categorias_Configuracion[[#Headers],[% Amplitud]],Categorias_Configuracion[#Headers],0),TRUE)</f>
        <v>0.15</v>
      </c>
      <c r="H151" s="15" t="str">
        <f ca="1">TEXT(Categorias_Registro[[#This Row],[Mínimo]],Formato_Rango_Categorias)&amp;" - "&amp;TEXT(Categorias_Registro[[#This Row],[Máximo]],Formato_Rango_Categorias)</f>
        <v>2.164 - 2.487</v>
      </c>
    </row>
    <row r="152" spans="2:8">
      <c r="B152" s="15">
        <f>Techo - ROW() + ROW(Categorias_Registro[])</f>
        <v>2477</v>
      </c>
      <c r="C152" s="15">
        <f>IF(Categorias_Registro[[#This Row],[Puntos]]&lt;=ROUND(Piso,0),Piso,IF(Categorias_Registro[[#This Row],[Puntos]]&lt;D153,C153,D153+1))</f>
        <v>2164</v>
      </c>
      <c r="D152" s="15">
        <f>IF(Categorias_Registro[[#This Row],[Puntos]]=ROUND(Piso,0),ROUND(Categorias_Registro[[#This Row],[Puntos]]*(1+Categorias_Registro[[#This Row],[Amplitud]]),0),IF(Categorias_Registro[[#This Row],[Puntos]]&lt;D153,D153,ROUND(D153*(1+Categorias_Registro[[#This Row],[Amplitud]]),0)))</f>
        <v>2487</v>
      </c>
      <c r="E152" s="15">
        <f>E153+IF(D153=Categorias_Registro[[#This Row],[Máximo]],0,1)</f>
        <v>24</v>
      </c>
      <c r="F152" s="15">
        <f>ROUND(Categorias_Registro[[#This Row],[Mínimo]]+((Categorias_Registro[[#This Row],[Máximo]]-Categorias_Registro[[#This Row],[Mínimo]])/2),0)</f>
        <v>2326</v>
      </c>
      <c r="G152" s="78">
        <f>VLOOKUP(Categorias_Registro[[#This Row],[Puntos]],Categorias_Configuracion[],MATCH(Categorias_Configuracion[[#Headers],[% Amplitud]],Categorias_Configuracion[#Headers],0),TRUE)</f>
        <v>0.15</v>
      </c>
      <c r="H152" s="15" t="str">
        <f ca="1">TEXT(Categorias_Registro[[#This Row],[Mínimo]],Formato_Rango_Categorias)&amp;" - "&amp;TEXT(Categorias_Registro[[#This Row],[Máximo]],Formato_Rango_Categorias)</f>
        <v>2.164 - 2.487</v>
      </c>
    </row>
    <row r="153" spans="2:8">
      <c r="B153" s="15">
        <f>Techo - ROW() + ROW(Categorias_Registro[])</f>
        <v>2476</v>
      </c>
      <c r="C153" s="15">
        <f>IF(Categorias_Registro[[#This Row],[Puntos]]&lt;=ROUND(Piso,0),Piso,IF(Categorias_Registro[[#This Row],[Puntos]]&lt;D154,C154,D154+1))</f>
        <v>2164</v>
      </c>
      <c r="D153" s="15">
        <f>IF(Categorias_Registro[[#This Row],[Puntos]]=ROUND(Piso,0),ROUND(Categorias_Registro[[#This Row],[Puntos]]*(1+Categorias_Registro[[#This Row],[Amplitud]]),0),IF(Categorias_Registro[[#This Row],[Puntos]]&lt;D154,D154,ROUND(D154*(1+Categorias_Registro[[#This Row],[Amplitud]]),0)))</f>
        <v>2487</v>
      </c>
      <c r="E153" s="15">
        <f>E154+IF(D154=Categorias_Registro[[#This Row],[Máximo]],0,1)</f>
        <v>24</v>
      </c>
      <c r="F153" s="15">
        <f>ROUND(Categorias_Registro[[#This Row],[Mínimo]]+((Categorias_Registro[[#This Row],[Máximo]]-Categorias_Registro[[#This Row],[Mínimo]])/2),0)</f>
        <v>2326</v>
      </c>
      <c r="G153" s="78">
        <f>VLOOKUP(Categorias_Registro[[#This Row],[Puntos]],Categorias_Configuracion[],MATCH(Categorias_Configuracion[[#Headers],[% Amplitud]],Categorias_Configuracion[#Headers],0),TRUE)</f>
        <v>0.15</v>
      </c>
      <c r="H153" s="15" t="str">
        <f ca="1">TEXT(Categorias_Registro[[#This Row],[Mínimo]],Formato_Rango_Categorias)&amp;" - "&amp;TEXT(Categorias_Registro[[#This Row],[Máximo]],Formato_Rango_Categorias)</f>
        <v>2.164 - 2.487</v>
      </c>
    </row>
    <row r="154" spans="2:8">
      <c r="B154" s="15">
        <f>Techo - ROW() + ROW(Categorias_Registro[])</f>
        <v>2475</v>
      </c>
      <c r="C154" s="15">
        <f>IF(Categorias_Registro[[#This Row],[Puntos]]&lt;=ROUND(Piso,0),Piso,IF(Categorias_Registro[[#This Row],[Puntos]]&lt;D155,C155,D155+1))</f>
        <v>2164</v>
      </c>
      <c r="D154" s="15">
        <f>IF(Categorias_Registro[[#This Row],[Puntos]]=ROUND(Piso,0),ROUND(Categorias_Registro[[#This Row],[Puntos]]*(1+Categorias_Registro[[#This Row],[Amplitud]]),0),IF(Categorias_Registro[[#This Row],[Puntos]]&lt;D155,D155,ROUND(D155*(1+Categorias_Registro[[#This Row],[Amplitud]]),0)))</f>
        <v>2487</v>
      </c>
      <c r="E154" s="15">
        <f>E155+IF(D155=Categorias_Registro[[#This Row],[Máximo]],0,1)</f>
        <v>24</v>
      </c>
      <c r="F154" s="15">
        <f>ROUND(Categorias_Registro[[#This Row],[Mínimo]]+((Categorias_Registro[[#This Row],[Máximo]]-Categorias_Registro[[#This Row],[Mínimo]])/2),0)</f>
        <v>2326</v>
      </c>
      <c r="G154" s="78">
        <f>VLOOKUP(Categorias_Registro[[#This Row],[Puntos]],Categorias_Configuracion[],MATCH(Categorias_Configuracion[[#Headers],[% Amplitud]],Categorias_Configuracion[#Headers],0),TRUE)</f>
        <v>0.15</v>
      </c>
      <c r="H154" s="15" t="str">
        <f ca="1">TEXT(Categorias_Registro[[#This Row],[Mínimo]],Formato_Rango_Categorias)&amp;" - "&amp;TEXT(Categorias_Registro[[#This Row],[Máximo]],Formato_Rango_Categorias)</f>
        <v>2.164 - 2.487</v>
      </c>
    </row>
    <row r="155" spans="2:8">
      <c r="B155" s="15">
        <f>Techo - ROW() + ROW(Categorias_Registro[])</f>
        <v>2474</v>
      </c>
      <c r="C155" s="15">
        <f>IF(Categorias_Registro[[#This Row],[Puntos]]&lt;=ROUND(Piso,0),Piso,IF(Categorias_Registro[[#This Row],[Puntos]]&lt;D156,C156,D156+1))</f>
        <v>2164</v>
      </c>
      <c r="D155" s="15">
        <f>IF(Categorias_Registro[[#This Row],[Puntos]]=ROUND(Piso,0),ROUND(Categorias_Registro[[#This Row],[Puntos]]*(1+Categorias_Registro[[#This Row],[Amplitud]]),0),IF(Categorias_Registro[[#This Row],[Puntos]]&lt;D156,D156,ROUND(D156*(1+Categorias_Registro[[#This Row],[Amplitud]]),0)))</f>
        <v>2487</v>
      </c>
      <c r="E155" s="15">
        <f>E156+IF(D156=Categorias_Registro[[#This Row],[Máximo]],0,1)</f>
        <v>24</v>
      </c>
      <c r="F155" s="15">
        <f>ROUND(Categorias_Registro[[#This Row],[Mínimo]]+((Categorias_Registro[[#This Row],[Máximo]]-Categorias_Registro[[#This Row],[Mínimo]])/2),0)</f>
        <v>2326</v>
      </c>
      <c r="G155" s="78">
        <f>VLOOKUP(Categorias_Registro[[#This Row],[Puntos]],Categorias_Configuracion[],MATCH(Categorias_Configuracion[[#Headers],[% Amplitud]],Categorias_Configuracion[#Headers],0),TRUE)</f>
        <v>0.15</v>
      </c>
      <c r="H155" s="15" t="str">
        <f ca="1">TEXT(Categorias_Registro[[#This Row],[Mínimo]],Formato_Rango_Categorias)&amp;" - "&amp;TEXT(Categorias_Registro[[#This Row],[Máximo]],Formato_Rango_Categorias)</f>
        <v>2.164 - 2.487</v>
      </c>
    </row>
    <row r="156" spans="2:8">
      <c r="B156" s="15">
        <f>Techo - ROW() + ROW(Categorias_Registro[])</f>
        <v>2473</v>
      </c>
      <c r="C156" s="15">
        <f>IF(Categorias_Registro[[#This Row],[Puntos]]&lt;=ROUND(Piso,0),Piso,IF(Categorias_Registro[[#This Row],[Puntos]]&lt;D157,C157,D157+1))</f>
        <v>2164</v>
      </c>
      <c r="D156" s="15">
        <f>IF(Categorias_Registro[[#This Row],[Puntos]]=ROUND(Piso,0),ROUND(Categorias_Registro[[#This Row],[Puntos]]*(1+Categorias_Registro[[#This Row],[Amplitud]]),0),IF(Categorias_Registro[[#This Row],[Puntos]]&lt;D157,D157,ROUND(D157*(1+Categorias_Registro[[#This Row],[Amplitud]]),0)))</f>
        <v>2487</v>
      </c>
      <c r="E156" s="15">
        <f>E157+IF(D157=Categorias_Registro[[#This Row],[Máximo]],0,1)</f>
        <v>24</v>
      </c>
      <c r="F156" s="15">
        <f>ROUND(Categorias_Registro[[#This Row],[Mínimo]]+((Categorias_Registro[[#This Row],[Máximo]]-Categorias_Registro[[#This Row],[Mínimo]])/2),0)</f>
        <v>2326</v>
      </c>
      <c r="G156" s="78">
        <f>VLOOKUP(Categorias_Registro[[#This Row],[Puntos]],Categorias_Configuracion[],MATCH(Categorias_Configuracion[[#Headers],[% Amplitud]],Categorias_Configuracion[#Headers],0),TRUE)</f>
        <v>0.15</v>
      </c>
      <c r="H156" s="15" t="str">
        <f ca="1">TEXT(Categorias_Registro[[#This Row],[Mínimo]],Formato_Rango_Categorias)&amp;" - "&amp;TEXT(Categorias_Registro[[#This Row],[Máximo]],Formato_Rango_Categorias)</f>
        <v>2.164 - 2.487</v>
      </c>
    </row>
    <row r="157" spans="2:8">
      <c r="B157" s="15">
        <f>Techo - ROW() + ROW(Categorias_Registro[])</f>
        <v>2472</v>
      </c>
      <c r="C157" s="15">
        <f>IF(Categorias_Registro[[#This Row],[Puntos]]&lt;=ROUND(Piso,0),Piso,IF(Categorias_Registro[[#This Row],[Puntos]]&lt;D158,C158,D158+1))</f>
        <v>2164</v>
      </c>
      <c r="D157" s="15">
        <f>IF(Categorias_Registro[[#This Row],[Puntos]]=ROUND(Piso,0),ROUND(Categorias_Registro[[#This Row],[Puntos]]*(1+Categorias_Registro[[#This Row],[Amplitud]]),0),IF(Categorias_Registro[[#This Row],[Puntos]]&lt;D158,D158,ROUND(D158*(1+Categorias_Registro[[#This Row],[Amplitud]]),0)))</f>
        <v>2487</v>
      </c>
      <c r="E157" s="15">
        <f>E158+IF(D158=Categorias_Registro[[#This Row],[Máximo]],0,1)</f>
        <v>24</v>
      </c>
      <c r="F157" s="15">
        <f>ROUND(Categorias_Registro[[#This Row],[Mínimo]]+((Categorias_Registro[[#This Row],[Máximo]]-Categorias_Registro[[#This Row],[Mínimo]])/2),0)</f>
        <v>2326</v>
      </c>
      <c r="G157" s="78">
        <f>VLOOKUP(Categorias_Registro[[#This Row],[Puntos]],Categorias_Configuracion[],MATCH(Categorias_Configuracion[[#Headers],[% Amplitud]],Categorias_Configuracion[#Headers],0),TRUE)</f>
        <v>0.15</v>
      </c>
      <c r="H157" s="15" t="str">
        <f ca="1">TEXT(Categorias_Registro[[#This Row],[Mínimo]],Formato_Rango_Categorias)&amp;" - "&amp;TEXT(Categorias_Registro[[#This Row],[Máximo]],Formato_Rango_Categorias)</f>
        <v>2.164 - 2.487</v>
      </c>
    </row>
    <row r="158" spans="2:8">
      <c r="B158" s="15">
        <f>Techo - ROW() + ROW(Categorias_Registro[])</f>
        <v>2471</v>
      </c>
      <c r="C158" s="15">
        <f>IF(Categorias_Registro[[#This Row],[Puntos]]&lt;=ROUND(Piso,0),Piso,IF(Categorias_Registro[[#This Row],[Puntos]]&lt;D159,C159,D159+1))</f>
        <v>2164</v>
      </c>
      <c r="D158" s="15">
        <f>IF(Categorias_Registro[[#This Row],[Puntos]]=ROUND(Piso,0),ROUND(Categorias_Registro[[#This Row],[Puntos]]*(1+Categorias_Registro[[#This Row],[Amplitud]]),0),IF(Categorias_Registro[[#This Row],[Puntos]]&lt;D159,D159,ROUND(D159*(1+Categorias_Registro[[#This Row],[Amplitud]]),0)))</f>
        <v>2487</v>
      </c>
      <c r="E158" s="15">
        <f>E159+IF(D159=Categorias_Registro[[#This Row],[Máximo]],0,1)</f>
        <v>24</v>
      </c>
      <c r="F158" s="15">
        <f>ROUND(Categorias_Registro[[#This Row],[Mínimo]]+((Categorias_Registro[[#This Row],[Máximo]]-Categorias_Registro[[#This Row],[Mínimo]])/2),0)</f>
        <v>2326</v>
      </c>
      <c r="G158" s="78">
        <f>VLOOKUP(Categorias_Registro[[#This Row],[Puntos]],Categorias_Configuracion[],MATCH(Categorias_Configuracion[[#Headers],[% Amplitud]],Categorias_Configuracion[#Headers],0),TRUE)</f>
        <v>0.15</v>
      </c>
      <c r="H158" s="15" t="str">
        <f ca="1">TEXT(Categorias_Registro[[#This Row],[Mínimo]],Formato_Rango_Categorias)&amp;" - "&amp;TEXT(Categorias_Registro[[#This Row],[Máximo]],Formato_Rango_Categorias)</f>
        <v>2.164 - 2.487</v>
      </c>
    </row>
    <row r="159" spans="2:8">
      <c r="B159" s="15">
        <f>Techo - ROW() + ROW(Categorias_Registro[])</f>
        <v>2470</v>
      </c>
      <c r="C159" s="15">
        <f>IF(Categorias_Registro[[#This Row],[Puntos]]&lt;=ROUND(Piso,0),Piso,IF(Categorias_Registro[[#This Row],[Puntos]]&lt;D160,C160,D160+1))</f>
        <v>2164</v>
      </c>
      <c r="D159" s="15">
        <f>IF(Categorias_Registro[[#This Row],[Puntos]]=ROUND(Piso,0),ROUND(Categorias_Registro[[#This Row],[Puntos]]*(1+Categorias_Registro[[#This Row],[Amplitud]]),0),IF(Categorias_Registro[[#This Row],[Puntos]]&lt;D160,D160,ROUND(D160*(1+Categorias_Registro[[#This Row],[Amplitud]]),0)))</f>
        <v>2487</v>
      </c>
      <c r="E159" s="15">
        <f>E160+IF(D160=Categorias_Registro[[#This Row],[Máximo]],0,1)</f>
        <v>24</v>
      </c>
      <c r="F159" s="15">
        <f>ROUND(Categorias_Registro[[#This Row],[Mínimo]]+((Categorias_Registro[[#This Row],[Máximo]]-Categorias_Registro[[#This Row],[Mínimo]])/2),0)</f>
        <v>2326</v>
      </c>
      <c r="G159" s="78">
        <f>VLOOKUP(Categorias_Registro[[#This Row],[Puntos]],Categorias_Configuracion[],MATCH(Categorias_Configuracion[[#Headers],[% Amplitud]],Categorias_Configuracion[#Headers],0),TRUE)</f>
        <v>0.15</v>
      </c>
      <c r="H159" s="15" t="str">
        <f ca="1">TEXT(Categorias_Registro[[#This Row],[Mínimo]],Formato_Rango_Categorias)&amp;" - "&amp;TEXT(Categorias_Registro[[#This Row],[Máximo]],Formato_Rango_Categorias)</f>
        <v>2.164 - 2.487</v>
      </c>
    </row>
    <row r="160" spans="2:8">
      <c r="B160" s="15">
        <f>Techo - ROW() + ROW(Categorias_Registro[])</f>
        <v>2469</v>
      </c>
      <c r="C160" s="15">
        <f>IF(Categorias_Registro[[#This Row],[Puntos]]&lt;=ROUND(Piso,0),Piso,IF(Categorias_Registro[[#This Row],[Puntos]]&lt;D161,C161,D161+1))</f>
        <v>2164</v>
      </c>
      <c r="D160" s="15">
        <f>IF(Categorias_Registro[[#This Row],[Puntos]]=ROUND(Piso,0),ROUND(Categorias_Registro[[#This Row],[Puntos]]*(1+Categorias_Registro[[#This Row],[Amplitud]]),0),IF(Categorias_Registro[[#This Row],[Puntos]]&lt;D161,D161,ROUND(D161*(1+Categorias_Registro[[#This Row],[Amplitud]]),0)))</f>
        <v>2487</v>
      </c>
      <c r="E160" s="15">
        <f>E161+IF(D161=Categorias_Registro[[#This Row],[Máximo]],0,1)</f>
        <v>24</v>
      </c>
      <c r="F160" s="15">
        <f>ROUND(Categorias_Registro[[#This Row],[Mínimo]]+((Categorias_Registro[[#This Row],[Máximo]]-Categorias_Registro[[#This Row],[Mínimo]])/2),0)</f>
        <v>2326</v>
      </c>
      <c r="G160" s="78">
        <f>VLOOKUP(Categorias_Registro[[#This Row],[Puntos]],Categorias_Configuracion[],MATCH(Categorias_Configuracion[[#Headers],[% Amplitud]],Categorias_Configuracion[#Headers],0),TRUE)</f>
        <v>0.15</v>
      </c>
      <c r="H160" s="15" t="str">
        <f ca="1">TEXT(Categorias_Registro[[#This Row],[Mínimo]],Formato_Rango_Categorias)&amp;" - "&amp;TEXT(Categorias_Registro[[#This Row],[Máximo]],Formato_Rango_Categorias)</f>
        <v>2.164 - 2.487</v>
      </c>
    </row>
    <row r="161" spans="2:8">
      <c r="B161" s="15">
        <f>Techo - ROW() + ROW(Categorias_Registro[])</f>
        <v>2468</v>
      </c>
      <c r="C161" s="15">
        <f>IF(Categorias_Registro[[#This Row],[Puntos]]&lt;=ROUND(Piso,0),Piso,IF(Categorias_Registro[[#This Row],[Puntos]]&lt;D162,C162,D162+1))</f>
        <v>2164</v>
      </c>
      <c r="D161" s="15">
        <f>IF(Categorias_Registro[[#This Row],[Puntos]]=ROUND(Piso,0),ROUND(Categorias_Registro[[#This Row],[Puntos]]*(1+Categorias_Registro[[#This Row],[Amplitud]]),0),IF(Categorias_Registro[[#This Row],[Puntos]]&lt;D162,D162,ROUND(D162*(1+Categorias_Registro[[#This Row],[Amplitud]]),0)))</f>
        <v>2487</v>
      </c>
      <c r="E161" s="15">
        <f>E162+IF(D162=Categorias_Registro[[#This Row],[Máximo]],0,1)</f>
        <v>24</v>
      </c>
      <c r="F161" s="15">
        <f>ROUND(Categorias_Registro[[#This Row],[Mínimo]]+((Categorias_Registro[[#This Row],[Máximo]]-Categorias_Registro[[#This Row],[Mínimo]])/2),0)</f>
        <v>2326</v>
      </c>
      <c r="G161" s="78">
        <f>VLOOKUP(Categorias_Registro[[#This Row],[Puntos]],Categorias_Configuracion[],MATCH(Categorias_Configuracion[[#Headers],[% Amplitud]],Categorias_Configuracion[#Headers],0),TRUE)</f>
        <v>0.15</v>
      </c>
      <c r="H161" s="15" t="str">
        <f ca="1">TEXT(Categorias_Registro[[#This Row],[Mínimo]],Formato_Rango_Categorias)&amp;" - "&amp;TEXT(Categorias_Registro[[#This Row],[Máximo]],Formato_Rango_Categorias)</f>
        <v>2.164 - 2.487</v>
      </c>
    </row>
    <row r="162" spans="2:8">
      <c r="B162" s="15">
        <f>Techo - ROW() + ROW(Categorias_Registro[])</f>
        <v>2467</v>
      </c>
      <c r="C162" s="15">
        <f>IF(Categorias_Registro[[#This Row],[Puntos]]&lt;=ROUND(Piso,0),Piso,IF(Categorias_Registro[[#This Row],[Puntos]]&lt;D163,C163,D163+1))</f>
        <v>2164</v>
      </c>
      <c r="D162" s="15">
        <f>IF(Categorias_Registro[[#This Row],[Puntos]]=ROUND(Piso,0),ROUND(Categorias_Registro[[#This Row],[Puntos]]*(1+Categorias_Registro[[#This Row],[Amplitud]]),0),IF(Categorias_Registro[[#This Row],[Puntos]]&lt;D163,D163,ROUND(D163*(1+Categorias_Registro[[#This Row],[Amplitud]]),0)))</f>
        <v>2487</v>
      </c>
      <c r="E162" s="15">
        <f>E163+IF(D163=Categorias_Registro[[#This Row],[Máximo]],0,1)</f>
        <v>24</v>
      </c>
      <c r="F162" s="15">
        <f>ROUND(Categorias_Registro[[#This Row],[Mínimo]]+((Categorias_Registro[[#This Row],[Máximo]]-Categorias_Registro[[#This Row],[Mínimo]])/2),0)</f>
        <v>2326</v>
      </c>
      <c r="G162" s="78">
        <f>VLOOKUP(Categorias_Registro[[#This Row],[Puntos]],Categorias_Configuracion[],MATCH(Categorias_Configuracion[[#Headers],[% Amplitud]],Categorias_Configuracion[#Headers],0),TRUE)</f>
        <v>0.15</v>
      </c>
      <c r="H162" s="15" t="str">
        <f ca="1">TEXT(Categorias_Registro[[#This Row],[Mínimo]],Formato_Rango_Categorias)&amp;" - "&amp;TEXT(Categorias_Registro[[#This Row],[Máximo]],Formato_Rango_Categorias)</f>
        <v>2.164 - 2.487</v>
      </c>
    </row>
    <row r="163" spans="2:8">
      <c r="B163" s="15">
        <f>Techo - ROW() + ROW(Categorias_Registro[])</f>
        <v>2466</v>
      </c>
      <c r="C163" s="15">
        <f>IF(Categorias_Registro[[#This Row],[Puntos]]&lt;=ROUND(Piso,0),Piso,IF(Categorias_Registro[[#This Row],[Puntos]]&lt;D164,C164,D164+1))</f>
        <v>2164</v>
      </c>
      <c r="D163" s="15">
        <f>IF(Categorias_Registro[[#This Row],[Puntos]]=ROUND(Piso,0),ROUND(Categorias_Registro[[#This Row],[Puntos]]*(1+Categorias_Registro[[#This Row],[Amplitud]]),0),IF(Categorias_Registro[[#This Row],[Puntos]]&lt;D164,D164,ROUND(D164*(1+Categorias_Registro[[#This Row],[Amplitud]]),0)))</f>
        <v>2487</v>
      </c>
      <c r="E163" s="15">
        <f>E164+IF(D164=Categorias_Registro[[#This Row],[Máximo]],0,1)</f>
        <v>24</v>
      </c>
      <c r="F163" s="15">
        <f>ROUND(Categorias_Registro[[#This Row],[Mínimo]]+((Categorias_Registro[[#This Row],[Máximo]]-Categorias_Registro[[#This Row],[Mínimo]])/2),0)</f>
        <v>2326</v>
      </c>
      <c r="G163" s="78">
        <f>VLOOKUP(Categorias_Registro[[#This Row],[Puntos]],Categorias_Configuracion[],MATCH(Categorias_Configuracion[[#Headers],[% Amplitud]],Categorias_Configuracion[#Headers],0),TRUE)</f>
        <v>0.15</v>
      </c>
      <c r="H163" s="15" t="str">
        <f ca="1">TEXT(Categorias_Registro[[#This Row],[Mínimo]],Formato_Rango_Categorias)&amp;" - "&amp;TEXT(Categorias_Registro[[#This Row],[Máximo]],Formato_Rango_Categorias)</f>
        <v>2.164 - 2.487</v>
      </c>
    </row>
    <row r="164" spans="2:8">
      <c r="B164" s="15">
        <f>Techo - ROW() + ROW(Categorias_Registro[])</f>
        <v>2465</v>
      </c>
      <c r="C164" s="15">
        <f>IF(Categorias_Registro[[#This Row],[Puntos]]&lt;=ROUND(Piso,0),Piso,IF(Categorias_Registro[[#This Row],[Puntos]]&lt;D165,C165,D165+1))</f>
        <v>2164</v>
      </c>
      <c r="D164" s="15">
        <f>IF(Categorias_Registro[[#This Row],[Puntos]]=ROUND(Piso,0),ROUND(Categorias_Registro[[#This Row],[Puntos]]*(1+Categorias_Registro[[#This Row],[Amplitud]]),0),IF(Categorias_Registro[[#This Row],[Puntos]]&lt;D165,D165,ROUND(D165*(1+Categorias_Registro[[#This Row],[Amplitud]]),0)))</f>
        <v>2487</v>
      </c>
      <c r="E164" s="15">
        <f>E165+IF(D165=Categorias_Registro[[#This Row],[Máximo]],0,1)</f>
        <v>24</v>
      </c>
      <c r="F164" s="15">
        <f>ROUND(Categorias_Registro[[#This Row],[Mínimo]]+((Categorias_Registro[[#This Row],[Máximo]]-Categorias_Registro[[#This Row],[Mínimo]])/2),0)</f>
        <v>2326</v>
      </c>
      <c r="G164" s="78">
        <f>VLOOKUP(Categorias_Registro[[#This Row],[Puntos]],Categorias_Configuracion[],MATCH(Categorias_Configuracion[[#Headers],[% Amplitud]],Categorias_Configuracion[#Headers],0),TRUE)</f>
        <v>0.15</v>
      </c>
      <c r="H164" s="15" t="str">
        <f ca="1">TEXT(Categorias_Registro[[#This Row],[Mínimo]],Formato_Rango_Categorias)&amp;" - "&amp;TEXT(Categorias_Registro[[#This Row],[Máximo]],Formato_Rango_Categorias)</f>
        <v>2.164 - 2.487</v>
      </c>
    </row>
    <row r="165" spans="2:8">
      <c r="B165" s="15">
        <f>Techo - ROW() + ROW(Categorias_Registro[])</f>
        <v>2464</v>
      </c>
      <c r="C165" s="15">
        <f>IF(Categorias_Registro[[#This Row],[Puntos]]&lt;=ROUND(Piso,0),Piso,IF(Categorias_Registro[[#This Row],[Puntos]]&lt;D166,C166,D166+1))</f>
        <v>2164</v>
      </c>
      <c r="D165" s="15">
        <f>IF(Categorias_Registro[[#This Row],[Puntos]]=ROUND(Piso,0),ROUND(Categorias_Registro[[#This Row],[Puntos]]*(1+Categorias_Registro[[#This Row],[Amplitud]]),0),IF(Categorias_Registro[[#This Row],[Puntos]]&lt;D166,D166,ROUND(D166*(1+Categorias_Registro[[#This Row],[Amplitud]]),0)))</f>
        <v>2487</v>
      </c>
      <c r="E165" s="15">
        <f>E166+IF(D166=Categorias_Registro[[#This Row],[Máximo]],0,1)</f>
        <v>24</v>
      </c>
      <c r="F165" s="15">
        <f>ROUND(Categorias_Registro[[#This Row],[Mínimo]]+((Categorias_Registro[[#This Row],[Máximo]]-Categorias_Registro[[#This Row],[Mínimo]])/2),0)</f>
        <v>2326</v>
      </c>
      <c r="G165" s="78">
        <f>VLOOKUP(Categorias_Registro[[#This Row],[Puntos]],Categorias_Configuracion[],MATCH(Categorias_Configuracion[[#Headers],[% Amplitud]],Categorias_Configuracion[#Headers],0),TRUE)</f>
        <v>0.15</v>
      </c>
      <c r="H165" s="15" t="str">
        <f ca="1">TEXT(Categorias_Registro[[#This Row],[Mínimo]],Formato_Rango_Categorias)&amp;" - "&amp;TEXT(Categorias_Registro[[#This Row],[Máximo]],Formato_Rango_Categorias)</f>
        <v>2.164 - 2.487</v>
      </c>
    </row>
    <row r="166" spans="2:8">
      <c r="B166" s="15">
        <f>Techo - ROW() + ROW(Categorias_Registro[])</f>
        <v>2463</v>
      </c>
      <c r="C166" s="15">
        <f>IF(Categorias_Registro[[#This Row],[Puntos]]&lt;=ROUND(Piso,0),Piso,IF(Categorias_Registro[[#This Row],[Puntos]]&lt;D167,C167,D167+1))</f>
        <v>2164</v>
      </c>
      <c r="D166" s="15">
        <f>IF(Categorias_Registro[[#This Row],[Puntos]]=ROUND(Piso,0),ROUND(Categorias_Registro[[#This Row],[Puntos]]*(1+Categorias_Registro[[#This Row],[Amplitud]]),0),IF(Categorias_Registro[[#This Row],[Puntos]]&lt;D167,D167,ROUND(D167*(1+Categorias_Registro[[#This Row],[Amplitud]]),0)))</f>
        <v>2487</v>
      </c>
      <c r="E166" s="15">
        <f>E167+IF(D167=Categorias_Registro[[#This Row],[Máximo]],0,1)</f>
        <v>24</v>
      </c>
      <c r="F166" s="15">
        <f>ROUND(Categorias_Registro[[#This Row],[Mínimo]]+((Categorias_Registro[[#This Row],[Máximo]]-Categorias_Registro[[#This Row],[Mínimo]])/2),0)</f>
        <v>2326</v>
      </c>
      <c r="G166" s="78">
        <f>VLOOKUP(Categorias_Registro[[#This Row],[Puntos]],Categorias_Configuracion[],MATCH(Categorias_Configuracion[[#Headers],[% Amplitud]],Categorias_Configuracion[#Headers],0),TRUE)</f>
        <v>0.15</v>
      </c>
      <c r="H166" s="15" t="str">
        <f ca="1">TEXT(Categorias_Registro[[#This Row],[Mínimo]],Formato_Rango_Categorias)&amp;" - "&amp;TEXT(Categorias_Registro[[#This Row],[Máximo]],Formato_Rango_Categorias)</f>
        <v>2.164 - 2.487</v>
      </c>
    </row>
    <row r="167" spans="2:8">
      <c r="B167" s="15">
        <f>Techo - ROW() + ROW(Categorias_Registro[])</f>
        <v>2462</v>
      </c>
      <c r="C167" s="15">
        <f>IF(Categorias_Registro[[#This Row],[Puntos]]&lt;=ROUND(Piso,0),Piso,IF(Categorias_Registro[[#This Row],[Puntos]]&lt;D168,C168,D168+1))</f>
        <v>2164</v>
      </c>
      <c r="D167" s="15">
        <f>IF(Categorias_Registro[[#This Row],[Puntos]]=ROUND(Piso,0),ROUND(Categorias_Registro[[#This Row],[Puntos]]*(1+Categorias_Registro[[#This Row],[Amplitud]]),0),IF(Categorias_Registro[[#This Row],[Puntos]]&lt;D168,D168,ROUND(D168*(1+Categorias_Registro[[#This Row],[Amplitud]]),0)))</f>
        <v>2487</v>
      </c>
      <c r="E167" s="15">
        <f>E168+IF(D168=Categorias_Registro[[#This Row],[Máximo]],0,1)</f>
        <v>24</v>
      </c>
      <c r="F167" s="15">
        <f>ROUND(Categorias_Registro[[#This Row],[Mínimo]]+((Categorias_Registro[[#This Row],[Máximo]]-Categorias_Registro[[#This Row],[Mínimo]])/2),0)</f>
        <v>2326</v>
      </c>
      <c r="G167" s="78">
        <f>VLOOKUP(Categorias_Registro[[#This Row],[Puntos]],Categorias_Configuracion[],MATCH(Categorias_Configuracion[[#Headers],[% Amplitud]],Categorias_Configuracion[#Headers],0),TRUE)</f>
        <v>0.15</v>
      </c>
      <c r="H167" s="15" t="str">
        <f ca="1">TEXT(Categorias_Registro[[#This Row],[Mínimo]],Formato_Rango_Categorias)&amp;" - "&amp;TEXT(Categorias_Registro[[#This Row],[Máximo]],Formato_Rango_Categorias)</f>
        <v>2.164 - 2.487</v>
      </c>
    </row>
    <row r="168" spans="2:8">
      <c r="B168" s="15">
        <f>Techo - ROW() + ROW(Categorias_Registro[])</f>
        <v>2461</v>
      </c>
      <c r="C168" s="15">
        <f>IF(Categorias_Registro[[#This Row],[Puntos]]&lt;=ROUND(Piso,0),Piso,IF(Categorias_Registro[[#This Row],[Puntos]]&lt;D169,C169,D169+1))</f>
        <v>2164</v>
      </c>
      <c r="D168" s="15">
        <f>IF(Categorias_Registro[[#This Row],[Puntos]]=ROUND(Piso,0),ROUND(Categorias_Registro[[#This Row],[Puntos]]*(1+Categorias_Registro[[#This Row],[Amplitud]]),0),IF(Categorias_Registro[[#This Row],[Puntos]]&lt;D169,D169,ROUND(D169*(1+Categorias_Registro[[#This Row],[Amplitud]]),0)))</f>
        <v>2487</v>
      </c>
      <c r="E168" s="15">
        <f>E169+IF(D169=Categorias_Registro[[#This Row],[Máximo]],0,1)</f>
        <v>24</v>
      </c>
      <c r="F168" s="15">
        <f>ROUND(Categorias_Registro[[#This Row],[Mínimo]]+((Categorias_Registro[[#This Row],[Máximo]]-Categorias_Registro[[#This Row],[Mínimo]])/2),0)</f>
        <v>2326</v>
      </c>
      <c r="G168" s="78">
        <f>VLOOKUP(Categorias_Registro[[#This Row],[Puntos]],Categorias_Configuracion[],MATCH(Categorias_Configuracion[[#Headers],[% Amplitud]],Categorias_Configuracion[#Headers],0),TRUE)</f>
        <v>0.15</v>
      </c>
      <c r="H168" s="15" t="str">
        <f ca="1">TEXT(Categorias_Registro[[#This Row],[Mínimo]],Formato_Rango_Categorias)&amp;" - "&amp;TEXT(Categorias_Registro[[#This Row],[Máximo]],Formato_Rango_Categorias)</f>
        <v>2.164 - 2.487</v>
      </c>
    </row>
    <row r="169" spans="2:8">
      <c r="B169" s="15">
        <f>Techo - ROW() + ROW(Categorias_Registro[])</f>
        <v>2460</v>
      </c>
      <c r="C169" s="15">
        <f>IF(Categorias_Registro[[#This Row],[Puntos]]&lt;=ROUND(Piso,0),Piso,IF(Categorias_Registro[[#This Row],[Puntos]]&lt;D170,C170,D170+1))</f>
        <v>2164</v>
      </c>
      <c r="D169" s="15">
        <f>IF(Categorias_Registro[[#This Row],[Puntos]]=ROUND(Piso,0),ROUND(Categorias_Registro[[#This Row],[Puntos]]*(1+Categorias_Registro[[#This Row],[Amplitud]]),0),IF(Categorias_Registro[[#This Row],[Puntos]]&lt;D170,D170,ROUND(D170*(1+Categorias_Registro[[#This Row],[Amplitud]]),0)))</f>
        <v>2487</v>
      </c>
      <c r="E169" s="15">
        <f>E170+IF(D170=Categorias_Registro[[#This Row],[Máximo]],0,1)</f>
        <v>24</v>
      </c>
      <c r="F169" s="15">
        <f>ROUND(Categorias_Registro[[#This Row],[Mínimo]]+((Categorias_Registro[[#This Row],[Máximo]]-Categorias_Registro[[#This Row],[Mínimo]])/2),0)</f>
        <v>2326</v>
      </c>
      <c r="G169" s="78">
        <f>VLOOKUP(Categorias_Registro[[#This Row],[Puntos]],Categorias_Configuracion[],MATCH(Categorias_Configuracion[[#Headers],[% Amplitud]],Categorias_Configuracion[#Headers],0),TRUE)</f>
        <v>0.15</v>
      </c>
      <c r="H169" s="15" t="str">
        <f ca="1">TEXT(Categorias_Registro[[#This Row],[Mínimo]],Formato_Rango_Categorias)&amp;" - "&amp;TEXT(Categorias_Registro[[#This Row],[Máximo]],Formato_Rango_Categorias)</f>
        <v>2.164 - 2.487</v>
      </c>
    </row>
    <row r="170" spans="2:8">
      <c r="B170" s="15">
        <f>Techo - ROW() + ROW(Categorias_Registro[])</f>
        <v>2459</v>
      </c>
      <c r="C170" s="15">
        <f>IF(Categorias_Registro[[#This Row],[Puntos]]&lt;=ROUND(Piso,0),Piso,IF(Categorias_Registro[[#This Row],[Puntos]]&lt;D171,C171,D171+1))</f>
        <v>2164</v>
      </c>
      <c r="D170" s="15">
        <f>IF(Categorias_Registro[[#This Row],[Puntos]]=ROUND(Piso,0),ROUND(Categorias_Registro[[#This Row],[Puntos]]*(1+Categorias_Registro[[#This Row],[Amplitud]]),0),IF(Categorias_Registro[[#This Row],[Puntos]]&lt;D171,D171,ROUND(D171*(1+Categorias_Registro[[#This Row],[Amplitud]]),0)))</f>
        <v>2487</v>
      </c>
      <c r="E170" s="15">
        <f>E171+IF(D171=Categorias_Registro[[#This Row],[Máximo]],0,1)</f>
        <v>24</v>
      </c>
      <c r="F170" s="15">
        <f>ROUND(Categorias_Registro[[#This Row],[Mínimo]]+((Categorias_Registro[[#This Row],[Máximo]]-Categorias_Registro[[#This Row],[Mínimo]])/2),0)</f>
        <v>2326</v>
      </c>
      <c r="G170" s="78">
        <f>VLOOKUP(Categorias_Registro[[#This Row],[Puntos]],Categorias_Configuracion[],MATCH(Categorias_Configuracion[[#Headers],[% Amplitud]],Categorias_Configuracion[#Headers],0),TRUE)</f>
        <v>0.15</v>
      </c>
      <c r="H170" s="15" t="str">
        <f ca="1">TEXT(Categorias_Registro[[#This Row],[Mínimo]],Formato_Rango_Categorias)&amp;" - "&amp;TEXT(Categorias_Registro[[#This Row],[Máximo]],Formato_Rango_Categorias)</f>
        <v>2.164 - 2.487</v>
      </c>
    </row>
    <row r="171" spans="2:8">
      <c r="B171" s="15">
        <f>Techo - ROW() + ROW(Categorias_Registro[])</f>
        <v>2458</v>
      </c>
      <c r="C171" s="15">
        <f>IF(Categorias_Registro[[#This Row],[Puntos]]&lt;=ROUND(Piso,0),Piso,IF(Categorias_Registro[[#This Row],[Puntos]]&lt;D172,C172,D172+1))</f>
        <v>2164</v>
      </c>
      <c r="D171" s="15">
        <f>IF(Categorias_Registro[[#This Row],[Puntos]]=ROUND(Piso,0),ROUND(Categorias_Registro[[#This Row],[Puntos]]*(1+Categorias_Registro[[#This Row],[Amplitud]]),0),IF(Categorias_Registro[[#This Row],[Puntos]]&lt;D172,D172,ROUND(D172*(1+Categorias_Registro[[#This Row],[Amplitud]]),0)))</f>
        <v>2487</v>
      </c>
      <c r="E171" s="15">
        <f>E172+IF(D172=Categorias_Registro[[#This Row],[Máximo]],0,1)</f>
        <v>24</v>
      </c>
      <c r="F171" s="15">
        <f>ROUND(Categorias_Registro[[#This Row],[Mínimo]]+((Categorias_Registro[[#This Row],[Máximo]]-Categorias_Registro[[#This Row],[Mínimo]])/2),0)</f>
        <v>2326</v>
      </c>
      <c r="G171" s="78">
        <f>VLOOKUP(Categorias_Registro[[#This Row],[Puntos]],Categorias_Configuracion[],MATCH(Categorias_Configuracion[[#Headers],[% Amplitud]],Categorias_Configuracion[#Headers],0),TRUE)</f>
        <v>0.15</v>
      </c>
      <c r="H171" s="15" t="str">
        <f ca="1">TEXT(Categorias_Registro[[#This Row],[Mínimo]],Formato_Rango_Categorias)&amp;" - "&amp;TEXT(Categorias_Registro[[#This Row],[Máximo]],Formato_Rango_Categorias)</f>
        <v>2.164 - 2.487</v>
      </c>
    </row>
    <row r="172" spans="2:8">
      <c r="B172" s="15">
        <f>Techo - ROW() + ROW(Categorias_Registro[])</f>
        <v>2457</v>
      </c>
      <c r="C172" s="15">
        <f>IF(Categorias_Registro[[#This Row],[Puntos]]&lt;=ROUND(Piso,0),Piso,IF(Categorias_Registro[[#This Row],[Puntos]]&lt;D173,C173,D173+1))</f>
        <v>2164</v>
      </c>
      <c r="D172" s="15">
        <f>IF(Categorias_Registro[[#This Row],[Puntos]]=ROUND(Piso,0),ROUND(Categorias_Registro[[#This Row],[Puntos]]*(1+Categorias_Registro[[#This Row],[Amplitud]]),0),IF(Categorias_Registro[[#This Row],[Puntos]]&lt;D173,D173,ROUND(D173*(1+Categorias_Registro[[#This Row],[Amplitud]]),0)))</f>
        <v>2487</v>
      </c>
      <c r="E172" s="15">
        <f>E173+IF(D173=Categorias_Registro[[#This Row],[Máximo]],0,1)</f>
        <v>24</v>
      </c>
      <c r="F172" s="15">
        <f>ROUND(Categorias_Registro[[#This Row],[Mínimo]]+((Categorias_Registro[[#This Row],[Máximo]]-Categorias_Registro[[#This Row],[Mínimo]])/2),0)</f>
        <v>2326</v>
      </c>
      <c r="G172" s="78">
        <f>VLOOKUP(Categorias_Registro[[#This Row],[Puntos]],Categorias_Configuracion[],MATCH(Categorias_Configuracion[[#Headers],[% Amplitud]],Categorias_Configuracion[#Headers],0),TRUE)</f>
        <v>0.15</v>
      </c>
      <c r="H172" s="15" t="str">
        <f ca="1">TEXT(Categorias_Registro[[#This Row],[Mínimo]],Formato_Rango_Categorias)&amp;" - "&amp;TEXT(Categorias_Registro[[#This Row],[Máximo]],Formato_Rango_Categorias)</f>
        <v>2.164 - 2.487</v>
      </c>
    </row>
    <row r="173" spans="2:8">
      <c r="B173" s="15">
        <f>Techo - ROW() + ROW(Categorias_Registro[])</f>
        <v>2456</v>
      </c>
      <c r="C173" s="15">
        <f>IF(Categorias_Registro[[#This Row],[Puntos]]&lt;=ROUND(Piso,0),Piso,IF(Categorias_Registro[[#This Row],[Puntos]]&lt;D174,C174,D174+1))</f>
        <v>2164</v>
      </c>
      <c r="D173" s="15">
        <f>IF(Categorias_Registro[[#This Row],[Puntos]]=ROUND(Piso,0),ROUND(Categorias_Registro[[#This Row],[Puntos]]*(1+Categorias_Registro[[#This Row],[Amplitud]]),0),IF(Categorias_Registro[[#This Row],[Puntos]]&lt;D174,D174,ROUND(D174*(1+Categorias_Registro[[#This Row],[Amplitud]]),0)))</f>
        <v>2487</v>
      </c>
      <c r="E173" s="15">
        <f>E174+IF(D174=Categorias_Registro[[#This Row],[Máximo]],0,1)</f>
        <v>24</v>
      </c>
      <c r="F173" s="15">
        <f>ROUND(Categorias_Registro[[#This Row],[Mínimo]]+((Categorias_Registro[[#This Row],[Máximo]]-Categorias_Registro[[#This Row],[Mínimo]])/2),0)</f>
        <v>2326</v>
      </c>
      <c r="G173" s="78">
        <f>VLOOKUP(Categorias_Registro[[#This Row],[Puntos]],Categorias_Configuracion[],MATCH(Categorias_Configuracion[[#Headers],[% Amplitud]],Categorias_Configuracion[#Headers],0),TRUE)</f>
        <v>0.15</v>
      </c>
      <c r="H173" s="15" t="str">
        <f ca="1">TEXT(Categorias_Registro[[#This Row],[Mínimo]],Formato_Rango_Categorias)&amp;" - "&amp;TEXT(Categorias_Registro[[#This Row],[Máximo]],Formato_Rango_Categorias)</f>
        <v>2.164 - 2.487</v>
      </c>
    </row>
    <row r="174" spans="2:8">
      <c r="B174" s="15">
        <f>Techo - ROW() + ROW(Categorias_Registro[])</f>
        <v>2455</v>
      </c>
      <c r="C174" s="15">
        <f>IF(Categorias_Registro[[#This Row],[Puntos]]&lt;=ROUND(Piso,0),Piso,IF(Categorias_Registro[[#This Row],[Puntos]]&lt;D175,C175,D175+1))</f>
        <v>2164</v>
      </c>
      <c r="D174" s="15">
        <f>IF(Categorias_Registro[[#This Row],[Puntos]]=ROUND(Piso,0),ROUND(Categorias_Registro[[#This Row],[Puntos]]*(1+Categorias_Registro[[#This Row],[Amplitud]]),0),IF(Categorias_Registro[[#This Row],[Puntos]]&lt;D175,D175,ROUND(D175*(1+Categorias_Registro[[#This Row],[Amplitud]]),0)))</f>
        <v>2487</v>
      </c>
      <c r="E174" s="15">
        <f>E175+IF(D175=Categorias_Registro[[#This Row],[Máximo]],0,1)</f>
        <v>24</v>
      </c>
      <c r="F174" s="15">
        <f>ROUND(Categorias_Registro[[#This Row],[Mínimo]]+((Categorias_Registro[[#This Row],[Máximo]]-Categorias_Registro[[#This Row],[Mínimo]])/2),0)</f>
        <v>2326</v>
      </c>
      <c r="G174" s="78">
        <f>VLOOKUP(Categorias_Registro[[#This Row],[Puntos]],Categorias_Configuracion[],MATCH(Categorias_Configuracion[[#Headers],[% Amplitud]],Categorias_Configuracion[#Headers],0),TRUE)</f>
        <v>0.15</v>
      </c>
      <c r="H174" s="15" t="str">
        <f ca="1">TEXT(Categorias_Registro[[#This Row],[Mínimo]],Formato_Rango_Categorias)&amp;" - "&amp;TEXT(Categorias_Registro[[#This Row],[Máximo]],Formato_Rango_Categorias)</f>
        <v>2.164 - 2.487</v>
      </c>
    </row>
    <row r="175" spans="2:8">
      <c r="B175" s="15">
        <f>Techo - ROW() + ROW(Categorias_Registro[])</f>
        <v>2454</v>
      </c>
      <c r="C175" s="15">
        <f>IF(Categorias_Registro[[#This Row],[Puntos]]&lt;=ROUND(Piso,0),Piso,IF(Categorias_Registro[[#This Row],[Puntos]]&lt;D176,C176,D176+1))</f>
        <v>2164</v>
      </c>
      <c r="D175" s="15">
        <f>IF(Categorias_Registro[[#This Row],[Puntos]]=ROUND(Piso,0),ROUND(Categorias_Registro[[#This Row],[Puntos]]*(1+Categorias_Registro[[#This Row],[Amplitud]]),0),IF(Categorias_Registro[[#This Row],[Puntos]]&lt;D176,D176,ROUND(D176*(1+Categorias_Registro[[#This Row],[Amplitud]]),0)))</f>
        <v>2487</v>
      </c>
      <c r="E175" s="15">
        <f>E176+IF(D176=Categorias_Registro[[#This Row],[Máximo]],0,1)</f>
        <v>24</v>
      </c>
      <c r="F175" s="15">
        <f>ROUND(Categorias_Registro[[#This Row],[Mínimo]]+((Categorias_Registro[[#This Row],[Máximo]]-Categorias_Registro[[#This Row],[Mínimo]])/2),0)</f>
        <v>2326</v>
      </c>
      <c r="G175" s="78">
        <f>VLOOKUP(Categorias_Registro[[#This Row],[Puntos]],Categorias_Configuracion[],MATCH(Categorias_Configuracion[[#Headers],[% Amplitud]],Categorias_Configuracion[#Headers],0),TRUE)</f>
        <v>0.15</v>
      </c>
      <c r="H175" s="15" t="str">
        <f ca="1">TEXT(Categorias_Registro[[#This Row],[Mínimo]],Formato_Rango_Categorias)&amp;" - "&amp;TEXT(Categorias_Registro[[#This Row],[Máximo]],Formato_Rango_Categorias)</f>
        <v>2.164 - 2.487</v>
      </c>
    </row>
    <row r="176" spans="2:8">
      <c r="B176" s="15">
        <f>Techo - ROW() + ROW(Categorias_Registro[])</f>
        <v>2453</v>
      </c>
      <c r="C176" s="15">
        <f>IF(Categorias_Registro[[#This Row],[Puntos]]&lt;=ROUND(Piso,0),Piso,IF(Categorias_Registro[[#This Row],[Puntos]]&lt;D177,C177,D177+1))</f>
        <v>2164</v>
      </c>
      <c r="D176" s="15">
        <f>IF(Categorias_Registro[[#This Row],[Puntos]]=ROUND(Piso,0),ROUND(Categorias_Registro[[#This Row],[Puntos]]*(1+Categorias_Registro[[#This Row],[Amplitud]]),0),IF(Categorias_Registro[[#This Row],[Puntos]]&lt;D177,D177,ROUND(D177*(1+Categorias_Registro[[#This Row],[Amplitud]]),0)))</f>
        <v>2487</v>
      </c>
      <c r="E176" s="15">
        <f>E177+IF(D177=Categorias_Registro[[#This Row],[Máximo]],0,1)</f>
        <v>24</v>
      </c>
      <c r="F176" s="15">
        <f>ROUND(Categorias_Registro[[#This Row],[Mínimo]]+((Categorias_Registro[[#This Row],[Máximo]]-Categorias_Registro[[#This Row],[Mínimo]])/2),0)</f>
        <v>2326</v>
      </c>
      <c r="G176" s="78">
        <f>VLOOKUP(Categorias_Registro[[#This Row],[Puntos]],Categorias_Configuracion[],MATCH(Categorias_Configuracion[[#Headers],[% Amplitud]],Categorias_Configuracion[#Headers],0),TRUE)</f>
        <v>0.15</v>
      </c>
      <c r="H176" s="15" t="str">
        <f ca="1">TEXT(Categorias_Registro[[#This Row],[Mínimo]],Formato_Rango_Categorias)&amp;" - "&amp;TEXT(Categorias_Registro[[#This Row],[Máximo]],Formato_Rango_Categorias)</f>
        <v>2.164 - 2.487</v>
      </c>
    </row>
    <row r="177" spans="2:8">
      <c r="B177" s="15">
        <f>Techo - ROW() + ROW(Categorias_Registro[])</f>
        <v>2452</v>
      </c>
      <c r="C177" s="15">
        <f>IF(Categorias_Registro[[#This Row],[Puntos]]&lt;=ROUND(Piso,0),Piso,IF(Categorias_Registro[[#This Row],[Puntos]]&lt;D178,C178,D178+1))</f>
        <v>2164</v>
      </c>
      <c r="D177" s="15">
        <f>IF(Categorias_Registro[[#This Row],[Puntos]]=ROUND(Piso,0),ROUND(Categorias_Registro[[#This Row],[Puntos]]*(1+Categorias_Registro[[#This Row],[Amplitud]]),0),IF(Categorias_Registro[[#This Row],[Puntos]]&lt;D178,D178,ROUND(D178*(1+Categorias_Registro[[#This Row],[Amplitud]]),0)))</f>
        <v>2487</v>
      </c>
      <c r="E177" s="15">
        <f>E178+IF(D178=Categorias_Registro[[#This Row],[Máximo]],0,1)</f>
        <v>24</v>
      </c>
      <c r="F177" s="15">
        <f>ROUND(Categorias_Registro[[#This Row],[Mínimo]]+((Categorias_Registro[[#This Row],[Máximo]]-Categorias_Registro[[#This Row],[Mínimo]])/2),0)</f>
        <v>2326</v>
      </c>
      <c r="G177" s="78">
        <f>VLOOKUP(Categorias_Registro[[#This Row],[Puntos]],Categorias_Configuracion[],MATCH(Categorias_Configuracion[[#Headers],[% Amplitud]],Categorias_Configuracion[#Headers],0),TRUE)</f>
        <v>0.15</v>
      </c>
      <c r="H177" s="15" t="str">
        <f ca="1">TEXT(Categorias_Registro[[#This Row],[Mínimo]],Formato_Rango_Categorias)&amp;" - "&amp;TEXT(Categorias_Registro[[#This Row],[Máximo]],Formato_Rango_Categorias)</f>
        <v>2.164 - 2.487</v>
      </c>
    </row>
    <row r="178" spans="2:8">
      <c r="B178" s="15">
        <f>Techo - ROW() + ROW(Categorias_Registro[])</f>
        <v>2451</v>
      </c>
      <c r="C178" s="15">
        <f>IF(Categorias_Registro[[#This Row],[Puntos]]&lt;=ROUND(Piso,0),Piso,IF(Categorias_Registro[[#This Row],[Puntos]]&lt;D179,C179,D179+1))</f>
        <v>2164</v>
      </c>
      <c r="D178" s="15">
        <f>IF(Categorias_Registro[[#This Row],[Puntos]]=ROUND(Piso,0),ROUND(Categorias_Registro[[#This Row],[Puntos]]*(1+Categorias_Registro[[#This Row],[Amplitud]]),0),IF(Categorias_Registro[[#This Row],[Puntos]]&lt;D179,D179,ROUND(D179*(1+Categorias_Registro[[#This Row],[Amplitud]]),0)))</f>
        <v>2487</v>
      </c>
      <c r="E178" s="15">
        <f>E179+IF(D179=Categorias_Registro[[#This Row],[Máximo]],0,1)</f>
        <v>24</v>
      </c>
      <c r="F178" s="15">
        <f>ROUND(Categorias_Registro[[#This Row],[Mínimo]]+((Categorias_Registro[[#This Row],[Máximo]]-Categorias_Registro[[#This Row],[Mínimo]])/2),0)</f>
        <v>2326</v>
      </c>
      <c r="G178" s="78">
        <f>VLOOKUP(Categorias_Registro[[#This Row],[Puntos]],Categorias_Configuracion[],MATCH(Categorias_Configuracion[[#Headers],[% Amplitud]],Categorias_Configuracion[#Headers],0),TRUE)</f>
        <v>0.15</v>
      </c>
      <c r="H178" s="15" t="str">
        <f ca="1">TEXT(Categorias_Registro[[#This Row],[Mínimo]],Formato_Rango_Categorias)&amp;" - "&amp;TEXT(Categorias_Registro[[#This Row],[Máximo]],Formato_Rango_Categorias)</f>
        <v>2.164 - 2.487</v>
      </c>
    </row>
    <row r="179" spans="2:8">
      <c r="B179" s="15">
        <f>Techo - ROW() + ROW(Categorias_Registro[])</f>
        <v>2450</v>
      </c>
      <c r="C179" s="15">
        <f>IF(Categorias_Registro[[#This Row],[Puntos]]&lt;=ROUND(Piso,0),Piso,IF(Categorias_Registro[[#This Row],[Puntos]]&lt;D180,C180,D180+1))</f>
        <v>2164</v>
      </c>
      <c r="D179" s="15">
        <f>IF(Categorias_Registro[[#This Row],[Puntos]]=ROUND(Piso,0),ROUND(Categorias_Registro[[#This Row],[Puntos]]*(1+Categorias_Registro[[#This Row],[Amplitud]]),0),IF(Categorias_Registro[[#This Row],[Puntos]]&lt;D180,D180,ROUND(D180*(1+Categorias_Registro[[#This Row],[Amplitud]]),0)))</f>
        <v>2487</v>
      </c>
      <c r="E179" s="15">
        <f>E180+IF(D180=Categorias_Registro[[#This Row],[Máximo]],0,1)</f>
        <v>24</v>
      </c>
      <c r="F179" s="15">
        <f>ROUND(Categorias_Registro[[#This Row],[Mínimo]]+((Categorias_Registro[[#This Row],[Máximo]]-Categorias_Registro[[#This Row],[Mínimo]])/2),0)</f>
        <v>2326</v>
      </c>
      <c r="G179" s="78">
        <f>VLOOKUP(Categorias_Registro[[#This Row],[Puntos]],Categorias_Configuracion[],MATCH(Categorias_Configuracion[[#Headers],[% Amplitud]],Categorias_Configuracion[#Headers],0),TRUE)</f>
        <v>0.15</v>
      </c>
      <c r="H179" s="15" t="str">
        <f ca="1">TEXT(Categorias_Registro[[#This Row],[Mínimo]],Formato_Rango_Categorias)&amp;" - "&amp;TEXT(Categorias_Registro[[#This Row],[Máximo]],Formato_Rango_Categorias)</f>
        <v>2.164 - 2.487</v>
      </c>
    </row>
    <row r="180" spans="2:8">
      <c r="B180" s="15">
        <f>Techo - ROW() + ROW(Categorias_Registro[])</f>
        <v>2449</v>
      </c>
      <c r="C180" s="15">
        <f>IF(Categorias_Registro[[#This Row],[Puntos]]&lt;=ROUND(Piso,0),Piso,IF(Categorias_Registro[[#This Row],[Puntos]]&lt;D181,C181,D181+1))</f>
        <v>2164</v>
      </c>
      <c r="D180" s="15">
        <f>IF(Categorias_Registro[[#This Row],[Puntos]]=ROUND(Piso,0),ROUND(Categorias_Registro[[#This Row],[Puntos]]*(1+Categorias_Registro[[#This Row],[Amplitud]]),0),IF(Categorias_Registro[[#This Row],[Puntos]]&lt;D181,D181,ROUND(D181*(1+Categorias_Registro[[#This Row],[Amplitud]]),0)))</f>
        <v>2487</v>
      </c>
      <c r="E180" s="15">
        <f>E181+IF(D181=Categorias_Registro[[#This Row],[Máximo]],0,1)</f>
        <v>24</v>
      </c>
      <c r="F180" s="15">
        <f>ROUND(Categorias_Registro[[#This Row],[Mínimo]]+((Categorias_Registro[[#This Row],[Máximo]]-Categorias_Registro[[#This Row],[Mínimo]])/2),0)</f>
        <v>2326</v>
      </c>
      <c r="G180" s="78">
        <f>VLOOKUP(Categorias_Registro[[#This Row],[Puntos]],Categorias_Configuracion[],MATCH(Categorias_Configuracion[[#Headers],[% Amplitud]],Categorias_Configuracion[#Headers],0),TRUE)</f>
        <v>0.15</v>
      </c>
      <c r="H180" s="15" t="str">
        <f ca="1">TEXT(Categorias_Registro[[#This Row],[Mínimo]],Formato_Rango_Categorias)&amp;" - "&amp;TEXT(Categorias_Registro[[#This Row],[Máximo]],Formato_Rango_Categorias)</f>
        <v>2.164 - 2.487</v>
      </c>
    </row>
    <row r="181" spans="2:8">
      <c r="B181" s="15">
        <f>Techo - ROW() + ROW(Categorias_Registro[])</f>
        <v>2448</v>
      </c>
      <c r="C181" s="15">
        <f>IF(Categorias_Registro[[#This Row],[Puntos]]&lt;=ROUND(Piso,0),Piso,IF(Categorias_Registro[[#This Row],[Puntos]]&lt;D182,C182,D182+1))</f>
        <v>2164</v>
      </c>
      <c r="D181" s="15">
        <f>IF(Categorias_Registro[[#This Row],[Puntos]]=ROUND(Piso,0),ROUND(Categorias_Registro[[#This Row],[Puntos]]*(1+Categorias_Registro[[#This Row],[Amplitud]]),0),IF(Categorias_Registro[[#This Row],[Puntos]]&lt;D182,D182,ROUND(D182*(1+Categorias_Registro[[#This Row],[Amplitud]]),0)))</f>
        <v>2487</v>
      </c>
      <c r="E181" s="15">
        <f>E182+IF(D182=Categorias_Registro[[#This Row],[Máximo]],0,1)</f>
        <v>24</v>
      </c>
      <c r="F181" s="15">
        <f>ROUND(Categorias_Registro[[#This Row],[Mínimo]]+((Categorias_Registro[[#This Row],[Máximo]]-Categorias_Registro[[#This Row],[Mínimo]])/2),0)</f>
        <v>2326</v>
      </c>
      <c r="G181" s="78">
        <f>VLOOKUP(Categorias_Registro[[#This Row],[Puntos]],Categorias_Configuracion[],MATCH(Categorias_Configuracion[[#Headers],[% Amplitud]],Categorias_Configuracion[#Headers],0),TRUE)</f>
        <v>0.15</v>
      </c>
      <c r="H181" s="15" t="str">
        <f ca="1">TEXT(Categorias_Registro[[#This Row],[Mínimo]],Formato_Rango_Categorias)&amp;" - "&amp;TEXT(Categorias_Registro[[#This Row],[Máximo]],Formato_Rango_Categorias)</f>
        <v>2.164 - 2.487</v>
      </c>
    </row>
    <row r="182" spans="2:8">
      <c r="B182" s="15">
        <f>Techo - ROW() + ROW(Categorias_Registro[])</f>
        <v>2447</v>
      </c>
      <c r="C182" s="15">
        <f>IF(Categorias_Registro[[#This Row],[Puntos]]&lt;=ROUND(Piso,0),Piso,IF(Categorias_Registro[[#This Row],[Puntos]]&lt;D183,C183,D183+1))</f>
        <v>2164</v>
      </c>
      <c r="D182" s="15">
        <f>IF(Categorias_Registro[[#This Row],[Puntos]]=ROUND(Piso,0),ROUND(Categorias_Registro[[#This Row],[Puntos]]*(1+Categorias_Registro[[#This Row],[Amplitud]]),0),IF(Categorias_Registro[[#This Row],[Puntos]]&lt;D183,D183,ROUND(D183*(1+Categorias_Registro[[#This Row],[Amplitud]]),0)))</f>
        <v>2487</v>
      </c>
      <c r="E182" s="15">
        <f>E183+IF(D183=Categorias_Registro[[#This Row],[Máximo]],0,1)</f>
        <v>24</v>
      </c>
      <c r="F182" s="15">
        <f>ROUND(Categorias_Registro[[#This Row],[Mínimo]]+((Categorias_Registro[[#This Row],[Máximo]]-Categorias_Registro[[#This Row],[Mínimo]])/2),0)</f>
        <v>2326</v>
      </c>
      <c r="G182" s="78">
        <f>VLOOKUP(Categorias_Registro[[#This Row],[Puntos]],Categorias_Configuracion[],MATCH(Categorias_Configuracion[[#Headers],[% Amplitud]],Categorias_Configuracion[#Headers],0),TRUE)</f>
        <v>0.15</v>
      </c>
      <c r="H182" s="15" t="str">
        <f ca="1">TEXT(Categorias_Registro[[#This Row],[Mínimo]],Formato_Rango_Categorias)&amp;" - "&amp;TEXT(Categorias_Registro[[#This Row],[Máximo]],Formato_Rango_Categorias)</f>
        <v>2.164 - 2.487</v>
      </c>
    </row>
    <row r="183" spans="2:8">
      <c r="B183" s="15">
        <f>Techo - ROW() + ROW(Categorias_Registro[])</f>
        <v>2446</v>
      </c>
      <c r="C183" s="15">
        <f>IF(Categorias_Registro[[#This Row],[Puntos]]&lt;=ROUND(Piso,0),Piso,IF(Categorias_Registro[[#This Row],[Puntos]]&lt;D184,C184,D184+1))</f>
        <v>2164</v>
      </c>
      <c r="D183" s="15">
        <f>IF(Categorias_Registro[[#This Row],[Puntos]]=ROUND(Piso,0),ROUND(Categorias_Registro[[#This Row],[Puntos]]*(1+Categorias_Registro[[#This Row],[Amplitud]]),0),IF(Categorias_Registro[[#This Row],[Puntos]]&lt;D184,D184,ROUND(D184*(1+Categorias_Registro[[#This Row],[Amplitud]]),0)))</f>
        <v>2487</v>
      </c>
      <c r="E183" s="15">
        <f>E184+IF(D184=Categorias_Registro[[#This Row],[Máximo]],0,1)</f>
        <v>24</v>
      </c>
      <c r="F183" s="15">
        <f>ROUND(Categorias_Registro[[#This Row],[Mínimo]]+((Categorias_Registro[[#This Row],[Máximo]]-Categorias_Registro[[#This Row],[Mínimo]])/2),0)</f>
        <v>2326</v>
      </c>
      <c r="G183" s="78">
        <f>VLOOKUP(Categorias_Registro[[#This Row],[Puntos]],Categorias_Configuracion[],MATCH(Categorias_Configuracion[[#Headers],[% Amplitud]],Categorias_Configuracion[#Headers],0),TRUE)</f>
        <v>0.15</v>
      </c>
      <c r="H183" s="15" t="str">
        <f ca="1">TEXT(Categorias_Registro[[#This Row],[Mínimo]],Formato_Rango_Categorias)&amp;" - "&amp;TEXT(Categorias_Registro[[#This Row],[Máximo]],Formato_Rango_Categorias)</f>
        <v>2.164 - 2.487</v>
      </c>
    </row>
    <row r="184" spans="2:8">
      <c r="B184" s="15">
        <f>Techo - ROW() + ROW(Categorias_Registro[])</f>
        <v>2445</v>
      </c>
      <c r="C184" s="15">
        <f>IF(Categorias_Registro[[#This Row],[Puntos]]&lt;=ROUND(Piso,0),Piso,IF(Categorias_Registro[[#This Row],[Puntos]]&lt;D185,C185,D185+1))</f>
        <v>2164</v>
      </c>
      <c r="D184" s="15">
        <f>IF(Categorias_Registro[[#This Row],[Puntos]]=ROUND(Piso,0),ROUND(Categorias_Registro[[#This Row],[Puntos]]*(1+Categorias_Registro[[#This Row],[Amplitud]]),0),IF(Categorias_Registro[[#This Row],[Puntos]]&lt;D185,D185,ROUND(D185*(1+Categorias_Registro[[#This Row],[Amplitud]]),0)))</f>
        <v>2487</v>
      </c>
      <c r="E184" s="15">
        <f>E185+IF(D185=Categorias_Registro[[#This Row],[Máximo]],0,1)</f>
        <v>24</v>
      </c>
      <c r="F184" s="15">
        <f>ROUND(Categorias_Registro[[#This Row],[Mínimo]]+((Categorias_Registro[[#This Row],[Máximo]]-Categorias_Registro[[#This Row],[Mínimo]])/2),0)</f>
        <v>2326</v>
      </c>
      <c r="G184" s="78">
        <f>VLOOKUP(Categorias_Registro[[#This Row],[Puntos]],Categorias_Configuracion[],MATCH(Categorias_Configuracion[[#Headers],[% Amplitud]],Categorias_Configuracion[#Headers],0),TRUE)</f>
        <v>0.15</v>
      </c>
      <c r="H184" s="15" t="str">
        <f ca="1">TEXT(Categorias_Registro[[#This Row],[Mínimo]],Formato_Rango_Categorias)&amp;" - "&amp;TEXT(Categorias_Registro[[#This Row],[Máximo]],Formato_Rango_Categorias)</f>
        <v>2.164 - 2.487</v>
      </c>
    </row>
    <row r="185" spans="2:8">
      <c r="B185" s="15">
        <f>Techo - ROW() + ROW(Categorias_Registro[])</f>
        <v>2444</v>
      </c>
      <c r="C185" s="15">
        <f>IF(Categorias_Registro[[#This Row],[Puntos]]&lt;=ROUND(Piso,0),Piso,IF(Categorias_Registro[[#This Row],[Puntos]]&lt;D186,C186,D186+1))</f>
        <v>2164</v>
      </c>
      <c r="D185" s="15">
        <f>IF(Categorias_Registro[[#This Row],[Puntos]]=ROUND(Piso,0),ROUND(Categorias_Registro[[#This Row],[Puntos]]*(1+Categorias_Registro[[#This Row],[Amplitud]]),0),IF(Categorias_Registro[[#This Row],[Puntos]]&lt;D186,D186,ROUND(D186*(1+Categorias_Registro[[#This Row],[Amplitud]]),0)))</f>
        <v>2487</v>
      </c>
      <c r="E185" s="15">
        <f>E186+IF(D186=Categorias_Registro[[#This Row],[Máximo]],0,1)</f>
        <v>24</v>
      </c>
      <c r="F185" s="15">
        <f>ROUND(Categorias_Registro[[#This Row],[Mínimo]]+((Categorias_Registro[[#This Row],[Máximo]]-Categorias_Registro[[#This Row],[Mínimo]])/2),0)</f>
        <v>2326</v>
      </c>
      <c r="G185" s="78">
        <f>VLOOKUP(Categorias_Registro[[#This Row],[Puntos]],Categorias_Configuracion[],MATCH(Categorias_Configuracion[[#Headers],[% Amplitud]],Categorias_Configuracion[#Headers],0),TRUE)</f>
        <v>0.15</v>
      </c>
      <c r="H185" s="15" t="str">
        <f ca="1">TEXT(Categorias_Registro[[#This Row],[Mínimo]],Formato_Rango_Categorias)&amp;" - "&amp;TEXT(Categorias_Registro[[#This Row],[Máximo]],Formato_Rango_Categorias)</f>
        <v>2.164 - 2.487</v>
      </c>
    </row>
    <row r="186" spans="2:8">
      <c r="B186" s="15">
        <f>Techo - ROW() + ROW(Categorias_Registro[])</f>
        <v>2443</v>
      </c>
      <c r="C186" s="15">
        <f>IF(Categorias_Registro[[#This Row],[Puntos]]&lt;=ROUND(Piso,0),Piso,IF(Categorias_Registro[[#This Row],[Puntos]]&lt;D187,C187,D187+1))</f>
        <v>2164</v>
      </c>
      <c r="D186" s="15">
        <f>IF(Categorias_Registro[[#This Row],[Puntos]]=ROUND(Piso,0),ROUND(Categorias_Registro[[#This Row],[Puntos]]*(1+Categorias_Registro[[#This Row],[Amplitud]]),0),IF(Categorias_Registro[[#This Row],[Puntos]]&lt;D187,D187,ROUND(D187*(1+Categorias_Registro[[#This Row],[Amplitud]]),0)))</f>
        <v>2487</v>
      </c>
      <c r="E186" s="15">
        <f>E187+IF(D187=Categorias_Registro[[#This Row],[Máximo]],0,1)</f>
        <v>24</v>
      </c>
      <c r="F186" s="15">
        <f>ROUND(Categorias_Registro[[#This Row],[Mínimo]]+((Categorias_Registro[[#This Row],[Máximo]]-Categorias_Registro[[#This Row],[Mínimo]])/2),0)</f>
        <v>2326</v>
      </c>
      <c r="G186" s="78">
        <f>VLOOKUP(Categorias_Registro[[#This Row],[Puntos]],Categorias_Configuracion[],MATCH(Categorias_Configuracion[[#Headers],[% Amplitud]],Categorias_Configuracion[#Headers],0),TRUE)</f>
        <v>0.15</v>
      </c>
      <c r="H186" s="15" t="str">
        <f ca="1">TEXT(Categorias_Registro[[#This Row],[Mínimo]],Formato_Rango_Categorias)&amp;" - "&amp;TEXT(Categorias_Registro[[#This Row],[Máximo]],Formato_Rango_Categorias)</f>
        <v>2.164 - 2.487</v>
      </c>
    </row>
    <row r="187" spans="2:8">
      <c r="B187" s="15">
        <f>Techo - ROW() + ROW(Categorias_Registro[])</f>
        <v>2442</v>
      </c>
      <c r="C187" s="15">
        <f>IF(Categorias_Registro[[#This Row],[Puntos]]&lt;=ROUND(Piso,0),Piso,IF(Categorias_Registro[[#This Row],[Puntos]]&lt;D188,C188,D188+1))</f>
        <v>2164</v>
      </c>
      <c r="D187" s="15">
        <f>IF(Categorias_Registro[[#This Row],[Puntos]]=ROUND(Piso,0),ROUND(Categorias_Registro[[#This Row],[Puntos]]*(1+Categorias_Registro[[#This Row],[Amplitud]]),0),IF(Categorias_Registro[[#This Row],[Puntos]]&lt;D188,D188,ROUND(D188*(1+Categorias_Registro[[#This Row],[Amplitud]]),0)))</f>
        <v>2487</v>
      </c>
      <c r="E187" s="15">
        <f>E188+IF(D188=Categorias_Registro[[#This Row],[Máximo]],0,1)</f>
        <v>24</v>
      </c>
      <c r="F187" s="15">
        <f>ROUND(Categorias_Registro[[#This Row],[Mínimo]]+((Categorias_Registro[[#This Row],[Máximo]]-Categorias_Registro[[#This Row],[Mínimo]])/2),0)</f>
        <v>2326</v>
      </c>
      <c r="G187" s="78">
        <f>VLOOKUP(Categorias_Registro[[#This Row],[Puntos]],Categorias_Configuracion[],MATCH(Categorias_Configuracion[[#Headers],[% Amplitud]],Categorias_Configuracion[#Headers],0),TRUE)</f>
        <v>0.15</v>
      </c>
      <c r="H187" s="15" t="str">
        <f ca="1">TEXT(Categorias_Registro[[#This Row],[Mínimo]],Formato_Rango_Categorias)&amp;" - "&amp;TEXT(Categorias_Registro[[#This Row],[Máximo]],Formato_Rango_Categorias)</f>
        <v>2.164 - 2.487</v>
      </c>
    </row>
    <row r="188" spans="2:8">
      <c r="B188" s="15">
        <f>Techo - ROW() + ROW(Categorias_Registro[])</f>
        <v>2441</v>
      </c>
      <c r="C188" s="15">
        <f>IF(Categorias_Registro[[#This Row],[Puntos]]&lt;=ROUND(Piso,0),Piso,IF(Categorias_Registro[[#This Row],[Puntos]]&lt;D189,C189,D189+1))</f>
        <v>2164</v>
      </c>
      <c r="D188" s="15">
        <f>IF(Categorias_Registro[[#This Row],[Puntos]]=ROUND(Piso,0),ROUND(Categorias_Registro[[#This Row],[Puntos]]*(1+Categorias_Registro[[#This Row],[Amplitud]]),0),IF(Categorias_Registro[[#This Row],[Puntos]]&lt;D189,D189,ROUND(D189*(1+Categorias_Registro[[#This Row],[Amplitud]]),0)))</f>
        <v>2487</v>
      </c>
      <c r="E188" s="15">
        <f>E189+IF(D189=Categorias_Registro[[#This Row],[Máximo]],0,1)</f>
        <v>24</v>
      </c>
      <c r="F188" s="15">
        <f>ROUND(Categorias_Registro[[#This Row],[Mínimo]]+((Categorias_Registro[[#This Row],[Máximo]]-Categorias_Registro[[#This Row],[Mínimo]])/2),0)</f>
        <v>2326</v>
      </c>
      <c r="G188" s="78">
        <f>VLOOKUP(Categorias_Registro[[#This Row],[Puntos]],Categorias_Configuracion[],MATCH(Categorias_Configuracion[[#Headers],[% Amplitud]],Categorias_Configuracion[#Headers],0),TRUE)</f>
        <v>0.15</v>
      </c>
      <c r="H188" s="15" t="str">
        <f ca="1">TEXT(Categorias_Registro[[#This Row],[Mínimo]],Formato_Rango_Categorias)&amp;" - "&amp;TEXT(Categorias_Registro[[#This Row],[Máximo]],Formato_Rango_Categorias)</f>
        <v>2.164 - 2.487</v>
      </c>
    </row>
    <row r="189" spans="2:8">
      <c r="B189" s="15">
        <f>Techo - ROW() + ROW(Categorias_Registro[])</f>
        <v>2440</v>
      </c>
      <c r="C189" s="15">
        <f>IF(Categorias_Registro[[#This Row],[Puntos]]&lt;=ROUND(Piso,0),Piso,IF(Categorias_Registro[[#This Row],[Puntos]]&lt;D190,C190,D190+1))</f>
        <v>2164</v>
      </c>
      <c r="D189" s="15">
        <f>IF(Categorias_Registro[[#This Row],[Puntos]]=ROUND(Piso,0),ROUND(Categorias_Registro[[#This Row],[Puntos]]*(1+Categorias_Registro[[#This Row],[Amplitud]]),0),IF(Categorias_Registro[[#This Row],[Puntos]]&lt;D190,D190,ROUND(D190*(1+Categorias_Registro[[#This Row],[Amplitud]]),0)))</f>
        <v>2487</v>
      </c>
      <c r="E189" s="15">
        <f>E190+IF(D190=Categorias_Registro[[#This Row],[Máximo]],0,1)</f>
        <v>24</v>
      </c>
      <c r="F189" s="15">
        <f>ROUND(Categorias_Registro[[#This Row],[Mínimo]]+((Categorias_Registro[[#This Row],[Máximo]]-Categorias_Registro[[#This Row],[Mínimo]])/2),0)</f>
        <v>2326</v>
      </c>
      <c r="G189" s="78">
        <f>VLOOKUP(Categorias_Registro[[#This Row],[Puntos]],Categorias_Configuracion[],MATCH(Categorias_Configuracion[[#Headers],[% Amplitud]],Categorias_Configuracion[#Headers],0),TRUE)</f>
        <v>0.15</v>
      </c>
      <c r="H189" s="15" t="str">
        <f ca="1">TEXT(Categorias_Registro[[#This Row],[Mínimo]],Formato_Rango_Categorias)&amp;" - "&amp;TEXT(Categorias_Registro[[#This Row],[Máximo]],Formato_Rango_Categorias)</f>
        <v>2.164 - 2.487</v>
      </c>
    </row>
    <row r="190" spans="2:8">
      <c r="B190" s="15">
        <f>Techo - ROW() + ROW(Categorias_Registro[])</f>
        <v>2439</v>
      </c>
      <c r="C190" s="15">
        <f>IF(Categorias_Registro[[#This Row],[Puntos]]&lt;=ROUND(Piso,0),Piso,IF(Categorias_Registro[[#This Row],[Puntos]]&lt;D191,C191,D191+1))</f>
        <v>2164</v>
      </c>
      <c r="D190" s="15">
        <f>IF(Categorias_Registro[[#This Row],[Puntos]]=ROUND(Piso,0),ROUND(Categorias_Registro[[#This Row],[Puntos]]*(1+Categorias_Registro[[#This Row],[Amplitud]]),0),IF(Categorias_Registro[[#This Row],[Puntos]]&lt;D191,D191,ROUND(D191*(1+Categorias_Registro[[#This Row],[Amplitud]]),0)))</f>
        <v>2487</v>
      </c>
      <c r="E190" s="15">
        <f>E191+IF(D191=Categorias_Registro[[#This Row],[Máximo]],0,1)</f>
        <v>24</v>
      </c>
      <c r="F190" s="15">
        <f>ROUND(Categorias_Registro[[#This Row],[Mínimo]]+((Categorias_Registro[[#This Row],[Máximo]]-Categorias_Registro[[#This Row],[Mínimo]])/2),0)</f>
        <v>2326</v>
      </c>
      <c r="G190" s="78">
        <f>VLOOKUP(Categorias_Registro[[#This Row],[Puntos]],Categorias_Configuracion[],MATCH(Categorias_Configuracion[[#Headers],[% Amplitud]],Categorias_Configuracion[#Headers],0),TRUE)</f>
        <v>0.15</v>
      </c>
      <c r="H190" s="15" t="str">
        <f ca="1">TEXT(Categorias_Registro[[#This Row],[Mínimo]],Formato_Rango_Categorias)&amp;" - "&amp;TEXT(Categorias_Registro[[#This Row],[Máximo]],Formato_Rango_Categorias)</f>
        <v>2.164 - 2.487</v>
      </c>
    </row>
    <row r="191" spans="2:8">
      <c r="B191" s="15">
        <f>Techo - ROW() + ROW(Categorias_Registro[])</f>
        <v>2438</v>
      </c>
      <c r="C191" s="15">
        <f>IF(Categorias_Registro[[#This Row],[Puntos]]&lt;=ROUND(Piso,0),Piso,IF(Categorias_Registro[[#This Row],[Puntos]]&lt;D192,C192,D192+1))</f>
        <v>2164</v>
      </c>
      <c r="D191" s="15">
        <f>IF(Categorias_Registro[[#This Row],[Puntos]]=ROUND(Piso,0),ROUND(Categorias_Registro[[#This Row],[Puntos]]*(1+Categorias_Registro[[#This Row],[Amplitud]]),0),IF(Categorias_Registro[[#This Row],[Puntos]]&lt;D192,D192,ROUND(D192*(1+Categorias_Registro[[#This Row],[Amplitud]]),0)))</f>
        <v>2487</v>
      </c>
      <c r="E191" s="15">
        <f>E192+IF(D192=Categorias_Registro[[#This Row],[Máximo]],0,1)</f>
        <v>24</v>
      </c>
      <c r="F191" s="15">
        <f>ROUND(Categorias_Registro[[#This Row],[Mínimo]]+((Categorias_Registro[[#This Row],[Máximo]]-Categorias_Registro[[#This Row],[Mínimo]])/2),0)</f>
        <v>2326</v>
      </c>
      <c r="G191" s="78">
        <f>VLOOKUP(Categorias_Registro[[#This Row],[Puntos]],Categorias_Configuracion[],MATCH(Categorias_Configuracion[[#Headers],[% Amplitud]],Categorias_Configuracion[#Headers],0),TRUE)</f>
        <v>0.15</v>
      </c>
      <c r="H191" s="15" t="str">
        <f ca="1">TEXT(Categorias_Registro[[#This Row],[Mínimo]],Formato_Rango_Categorias)&amp;" - "&amp;TEXT(Categorias_Registro[[#This Row],[Máximo]],Formato_Rango_Categorias)</f>
        <v>2.164 - 2.487</v>
      </c>
    </row>
    <row r="192" spans="2:8">
      <c r="B192" s="15">
        <f>Techo - ROW() + ROW(Categorias_Registro[])</f>
        <v>2437</v>
      </c>
      <c r="C192" s="15">
        <f>IF(Categorias_Registro[[#This Row],[Puntos]]&lt;=ROUND(Piso,0),Piso,IF(Categorias_Registro[[#This Row],[Puntos]]&lt;D193,C193,D193+1))</f>
        <v>2164</v>
      </c>
      <c r="D192" s="15">
        <f>IF(Categorias_Registro[[#This Row],[Puntos]]=ROUND(Piso,0),ROUND(Categorias_Registro[[#This Row],[Puntos]]*(1+Categorias_Registro[[#This Row],[Amplitud]]),0),IF(Categorias_Registro[[#This Row],[Puntos]]&lt;D193,D193,ROUND(D193*(1+Categorias_Registro[[#This Row],[Amplitud]]),0)))</f>
        <v>2487</v>
      </c>
      <c r="E192" s="15">
        <f>E193+IF(D193=Categorias_Registro[[#This Row],[Máximo]],0,1)</f>
        <v>24</v>
      </c>
      <c r="F192" s="15">
        <f>ROUND(Categorias_Registro[[#This Row],[Mínimo]]+((Categorias_Registro[[#This Row],[Máximo]]-Categorias_Registro[[#This Row],[Mínimo]])/2),0)</f>
        <v>2326</v>
      </c>
      <c r="G192" s="78">
        <f>VLOOKUP(Categorias_Registro[[#This Row],[Puntos]],Categorias_Configuracion[],MATCH(Categorias_Configuracion[[#Headers],[% Amplitud]],Categorias_Configuracion[#Headers],0),TRUE)</f>
        <v>0.15</v>
      </c>
      <c r="H192" s="15" t="str">
        <f ca="1">TEXT(Categorias_Registro[[#This Row],[Mínimo]],Formato_Rango_Categorias)&amp;" - "&amp;TEXT(Categorias_Registro[[#This Row],[Máximo]],Formato_Rango_Categorias)</f>
        <v>2.164 - 2.487</v>
      </c>
    </row>
    <row r="193" spans="2:8">
      <c r="B193" s="15">
        <f>Techo - ROW() + ROW(Categorias_Registro[])</f>
        <v>2436</v>
      </c>
      <c r="C193" s="15">
        <f>IF(Categorias_Registro[[#This Row],[Puntos]]&lt;=ROUND(Piso,0),Piso,IF(Categorias_Registro[[#This Row],[Puntos]]&lt;D194,C194,D194+1))</f>
        <v>2164</v>
      </c>
      <c r="D193" s="15">
        <f>IF(Categorias_Registro[[#This Row],[Puntos]]=ROUND(Piso,0),ROUND(Categorias_Registro[[#This Row],[Puntos]]*(1+Categorias_Registro[[#This Row],[Amplitud]]),0),IF(Categorias_Registro[[#This Row],[Puntos]]&lt;D194,D194,ROUND(D194*(1+Categorias_Registro[[#This Row],[Amplitud]]),0)))</f>
        <v>2487</v>
      </c>
      <c r="E193" s="15">
        <f>E194+IF(D194=Categorias_Registro[[#This Row],[Máximo]],0,1)</f>
        <v>24</v>
      </c>
      <c r="F193" s="15">
        <f>ROUND(Categorias_Registro[[#This Row],[Mínimo]]+((Categorias_Registro[[#This Row],[Máximo]]-Categorias_Registro[[#This Row],[Mínimo]])/2),0)</f>
        <v>2326</v>
      </c>
      <c r="G193" s="78">
        <f>VLOOKUP(Categorias_Registro[[#This Row],[Puntos]],Categorias_Configuracion[],MATCH(Categorias_Configuracion[[#Headers],[% Amplitud]],Categorias_Configuracion[#Headers],0),TRUE)</f>
        <v>0.15</v>
      </c>
      <c r="H193" s="15" t="str">
        <f ca="1">TEXT(Categorias_Registro[[#This Row],[Mínimo]],Formato_Rango_Categorias)&amp;" - "&amp;TEXT(Categorias_Registro[[#This Row],[Máximo]],Formato_Rango_Categorias)</f>
        <v>2.164 - 2.487</v>
      </c>
    </row>
    <row r="194" spans="2:8">
      <c r="B194" s="15">
        <f>Techo - ROW() + ROW(Categorias_Registro[])</f>
        <v>2435</v>
      </c>
      <c r="C194" s="15">
        <f>IF(Categorias_Registro[[#This Row],[Puntos]]&lt;=ROUND(Piso,0),Piso,IF(Categorias_Registro[[#This Row],[Puntos]]&lt;D195,C195,D195+1))</f>
        <v>2164</v>
      </c>
      <c r="D194" s="15">
        <f>IF(Categorias_Registro[[#This Row],[Puntos]]=ROUND(Piso,0),ROUND(Categorias_Registro[[#This Row],[Puntos]]*(1+Categorias_Registro[[#This Row],[Amplitud]]),0),IF(Categorias_Registro[[#This Row],[Puntos]]&lt;D195,D195,ROUND(D195*(1+Categorias_Registro[[#This Row],[Amplitud]]),0)))</f>
        <v>2487</v>
      </c>
      <c r="E194" s="15">
        <f>E195+IF(D195=Categorias_Registro[[#This Row],[Máximo]],0,1)</f>
        <v>24</v>
      </c>
      <c r="F194" s="15">
        <f>ROUND(Categorias_Registro[[#This Row],[Mínimo]]+((Categorias_Registro[[#This Row],[Máximo]]-Categorias_Registro[[#This Row],[Mínimo]])/2),0)</f>
        <v>2326</v>
      </c>
      <c r="G194" s="78">
        <f>VLOOKUP(Categorias_Registro[[#This Row],[Puntos]],Categorias_Configuracion[],MATCH(Categorias_Configuracion[[#Headers],[% Amplitud]],Categorias_Configuracion[#Headers],0),TRUE)</f>
        <v>0.15</v>
      </c>
      <c r="H194" s="15" t="str">
        <f ca="1">TEXT(Categorias_Registro[[#This Row],[Mínimo]],Formato_Rango_Categorias)&amp;" - "&amp;TEXT(Categorias_Registro[[#This Row],[Máximo]],Formato_Rango_Categorias)</f>
        <v>2.164 - 2.487</v>
      </c>
    </row>
    <row r="195" spans="2:8">
      <c r="B195" s="15">
        <f>Techo - ROW() + ROW(Categorias_Registro[])</f>
        <v>2434</v>
      </c>
      <c r="C195" s="15">
        <f>IF(Categorias_Registro[[#This Row],[Puntos]]&lt;=ROUND(Piso,0),Piso,IF(Categorias_Registro[[#This Row],[Puntos]]&lt;D196,C196,D196+1))</f>
        <v>2164</v>
      </c>
      <c r="D195" s="15">
        <f>IF(Categorias_Registro[[#This Row],[Puntos]]=ROUND(Piso,0),ROUND(Categorias_Registro[[#This Row],[Puntos]]*(1+Categorias_Registro[[#This Row],[Amplitud]]),0),IF(Categorias_Registro[[#This Row],[Puntos]]&lt;D196,D196,ROUND(D196*(1+Categorias_Registro[[#This Row],[Amplitud]]),0)))</f>
        <v>2487</v>
      </c>
      <c r="E195" s="15">
        <f>E196+IF(D196=Categorias_Registro[[#This Row],[Máximo]],0,1)</f>
        <v>24</v>
      </c>
      <c r="F195" s="15">
        <f>ROUND(Categorias_Registro[[#This Row],[Mínimo]]+((Categorias_Registro[[#This Row],[Máximo]]-Categorias_Registro[[#This Row],[Mínimo]])/2),0)</f>
        <v>2326</v>
      </c>
      <c r="G195" s="78">
        <f>VLOOKUP(Categorias_Registro[[#This Row],[Puntos]],Categorias_Configuracion[],MATCH(Categorias_Configuracion[[#Headers],[% Amplitud]],Categorias_Configuracion[#Headers],0),TRUE)</f>
        <v>0.15</v>
      </c>
      <c r="H195" s="15" t="str">
        <f ca="1">TEXT(Categorias_Registro[[#This Row],[Mínimo]],Formato_Rango_Categorias)&amp;" - "&amp;TEXT(Categorias_Registro[[#This Row],[Máximo]],Formato_Rango_Categorias)</f>
        <v>2.164 - 2.487</v>
      </c>
    </row>
    <row r="196" spans="2:8">
      <c r="B196" s="15">
        <f>Techo - ROW() + ROW(Categorias_Registro[])</f>
        <v>2433</v>
      </c>
      <c r="C196" s="15">
        <f>IF(Categorias_Registro[[#This Row],[Puntos]]&lt;=ROUND(Piso,0),Piso,IF(Categorias_Registro[[#This Row],[Puntos]]&lt;D197,C197,D197+1))</f>
        <v>2164</v>
      </c>
      <c r="D196" s="15">
        <f>IF(Categorias_Registro[[#This Row],[Puntos]]=ROUND(Piso,0),ROUND(Categorias_Registro[[#This Row],[Puntos]]*(1+Categorias_Registro[[#This Row],[Amplitud]]),0),IF(Categorias_Registro[[#This Row],[Puntos]]&lt;D197,D197,ROUND(D197*(1+Categorias_Registro[[#This Row],[Amplitud]]),0)))</f>
        <v>2487</v>
      </c>
      <c r="E196" s="15">
        <f>E197+IF(D197=Categorias_Registro[[#This Row],[Máximo]],0,1)</f>
        <v>24</v>
      </c>
      <c r="F196" s="15">
        <f>ROUND(Categorias_Registro[[#This Row],[Mínimo]]+((Categorias_Registro[[#This Row],[Máximo]]-Categorias_Registro[[#This Row],[Mínimo]])/2),0)</f>
        <v>2326</v>
      </c>
      <c r="G196" s="78">
        <f>VLOOKUP(Categorias_Registro[[#This Row],[Puntos]],Categorias_Configuracion[],MATCH(Categorias_Configuracion[[#Headers],[% Amplitud]],Categorias_Configuracion[#Headers],0),TRUE)</f>
        <v>0.15</v>
      </c>
      <c r="H196" s="15" t="str">
        <f ca="1">TEXT(Categorias_Registro[[#This Row],[Mínimo]],Formato_Rango_Categorias)&amp;" - "&amp;TEXT(Categorias_Registro[[#This Row],[Máximo]],Formato_Rango_Categorias)</f>
        <v>2.164 - 2.487</v>
      </c>
    </row>
    <row r="197" spans="2:8">
      <c r="B197" s="15">
        <f>Techo - ROW() + ROW(Categorias_Registro[])</f>
        <v>2432</v>
      </c>
      <c r="C197" s="15">
        <f>IF(Categorias_Registro[[#This Row],[Puntos]]&lt;=ROUND(Piso,0),Piso,IF(Categorias_Registro[[#This Row],[Puntos]]&lt;D198,C198,D198+1))</f>
        <v>2164</v>
      </c>
      <c r="D197" s="15">
        <f>IF(Categorias_Registro[[#This Row],[Puntos]]=ROUND(Piso,0),ROUND(Categorias_Registro[[#This Row],[Puntos]]*(1+Categorias_Registro[[#This Row],[Amplitud]]),0),IF(Categorias_Registro[[#This Row],[Puntos]]&lt;D198,D198,ROUND(D198*(1+Categorias_Registro[[#This Row],[Amplitud]]),0)))</f>
        <v>2487</v>
      </c>
      <c r="E197" s="15">
        <f>E198+IF(D198=Categorias_Registro[[#This Row],[Máximo]],0,1)</f>
        <v>24</v>
      </c>
      <c r="F197" s="15">
        <f>ROUND(Categorias_Registro[[#This Row],[Mínimo]]+((Categorias_Registro[[#This Row],[Máximo]]-Categorias_Registro[[#This Row],[Mínimo]])/2),0)</f>
        <v>2326</v>
      </c>
      <c r="G197" s="78">
        <f>VLOOKUP(Categorias_Registro[[#This Row],[Puntos]],Categorias_Configuracion[],MATCH(Categorias_Configuracion[[#Headers],[% Amplitud]],Categorias_Configuracion[#Headers],0),TRUE)</f>
        <v>0.15</v>
      </c>
      <c r="H197" s="15" t="str">
        <f ca="1">TEXT(Categorias_Registro[[#This Row],[Mínimo]],Formato_Rango_Categorias)&amp;" - "&amp;TEXT(Categorias_Registro[[#This Row],[Máximo]],Formato_Rango_Categorias)</f>
        <v>2.164 - 2.487</v>
      </c>
    </row>
    <row r="198" spans="2:8">
      <c r="B198" s="15">
        <f>Techo - ROW() + ROW(Categorias_Registro[])</f>
        <v>2431</v>
      </c>
      <c r="C198" s="15">
        <f>IF(Categorias_Registro[[#This Row],[Puntos]]&lt;=ROUND(Piso,0),Piso,IF(Categorias_Registro[[#This Row],[Puntos]]&lt;D199,C199,D199+1))</f>
        <v>2164</v>
      </c>
      <c r="D198" s="15">
        <f>IF(Categorias_Registro[[#This Row],[Puntos]]=ROUND(Piso,0),ROUND(Categorias_Registro[[#This Row],[Puntos]]*(1+Categorias_Registro[[#This Row],[Amplitud]]),0),IF(Categorias_Registro[[#This Row],[Puntos]]&lt;D199,D199,ROUND(D199*(1+Categorias_Registro[[#This Row],[Amplitud]]),0)))</f>
        <v>2487</v>
      </c>
      <c r="E198" s="15">
        <f>E199+IF(D199=Categorias_Registro[[#This Row],[Máximo]],0,1)</f>
        <v>24</v>
      </c>
      <c r="F198" s="15">
        <f>ROUND(Categorias_Registro[[#This Row],[Mínimo]]+((Categorias_Registro[[#This Row],[Máximo]]-Categorias_Registro[[#This Row],[Mínimo]])/2),0)</f>
        <v>2326</v>
      </c>
      <c r="G198" s="78">
        <f>VLOOKUP(Categorias_Registro[[#This Row],[Puntos]],Categorias_Configuracion[],MATCH(Categorias_Configuracion[[#Headers],[% Amplitud]],Categorias_Configuracion[#Headers],0),TRUE)</f>
        <v>0.15</v>
      </c>
      <c r="H198" s="15" t="str">
        <f ca="1">TEXT(Categorias_Registro[[#This Row],[Mínimo]],Formato_Rango_Categorias)&amp;" - "&amp;TEXT(Categorias_Registro[[#This Row],[Máximo]],Formato_Rango_Categorias)</f>
        <v>2.164 - 2.487</v>
      </c>
    </row>
    <row r="199" spans="2:8">
      <c r="B199" s="15">
        <f>Techo - ROW() + ROW(Categorias_Registro[])</f>
        <v>2430</v>
      </c>
      <c r="C199" s="15">
        <f>IF(Categorias_Registro[[#This Row],[Puntos]]&lt;=ROUND(Piso,0),Piso,IF(Categorias_Registro[[#This Row],[Puntos]]&lt;D200,C200,D200+1))</f>
        <v>2164</v>
      </c>
      <c r="D199" s="15">
        <f>IF(Categorias_Registro[[#This Row],[Puntos]]=ROUND(Piso,0),ROUND(Categorias_Registro[[#This Row],[Puntos]]*(1+Categorias_Registro[[#This Row],[Amplitud]]),0),IF(Categorias_Registro[[#This Row],[Puntos]]&lt;D200,D200,ROUND(D200*(1+Categorias_Registro[[#This Row],[Amplitud]]),0)))</f>
        <v>2487</v>
      </c>
      <c r="E199" s="15">
        <f>E200+IF(D200=Categorias_Registro[[#This Row],[Máximo]],0,1)</f>
        <v>24</v>
      </c>
      <c r="F199" s="15">
        <f>ROUND(Categorias_Registro[[#This Row],[Mínimo]]+((Categorias_Registro[[#This Row],[Máximo]]-Categorias_Registro[[#This Row],[Mínimo]])/2),0)</f>
        <v>2326</v>
      </c>
      <c r="G199" s="78">
        <f>VLOOKUP(Categorias_Registro[[#This Row],[Puntos]],Categorias_Configuracion[],MATCH(Categorias_Configuracion[[#Headers],[% Amplitud]],Categorias_Configuracion[#Headers],0),TRUE)</f>
        <v>0.15</v>
      </c>
      <c r="H199" s="15" t="str">
        <f ca="1">TEXT(Categorias_Registro[[#This Row],[Mínimo]],Formato_Rango_Categorias)&amp;" - "&amp;TEXT(Categorias_Registro[[#This Row],[Máximo]],Formato_Rango_Categorias)</f>
        <v>2.164 - 2.487</v>
      </c>
    </row>
    <row r="200" spans="2:8">
      <c r="B200" s="15">
        <f>Techo - ROW() + ROW(Categorias_Registro[])</f>
        <v>2429</v>
      </c>
      <c r="C200" s="15">
        <f>IF(Categorias_Registro[[#This Row],[Puntos]]&lt;=ROUND(Piso,0),Piso,IF(Categorias_Registro[[#This Row],[Puntos]]&lt;D201,C201,D201+1))</f>
        <v>2164</v>
      </c>
      <c r="D200" s="15">
        <f>IF(Categorias_Registro[[#This Row],[Puntos]]=ROUND(Piso,0),ROUND(Categorias_Registro[[#This Row],[Puntos]]*(1+Categorias_Registro[[#This Row],[Amplitud]]),0),IF(Categorias_Registro[[#This Row],[Puntos]]&lt;D201,D201,ROUND(D201*(1+Categorias_Registro[[#This Row],[Amplitud]]),0)))</f>
        <v>2487</v>
      </c>
      <c r="E200" s="15">
        <f>E201+IF(D201=Categorias_Registro[[#This Row],[Máximo]],0,1)</f>
        <v>24</v>
      </c>
      <c r="F200" s="15">
        <f>ROUND(Categorias_Registro[[#This Row],[Mínimo]]+((Categorias_Registro[[#This Row],[Máximo]]-Categorias_Registro[[#This Row],[Mínimo]])/2),0)</f>
        <v>2326</v>
      </c>
      <c r="G200" s="78">
        <f>VLOOKUP(Categorias_Registro[[#This Row],[Puntos]],Categorias_Configuracion[],MATCH(Categorias_Configuracion[[#Headers],[% Amplitud]],Categorias_Configuracion[#Headers],0),TRUE)</f>
        <v>0.15</v>
      </c>
      <c r="H200" s="15" t="str">
        <f ca="1">TEXT(Categorias_Registro[[#This Row],[Mínimo]],Formato_Rango_Categorias)&amp;" - "&amp;TEXT(Categorias_Registro[[#This Row],[Máximo]],Formato_Rango_Categorias)</f>
        <v>2.164 - 2.487</v>
      </c>
    </row>
    <row r="201" spans="2:8">
      <c r="B201" s="15">
        <f>Techo - ROW() + ROW(Categorias_Registro[])</f>
        <v>2428</v>
      </c>
      <c r="C201" s="15">
        <f>IF(Categorias_Registro[[#This Row],[Puntos]]&lt;=ROUND(Piso,0),Piso,IF(Categorias_Registro[[#This Row],[Puntos]]&lt;D202,C202,D202+1))</f>
        <v>2164</v>
      </c>
      <c r="D201" s="15">
        <f>IF(Categorias_Registro[[#This Row],[Puntos]]=ROUND(Piso,0),ROUND(Categorias_Registro[[#This Row],[Puntos]]*(1+Categorias_Registro[[#This Row],[Amplitud]]),0),IF(Categorias_Registro[[#This Row],[Puntos]]&lt;D202,D202,ROUND(D202*(1+Categorias_Registro[[#This Row],[Amplitud]]),0)))</f>
        <v>2487</v>
      </c>
      <c r="E201" s="15">
        <f>E202+IF(D202=Categorias_Registro[[#This Row],[Máximo]],0,1)</f>
        <v>24</v>
      </c>
      <c r="F201" s="15">
        <f>ROUND(Categorias_Registro[[#This Row],[Mínimo]]+((Categorias_Registro[[#This Row],[Máximo]]-Categorias_Registro[[#This Row],[Mínimo]])/2),0)</f>
        <v>2326</v>
      </c>
      <c r="G201" s="78">
        <f>VLOOKUP(Categorias_Registro[[#This Row],[Puntos]],Categorias_Configuracion[],MATCH(Categorias_Configuracion[[#Headers],[% Amplitud]],Categorias_Configuracion[#Headers],0),TRUE)</f>
        <v>0.15</v>
      </c>
      <c r="H201" s="15" t="str">
        <f ca="1">TEXT(Categorias_Registro[[#This Row],[Mínimo]],Formato_Rango_Categorias)&amp;" - "&amp;TEXT(Categorias_Registro[[#This Row],[Máximo]],Formato_Rango_Categorias)</f>
        <v>2.164 - 2.487</v>
      </c>
    </row>
    <row r="202" spans="2:8">
      <c r="B202" s="15">
        <f>Techo - ROW() + ROW(Categorias_Registro[])</f>
        <v>2427</v>
      </c>
      <c r="C202" s="15">
        <f>IF(Categorias_Registro[[#This Row],[Puntos]]&lt;=ROUND(Piso,0),Piso,IF(Categorias_Registro[[#This Row],[Puntos]]&lt;D203,C203,D203+1))</f>
        <v>2164</v>
      </c>
      <c r="D202" s="15">
        <f>IF(Categorias_Registro[[#This Row],[Puntos]]=ROUND(Piso,0),ROUND(Categorias_Registro[[#This Row],[Puntos]]*(1+Categorias_Registro[[#This Row],[Amplitud]]),0),IF(Categorias_Registro[[#This Row],[Puntos]]&lt;D203,D203,ROUND(D203*(1+Categorias_Registro[[#This Row],[Amplitud]]),0)))</f>
        <v>2487</v>
      </c>
      <c r="E202" s="15">
        <f>E203+IF(D203=Categorias_Registro[[#This Row],[Máximo]],0,1)</f>
        <v>24</v>
      </c>
      <c r="F202" s="15">
        <f>ROUND(Categorias_Registro[[#This Row],[Mínimo]]+((Categorias_Registro[[#This Row],[Máximo]]-Categorias_Registro[[#This Row],[Mínimo]])/2),0)</f>
        <v>2326</v>
      </c>
      <c r="G202" s="78">
        <f>VLOOKUP(Categorias_Registro[[#This Row],[Puntos]],Categorias_Configuracion[],MATCH(Categorias_Configuracion[[#Headers],[% Amplitud]],Categorias_Configuracion[#Headers],0),TRUE)</f>
        <v>0.15</v>
      </c>
      <c r="H202" s="15" t="str">
        <f ca="1">TEXT(Categorias_Registro[[#This Row],[Mínimo]],Formato_Rango_Categorias)&amp;" - "&amp;TEXT(Categorias_Registro[[#This Row],[Máximo]],Formato_Rango_Categorias)</f>
        <v>2.164 - 2.487</v>
      </c>
    </row>
    <row r="203" spans="2:8">
      <c r="B203" s="15">
        <f>Techo - ROW() + ROW(Categorias_Registro[])</f>
        <v>2426</v>
      </c>
      <c r="C203" s="15">
        <f>IF(Categorias_Registro[[#This Row],[Puntos]]&lt;=ROUND(Piso,0),Piso,IF(Categorias_Registro[[#This Row],[Puntos]]&lt;D204,C204,D204+1))</f>
        <v>2164</v>
      </c>
      <c r="D203" s="15">
        <f>IF(Categorias_Registro[[#This Row],[Puntos]]=ROUND(Piso,0),ROUND(Categorias_Registro[[#This Row],[Puntos]]*(1+Categorias_Registro[[#This Row],[Amplitud]]),0),IF(Categorias_Registro[[#This Row],[Puntos]]&lt;D204,D204,ROUND(D204*(1+Categorias_Registro[[#This Row],[Amplitud]]),0)))</f>
        <v>2487</v>
      </c>
      <c r="E203" s="15">
        <f>E204+IF(D204=Categorias_Registro[[#This Row],[Máximo]],0,1)</f>
        <v>24</v>
      </c>
      <c r="F203" s="15">
        <f>ROUND(Categorias_Registro[[#This Row],[Mínimo]]+((Categorias_Registro[[#This Row],[Máximo]]-Categorias_Registro[[#This Row],[Mínimo]])/2),0)</f>
        <v>2326</v>
      </c>
      <c r="G203" s="78">
        <f>VLOOKUP(Categorias_Registro[[#This Row],[Puntos]],Categorias_Configuracion[],MATCH(Categorias_Configuracion[[#Headers],[% Amplitud]],Categorias_Configuracion[#Headers],0),TRUE)</f>
        <v>0.15</v>
      </c>
      <c r="H203" s="15" t="str">
        <f ca="1">TEXT(Categorias_Registro[[#This Row],[Mínimo]],Formato_Rango_Categorias)&amp;" - "&amp;TEXT(Categorias_Registro[[#This Row],[Máximo]],Formato_Rango_Categorias)</f>
        <v>2.164 - 2.487</v>
      </c>
    </row>
    <row r="204" spans="2:8">
      <c r="B204" s="15">
        <f>Techo - ROW() + ROW(Categorias_Registro[])</f>
        <v>2425</v>
      </c>
      <c r="C204" s="15">
        <f>IF(Categorias_Registro[[#This Row],[Puntos]]&lt;=ROUND(Piso,0),Piso,IF(Categorias_Registro[[#This Row],[Puntos]]&lt;D205,C205,D205+1))</f>
        <v>2164</v>
      </c>
      <c r="D204" s="15">
        <f>IF(Categorias_Registro[[#This Row],[Puntos]]=ROUND(Piso,0),ROUND(Categorias_Registro[[#This Row],[Puntos]]*(1+Categorias_Registro[[#This Row],[Amplitud]]),0),IF(Categorias_Registro[[#This Row],[Puntos]]&lt;D205,D205,ROUND(D205*(1+Categorias_Registro[[#This Row],[Amplitud]]),0)))</f>
        <v>2487</v>
      </c>
      <c r="E204" s="15">
        <f>E205+IF(D205=Categorias_Registro[[#This Row],[Máximo]],0,1)</f>
        <v>24</v>
      </c>
      <c r="F204" s="15">
        <f>ROUND(Categorias_Registro[[#This Row],[Mínimo]]+((Categorias_Registro[[#This Row],[Máximo]]-Categorias_Registro[[#This Row],[Mínimo]])/2),0)</f>
        <v>2326</v>
      </c>
      <c r="G204" s="78">
        <f>VLOOKUP(Categorias_Registro[[#This Row],[Puntos]],Categorias_Configuracion[],MATCH(Categorias_Configuracion[[#Headers],[% Amplitud]],Categorias_Configuracion[#Headers],0),TRUE)</f>
        <v>0.15</v>
      </c>
      <c r="H204" s="15" t="str">
        <f ca="1">TEXT(Categorias_Registro[[#This Row],[Mínimo]],Formato_Rango_Categorias)&amp;" - "&amp;TEXT(Categorias_Registro[[#This Row],[Máximo]],Formato_Rango_Categorias)</f>
        <v>2.164 - 2.487</v>
      </c>
    </row>
    <row r="205" spans="2:8">
      <c r="B205" s="15">
        <f>Techo - ROW() + ROW(Categorias_Registro[])</f>
        <v>2424</v>
      </c>
      <c r="C205" s="15">
        <f>IF(Categorias_Registro[[#This Row],[Puntos]]&lt;=ROUND(Piso,0),Piso,IF(Categorias_Registro[[#This Row],[Puntos]]&lt;D206,C206,D206+1))</f>
        <v>2164</v>
      </c>
      <c r="D205" s="15">
        <f>IF(Categorias_Registro[[#This Row],[Puntos]]=ROUND(Piso,0),ROUND(Categorias_Registro[[#This Row],[Puntos]]*(1+Categorias_Registro[[#This Row],[Amplitud]]),0),IF(Categorias_Registro[[#This Row],[Puntos]]&lt;D206,D206,ROUND(D206*(1+Categorias_Registro[[#This Row],[Amplitud]]),0)))</f>
        <v>2487</v>
      </c>
      <c r="E205" s="15">
        <f>E206+IF(D206=Categorias_Registro[[#This Row],[Máximo]],0,1)</f>
        <v>24</v>
      </c>
      <c r="F205" s="15">
        <f>ROUND(Categorias_Registro[[#This Row],[Mínimo]]+((Categorias_Registro[[#This Row],[Máximo]]-Categorias_Registro[[#This Row],[Mínimo]])/2),0)</f>
        <v>2326</v>
      </c>
      <c r="G205" s="78">
        <f>VLOOKUP(Categorias_Registro[[#This Row],[Puntos]],Categorias_Configuracion[],MATCH(Categorias_Configuracion[[#Headers],[% Amplitud]],Categorias_Configuracion[#Headers],0),TRUE)</f>
        <v>0.15</v>
      </c>
      <c r="H205" s="15" t="str">
        <f ca="1">TEXT(Categorias_Registro[[#This Row],[Mínimo]],Formato_Rango_Categorias)&amp;" - "&amp;TEXT(Categorias_Registro[[#This Row],[Máximo]],Formato_Rango_Categorias)</f>
        <v>2.164 - 2.487</v>
      </c>
    </row>
    <row r="206" spans="2:8">
      <c r="B206" s="15">
        <f>Techo - ROW() + ROW(Categorias_Registro[])</f>
        <v>2423</v>
      </c>
      <c r="C206" s="15">
        <f>IF(Categorias_Registro[[#This Row],[Puntos]]&lt;=ROUND(Piso,0),Piso,IF(Categorias_Registro[[#This Row],[Puntos]]&lt;D207,C207,D207+1))</f>
        <v>2164</v>
      </c>
      <c r="D206" s="15">
        <f>IF(Categorias_Registro[[#This Row],[Puntos]]=ROUND(Piso,0),ROUND(Categorias_Registro[[#This Row],[Puntos]]*(1+Categorias_Registro[[#This Row],[Amplitud]]),0),IF(Categorias_Registro[[#This Row],[Puntos]]&lt;D207,D207,ROUND(D207*(1+Categorias_Registro[[#This Row],[Amplitud]]),0)))</f>
        <v>2487</v>
      </c>
      <c r="E206" s="15">
        <f>E207+IF(D207=Categorias_Registro[[#This Row],[Máximo]],0,1)</f>
        <v>24</v>
      </c>
      <c r="F206" s="15">
        <f>ROUND(Categorias_Registro[[#This Row],[Mínimo]]+((Categorias_Registro[[#This Row],[Máximo]]-Categorias_Registro[[#This Row],[Mínimo]])/2),0)</f>
        <v>2326</v>
      </c>
      <c r="G206" s="78">
        <f>VLOOKUP(Categorias_Registro[[#This Row],[Puntos]],Categorias_Configuracion[],MATCH(Categorias_Configuracion[[#Headers],[% Amplitud]],Categorias_Configuracion[#Headers],0),TRUE)</f>
        <v>0.15</v>
      </c>
      <c r="H206" s="15" t="str">
        <f ca="1">TEXT(Categorias_Registro[[#This Row],[Mínimo]],Formato_Rango_Categorias)&amp;" - "&amp;TEXT(Categorias_Registro[[#This Row],[Máximo]],Formato_Rango_Categorias)</f>
        <v>2.164 - 2.487</v>
      </c>
    </row>
    <row r="207" spans="2:8">
      <c r="B207" s="15">
        <f>Techo - ROW() + ROW(Categorias_Registro[])</f>
        <v>2422</v>
      </c>
      <c r="C207" s="15">
        <f>IF(Categorias_Registro[[#This Row],[Puntos]]&lt;=ROUND(Piso,0),Piso,IF(Categorias_Registro[[#This Row],[Puntos]]&lt;D208,C208,D208+1))</f>
        <v>2164</v>
      </c>
      <c r="D207" s="15">
        <f>IF(Categorias_Registro[[#This Row],[Puntos]]=ROUND(Piso,0),ROUND(Categorias_Registro[[#This Row],[Puntos]]*(1+Categorias_Registro[[#This Row],[Amplitud]]),0),IF(Categorias_Registro[[#This Row],[Puntos]]&lt;D208,D208,ROUND(D208*(1+Categorias_Registro[[#This Row],[Amplitud]]),0)))</f>
        <v>2487</v>
      </c>
      <c r="E207" s="15">
        <f>E208+IF(D208=Categorias_Registro[[#This Row],[Máximo]],0,1)</f>
        <v>24</v>
      </c>
      <c r="F207" s="15">
        <f>ROUND(Categorias_Registro[[#This Row],[Mínimo]]+((Categorias_Registro[[#This Row],[Máximo]]-Categorias_Registro[[#This Row],[Mínimo]])/2),0)</f>
        <v>2326</v>
      </c>
      <c r="G207" s="78">
        <f>VLOOKUP(Categorias_Registro[[#This Row],[Puntos]],Categorias_Configuracion[],MATCH(Categorias_Configuracion[[#Headers],[% Amplitud]],Categorias_Configuracion[#Headers],0),TRUE)</f>
        <v>0.15</v>
      </c>
      <c r="H207" s="15" t="str">
        <f ca="1">TEXT(Categorias_Registro[[#This Row],[Mínimo]],Formato_Rango_Categorias)&amp;" - "&amp;TEXT(Categorias_Registro[[#This Row],[Máximo]],Formato_Rango_Categorias)</f>
        <v>2.164 - 2.487</v>
      </c>
    </row>
    <row r="208" spans="2:8">
      <c r="B208" s="15">
        <f>Techo - ROW() + ROW(Categorias_Registro[])</f>
        <v>2421</v>
      </c>
      <c r="C208" s="15">
        <f>IF(Categorias_Registro[[#This Row],[Puntos]]&lt;=ROUND(Piso,0),Piso,IF(Categorias_Registro[[#This Row],[Puntos]]&lt;D209,C209,D209+1))</f>
        <v>2164</v>
      </c>
      <c r="D208" s="15">
        <f>IF(Categorias_Registro[[#This Row],[Puntos]]=ROUND(Piso,0),ROUND(Categorias_Registro[[#This Row],[Puntos]]*(1+Categorias_Registro[[#This Row],[Amplitud]]),0),IF(Categorias_Registro[[#This Row],[Puntos]]&lt;D209,D209,ROUND(D209*(1+Categorias_Registro[[#This Row],[Amplitud]]),0)))</f>
        <v>2487</v>
      </c>
      <c r="E208" s="15">
        <f>E209+IF(D209=Categorias_Registro[[#This Row],[Máximo]],0,1)</f>
        <v>24</v>
      </c>
      <c r="F208" s="15">
        <f>ROUND(Categorias_Registro[[#This Row],[Mínimo]]+((Categorias_Registro[[#This Row],[Máximo]]-Categorias_Registro[[#This Row],[Mínimo]])/2),0)</f>
        <v>2326</v>
      </c>
      <c r="G208" s="78">
        <f>VLOOKUP(Categorias_Registro[[#This Row],[Puntos]],Categorias_Configuracion[],MATCH(Categorias_Configuracion[[#Headers],[% Amplitud]],Categorias_Configuracion[#Headers],0),TRUE)</f>
        <v>0.15</v>
      </c>
      <c r="H208" s="15" t="str">
        <f ca="1">TEXT(Categorias_Registro[[#This Row],[Mínimo]],Formato_Rango_Categorias)&amp;" - "&amp;TEXT(Categorias_Registro[[#This Row],[Máximo]],Formato_Rango_Categorias)</f>
        <v>2.164 - 2.487</v>
      </c>
    </row>
    <row r="209" spans="2:8">
      <c r="B209" s="15">
        <f>Techo - ROW() + ROW(Categorias_Registro[])</f>
        <v>2420</v>
      </c>
      <c r="C209" s="15">
        <f>IF(Categorias_Registro[[#This Row],[Puntos]]&lt;=ROUND(Piso,0),Piso,IF(Categorias_Registro[[#This Row],[Puntos]]&lt;D210,C210,D210+1))</f>
        <v>2164</v>
      </c>
      <c r="D209" s="15">
        <f>IF(Categorias_Registro[[#This Row],[Puntos]]=ROUND(Piso,0),ROUND(Categorias_Registro[[#This Row],[Puntos]]*(1+Categorias_Registro[[#This Row],[Amplitud]]),0),IF(Categorias_Registro[[#This Row],[Puntos]]&lt;D210,D210,ROUND(D210*(1+Categorias_Registro[[#This Row],[Amplitud]]),0)))</f>
        <v>2487</v>
      </c>
      <c r="E209" s="15">
        <f>E210+IF(D210=Categorias_Registro[[#This Row],[Máximo]],0,1)</f>
        <v>24</v>
      </c>
      <c r="F209" s="15">
        <f>ROUND(Categorias_Registro[[#This Row],[Mínimo]]+((Categorias_Registro[[#This Row],[Máximo]]-Categorias_Registro[[#This Row],[Mínimo]])/2),0)</f>
        <v>2326</v>
      </c>
      <c r="G209" s="78">
        <f>VLOOKUP(Categorias_Registro[[#This Row],[Puntos]],Categorias_Configuracion[],MATCH(Categorias_Configuracion[[#Headers],[% Amplitud]],Categorias_Configuracion[#Headers],0),TRUE)</f>
        <v>0.15</v>
      </c>
      <c r="H209" s="15" t="str">
        <f ca="1">TEXT(Categorias_Registro[[#This Row],[Mínimo]],Formato_Rango_Categorias)&amp;" - "&amp;TEXT(Categorias_Registro[[#This Row],[Máximo]],Formato_Rango_Categorias)</f>
        <v>2.164 - 2.487</v>
      </c>
    </row>
    <row r="210" spans="2:8">
      <c r="B210" s="15">
        <f>Techo - ROW() + ROW(Categorias_Registro[])</f>
        <v>2419</v>
      </c>
      <c r="C210" s="15">
        <f>IF(Categorias_Registro[[#This Row],[Puntos]]&lt;=ROUND(Piso,0),Piso,IF(Categorias_Registro[[#This Row],[Puntos]]&lt;D211,C211,D211+1))</f>
        <v>2164</v>
      </c>
      <c r="D210" s="15">
        <f>IF(Categorias_Registro[[#This Row],[Puntos]]=ROUND(Piso,0),ROUND(Categorias_Registro[[#This Row],[Puntos]]*(1+Categorias_Registro[[#This Row],[Amplitud]]),0),IF(Categorias_Registro[[#This Row],[Puntos]]&lt;D211,D211,ROUND(D211*(1+Categorias_Registro[[#This Row],[Amplitud]]),0)))</f>
        <v>2487</v>
      </c>
      <c r="E210" s="15">
        <f>E211+IF(D211=Categorias_Registro[[#This Row],[Máximo]],0,1)</f>
        <v>24</v>
      </c>
      <c r="F210" s="15">
        <f>ROUND(Categorias_Registro[[#This Row],[Mínimo]]+((Categorias_Registro[[#This Row],[Máximo]]-Categorias_Registro[[#This Row],[Mínimo]])/2),0)</f>
        <v>2326</v>
      </c>
      <c r="G210" s="78">
        <f>VLOOKUP(Categorias_Registro[[#This Row],[Puntos]],Categorias_Configuracion[],MATCH(Categorias_Configuracion[[#Headers],[% Amplitud]],Categorias_Configuracion[#Headers],0),TRUE)</f>
        <v>0.15</v>
      </c>
      <c r="H210" s="15" t="str">
        <f ca="1">TEXT(Categorias_Registro[[#This Row],[Mínimo]],Formato_Rango_Categorias)&amp;" - "&amp;TEXT(Categorias_Registro[[#This Row],[Máximo]],Formato_Rango_Categorias)</f>
        <v>2.164 - 2.487</v>
      </c>
    </row>
    <row r="211" spans="2:8">
      <c r="B211" s="15">
        <f>Techo - ROW() + ROW(Categorias_Registro[])</f>
        <v>2418</v>
      </c>
      <c r="C211" s="15">
        <f>IF(Categorias_Registro[[#This Row],[Puntos]]&lt;=ROUND(Piso,0),Piso,IF(Categorias_Registro[[#This Row],[Puntos]]&lt;D212,C212,D212+1))</f>
        <v>2164</v>
      </c>
      <c r="D211" s="15">
        <f>IF(Categorias_Registro[[#This Row],[Puntos]]=ROUND(Piso,0),ROUND(Categorias_Registro[[#This Row],[Puntos]]*(1+Categorias_Registro[[#This Row],[Amplitud]]),0),IF(Categorias_Registro[[#This Row],[Puntos]]&lt;D212,D212,ROUND(D212*(1+Categorias_Registro[[#This Row],[Amplitud]]),0)))</f>
        <v>2487</v>
      </c>
      <c r="E211" s="15">
        <f>E212+IF(D212=Categorias_Registro[[#This Row],[Máximo]],0,1)</f>
        <v>24</v>
      </c>
      <c r="F211" s="15">
        <f>ROUND(Categorias_Registro[[#This Row],[Mínimo]]+((Categorias_Registro[[#This Row],[Máximo]]-Categorias_Registro[[#This Row],[Mínimo]])/2),0)</f>
        <v>2326</v>
      </c>
      <c r="G211" s="78">
        <f>VLOOKUP(Categorias_Registro[[#This Row],[Puntos]],Categorias_Configuracion[],MATCH(Categorias_Configuracion[[#Headers],[% Amplitud]],Categorias_Configuracion[#Headers],0),TRUE)</f>
        <v>0.15</v>
      </c>
      <c r="H211" s="15" t="str">
        <f ca="1">TEXT(Categorias_Registro[[#This Row],[Mínimo]],Formato_Rango_Categorias)&amp;" - "&amp;TEXT(Categorias_Registro[[#This Row],[Máximo]],Formato_Rango_Categorias)</f>
        <v>2.164 - 2.487</v>
      </c>
    </row>
    <row r="212" spans="2:8">
      <c r="B212" s="15">
        <f>Techo - ROW() + ROW(Categorias_Registro[])</f>
        <v>2417</v>
      </c>
      <c r="C212" s="15">
        <f>IF(Categorias_Registro[[#This Row],[Puntos]]&lt;=ROUND(Piso,0),Piso,IF(Categorias_Registro[[#This Row],[Puntos]]&lt;D213,C213,D213+1))</f>
        <v>2164</v>
      </c>
      <c r="D212" s="15">
        <f>IF(Categorias_Registro[[#This Row],[Puntos]]=ROUND(Piso,0),ROUND(Categorias_Registro[[#This Row],[Puntos]]*(1+Categorias_Registro[[#This Row],[Amplitud]]),0),IF(Categorias_Registro[[#This Row],[Puntos]]&lt;D213,D213,ROUND(D213*(1+Categorias_Registro[[#This Row],[Amplitud]]),0)))</f>
        <v>2487</v>
      </c>
      <c r="E212" s="15">
        <f>E213+IF(D213=Categorias_Registro[[#This Row],[Máximo]],0,1)</f>
        <v>24</v>
      </c>
      <c r="F212" s="15">
        <f>ROUND(Categorias_Registro[[#This Row],[Mínimo]]+((Categorias_Registro[[#This Row],[Máximo]]-Categorias_Registro[[#This Row],[Mínimo]])/2),0)</f>
        <v>2326</v>
      </c>
      <c r="G212" s="78">
        <f>VLOOKUP(Categorias_Registro[[#This Row],[Puntos]],Categorias_Configuracion[],MATCH(Categorias_Configuracion[[#Headers],[% Amplitud]],Categorias_Configuracion[#Headers],0),TRUE)</f>
        <v>0.15</v>
      </c>
      <c r="H212" s="15" t="str">
        <f ca="1">TEXT(Categorias_Registro[[#This Row],[Mínimo]],Formato_Rango_Categorias)&amp;" - "&amp;TEXT(Categorias_Registro[[#This Row],[Máximo]],Formato_Rango_Categorias)</f>
        <v>2.164 - 2.487</v>
      </c>
    </row>
    <row r="213" spans="2:8">
      <c r="B213" s="15">
        <f>Techo - ROW() + ROW(Categorias_Registro[])</f>
        <v>2416</v>
      </c>
      <c r="C213" s="15">
        <f>IF(Categorias_Registro[[#This Row],[Puntos]]&lt;=ROUND(Piso,0),Piso,IF(Categorias_Registro[[#This Row],[Puntos]]&lt;D214,C214,D214+1))</f>
        <v>2164</v>
      </c>
      <c r="D213" s="15">
        <f>IF(Categorias_Registro[[#This Row],[Puntos]]=ROUND(Piso,0),ROUND(Categorias_Registro[[#This Row],[Puntos]]*(1+Categorias_Registro[[#This Row],[Amplitud]]),0),IF(Categorias_Registro[[#This Row],[Puntos]]&lt;D214,D214,ROUND(D214*(1+Categorias_Registro[[#This Row],[Amplitud]]),0)))</f>
        <v>2487</v>
      </c>
      <c r="E213" s="15">
        <f>E214+IF(D214=Categorias_Registro[[#This Row],[Máximo]],0,1)</f>
        <v>24</v>
      </c>
      <c r="F213" s="15">
        <f>ROUND(Categorias_Registro[[#This Row],[Mínimo]]+((Categorias_Registro[[#This Row],[Máximo]]-Categorias_Registro[[#This Row],[Mínimo]])/2),0)</f>
        <v>2326</v>
      </c>
      <c r="G213" s="78">
        <f>VLOOKUP(Categorias_Registro[[#This Row],[Puntos]],Categorias_Configuracion[],MATCH(Categorias_Configuracion[[#Headers],[% Amplitud]],Categorias_Configuracion[#Headers],0),TRUE)</f>
        <v>0.15</v>
      </c>
      <c r="H213" s="15" t="str">
        <f ca="1">TEXT(Categorias_Registro[[#This Row],[Mínimo]],Formato_Rango_Categorias)&amp;" - "&amp;TEXT(Categorias_Registro[[#This Row],[Máximo]],Formato_Rango_Categorias)</f>
        <v>2.164 - 2.487</v>
      </c>
    </row>
    <row r="214" spans="2:8">
      <c r="B214" s="15">
        <f>Techo - ROW() + ROW(Categorias_Registro[])</f>
        <v>2415</v>
      </c>
      <c r="C214" s="15">
        <f>IF(Categorias_Registro[[#This Row],[Puntos]]&lt;=ROUND(Piso,0),Piso,IF(Categorias_Registro[[#This Row],[Puntos]]&lt;D215,C215,D215+1))</f>
        <v>2164</v>
      </c>
      <c r="D214" s="15">
        <f>IF(Categorias_Registro[[#This Row],[Puntos]]=ROUND(Piso,0),ROUND(Categorias_Registro[[#This Row],[Puntos]]*(1+Categorias_Registro[[#This Row],[Amplitud]]),0),IF(Categorias_Registro[[#This Row],[Puntos]]&lt;D215,D215,ROUND(D215*(1+Categorias_Registro[[#This Row],[Amplitud]]),0)))</f>
        <v>2487</v>
      </c>
      <c r="E214" s="15">
        <f>E215+IF(D215=Categorias_Registro[[#This Row],[Máximo]],0,1)</f>
        <v>24</v>
      </c>
      <c r="F214" s="15">
        <f>ROUND(Categorias_Registro[[#This Row],[Mínimo]]+((Categorias_Registro[[#This Row],[Máximo]]-Categorias_Registro[[#This Row],[Mínimo]])/2),0)</f>
        <v>2326</v>
      </c>
      <c r="G214" s="78">
        <f>VLOOKUP(Categorias_Registro[[#This Row],[Puntos]],Categorias_Configuracion[],MATCH(Categorias_Configuracion[[#Headers],[% Amplitud]],Categorias_Configuracion[#Headers],0),TRUE)</f>
        <v>0.15</v>
      </c>
      <c r="H214" s="15" t="str">
        <f ca="1">TEXT(Categorias_Registro[[#This Row],[Mínimo]],Formato_Rango_Categorias)&amp;" - "&amp;TEXT(Categorias_Registro[[#This Row],[Máximo]],Formato_Rango_Categorias)</f>
        <v>2.164 - 2.487</v>
      </c>
    </row>
    <row r="215" spans="2:8">
      <c r="B215" s="15">
        <f>Techo - ROW() + ROW(Categorias_Registro[])</f>
        <v>2414</v>
      </c>
      <c r="C215" s="15">
        <f>IF(Categorias_Registro[[#This Row],[Puntos]]&lt;=ROUND(Piso,0),Piso,IF(Categorias_Registro[[#This Row],[Puntos]]&lt;D216,C216,D216+1))</f>
        <v>2164</v>
      </c>
      <c r="D215" s="15">
        <f>IF(Categorias_Registro[[#This Row],[Puntos]]=ROUND(Piso,0),ROUND(Categorias_Registro[[#This Row],[Puntos]]*(1+Categorias_Registro[[#This Row],[Amplitud]]),0),IF(Categorias_Registro[[#This Row],[Puntos]]&lt;D216,D216,ROUND(D216*(1+Categorias_Registro[[#This Row],[Amplitud]]),0)))</f>
        <v>2487</v>
      </c>
      <c r="E215" s="15">
        <f>E216+IF(D216=Categorias_Registro[[#This Row],[Máximo]],0,1)</f>
        <v>24</v>
      </c>
      <c r="F215" s="15">
        <f>ROUND(Categorias_Registro[[#This Row],[Mínimo]]+((Categorias_Registro[[#This Row],[Máximo]]-Categorias_Registro[[#This Row],[Mínimo]])/2),0)</f>
        <v>2326</v>
      </c>
      <c r="G215" s="78">
        <f>VLOOKUP(Categorias_Registro[[#This Row],[Puntos]],Categorias_Configuracion[],MATCH(Categorias_Configuracion[[#Headers],[% Amplitud]],Categorias_Configuracion[#Headers],0),TRUE)</f>
        <v>0.15</v>
      </c>
      <c r="H215" s="15" t="str">
        <f ca="1">TEXT(Categorias_Registro[[#This Row],[Mínimo]],Formato_Rango_Categorias)&amp;" - "&amp;TEXT(Categorias_Registro[[#This Row],[Máximo]],Formato_Rango_Categorias)</f>
        <v>2.164 - 2.487</v>
      </c>
    </row>
    <row r="216" spans="2:8">
      <c r="B216" s="15">
        <f>Techo - ROW() + ROW(Categorias_Registro[])</f>
        <v>2413</v>
      </c>
      <c r="C216" s="15">
        <f>IF(Categorias_Registro[[#This Row],[Puntos]]&lt;=ROUND(Piso,0),Piso,IF(Categorias_Registro[[#This Row],[Puntos]]&lt;D217,C217,D217+1))</f>
        <v>2164</v>
      </c>
      <c r="D216" s="15">
        <f>IF(Categorias_Registro[[#This Row],[Puntos]]=ROUND(Piso,0),ROUND(Categorias_Registro[[#This Row],[Puntos]]*(1+Categorias_Registro[[#This Row],[Amplitud]]),0),IF(Categorias_Registro[[#This Row],[Puntos]]&lt;D217,D217,ROUND(D217*(1+Categorias_Registro[[#This Row],[Amplitud]]),0)))</f>
        <v>2487</v>
      </c>
      <c r="E216" s="15">
        <f>E217+IF(D217=Categorias_Registro[[#This Row],[Máximo]],0,1)</f>
        <v>24</v>
      </c>
      <c r="F216" s="15">
        <f>ROUND(Categorias_Registro[[#This Row],[Mínimo]]+((Categorias_Registro[[#This Row],[Máximo]]-Categorias_Registro[[#This Row],[Mínimo]])/2),0)</f>
        <v>2326</v>
      </c>
      <c r="G216" s="78">
        <f>VLOOKUP(Categorias_Registro[[#This Row],[Puntos]],Categorias_Configuracion[],MATCH(Categorias_Configuracion[[#Headers],[% Amplitud]],Categorias_Configuracion[#Headers],0),TRUE)</f>
        <v>0.15</v>
      </c>
      <c r="H216" s="15" t="str">
        <f ca="1">TEXT(Categorias_Registro[[#This Row],[Mínimo]],Formato_Rango_Categorias)&amp;" - "&amp;TEXT(Categorias_Registro[[#This Row],[Máximo]],Formato_Rango_Categorias)</f>
        <v>2.164 - 2.487</v>
      </c>
    </row>
    <row r="217" spans="2:8">
      <c r="B217" s="15">
        <f>Techo - ROW() + ROW(Categorias_Registro[])</f>
        <v>2412</v>
      </c>
      <c r="C217" s="15">
        <f>IF(Categorias_Registro[[#This Row],[Puntos]]&lt;=ROUND(Piso,0),Piso,IF(Categorias_Registro[[#This Row],[Puntos]]&lt;D218,C218,D218+1))</f>
        <v>2164</v>
      </c>
      <c r="D217" s="15">
        <f>IF(Categorias_Registro[[#This Row],[Puntos]]=ROUND(Piso,0),ROUND(Categorias_Registro[[#This Row],[Puntos]]*(1+Categorias_Registro[[#This Row],[Amplitud]]),0),IF(Categorias_Registro[[#This Row],[Puntos]]&lt;D218,D218,ROUND(D218*(1+Categorias_Registro[[#This Row],[Amplitud]]),0)))</f>
        <v>2487</v>
      </c>
      <c r="E217" s="15">
        <f>E218+IF(D218=Categorias_Registro[[#This Row],[Máximo]],0,1)</f>
        <v>24</v>
      </c>
      <c r="F217" s="15">
        <f>ROUND(Categorias_Registro[[#This Row],[Mínimo]]+((Categorias_Registro[[#This Row],[Máximo]]-Categorias_Registro[[#This Row],[Mínimo]])/2),0)</f>
        <v>2326</v>
      </c>
      <c r="G217" s="78">
        <f>VLOOKUP(Categorias_Registro[[#This Row],[Puntos]],Categorias_Configuracion[],MATCH(Categorias_Configuracion[[#Headers],[% Amplitud]],Categorias_Configuracion[#Headers],0),TRUE)</f>
        <v>0.15</v>
      </c>
      <c r="H217" s="15" t="str">
        <f ca="1">TEXT(Categorias_Registro[[#This Row],[Mínimo]],Formato_Rango_Categorias)&amp;" - "&amp;TEXT(Categorias_Registro[[#This Row],[Máximo]],Formato_Rango_Categorias)</f>
        <v>2.164 - 2.487</v>
      </c>
    </row>
    <row r="218" spans="2:8">
      <c r="B218" s="15">
        <f>Techo - ROW() + ROW(Categorias_Registro[])</f>
        <v>2411</v>
      </c>
      <c r="C218" s="15">
        <f>IF(Categorias_Registro[[#This Row],[Puntos]]&lt;=ROUND(Piso,0),Piso,IF(Categorias_Registro[[#This Row],[Puntos]]&lt;D219,C219,D219+1))</f>
        <v>2164</v>
      </c>
      <c r="D218" s="15">
        <f>IF(Categorias_Registro[[#This Row],[Puntos]]=ROUND(Piso,0),ROUND(Categorias_Registro[[#This Row],[Puntos]]*(1+Categorias_Registro[[#This Row],[Amplitud]]),0),IF(Categorias_Registro[[#This Row],[Puntos]]&lt;D219,D219,ROUND(D219*(1+Categorias_Registro[[#This Row],[Amplitud]]),0)))</f>
        <v>2487</v>
      </c>
      <c r="E218" s="15">
        <f>E219+IF(D219=Categorias_Registro[[#This Row],[Máximo]],0,1)</f>
        <v>24</v>
      </c>
      <c r="F218" s="15">
        <f>ROUND(Categorias_Registro[[#This Row],[Mínimo]]+((Categorias_Registro[[#This Row],[Máximo]]-Categorias_Registro[[#This Row],[Mínimo]])/2),0)</f>
        <v>2326</v>
      </c>
      <c r="G218" s="78">
        <f>VLOOKUP(Categorias_Registro[[#This Row],[Puntos]],Categorias_Configuracion[],MATCH(Categorias_Configuracion[[#Headers],[% Amplitud]],Categorias_Configuracion[#Headers],0),TRUE)</f>
        <v>0.15</v>
      </c>
      <c r="H218" s="15" t="str">
        <f ca="1">TEXT(Categorias_Registro[[#This Row],[Mínimo]],Formato_Rango_Categorias)&amp;" - "&amp;TEXT(Categorias_Registro[[#This Row],[Máximo]],Formato_Rango_Categorias)</f>
        <v>2.164 - 2.487</v>
      </c>
    </row>
    <row r="219" spans="2:8">
      <c r="B219" s="15">
        <f>Techo - ROW() + ROW(Categorias_Registro[])</f>
        <v>2410</v>
      </c>
      <c r="C219" s="15">
        <f>IF(Categorias_Registro[[#This Row],[Puntos]]&lt;=ROUND(Piso,0),Piso,IF(Categorias_Registro[[#This Row],[Puntos]]&lt;D220,C220,D220+1))</f>
        <v>2164</v>
      </c>
      <c r="D219" s="15">
        <f>IF(Categorias_Registro[[#This Row],[Puntos]]=ROUND(Piso,0),ROUND(Categorias_Registro[[#This Row],[Puntos]]*(1+Categorias_Registro[[#This Row],[Amplitud]]),0),IF(Categorias_Registro[[#This Row],[Puntos]]&lt;D220,D220,ROUND(D220*(1+Categorias_Registro[[#This Row],[Amplitud]]),0)))</f>
        <v>2487</v>
      </c>
      <c r="E219" s="15">
        <f>E220+IF(D220=Categorias_Registro[[#This Row],[Máximo]],0,1)</f>
        <v>24</v>
      </c>
      <c r="F219" s="15">
        <f>ROUND(Categorias_Registro[[#This Row],[Mínimo]]+((Categorias_Registro[[#This Row],[Máximo]]-Categorias_Registro[[#This Row],[Mínimo]])/2),0)</f>
        <v>2326</v>
      </c>
      <c r="G219" s="78">
        <f>VLOOKUP(Categorias_Registro[[#This Row],[Puntos]],Categorias_Configuracion[],MATCH(Categorias_Configuracion[[#Headers],[% Amplitud]],Categorias_Configuracion[#Headers],0),TRUE)</f>
        <v>0.15</v>
      </c>
      <c r="H219" s="15" t="str">
        <f ca="1">TEXT(Categorias_Registro[[#This Row],[Mínimo]],Formato_Rango_Categorias)&amp;" - "&amp;TEXT(Categorias_Registro[[#This Row],[Máximo]],Formato_Rango_Categorias)</f>
        <v>2.164 - 2.487</v>
      </c>
    </row>
    <row r="220" spans="2:8">
      <c r="B220" s="15">
        <f>Techo - ROW() + ROW(Categorias_Registro[])</f>
        <v>2409</v>
      </c>
      <c r="C220" s="15">
        <f>IF(Categorias_Registro[[#This Row],[Puntos]]&lt;=ROUND(Piso,0),Piso,IF(Categorias_Registro[[#This Row],[Puntos]]&lt;D221,C221,D221+1))</f>
        <v>2164</v>
      </c>
      <c r="D220" s="15">
        <f>IF(Categorias_Registro[[#This Row],[Puntos]]=ROUND(Piso,0),ROUND(Categorias_Registro[[#This Row],[Puntos]]*(1+Categorias_Registro[[#This Row],[Amplitud]]),0),IF(Categorias_Registro[[#This Row],[Puntos]]&lt;D221,D221,ROUND(D221*(1+Categorias_Registro[[#This Row],[Amplitud]]),0)))</f>
        <v>2487</v>
      </c>
      <c r="E220" s="15">
        <f>E221+IF(D221=Categorias_Registro[[#This Row],[Máximo]],0,1)</f>
        <v>24</v>
      </c>
      <c r="F220" s="15">
        <f>ROUND(Categorias_Registro[[#This Row],[Mínimo]]+((Categorias_Registro[[#This Row],[Máximo]]-Categorias_Registro[[#This Row],[Mínimo]])/2),0)</f>
        <v>2326</v>
      </c>
      <c r="G220" s="78">
        <f>VLOOKUP(Categorias_Registro[[#This Row],[Puntos]],Categorias_Configuracion[],MATCH(Categorias_Configuracion[[#Headers],[% Amplitud]],Categorias_Configuracion[#Headers],0),TRUE)</f>
        <v>0.15</v>
      </c>
      <c r="H220" s="15" t="str">
        <f ca="1">TEXT(Categorias_Registro[[#This Row],[Mínimo]],Formato_Rango_Categorias)&amp;" - "&amp;TEXT(Categorias_Registro[[#This Row],[Máximo]],Formato_Rango_Categorias)</f>
        <v>2.164 - 2.487</v>
      </c>
    </row>
    <row r="221" spans="2:8">
      <c r="B221" s="15">
        <f>Techo - ROW() + ROW(Categorias_Registro[])</f>
        <v>2408</v>
      </c>
      <c r="C221" s="15">
        <f>IF(Categorias_Registro[[#This Row],[Puntos]]&lt;=ROUND(Piso,0),Piso,IF(Categorias_Registro[[#This Row],[Puntos]]&lt;D222,C222,D222+1))</f>
        <v>2164</v>
      </c>
      <c r="D221" s="15">
        <f>IF(Categorias_Registro[[#This Row],[Puntos]]=ROUND(Piso,0),ROUND(Categorias_Registro[[#This Row],[Puntos]]*(1+Categorias_Registro[[#This Row],[Amplitud]]),0),IF(Categorias_Registro[[#This Row],[Puntos]]&lt;D222,D222,ROUND(D222*(1+Categorias_Registro[[#This Row],[Amplitud]]),0)))</f>
        <v>2487</v>
      </c>
      <c r="E221" s="15">
        <f>E222+IF(D222=Categorias_Registro[[#This Row],[Máximo]],0,1)</f>
        <v>24</v>
      </c>
      <c r="F221" s="15">
        <f>ROUND(Categorias_Registro[[#This Row],[Mínimo]]+((Categorias_Registro[[#This Row],[Máximo]]-Categorias_Registro[[#This Row],[Mínimo]])/2),0)</f>
        <v>2326</v>
      </c>
      <c r="G221" s="78">
        <f>VLOOKUP(Categorias_Registro[[#This Row],[Puntos]],Categorias_Configuracion[],MATCH(Categorias_Configuracion[[#Headers],[% Amplitud]],Categorias_Configuracion[#Headers],0),TRUE)</f>
        <v>0.15</v>
      </c>
      <c r="H221" s="15" t="str">
        <f ca="1">TEXT(Categorias_Registro[[#This Row],[Mínimo]],Formato_Rango_Categorias)&amp;" - "&amp;TEXT(Categorias_Registro[[#This Row],[Máximo]],Formato_Rango_Categorias)</f>
        <v>2.164 - 2.487</v>
      </c>
    </row>
    <row r="222" spans="2:8">
      <c r="B222" s="15">
        <f>Techo - ROW() + ROW(Categorias_Registro[])</f>
        <v>2407</v>
      </c>
      <c r="C222" s="15">
        <f>IF(Categorias_Registro[[#This Row],[Puntos]]&lt;=ROUND(Piso,0),Piso,IF(Categorias_Registro[[#This Row],[Puntos]]&lt;D223,C223,D223+1))</f>
        <v>2164</v>
      </c>
      <c r="D222" s="15">
        <f>IF(Categorias_Registro[[#This Row],[Puntos]]=ROUND(Piso,0),ROUND(Categorias_Registro[[#This Row],[Puntos]]*(1+Categorias_Registro[[#This Row],[Amplitud]]),0),IF(Categorias_Registro[[#This Row],[Puntos]]&lt;D223,D223,ROUND(D223*(1+Categorias_Registro[[#This Row],[Amplitud]]),0)))</f>
        <v>2487</v>
      </c>
      <c r="E222" s="15">
        <f>E223+IF(D223=Categorias_Registro[[#This Row],[Máximo]],0,1)</f>
        <v>24</v>
      </c>
      <c r="F222" s="15">
        <f>ROUND(Categorias_Registro[[#This Row],[Mínimo]]+((Categorias_Registro[[#This Row],[Máximo]]-Categorias_Registro[[#This Row],[Mínimo]])/2),0)</f>
        <v>2326</v>
      </c>
      <c r="G222" s="78">
        <f>VLOOKUP(Categorias_Registro[[#This Row],[Puntos]],Categorias_Configuracion[],MATCH(Categorias_Configuracion[[#Headers],[% Amplitud]],Categorias_Configuracion[#Headers],0),TRUE)</f>
        <v>0.15</v>
      </c>
      <c r="H222" s="15" t="str">
        <f ca="1">TEXT(Categorias_Registro[[#This Row],[Mínimo]],Formato_Rango_Categorias)&amp;" - "&amp;TEXT(Categorias_Registro[[#This Row],[Máximo]],Formato_Rango_Categorias)</f>
        <v>2.164 - 2.487</v>
      </c>
    </row>
    <row r="223" spans="2:8">
      <c r="B223" s="15">
        <f>Techo - ROW() + ROW(Categorias_Registro[])</f>
        <v>2406</v>
      </c>
      <c r="C223" s="15">
        <f>IF(Categorias_Registro[[#This Row],[Puntos]]&lt;=ROUND(Piso,0),Piso,IF(Categorias_Registro[[#This Row],[Puntos]]&lt;D224,C224,D224+1))</f>
        <v>2164</v>
      </c>
      <c r="D223" s="15">
        <f>IF(Categorias_Registro[[#This Row],[Puntos]]=ROUND(Piso,0),ROUND(Categorias_Registro[[#This Row],[Puntos]]*(1+Categorias_Registro[[#This Row],[Amplitud]]),0),IF(Categorias_Registro[[#This Row],[Puntos]]&lt;D224,D224,ROUND(D224*(1+Categorias_Registro[[#This Row],[Amplitud]]),0)))</f>
        <v>2487</v>
      </c>
      <c r="E223" s="15">
        <f>E224+IF(D224=Categorias_Registro[[#This Row],[Máximo]],0,1)</f>
        <v>24</v>
      </c>
      <c r="F223" s="15">
        <f>ROUND(Categorias_Registro[[#This Row],[Mínimo]]+((Categorias_Registro[[#This Row],[Máximo]]-Categorias_Registro[[#This Row],[Mínimo]])/2),0)</f>
        <v>2326</v>
      </c>
      <c r="G223" s="78">
        <f>VLOOKUP(Categorias_Registro[[#This Row],[Puntos]],Categorias_Configuracion[],MATCH(Categorias_Configuracion[[#Headers],[% Amplitud]],Categorias_Configuracion[#Headers],0),TRUE)</f>
        <v>0.15</v>
      </c>
      <c r="H223" s="15" t="str">
        <f ca="1">TEXT(Categorias_Registro[[#This Row],[Mínimo]],Formato_Rango_Categorias)&amp;" - "&amp;TEXT(Categorias_Registro[[#This Row],[Máximo]],Formato_Rango_Categorias)</f>
        <v>2.164 - 2.487</v>
      </c>
    </row>
    <row r="224" spans="2:8">
      <c r="B224" s="15">
        <f>Techo - ROW() + ROW(Categorias_Registro[])</f>
        <v>2405</v>
      </c>
      <c r="C224" s="15">
        <f>IF(Categorias_Registro[[#This Row],[Puntos]]&lt;=ROUND(Piso,0),Piso,IF(Categorias_Registro[[#This Row],[Puntos]]&lt;D225,C225,D225+1))</f>
        <v>2164</v>
      </c>
      <c r="D224" s="15">
        <f>IF(Categorias_Registro[[#This Row],[Puntos]]=ROUND(Piso,0),ROUND(Categorias_Registro[[#This Row],[Puntos]]*(1+Categorias_Registro[[#This Row],[Amplitud]]),0),IF(Categorias_Registro[[#This Row],[Puntos]]&lt;D225,D225,ROUND(D225*(1+Categorias_Registro[[#This Row],[Amplitud]]),0)))</f>
        <v>2487</v>
      </c>
      <c r="E224" s="15">
        <f>E225+IF(D225=Categorias_Registro[[#This Row],[Máximo]],0,1)</f>
        <v>24</v>
      </c>
      <c r="F224" s="15">
        <f>ROUND(Categorias_Registro[[#This Row],[Mínimo]]+((Categorias_Registro[[#This Row],[Máximo]]-Categorias_Registro[[#This Row],[Mínimo]])/2),0)</f>
        <v>2326</v>
      </c>
      <c r="G224" s="78">
        <f>VLOOKUP(Categorias_Registro[[#This Row],[Puntos]],Categorias_Configuracion[],MATCH(Categorias_Configuracion[[#Headers],[% Amplitud]],Categorias_Configuracion[#Headers],0),TRUE)</f>
        <v>0.15</v>
      </c>
      <c r="H224" s="15" t="str">
        <f ca="1">TEXT(Categorias_Registro[[#This Row],[Mínimo]],Formato_Rango_Categorias)&amp;" - "&amp;TEXT(Categorias_Registro[[#This Row],[Máximo]],Formato_Rango_Categorias)</f>
        <v>2.164 - 2.487</v>
      </c>
    </row>
    <row r="225" spans="2:8">
      <c r="B225" s="15">
        <f>Techo - ROW() + ROW(Categorias_Registro[])</f>
        <v>2404</v>
      </c>
      <c r="C225" s="15">
        <f>IF(Categorias_Registro[[#This Row],[Puntos]]&lt;=ROUND(Piso,0),Piso,IF(Categorias_Registro[[#This Row],[Puntos]]&lt;D226,C226,D226+1))</f>
        <v>2164</v>
      </c>
      <c r="D225" s="15">
        <f>IF(Categorias_Registro[[#This Row],[Puntos]]=ROUND(Piso,0),ROUND(Categorias_Registro[[#This Row],[Puntos]]*(1+Categorias_Registro[[#This Row],[Amplitud]]),0),IF(Categorias_Registro[[#This Row],[Puntos]]&lt;D226,D226,ROUND(D226*(1+Categorias_Registro[[#This Row],[Amplitud]]),0)))</f>
        <v>2487</v>
      </c>
      <c r="E225" s="15">
        <f>E226+IF(D226=Categorias_Registro[[#This Row],[Máximo]],0,1)</f>
        <v>24</v>
      </c>
      <c r="F225" s="15">
        <f>ROUND(Categorias_Registro[[#This Row],[Mínimo]]+((Categorias_Registro[[#This Row],[Máximo]]-Categorias_Registro[[#This Row],[Mínimo]])/2),0)</f>
        <v>2326</v>
      </c>
      <c r="G225" s="78">
        <f>VLOOKUP(Categorias_Registro[[#This Row],[Puntos]],Categorias_Configuracion[],MATCH(Categorias_Configuracion[[#Headers],[% Amplitud]],Categorias_Configuracion[#Headers],0),TRUE)</f>
        <v>0.15</v>
      </c>
      <c r="H225" s="15" t="str">
        <f ca="1">TEXT(Categorias_Registro[[#This Row],[Mínimo]],Formato_Rango_Categorias)&amp;" - "&amp;TEXT(Categorias_Registro[[#This Row],[Máximo]],Formato_Rango_Categorias)</f>
        <v>2.164 - 2.487</v>
      </c>
    </row>
    <row r="226" spans="2:8">
      <c r="B226" s="15">
        <f>Techo - ROW() + ROW(Categorias_Registro[])</f>
        <v>2403</v>
      </c>
      <c r="C226" s="15">
        <f>IF(Categorias_Registro[[#This Row],[Puntos]]&lt;=ROUND(Piso,0),Piso,IF(Categorias_Registro[[#This Row],[Puntos]]&lt;D227,C227,D227+1))</f>
        <v>2164</v>
      </c>
      <c r="D226" s="15">
        <f>IF(Categorias_Registro[[#This Row],[Puntos]]=ROUND(Piso,0),ROUND(Categorias_Registro[[#This Row],[Puntos]]*(1+Categorias_Registro[[#This Row],[Amplitud]]),0),IF(Categorias_Registro[[#This Row],[Puntos]]&lt;D227,D227,ROUND(D227*(1+Categorias_Registro[[#This Row],[Amplitud]]),0)))</f>
        <v>2487</v>
      </c>
      <c r="E226" s="15">
        <f>E227+IF(D227=Categorias_Registro[[#This Row],[Máximo]],0,1)</f>
        <v>24</v>
      </c>
      <c r="F226" s="15">
        <f>ROUND(Categorias_Registro[[#This Row],[Mínimo]]+((Categorias_Registro[[#This Row],[Máximo]]-Categorias_Registro[[#This Row],[Mínimo]])/2),0)</f>
        <v>2326</v>
      </c>
      <c r="G226" s="78">
        <f>VLOOKUP(Categorias_Registro[[#This Row],[Puntos]],Categorias_Configuracion[],MATCH(Categorias_Configuracion[[#Headers],[% Amplitud]],Categorias_Configuracion[#Headers],0),TRUE)</f>
        <v>0.15</v>
      </c>
      <c r="H226" s="15" t="str">
        <f ca="1">TEXT(Categorias_Registro[[#This Row],[Mínimo]],Formato_Rango_Categorias)&amp;" - "&amp;TEXT(Categorias_Registro[[#This Row],[Máximo]],Formato_Rango_Categorias)</f>
        <v>2.164 - 2.487</v>
      </c>
    </row>
    <row r="227" spans="2:8">
      <c r="B227" s="15">
        <f>Techo - ROW() + ROW(Categorias_Registro[])</f>
        <v>2402</v>
      </c>
      <c r="C227" s="15">
        <f>IF(Categorias_Registro[[#This Row],[Puntos]]&lt;=ROUND(Piso,0),Piso,IF(Categorias_Registro[[#This Row],[Puntos]]&lt;D228,C228,D228+1))</f>
        <v>2164</v>
      </c>
      <c r="D227" s="15">
        <f>IF(Categorias_Registro[[#This Row],[Puntos]]=ROUND(Piso,0),ROUND(Categorias_Registro[[#This Row],[Puntos]]*(1+Categorias_Registro[[#This Row],[Amplitud]]),0),IF(Categorias_Registro[[#This Row],[Puntos]]&lt;D228,D228,ROUND(D228*(1+Categorias_Registro[[#This Row],[Amplitud]]),0)))</f>
        <v>2487</v>
      </c>
      <c r="E227" s="15">
        <f>E228+IF(D228=Categorias_Registro[[#This Row],[Máximo]],0,1)</f>
        <v>24</v>
      </c>
      <c r="F227" s="15">
        <f>ROUND(Categorias_Registro[[#This Row],[Mínimo]]+((Categorias_Registro[[#This Row],[Máximo]]-Categorias_Registro[[#This Row],[Mínimo]])/2),0)</f>
        <v>2326</v>
      </c>
      <c r="G227" s="78">
        <f>VLOOKUP(Categorias_Registro[[#This Row],[Puntos]],Categorias_Configuracion[],MATCH(Categorias_Configuracion[[#Headers],[% Amplitud]],Categorias_Configuracion[#Headers],0),TRUE)</f>
        <v>0.15</v>
      </c>
      <c r="H227" s="15" t="str">
        <f ca="1">TEXT(Categorias_Registro[[#This Row],[Mínimo]],Formato_Rango_Categorias)&amp;" - "&amp;TEXT(Categorias_Registro[[#This Row],[Máximo]],Formato_Rango_Categorias)</f>
        <v>2.164 - 2.487</v>
      </c>
    </row>
    <row r="228" spans="2:8">
      <c r="B228" s="15">
        <f>Techo - ROW() + ROW(Categorias_Registro[])</f>
        <v>2401</v>
      </c>
      <c r="C228" s="15">
        <f>IF(Categorias_Registro[[#This Row],[Puntos]]&lt;=ROUND(Piso,0),Piso,IF(Categorias_Registro[[#This Row],[Puntos]]&lt;D229,C229,D229+1))</f>
        <v>2164</v>
      </c>
      <c r="D228" s="15">
        <f>IF(Categorias_Registro[[#This Row],[Puntos]]=ROUND(Piso,0),ROUND(Categorias_Registro[[#This Row],[Puntos]]*(1+Categorias_Registro[[#This Row],[Amplitud]]),0),IF(Categorias_Registro[[#This Row],[Puntos]]&lt;D229,D229,ROUND(D229*(1+Categorias_Registro[[#This Row],[Amplitud]]),0)))</f>
        <v>2487</v>
      </c>
      <c r="E228" s="15">
        <f>E229+IF(D229=Categorias_Registro[[#This Row],[Máximo]],0,1)</f>
        <v>24</v>
      </c>
      <c r="F228" s="15">
        <f>ROUND(Categorias_Registro[[#This Row],[Mínimo]]+((Categorias_Registro[[#This Row],[Máximo]]-Categorias_Registro[[#This Row],[Mínimo]])/2),0)</f>
        <v>2326</v>
      </c>
      <c r="G228" s="78">
        <f>VLOOKUP(Categorias_Registro[[#This Row],[Puntos]],Categorias_Configuracion[],MATCH(Categorias_Configuracion[[#Headers],[% Amplitud]],Categorias_Configuracion[#Headers],0),TRUE)</f>
        <v>0.15</v>
      </c>
      <c r="H228" s="15" t="str">
        <f ca="1">TEXT(Categorias_Registro[[#This Row],[Mínimo]],Formato_Rango_Categorias)&amp;" - "&amp;TEXT(Categorias_Registro[[#This Row],[Máximo]],Formato_Rango_Categorias)</f>
        <v>2.164 - 2.487</v>
      </c>
    </row>
    <row r="229" spans="2:8">
      <c r="B229" s="15">
        <f>Techo - ROW() + ROW(Categorias_Registro[])</f>
        <v>2400</v>
      </c>
      <c r="C229" s="15">
        <f>IF(Categorias_Registro[[#This Row],[Puntos]]&lt;=ROUND(Piso,0),Piso,IF(Categorias_Registro[[#This Row],[Puntos]]&lt;D230,C230,D230+1))</f>
        <v>2164</v>
      </c>
      <c r="D229" s="15">
        <f>IF(Categorias_Registro[[#This Row],[Puntos]]=ROUND(Piso,0),ROUND(Categorias_Registro[[#This Row],[Puntos]]*(1+Categorias_Registro[[#This Row],[Amplitud]]),0),IF(Categorias_Registro[[#This Row],[Puntos]]&lt;D230,D230,ROUND(D230*(1+Categorias_Registro[[#This Row],[Amplitud]]),0)))</f>
        <v>2487</v>
      </c>
      <c r="E229" s="15">
        <f>E230+IF(D230=Categorias_Registro[[#This Row],[Máximo]],0,1)</f>
        <v>24</v>
      </c>
      <c r="F229" s="15">
        <f>ROUND(Categorias_Registro[[#This Row],[Mínimo]]+((Categorias_Registro[[#This Row],[Máximo]]-Categorias_Registro[[#This Row],[Mínimo]])/2),0)</f>
        <v>2326</v>
      </c>
      <c r="G229" s="78">
        <f>VLOOKUP(Categorias_Registro[[#This Row],[Puntos]],Categorias_Configuracion[],MATCH(Categorias_Configuracion[[#Headers],[% Amplitud]],Categorias_Configuracion[#Headers],0),TRUE)</f>
        <v>0.15</v>
      </c>
      <c r="H229" s="15" t="str">
        <f ca="1">TEXT(Categorias_Registro[[#This Row],[Mínimo]],Formato_Rango_Categorias)&amp;" - "&amp;TEXT(Categorias_Registro[[#This Row],[Máximo]],Formato_Rango_Categorias)</f>
        <v>2.164 - 2.487</v>
      </c>
    </row>
    <row r="230" spans="2:8">
      <c r="B230" s="15">
        <f>Techo - ROW() + ROW(Categorias_Registro[])</f>
        <v>2399</v>
      </c>
      <c r="C230" s="15">
        <f>IF(Categorias_Registro[[#This Row],[Puntos]]&lt;=ROUND(Piso,0),Piso,IF(Categorias_Registro[[#This Row],[Puntos]]&lt;D231,C231,D231+1))</f>
        <v>2164</v>
      </c>
      <c r="D230" s="15">
        <f>IF(Categorias_Registro[[#This Row],[Puntos]]=ROUND(Piso,0),ROUND(Categorias_Registro[[#This Row],[Puntos]]*(1+Categorias_Registro[[#This Row],[Amplitud]]),0),IF(Categorias_Registro[[#This Row],[Puntos]]&lt;D231,D231,ROUND(D231*(1+Categorias_Registro[[#This Row],[Amplitud]]),0)))</f>
        <v>2487</v>
      </c>
      <c r="E230" s="15">
        <f>E231+IF(D231=Categorias_Registro[[#This Row],[Máximo]],0,1)</f>
        <v>24</v>
      </c>
      <c r="F230" s="15">
        <f>ROUND(Categorias_Registro[[#This Row],[Mínimo]]+((Categorias_Registro[[#This Row],[Máximo]]-Categorias_Registro[[#This Row],[Mínimo]])/2),0)</f>
        <v>2326</v>
      </c>
      <c r="G230" s="78">
        <f>VLOOKUP(Categorias_Registro[[#This Row],[Puntos]],Categorias_Configuracion[],MATCH(Categorias_Configuracion[[#Headers],[% Amplitud]],Categorias_Configuracion[#Headers],0),TRUE)</f>
        <v>0.15</v>
      </c>
      <c r="H230" s="15" t="str">
        <f ca="1">TEXT(Categorias_Registro[[#This Row],[Mínimo]],Formato_Rango_Categorias)&amp;" - "&amp;TEXT(Categorias_Registro[[#This Row],[Máximo]],Formato_Rango_Categorias)</f>
        <v>2.164 - 2.487</v>
      </c>
    </row>
    <row r="231" spans="2:8">
      <c r="B231" s="15">
        <f>Techo - ROW() + ROW(Categorias_Registro[])</f>
        <v>2398</v>
      </c>
      <c r="C231" s="15">
        <f>IF(Categorias_Registro[[#This Row],[Puntos]]&lt;=ROUND(Piso,0),Piso,IF(Categorias_Registro[[#This Row],[Puntos]]&lt;D232,C232,D232+1))</f>
        <v>2164</v>
      </c>
      <c r="D231" s="15">
        <f>IF(Categorias_Registro[[#This Row],[Puntos]]=ROUND(Piso,0),ROUND(Categorias_Registro[[#This Row],[Puntos]]*(1+Categorias_Registro[[#This Row],[Amplitud]]),0),IF(Categorias_Registro[[#This Row],[Puntos]]&lt;D232,D232,ROUND(D232*(1+Categorias_Registro[[#This Row],[Amplitud]]),0)))</f>
        <v>2487</v>
      </c>
      <c r="E231" s="15">
        <f>E232+IF(D232=Categorias_Registro[[#This Row],[Máximo]],0,1)</f>
        <v>24</v>
      </c>
      <c r="F231" s="15">
        <f>ROUND(Categorias_Registro[[#This Row],[Mínimo]]+((Categorias_Registro[[#This Row],[Máximo]]-Categorias_Registro[[#This Row],[Mínimo]])/2),0)</f>
        <v>2326</v>
      </c>
      <c r="G231" s="78">
        <f>VLOOKUP(Categorias_Registro[[#This Row],[Puntos]],Categorias_Configuracion[],MATCH(Categorias_Configuracion[[#Headers],[% Amplitud]],Categorias_Configuracion[#Headers],0),TRUE)</f>
        <v>0.15</v>
      </c>
      <c r="H231" s="15" t="str">
        <f ca="1">TEXT(Categorias_Registro[[#This Row],[Mínimo]],Formato_Rango_Categorias)&amp;" - "&amp;TEXT(Categorias_Registro[[#This Row],[Máximo]],Formato_Rango_Categorias)</f>
        <v>2.164 - 2.487</v>
      </c>
    </row>
    <row r="232" spans="2:8">
      <c r="B232" s="15">
        <f>Techo - ROW() + ROW(Categorias_Registro[])</f>
        <v>2397</v>
      </c>
      <c r="C232" s="15">
        <f>IF(Categorias_Registro[[#This Row],[Puntos]]&lt;=ROUND(Piso,0),Piso,IF(Categorias_Registro[[#This Row],[Puntos]]&lt;D233,C233,D233+1))</f>
        <v>2164</v>
      </c>
      <c r="D232" s="15">
        <f>IF(Categorias_Registro[[#This Row],[Puntos]]=ROUND(Piso,0),ROUND(Categorias_Registro[[#This Row],[Puntos]]*(1+Categorias_Registro[[#This Row],[Amplitud]]),0),IF(Categorias_Registro[[#This Row],[Puntos]]&lt;D233,D233,ROUND(D233*(1+Categorias_Registro[[#This Row],[Amplitud]]),0)))</f>
        <v>2487</v>
      </c>
      <c r="E232" s="15">
        <f>E233+IF(D233=Categorias_Registro[[#This Row],[Máximo]],0,1)</f>
        <v>24</v>
      </c>
      <c r="F232" s="15">
        <f>ROUND(Categorias_Registro[[#This Row],[Mínimo]]+((Categorias_Registro[[#This Row],[Máximo]]-Categorias_Registro[[#This Row],[Mínimo]])/2),0)</f>
        <v>2326</v>
      </c>
      <c r="G232" s="78">
        <f>VLOOKUP(Categorias_Registro[[#This Row],[Puntos]],Categorias_Configuracion[],MATCH(Categorias_Configuracion[[#Headers],[% Amplitud]],Categorias_Configuracion[#Headers],0),TRUE)</f>
        <v>0.15</v>
      </c>
      <c r="H232" s="15" t="str">
        <f ca="1">TEXT(Categorias_Registro[[#This Row],[Mínimo]],Formato_Rango_Categorias)&amp;" - "&amp;TEXT(Categorias_Registro[[#This Row],[Máximo]],Formato_Rango_Categorias)</f>
        <v>2.164 - 2.487</v>
      </c>
    </row>
    <row r="233" spans="2:8">
      <c r="B233" s="15">
        <f>Techo - ROW() + ROW(Categorias_Registro[])</f>
        <v>2396</v>
      </c>
      <c r="C233" s="15">
        <f>IF(Categorias_Registro[[#This Row],[Puntos]]&lt;=ROUND(Piso,0),Piso,IF(Categorias_Registro[[#This Row],[Puntos]]&lt;D234,C234,D234+1))</f>
        <v>2164</v>
      </c>
      <c r="D233" s="15">
        <f>IF(Categorias_Registro[[#This Row],[Puntos]]=ROUND(Piso,0),ROUND(Categorias_Registro[[#This Row],[Puntos]]*(1+Categorias_Registro[[#This Row],[Amplitud]]),0),IF(Categorias_Registro[[#This Row],[Puntos]]&lt;D234,D234,ROUND(D234*(1+Categorias_Registro[[#This Row],[Amplitud]]),0)))</f>
        <v>2487</v>
      </c>
      <c r="E233" s="15">
        <f>E234+IF(D234=Categorias_Registro[[#This Row],[Máximo]],0,1)</f>
        <v>24</v>
      </c>
      <c r="F233" s="15">
        <f>ROUND(Categorias_Registro[[#This Row],[Mínimo]]+((Categorias_Registro[[#This Row],[Máximo]]-Categorias_Registro[[#This Row],[Mínimo]])/2),0)</f>
        <v>2326</v>
      </c>
      <c r="G233" s="78">
        <f>VLOOKUP(Categorias_Registro[[#This Row],[Puntos]],Categorias_Configuracion[],MATCH(Categorias_Configuracion[[#Headers],[% Amplitud]],Categorias_Configuracion[#Headers],0),TRUE)</f>
        <v>0.15</v>
      </c>
      <c r="H233" s="15" t="str">
        <f ca="1">TEXT(Categorias_Registro[[#This Row],[Mínimo]],Formato_Rango_Categorias)&amp;" - "&amp;TEXT(Categorias_Registro[[#This Row],[Máximo]],Formato_Rango_Categorias)</f>
        <v>2.164 - 2.487</v>
      </c>
    </row>
    <row r="234" spans="2:8">
      <c r="B234" s="15">
        <f>Techo - ROW() + ROW(Categorias_Registro[])</f>
        <v>2395</v>
      </c>
      <c r="C234" s="15">
        <f>IF(Categorias_Registro[[#This Row],[Puntos]]&lt;=ROUND(Piso,0),Piso,IF(Categorias_Registro[[#This Row],[Puntos]]&lt;D235,C235,D235+1))</f>
        <v>2164</v>
      </c>
      <c r="D234" s="15">
        <f>IF(Categorias_Registro[[#This Row],[Puntos]]=ROUND(Piso,0),ROUND(Categorias_Registro[[#This Row],[Puntos]]*(1+Categorias_Registro[[#This Row],[Amplitud]]),0),IF(Categorias_Registro[[#This Row],[Puntos]]&lt;D235,D235,ROUND(D235*(1+Categorias_Registro[[#This Row],[Amplitud]]),0)))</f>
        <v>2487</v>
      </c>
      <c r="E234" s="15">
        <f>E235+IF(D235=Categorias_Registro[[#This Row],[Máximo]],0,1)</f>
        <v>24</v>
      </c>
      <c r="F234" s="15">
        <f>ROUND(Categorias_Registro[[#This Row],[Mínimo]]+((Categorias_Registro[[#This Row],[Máximo]]-Categorias_Registro[[#This Row],[Mínimo]])/2),0)</f>
        <v>2326</v>
      </c>
      <c r="G234" s="78">
        <f>VLOOKUP(Categorias_Registro[[#This Row],[Puntos]],Categorias_Configuracion[],MATCH(Categorias_Configuracion[[#Headers],[% Amplitud]],Categorias_Configuracion[#Headers],0),TRUE)</f>
        <v>0.15</v>
      </c>
      <c r="H234" s="15" t="str">
        <f ca="1">TEXT(Categorias_Registro[[#This Row],[Mínimo]],Formato_Rango_Categorias)&amp;" - "&amp;TEXT(Categorias_Registro[[#This Row],[Máximo]],Formato_Rango_Categorias)</f>
        <v>2.164 - 2.487</v>
      </c>
    </row>
    <row r="235" spans="2:8">
      <c r="B235" s="15">
        <f>Techo - ROW() + ROW(Categorias_Registro[])</f>
        <v>2394</v>
      </c>
      <c r="C235" s="15">
        <f>IF(Categorias_Registro[[#This Row],[Puntos]]&lt;=ROUND(Piso,0),Piso,IF(Categorias_Registro[[#This Row],[Puntos]]&lt;D236,C236,D236+1))</f>
        <v>2164</v>
      </c>
      <c r="D235" s="15">
        <f>IF(Categorias_Registro[[#This Row],[Puntos]]=ROUND(Piso,0),ROUND(Categorias_Registro[[#This Row],[Puntos]]*(1+Categorias_Registro[[#This Row],[Amplitud]]),0),IF(Categorias_Registro[[#This Row],[Puntos]]&lt;D236,D236,ROUND(D236*(1+Categorias_Registro[[#This Row],[Amplitud]]),0)))</f>
        <v>2487</v>
      </c>
      <c r="E235" s="15">
        <f>E236+IF(D236=Categorias_Registro[[#This Row],[Máximo]],0,1)</f>
        <v>24</v>
      </c>
      <c r="F235" s="15">
        <f>ROUND(Categorias_Registro[[#This Row],[Mínimo]]+((Categorias_Registro[[#This Row],[Máximo]]-Categorias_Registro[[#This Row],[Mínimo]])/2),0)</f>
        <v>2326</v>
      </c>
      <c r="G235" s="78">
        <f>VLOOKUP(Categorias_Registro[[#This Row],[Puntos]],Categorias_Configuracion[],MATCH(Categorias_Configuracion[[#Headers],[% Amplitud]],Categorias_Configuracion[#Headers],0),TRUE)</f>
        <v>0.15</v>
      </c>
      <c r="H235" s="15" t="str">
        <f ca="1">TEXT(Categorias_Registro[[#This Row],[Mínimo]],Formato_Rango_Categorias)&amp;" - "&amp;TEXT(Categorias_Registro[[#This Row],[Máximo]],Formato_Rango_Categorias)</f>
        <v>2.164 - 2.487</v>
      </c>
    </row>
    <row r="236" spans="2:8">
      <c r="B236" s="15">
        <f>Techo - ROW() + ROW(Categorias_Registro[])</f>
        <v>2393</v>
      </c>
      <c r="C236" s="15">
        <f>IF(Categorias_Registro[[#This Row],[Puntos]]&lt;=ROUND(Piso,0),Piso,IF(Categorias_Registro[[#This Row],[Puntos]]&lt;D237,C237,D237+1))</f>
        <v>2164</v>
      </c>
      <c r="D236" s="15">
        <f>IF(Categorias_Registro[[#This Row],[Puntos]]=ROUND(Piso,0),ROUND(Categorias_Registro[[#This Row],[Puntos]]*(1+Categorias_Registro[[#This Row],[Amplitud]]),0),IF(Categorias_Registro[[#This Row],[Puntos]]&lt;D237,D237,ROUND(D237*(1+Categorias_Registro[[#This Row],[Amplitud]]),0)))</f>
        <v>2487</v>
      </c>
      <c r="E236" s="15">
        <f>E237+IF(D237=Categorias_Registro[[#This Row],[Máximo]],0,1)</f>
        <v>24</v>
      </c>
      <c r="F236" s="15">
        <f>ROUND(Categorias_Registro[[#This Row],[Mínimo]]+((Categorias_Registro[[#This Row],[Máximo]]-Categorias_Registro[[#This Row],[Mínimo]])/2),0)</f>
        <v>2326</v>
      </c>
      <c r="G236" s="78">
        <f>VLOOKUP(Categorias_Registro[[#This Row],[Puntos]],Categorias_Configuracion[],MATCH(Categorias_Configuracion[[#Headers],[% Amplitud]],Categorias_Configuracion[#Headers],0),TRUE)</f>
        <v>0.15</v>
      </c>
      <c r="H236" s="15" t="str">
        <f ca="1">TEXT(Categorias_Registro[[#This Row],[Mínimo]],Formato_Rango_Categorias)&amp;" - "&amp;TEXT(Categorias_Registro[[#This Row],[Máximo]],Formato_Rango_Categorias)</f>
        <v>2.164 - 2.487</v>
      </c>
    </row>
    <row r="237" spans="2:8">
      <c r="B237" s="15">
        <f>Techo - ROW() + ROW(Categorias_Registro[])</f>
        <v>2392</v>
      </c>
      <c r="C237" s="15">
        <f>IF(Categorias_Registro[[#This Row],[Puntos]]&lt;=ROUND(Piso,0),Piso,IF(Categorias_Registro[[#This Row],[Puntos]]&lt;D238,C238,D238+1))</f>
        <v>2164</v>
      </c>
      <c r="D237" s="15">
        <f>IF(Categorias_Registro[[#This Row],[Puntos]]=ROUND(Piso,0),ROUND(Categorias_Registro[[#This Row],[Puntos]]*(1+Categorias_Registro[[#This Row],[Amplitud]]),0),IF(Categorias_Registro[[#This Row],[Puntos]]&lt;D238,D238,ROUND(D238*(1+Categorias_Registro[[#This Row],[Amplitud]]),0)))</f>
        <v>2487</v>
      </c>
      <c r="E237" s="15">
        <f>E238+IF(D238=Categorias_Registro[[#This Row],[Máximo]],0,1)</f>
        <v>24</v>
      </c>
      <c r="F237" s="15">
        <f>ROUND(Categorias_Registro[[#This Row],[Mínimo]]+((Categorias_Registro[[#This Row],[Máximo]]-Categorias_Registro[[#This Row],[Mínimo]])/2),0)</f>
        <v>2326</v>
      </c>
      <c r="G237" s="78">
        <f>VLOOKUP(Categorias_Registro[[#This Row],[Puntos]],Categorias_Configuracion[],MATCH(Categorias_Configuracion[[#Headers],[% Amplitud]],Categorias_Configuracion[#Headers],0),TRUE)</f>
        <v>0.15</v>
      </c>
      <c r="H237" s="15" t="str">
        <f ca="1">TEXT(Categorias_Registro[[#This Row],[Mínimo]],Formato_Rango_Categorias)&amp;" - "&amp;TEXT(Categorias_Registro[[#This Row],[Máximo]],Formato_Rango_Categorias)</f>
        <v>2.164 - 2.487</v>
      </c>
    </row>
    <row r="238" spans="2:8">
      <c r="B238" s="15">
        <f>Techo - ROW() + ROW(Categorias_Registro[])</f>
        <v>2391</v>
      </c>
      <c r="C238" s="15">
        <f>IF(Categorias_Registro[[#This Row],[Puntos]]&lt;=ROUND(Piso,0),Piso,IF(Categorias_Registro[[#This Row],[Puntos]]&lt;D239,C239,D239+1))</f>
        <v>2164</v>
      </c>
      <c r="D238" s="15">
        <f>IF(Categorias_Registro[[#This Row],[Puntos]]=ROUND(Piso,0),ROUND(Categorias_Registro[[#This Row],[Puntos]]*(1+Categorias_Registro[[#This Row],[Amplitud]]),0),IF(Categorias_Registro[[#This Row],[Puntos]]&lt;D239,D239,ROUND(D239*(1+Categorias_Registro[[#This Row],[Amplitud]]),0)))</f>
        <v>2487</v>
      </c>
      <c r="E238" s="15">
        <f>E239+IF(D239=Categorias_Registro[[#This Row],[Máximo]],0,1)</f>
        <v>24</v>
      </c>
      <c r="F238" s="15">
        <f>ROUND(Categorias_Registro[[#This Row],[Mínimo]]+((Categorias_Registro[[#This Row],[Máximo]]-Categorias_Registro[[#This Row],[Mínimo]])/2),0)</f>
        <v>2326</v>
      </c>
      <c r="G238" s="78">
        <f>VLOOKUP(Categorias_Registro[[#This Row],[Puntos]],Categorias_Configuracion[],MATCH(Categorias_Configuracion[[#Headers],[% Amplitud]],Categorias_Configuracion[#Headers],0),TRUE)</f>
        <v>0.15</v>
      </c>
      <c r="H238" s="15" t="str">
        <f ca="1">TEXT(Categorias_Registro[[#This Row],[Mínimo]],Formato_Rango_Categorias)&amp;" - "&amp;TEXT(Categorias_Registro[[#This Row],[Máximo]],Formato_Rango_Categorias)</f>
        <v>2.164 - 2.487</v>
      </c>
    </row>
    <row r="239" spans="2:8">
      <c r="B239" s="15">
        <f>Techo - ROW() + ROW(Categorias_Registro[])</f>
        <v>2390</v>
      </c>
      <c r="C239" s="15">
        <f>IF(Categorias_Registro[[#This Row],[Puntos]]&lt;=ROUND(Piso,0),Piso,IF(Categorias_Registro[[#This Row],[Puntos]]&lt;D240,C240,D240+1))</f>
        <v>2164</v>
      </c>
      <c r="D239" s="15">
        <f>IF(Categorias_Registro[[#This Row],[Puntos]]=ROUND(Piso,0),ROUND(Categorias_Registro[[#This Row],[Puntos]]*(1+Categorias_Registro[[#This Row],[Amplitud]]),0),IF(Categorias_Registro[[#This Row],[Puntos]]&lt;D240,D240,ROUND(D240*(1+Categorias_Registro[[#This Row],[Amplitud]]),0)))</f>
        <v>2487</v>
      </c>
      <c r="E239" s="15">
        <f>E240+IF(D240=Categorias_Registro[[#This Row],[Máximo]],0,1)</f>
        <v>24</v>
      </c>
      <c r="F239" s="15">
        <f>ROUND(Categorias_Registro[[#This Row],[Mínimo]]+((Categorias_Registro[[#This Row],[Máximo]]-Categorias_Registro[[#This Row],[Mínimo]])/2),0)</f>
        <v>2326</v>
      </c>
      <c r="G239" s="78">
        <f>VLOOKUP(Categorias_Registro[[#This Row],[Puntos]],Categorias_Configuracion[],MATCH(Categorias_Configuracion[[#Headers],[% Amplitud]],Categorias_Configuracion[#Headers],0),TRUE)</f>
        <v>0.15</v>
      </c>
      <c r="H239" s="15" t="str">
        <f ca="1">TEXT(Categorias_Registro[[#This Row],[Mínimo]],Formato_Rango_Categorias)&amp;" - "&amp;TEXT(Categorias_Registro[[#This Row],[Máximo]],Formato_Rango_Categorias)</f>
        <v>2.164 - 2.487</v>
      </c>
    </row>
    <row r="240" spans="2:8">
      <c r="B240" s="15">
        <f>Techo - ROW() + ROW(Categorias_Registro[])</f>
        <v>2389</v>
      </c>
      <c r="C240" s="15">
        <f>IF(Categorias_Registro[[#This Row],[Puntos]]&lt;=ROUND(Piso,0),Piso,IF(Categorias_Registro[[#This Row],[Puntos]]&lt;D241,C241,D241+1))</f>
        <v>2164</v>
      </c>
      <c r="D240" s="15">
        <f>IF(Categorias_Registro[[#This Row],[Puntos]]=ROUND(Piso,0),ROUND(Categorias_Registro[[#This Row],[Puntos]]*(1+Categorias_Registro[[#This Row],[Amplitud]]),0),IF(Categorias_Registro[[#This Row],[Puntos]]&lt;D241,D241,ROUND(D241*(1+Categorias_Registro[[#This Row],[Amplitud]]),0)))</f>
        <v>2487</v>
      </c>
      <c r="E240" s="15">
        <f>E241+IF(D241=Categorias_Registro[[#This Row],[Máximo]],0,1)</f>
        <v>24</v>
      </c>
      <c r="F240" s="15">
        <f>ROUND(Categorias_Registro[[#This Row],[Mínimo]]+((Categorias_Registro[[#This Row],[Máximo]]-Categorias_Registro[[#This Row],[Mínimo]])/2),0)</f>
        <v>2326</v>
      </c>
      <c r="G240" s="78">
        <f>VLOOKUP(Categorias_Registro[[#This Row],[Puntos]],Categorias_Configuracion[],MATCH(Categorias_Configuracion[[#Headers],[% Amplitud]],Categorias_Configuracion[#Headers],0),TRUE)</f>
        <v>0.15</v>
      </c>
      <c r="H240" s="15" t="str">
        <f ca="1">TEXT(Categorias_Registro[[#This Row],[Mínimo]],Formato_Rango_Categorias)&amp;" - "&amp;TEXT(Categorias_Registro[[#This Row],[Máximo]],Formato_Rango_Categorias)</f>
        <v>2.164 - 2.487</v>
      </c>
    </row>
    <row r="241" spans="2:8">
      <c r="B241" s="15">
        <f>Techo - ROW() + ROW(Categorias_Registro[])</f>
        <v>2388</v>
      </c>
      <c r="C241" s="15">
        <f>IF(Categorias_Registro[[#This Row],[Puntos]]&lt;=ROUND(Piso,0),Piso,IF(Categorias_Registro[[#This Row],[Puntos]]&lt;D242,C242,D242+1))</f>
        <v>2164</v>
      </c>
      <c r="D241" s="15">
        <f>IF(Categorias_Registro[[#This Row],[Puntos]]=ROUND(Piso,0),ROUND(Categorias_Registro[[#This Row],[Puntos]]*(1+Categorias_Registro[[#This Row],[Amplitud]]),0),IF(Categorias_Registro[[#This Row],[Puntos]]&lt;D242,D242,ROUND(D242*(1+Categorias_Registro[[#This Row],[Amplitud]]),0)))</f>
        <v>2487</v>
      </c>
      <c r="E241" s="15">
        <f>E242+IF(D242=Categorias_Registro[[#This Row],[Máximo]],0,1)</f>
        <v>24</v>
      </c>
      <c r="F241" s="15">
        <f>ROUND(Categorias_Registro[[#This Row],[Mínimo]]+((Categorias_Registro[[#This Row],[Máximo]]-Categorias_Registro[[#This Row],[Mínimo]])/2),0)</f>
        <v>2326</v>
      </c>
      <c r="G241" s="78">
        <f>VLOOKUP(Categorias_Registro[[#This Row],[Puntos]],Categorias_Configuracion[],MATCH(Categorias_Configuracion[[#Headers],[% Amplitud]],Categorias_Configuracion[#Headers],0),TRUE)</f>
        <v>0.15</v>
      </c>
      <c r="H241" s="15" t="str">
        <f ca="1">TEXT(Categorias_Registro[[#This Row],[Mínimo]],Formato_Rango_Categorias)&amp;" - "&amp;TEXT(Categorias_Registro[[#This Row],[Máximo]],Formato_Rango_Categorias)</f>
        <v>2.164 - 2.487</v>
      </c>
    </row>
    <row r="242" spans="2:8">
      <c r="B242" s="15">
        <f>Techo - ROW() + ROW(Categorias_Registro[])</f>
        <v>2387</v>
      </c>
      <c r="C242" s="15">
        <f>IF(Categorias_Registro[[#This Row],[Puntos]]&lt;=ROUND(Piso,0),Piso,IF(Categorias_Registro[[#This Row],[Puntos]]&lt;D243,C243,D243+1))</f>
        <v>2164</v>
      </c>
      <c r="D242" s="15">
        <f>IF(Categorias_Registro[[#This Row],[Puntos]]=ROUND(Piso,0),ROUND(Categorias_Registro[[#This Row],[Puntos]]*(1+Categorias_Registro[[#This Row],[Amplitud]]),0),IF(Categorias_Registro[[#This Row],[Puntos]]&lt;D243,D243,ROUND(D243*(1+Categorias_Registro[[#This Row],[Amplitud]]),0)))</f>
        <v>2487</v>
      </c>
      <c r="E242" s="15">
        <f>E243+IF(D243=Categorias_Registro[[#This Row],[Máximo]],0,1)</f>
        <v>24</v>
      </c>
      <c r="F242" s="15">
        <f>ROUND(Categorias_Registro[[#This Row],[Mínimo]]+((Categorias_Registro[[#This Row],[Máximo]]-Categorias_Registro[[#This Row],[Mínimo]])/2),0)</f>
        <v>2326</v>
      </c>
      <c r="G242" s="78">
        <f>VLOOKUP(Categorias_Registro[[#This Row],[Puntos]],Categorias_Configuracion[],MATCH(Categorias_Configuracion[[#Headers],[% Amplitud]],Categorias_Configuracion[#Headers],0),TRUE)</f>
        <v>0.15</v>
      </c>
      <c r="H242" s="15" t="str">
        <f ca="1">TEXT(Categorias_Registro[[#This Row],[Mínimo]],Formato_Rango_Categorias)&amp;" - "&amp;TEXT(Categorias_Registro[[#This Row],[Máximo]],Formato_Rango_Categorias)</f>
        <v>2.164 - 2.487</v>
      </c>
    </row>
    <row r="243" spans="2:8">
      <c r="B243" s="15">
        <f>Techo - ROW() + ROW(Categorias_Registro[])</f>
        <v>2386</v>
      </c>
      <c r="C243" s="15">
        <f>IF(Categorias_Registro[[#This Row],[Puntos]]&lt;=ROUND(Piso,0),Piso,IF(Categorias_Registro[[#This Row],[Puntos]]&lt;D244,C244,D244+1))</f>
        <v>2164</v>
      </c>
      <c r="D243" s="15">
        <f>IF(Categorias_Registro[[#This Row],[Puntos]]=ROUND(Piso,0),ROUND(Categorias_Registro[[#This Row],[Puntos]]*(1+Categorias_Registro[[#This Row],[Amplitud]]),0),IF(Categorias_Registro[[#This Row],[Puntos]]&lt;D244,D244,ROUND(D244*(1+Categorias_Registro[[#This Row],[Amplitud]]),0)))</f>
        <v>2487</v>
      </c>
      <c r="E243" s="15">
        <f>E244+IF(D244=Categorias_Registro[[#This Row],[Máximo]],0,1)</f>
        <v>24</v>
      </c>
      <c r="F243" s="15">
        <f>ROUND(Categorias_Registro[[#This Row],[Mínimo]]+((Categorias_Registro[[#This Row],[Máximo]]-Categorias_Registro[[#This Row],[Mínimo]])/2),0)</f>
        <v>2326</v>
      </c>
      <c r="G243" s="78">
        <f>VLOOKUP(Categorias_Registro[[#This Row],[Puntos]],Categorias_Configuracion[],MATCH(Categorias_Configuracion[[#Headers],[% Amplitud]],Categorias_Configuracion[#Headers],0),TRUE)</f>
        <v>0.15</v>
      </c>
      <c r="H243" s="15" t="str">
        <f ca="1">TEXT(Categorias_Registro[[#This Row],[Mínimo]],Formato_Rango_Categorias)&amp;" - "&amp;TEXT(Categorias_Registro[[#This Row],[Máximo]],Formato_Rango_Categorias)</f>
        <v>2.164 - 2.487</v>
      </c>
    </row>
    <row r="244" spans="2:8">
      <c r="B244" s="15">
        <f>Techo - ROW() + ROW(Categorias_Registro[])</f>
        <v>2385</v>
      </c>
      <c r="C244" s="15">
        <f>IF(Categorias_Registro[[#This Row],[Puntos]]&lt;=ROUND(Piso,0),Piso,IF(Categorias_Registro[[#This Row],[Puntos]]&lt;D245,C245,D245+1))</f>
        <v>2164</v>
      </c>
      <c r="D244" s="15">
        <f>IF(Categorias_Registro[[#This Row],[Puntos]]=ROUND(Piso,0),ROUND(Categorias_Registro[[#This Row],[Puntos]]*(1+Categorias_Registro[[#This Row],[Amplitud]]),0),IF(Categorias_Registro[[#This Row],[Puntos]]&lt;D245,D245,ROUND(D245*(1+Categorias_Registro[[#This Row],[Amplitud]]),0)))</f>
        <v>2487</v>
      </c>
      <c r="E244" s="15">
        <f>E245+IF(D245=Categorias_Registro[[#This Row],[Máximo]],0,1)</f>
        <v>24</v>
      </c>
      <c r="F244" s="15">
        <f>ROUND(Categorias_Registro[[#This Row],[Mínimo]]+((Categorias_Registro[[#This Row],[Máximo]]-Categorias_Registro[[#This Row],[Mínimo]])/2),0)</f>
        <v>2326</v>
      </c>
      <c r="G244" s="78">
        <f>VLOOKUP(Categorias_Registro[[#This Row],[Puntos]],Categorias_Configuracion[],MATCH(Categorias_Configuracion[[#Headers],[% Amplitud]],Categorias_Configuracion[#Headers],0),TRUE)</f>
        <v>0.15</v>
      </c>
      <c r="H244" s="15" t="str">
        <f ca="1">TEXT(Categorias_Registro[[#This Row],[Mínimo]],Formato_Rango_Categorias)&amp;" - "&amp;TEXT(Categorias_Registro[[#This Row],[Máximo]],Formato_Rango_Categorias)</f>
        <v>2.164 - 2.487</v>
      </c>
    </row>
    <row r="245" spans="2:8">
      <c r="B245" s="15">
        <f>Techo - ROW() + ROW(Categorias_Registro[])</f>
        <v>2384</v>
      </c>
      <c r="C245" s="15">
        <f>IF(Categorias_Registro[[#This Row],[Puntos]]&lt;=ROUND(Piso,0),Piso,IF(Categorias_Registro[[#This Row],[Puntos]]&lt;D246,C246,D246+1))</f>
        <v>2164</v>
      </c>
      <c r="D245" s="15">
        <f>IF(Categorias_Registro[[#This Row],[Puntos]]=ROUND(Piso,0),ROUND(Categorias_Registro[[#This Row],[Puntos]]*(1+Categorias_Registro[[#This Row],[Amplitud]]),0),IF(Categorias_Registro[[#This Row],[Puntos]]&lt;D246,D246,ROUND(D246*(1+Categorias_Registro[[#This Row],[Amplitud]]),0)))</f>
        <v>2487</v>
      </c>
      <c r="E245" s="15">
        <f>E246+IF(D246=Categorias_Registro[[#This Row],[Máximo]],0,1)</f>
        <v>24</v>
      </c>
      <c r="F245" s="15">
        <f>ROUND(Categorias_Registro[[#This Row],[Mínimo]]+((Categorias_Registro[[#This Row],[Máximo]]-Categorias_Registro[[#This Row],[Mínimo]])/2),0)</f>
        <v>2326</v>
      </c>
      <c r="G245" s="78">
        <f>VLOOKUP(Categorias_Registro[[#This Row],[Puntos]],Categorias_Configuracion[],MATCH(Categorias_Configuracion[[#Headers],[% Amplitud]],Categorias_Configuracion[#Headers],0),TRUE)</f>
        <v>0.15</v>
      </c>
      <c r="H245" s="15" t="str">
        <f ca="1">TEXT(Categorias_Registro[[#This Row],[Mínimo]],Formato_Rango_Categorias)&amp;" - "&amp;TEXT(Categorias_Registro[[#This Row],[Máximo]],Formato_Rango_Categorias)</f>
        <v>2.164 - 2.487</v>
      </c>
    </row>
    <row r="246" spans="2:8">
      <c r="B246" s="15">
        <f>Techo - ROW() + ROW(Categorias_Registro[])</f>
        <v>2383</v>
      </c>
      <c r="C246" s="15">
        <f>IF(Categorias_Registro[[#This Row],[Puntos]]&lt;=ROUND(Piso,0),Piso,IF(Categorias_Registro[[#This Row],[Puntos]]&lt;D247,C247,D247+1))</f>
        <v>2164</v>
      </c>
      <c r="D246" s="15">
        <f>IF(Categorias_Registro[[#This Row],[Puntos]]=ROUND(Piso,0),ROUND(Categorias_Registro[[#This Row],[Puntos]]*(1+Categorias_Registro[[#This Row],[Amplitud]]),0),IF(Categorias_Registro[[#This Row],[Puntos]]&lt;D247,D247,ROUND(D247*(1+Categorias_Registro[[#This Row],[Amplitud]]),0)))</f>
        <v>2487</v>
      </c>
      <c r="E246" s="15">
        <f>E247+IF(D247=Categorias_Registro[[#This Row],[Máximo]],0,1)</f>
        <v>24</v>
      </c>
      <c r="F246" s="15">
        <f>ROUND(Categorias_Registro[[#This Row],[Mínimo]]+((Categorias_Registro[[#This Row],[Máximo]]-Categorias_Registro[[#This Row],[Mínimo]])/2),0)</f>
        <v>2326</v>
      </c>
      <c r="G246" s="78">
        <f>VLOOKUP(Categorias_Registro[[#This Row],[Puntos]],Categorias_Configuracion[],MATCH(Categorias_Configuracion[[#Headers],[% Amplitud]],Categorias_Configuracion[#Headers],0),TRUE)</f>
        <v>0.15</v>
      </c>
      <c r="H246" s="15" t="str">
        <f ca="1">TEXT(Categorias_Registro[[#This Row],[Mínimo]],Formato_Rango_Categorias)&amp;" - "&amp;TEXT(Categorias_Registro[[#This Row],[Máximo]],Formato_Rango_Categorias)</f>
        <v>2.164 - 2.487</v>
      </c>
    </row>
    <row r="247" spans="2:8">
      <c r="B247" s="15">
        <f>Techo - ROW() + ROW(Categorias_Registro[])</f>
        <v>2382</v>
      </c>
      <c r="C247" s="15">
        <f>IF(Categorias_Registro[[#This Row],[Puntos]]&lt;=ROUND(Piso,0),Piso,IF(Categorias_Registro[[#This Row],[Puntos]]&lt;D248,C248,D248+1))</f>
        <v>2164</v>
      </c>
      <c r="D247" s="15">
        <f>IF(Categorias_Registro[[#This Row],[Puntos]]=ROUND(Piso,0),ROUND(Categorias_Registro[[#This Row],[Puntos]]*(1+Categorias_Registro[[#This Row],[Amplitud]]),0),IF(Categorias_Registro[[#This Row],[Puntos]]&lt;D248,D248,ROUND(D248*(1+Categorias_Registro[[#This Row],[Amplitud]]),0)))</f>
        <v>2487</v>
      </c>
      <c r="E247" s="15">
        <f>E248+IF(D248=Categorias_Registro[[#This Row],[Máximo]],0,1)</f>
        <v>24</v>
      </c>
      <c r="F247" s="15">
        <f>ROUND(Categorias_Registro[[#This Row],[Mínimo]]+((Categorias_Registro[[#This Row],[Máximo]]-Categorias_Registro[[#This Row],[Mínimo]])/2),0)</f>
        <v>2326</v>
      </c>
      <c r="G247" s="78">
        <f>VLOOKUP(Categorias_Registro[[#This Row],[Puntos]],Categorias_Configuracion[],MATCH(Categorias_Configuracion[[#Headers],[% Amplitud]],Categorias_Configuracion[#Headers],0),TRUE)</f>
        <v>0.15</v>
      </c>
      <c r="H247" s="15" t="str">
        <f ca="1">TEXT(Categorias_Registro[[#This Row],[Mínimo]],Formato_Rango_Categorias)&amp;" - "&amp;TEXT(Categorias_Registro[[#This Row],[Máximo]],Formato_Rango_Categorias)</f>
        <v>2.164 - 2.487</v>
      </c>
    </row>
    <row r="248" spans="2:8">
      <c r="B248" s="15">
        <f>Techo - ROW() + ROW(Categorias_Registro[])</f>
        <v>2381</v>
      </c>
      <c r="C248" s="15">
        <f>IF(Categorias_Registro[[#This Row],[Puntos]]&lt;=ROUND(Piso,0),Piso,IF(Categorias_Registro[[#This Row],[Puntos]]&lt;D249,C249,D249+1))</f>
        <v>2164</v>
      </c>
      <c r="D248" s="15">
        <f>IF(Categorias_Registro[[#This Row],[Puntos]]=ROUND(Piso,0),ROUND(Categorias_Registro[[#This Row],[Puntos]]*(1+Categorias_Registro[[#This Row],[Amplitud]]),0),IF(Categorias_Registro[[#This Row],[Puntos]]&lt;D249,D249,ROUND(D249*(1+Categorias_Registro[[#This Row],[Amplitud]]),0)))</f>
        <v>2487</v>
      </c>
      <c r="E248" s="15">
        <f>E249+IF(D249=Categorias_Registro[[#This Row],[Máximo]],0,1)</f>
        <v>24</v>
      </c>
      <c r="F248" s="15">
        <f>ROUND(Categorias_Registro[[#This Row],[Mínimo]]+((Categorias_Registro[[#This Row],[Máximo]]-Categorias_Registro[[#This Row],[Mínimo]])/2),0)</f>
        <v>2326</v>
      </c>
      <c r="G248" s="78">
        <f>VLOOKUP(Categorias_Registro[[#This Row],[Puntos]],Categorias_Configuracion[],MATCH(Categorias_Configuracion[[#Headers],[% Amplitud]],Categorias_Configuracion[#Headers],0),TRUE)</f>
        <v>0.15</v>
      </c>
      <c r="H248" s="15" t="str">
        <f ca="1">TEXT(Categorias_Registro[[#This Row],[Mínimo]],Formato_Rango_Categorias)&amp;" - "&amp;TEXT(Categorias_Registro[[#This Row],[Máximo]],Formato_Rango_Categorias)</f>
        <v>2.164 - 2.487</v>
      </c>
    </row>
    <row r="249" spans="2:8">
      <c r="B249" s="15">
        <f>Techo - ROW() + ROW(Categorias_Registro[])</f>
        <v>2380</v>
      </c>
      <c r="C249" s="15">
        <f>IF(Categorias_Registro[[#This Row],[Puntos]]&lt;=ROUND(Piso,0),Piso,IF(Categorias_Registro[[#This Row],[Puntos]]&lt;D250,C250,D250+1))</f>
        <v>2164</v>
      </c>
      <c r="D249" s="15">
        <f>IF(Categorias_Registro[[#This Row],[Puntos]]=ROUND(Piso,0),ROUND(Categorias_Registro[[#This Row],[Puntos]]*(1+Categorias_Registro[[#This Row],[Amplitud]]),0),IF(Categorias_Registro[[#This Row],[Puntos]]&lt;D250,D250,ROUND(D250*(1+Categorias_Registro[[#This Row],[Amplitud]]),0)))</f>
        <v>2487</v>
      </c>
      <c r="E249" s="15">
        <f>E250+IF(D250=Categorias_Registro[[#This Row],[Máximo]],0,1)</f>
        <v>24</v>
      </c>
      <c r="F249" s="15">
        <f>ROUND(Categorias_Registro[[#This Row],[Mínimo]]+((Categorias_Registro[[#This Row],[Máximo]]-Categorias_Registro[[#This Row],[Mínimo]])/2),0)</f>
        <v>2326</v>
      </c>
      <c r="G249" s="78">
        <f>VLOOKUP(Categorias_Registro[[#This Row],[Puntos]],Categorias_Configuracion[],MATCH(Categorias_Configuracion[[#Headers],[% Amplitud]],Categorias_Configuracion[#Headers],0),TRUE)</f>
        <v>0.15</v>
      </c>
      <c r="H249" s="15" t="str">
        <f ca="1">TEXT(Categorias_Registro[[#This Row],[Mínimo]],Formato_Rango_Categorias)&amp;" - "&amp;TEXT(Categorias_Registro[[#This Row],[Máximo]],Formato_Rango_Categorias)</f>
        <v>2.164 - 2.487</v>
      </c>
    </row>
    <row r="250" spans="2:8">
      <c r="B250" s="15">
        <f>Techo - ROW() + ROW(Categorias_Registro[])</f>
        <v>2379</v>
      </c>
      <c r="C250" s="15">
        <f>IF(Categorias_Registro[[#This Row],[Puntos]]&lt;=ROUND(Piso,0),Piso,IF(Categorias_Registro[[#This Row],[Puntos]]&lt;D251,C251,D251+1))</f>
        <v>2164</v>
      </c>
      <c r="D250" s="15">
        <f>IF(Categorias_Registro[[#This Row],[Puntos]]=ROUND(Piso,0),ROUND(Categorias_Registro[[#This Row],[Puntos]]*(1+Categorias_Registro[[#This Row],[Amplitud]]),0),IF(Categorias_Registro[[#This Row],[Puntos]]&lt;D251,D251,ROUND(D251*(1+Categorias_Registro[[#This Row],[Amplitud]]),0)))</f>
        <v>2487</v>
      </c>
      <c r="E250" s="15">
        <f>E251+IF(D251=Categorias_Registro[[#This Row],[Máximo]],0,1)</f>
        <v>24</v>
      </c>
      <c r="F250" s="15">
        <f>ROUND(Categorias_Registro[[#This Row],[Mínimo]]+((Categorias_Registro[[#This Row],[Máximo]]-Categorias_Registro[[#This Row],[Mínimo]])/2),0)</f>
        <v>2326</v>
      </c>
      <c r="G250" s="78">
        <f>VLOOKUP(Categorias_Registro[[#This Row],[Puntos]],Categorias_Configuracion[],MATCH(Categorias_Configuracion[[#Headers],[% Amplitud]],Categorias_Configuracion[#Headers],0),TRUE)</f>
        <v>0.15</v>
      </c>
      <c r="H250" s="15" t="str">
        <f ca="1">TEXT(Categorias_Registro[[#This Row],[Mínimo]],Formato_Rango_Categorias)&amp;" - "&amp;TEXT(Categorias_Registro[[#This Row],[Máximo]],Formato_Rango_Categorias)</f>
        <v>2.164 - 2.487</v>
      </c>
    </row>
    <row r="251" spans="2:8">
      <c r="B251" s="15">
        <f>Techo - ROW() + ROW(Categorias_Registro[])</f>
        <v>2378</v>
      </c>
      <c r="C251" s="15">
        <f>IF(Categorias_Registro[[#This Row],[Puntos]]&lt;=ROUND(Piso,0),Piso,IF(Categorias_Registro[[#This Row],[Puntos]]&lt;D252,C252,D252+1))</f>
        <v>2164</v>
      </c>
      <c r="D251" s="15">
        <f>IF(Categorias_Registro[[#This Row],[Puntos]]=ROUND(Piso,0),ROUND(Categorias_Registro[[#This Row],[Puntos]]*(1+Categorias_Registro[[#This Row],[Amplitud]]),0),IF(Categorias_Registro[[#This Row],[Puntos]]&lt;D252,D252,ROUND(D252*(1+Categorias_Registro[[#This Row],[Amplitud]]),0)))</f>
        <v>2487</v>
      </c>
      <c r="E251" s="15">
        <f>E252+IF(D252=Categorias_Registro[[#This Row],[Máximo]],0,1)</f>
        <v>24</v>
      </c>
      <c r="F251" s="15">
        <f>ROUND(Categorias_Registro[[#This Row],[Mínimo]]+((Categorias_Registro[[#This Row],[Máximo]]-Categorias_Registro[[#This Row],[Mínimo]])/2),0)</f>
        <v>2326</v>
      </c>
      <c r="G251" s="78">
        <f>VLOOKUP(Categorias_Registro[[#This Row],[Puntos]],Categorias_Configuracion[],MATCH(Categorias_Configuracion[[#Headers],[% Amplitud]],Categorias_Configuracion[#Headers],0),TRUE)</f>
        <v>0.15</v>
      </c>
      <c r="H251" s="15" t="str">
        <f ca="1">TEXT(Categorias_Registro[[#This Row],[Mínimo]],Formato_Rango_Categorias)&amp;" - "&amp;TEXT(Categorias_Registro[[#This Row],[Máximo]],Formato_Rango_Categorias)</f>
        <v>2.164 - 2.487</v>
      </c>
    </row>
    <row r="252" spans="2:8">
      <c r="B252" s="15">
        <f>Techo - ROW() + ROW(Categorias_Registro[])</f>
        <v>2377</v>
      </c>
      <c r="C252" s="15">
        <f>IF(Categorias_Registro[[#This Row],[Puntos]]&lt;=ROUND(Piso,0),Piso,IF(Categorias_Registro[[#This Row],[Puntos]]&lt;D253,C253,D253+1))</f>
        <v>2164</v>
      </c>
      <c r="D252" s="15">
        <f>IF(Categorias_Registro[[#This Row],[Puntos]]=ROUND(Piso,0),ROUND(Categorias_Registro[[#This Row],[Puntos]]*(1+Categorias_Registro[[#This Row],[Amplitud]]),0),IF(Categorias_Registro[[#This Row],[Puntos]]&lt;D253,D253,ROUND(D253*(1+Categorias_Registro[[#This Row],[Amplitud]]),0)))</f>
        <v>2487</v>
      </c>
      <c r="E252" s="15">
        <f>E253+IF(D253=Categorias_Registro[[#This Row],[Máximo]],0,1)</f>
        <v>24</v>
      </c>
      <c r="F252" s="15">
        <f>ROUND(Categorias_Registro[[#This Row],[Mínimo]]+((Categorias_Registro[[#This Row],[Máximo]]-Categorias_Registro[[#This Row],[Mínimo]])/2),0)</f>
        <v>2326</v>
      </c>
      <c r="G252" s="78">
        <f>VLOOKUP(Categorias_Registro[[#This Row],[Puntos]],Categorias_Configuracion[],MATCH(Categorias_Configuracion[[#Headers],[% Amplitud]],Categorias_Configuracion[#Headers],0),TRUE)</f>
        <v>0.15</v>
      </c>
      <c r="H252" s="15" t="str">
        <f ca="1">TEXT(Categorias_Registro[[#This Row],[Mínimo]],Formato_Rango_Categorias)&amp;" - "&amp;TEXT(Categorias_Registro[[#This Row],[Máximo]],Formato_Rango_Categorias)</f>
        <v>2.164 - 2.487</v>
      </c>
    </row>
    <row r="253" spans="2:8">
      <c r="B253" s="15">
        <f>Techo - ROW() + ROW(Categorias_Registro[])</f>
        <v>2376</v>
      </c>
      <c r="C253" s="15">
        <f>IF(Categorias_Registro[[#This Row],[Puntos]]&lt;=ROUND(Piso,0),Piso,IF(Categorias_Registro[[#This Row],[Puntos]]&lt;D254,C254,D254+1))</f>
        <v>2164</v>
      </c>
      <c r="D253" s="15">
        <f>IF(Categorias_Registro[[#This Row],[Puntos]]=ROUND(Piso,0),ROUND(Categorias_Registro[[#This Row],[Puntos]]*(1+Categorias_Registro[[#This Row],[Amplitud]]),0),IF(Categorias_Registro[[#This Row],[Puntos]]&lt;D254,D254,ROUND(D254*(1+Categorias_Registro[[#This Row],[Amplitud]]),0)))</f>
        <v>2487</v>
      </c>
      <c r="E253" s="15">
        <f>E254+IF(D254=Categorias_Registro[[#This Row],[Máximo]],0,1)</f>
        <v>24</v>
      </c>
      <c r="F253" s="15">
        <f>ROUND(Categorias_Registro[[#This Row],[Mínimo]]+((Categorias_Registro[[#This Row],[Máximo]]-Categorias_Registro[[#This Row],[Mínimo]])/2),0)</f>
        <v>2326</v>
      </c>
      <c r="G253" s="78">
        <f>VLOOKUP(Categorias_Registro[[#This Row],[Puntos]],Categorias_Configuracion[],MATCH(Categorias_Configuracion[[#Headers],[% Amplitud]],Categorias_Configuracion[#Headers],0),TRUE)</f>
        <v>0.15</v>
      </c>
      <c r="H253" s="15" t="str">
        <f ca="1">TEXT(Categorias_Registro[[#This Row],[Mínimo]],Formato_Rango_Categorias)&amp;" - "&amp;TEXT(Categorias_Registro[[#This Row],[Máximo]],Formato_Rango_Categorias)</f>
        <v>2.164 - 2.487</v>
      </c>
    </row>
    <row r="254" spans="2:8">
      <c r="B254" s="15">
        <f>Techo - ROW() + ROW(Categorias_Registro[])</f>
        <v>2375</v>
      </c>
      <c r="C254" s="15">
        <f>IF(Categorias_Registro[[#This Row],[Puntos]]&lt;=ROUND(Piso,0),Piso,IF(Categorias_Registro[[#This Row],[Puntos]]&lt;D255,C255,D255+1))</f>
        <v>2164</v>
      </c>
      <c r="D254" s="15">
        <f>IF(Categorias_Registro[[#This Row],[Puntos]]=ROUND(Piso,0),ROUND(Categorias_Registro[[#This Row],[Puntos]]*(1+Categorias_Registro[[#This Row],[Amplitud]]),0),IF(Categorias_Registro[[#This Row],[Puntos]]&lt;D255,D255,ROUND(D255*(1+Categorias_Registro[[#This Row],[Amplitud]]),0)))</f>
        <v>2487</v>
      </c>
      <c r="E254" s="15">
        <f>E255+IF(D255=Categorias_Registro[[#This Row],[Máximo]],0,1)</f>
        <v>24</v>
      </c>
      <c r="F254" s="15">
        <f>ROUND(Categorias_Registro[[#This Row],[Mínimo]]+((Categorias_Registro[[#This Row],[Máximo]]-Categorias_Registro[[#This Row],[Mínimo]])/2),0)</f>
        <v>2326</v>
      </c>
      <c r="G254" s="78">
        <f>VLOOKUP(Categorias_Registro[[#This Row],[Puntos]],Categorias_Configuracion[],MATCH(Categorias_Configuracion[[#Headers],[% Amplitud]],Categorias_Configuracion[#Headers],0),TRUE)</f>
        <v>0.15</v>
      </c>
      <c r="H254" s="15" t="str">
        <f ca="1">TEXT(Categorias_Registro[[#This Row],[Mínimo]],Formato_Rango_Categorias)&amp;" - "&amp;TEXT(Categorias_Registro[[#This Row],[Máximo]],Formato_Rango_Categorias)</f>
        <v>2.164 - 2.487</v>
      </c>
    </row>
    <row r="255" spans="2:8">
      <c r="B255" s="15">
        <f>Techo - ROW() + ROW(Categorias_Registro[])</f>
        <v>2374</v>
      </c>
      <c r="C255" s="15">
        <f>IF(Categorias_Registro[[#This Row],[Puntos]]&lt;=ROUND(Piso,0),Piso,IF(Categorias_Registro[[#This Row],[Puntos]]&lt;D256,C256,D256+1))</f>
        <v>2164</v>
      </c>
      <c r="D255" s="15">
        <f>IF(Categorias_Registro[[#This Row],[Puntos]]=ROUND(Piso,0),ROUND(Categorias_Registro[[#This Row],[Puntos]]*(1+Categorias_Registro[[#This Row],[Amplitud]]),0),IF(Categorias_Registro[[#This Row],[Puntos]]&lt;D256,D256,ROUND(D256*(1+Categorias_Registro[[#This Row],[Amplitud]]),0)))</f>
        <v>2487</v>
      </c>
      <c r="E255" s="15">
        <f>E256+IF(D256=Categorias_Registro[[#This Row],[Máximo]],0,1)</f>
        <v>24</v>
      </c>
      <c r="F255" s="15">
        <f>ROUND(Categorias_Registro[[#This Row],[Mínimo]]+((Categorias_Registro[[#This Row],[Máximo]]-Categorias_Registro[[#This Row],[Mínimo]])/2),0)</f>
        <v>2326</v>
      </c>
      <c r="G255" s="78">
        <f>VLOOKUP(Categorias_Registro[[#This Row],[Puntos]],Categorias_Configuracion[],MATCH(Categorias_Configuracion[[#Headers],[% Amplitud]],Categorias_Configuracion[#Headers],0),TRUE)</f>
        <v>0.15</v>
      </c>
      <c r="H255" s="15" t="str">
        <f ca="1">TEXT(Categorias_Registro[[#This Row],[Mínimo]],Formato_Rango_Categorias)&amp;" - "&amp;TEXT(Categorias_Registro[[#This Row],[Máximo]],Formato_Rango_Categorias)</f>
        <v>2.164 - 2.487</v>
      </c>
    </row>
    <row r="256" spans="2:8">
      <c r="B256" s="15">
        <f>Techo - ROW() + ROW(Categorias_Registro[])</f>
        <v>2373</v>
      </c>
      <c r="C256" s="15">
        <f>IF(Categorias_Registro[[#This Row],[Puntos]]&lt;=ROUND(Piso,0),Piso,IF(Categorias_Registro[[#This Row],[Puntos]]&lt;D257,C257,D257+1))</f>
        <v>2164</v>
      </c>
      <c r="D256" s="15">
        <f>IF(Categorias_Registro[[#This Row],[Puntos]]=ROUND(Piso,0),ROUND(Categorias_Registro[[#This Row],[Puntos]]*(1+Categorias_Registro[[#This Row],[Amplitud]]),0),IF(Categorias_Registro[[#This Row],[Puntos]]&lt;D257,D257,ROUND(D257*(1+Categorias_Registro[[#This Row],[Amplitud]]),0)))</f>
        <v>2487</v>
      </c>
      <c r="E256" s="15">
        <f>E257+IF(D257=Categorias_Registro[[#This Row],[Máximo]],0,1)</f>
        <v>24</v>
      </c>
      <c r="F256" s="15">
        <f>ROUND(Categorias_Registro[[#This Row],[Mínimo]]+((Categorias_Registro[[#This Row],[Máximo]]-Categorias_Registro[[#This Row],[Mínimo]])/2),0)</f>
        <v>2326</v>
      </c>
      <c r="G256" s="78">
        <f>VLOOKUP(Categorias_Registro[[#This Row],[Puntos]],Categorias_Configuracion[],MATCH(Categorias_Configuracion[[#Headers],[% Amplitud]],Categorias_Configuracion[#Headers],0),TRUE)</f>
        <v>0.15</v>
      </c>
      <c r="H256" s="15" t="str">
        <f ca="1">TEXT(Categorias_Registro[[#This Row],[Mínimo]],Formato_Rango_Categorias)&amp;" - "&amp;TEXT(Categorias_Registro[[#This Row],[Máximo]],Formato_Rango_Categorias)</f>
        <v>2.164 - 2.487</v>
      </c>
    </row>
    <row r="257" spans="2:8">
      <c r="B257" s="15">
        <f>Techo - ROW() + ROW(Categorias_Registro[])</f>
        <v>2372</v>
      </c>
      <c r="C257" s="15">
        <f>IF(Categorias_Registro[[#This Row],[Puntos]]&lt;=ROUND(Piso,0),Piso,IF(Categorias_Registro[[#This Row],[Puntos]]&lt;D258,C258,D258+1))</f>
        <v>2164</v>
      </c>
      <c r="D257" s="15">
        <f>IF(Categorias_Registro[[#This Row],[Puntos]]=ROUND(Piso,0),ROUND(Categorias_Registro[[#This Row],[Puntos]]*(1+Categorias_Registro[[#This Row],[Amplitud]]),0),IF(Categorias_Registro[[#This Row],[Puntos]]&lt;D258,D258,ROUND(D258*(1+Categorias_Registro[[#This Row],[Amplitud]]),0)))</f>
        <v>2487</v>
      </c>
      <c r="E257" s="15">
        <f>E258+IF(D258=Categorias_Registro[[#This Row],[Máximo]],0,1)</f>
        <v>24</v>
      </c>
      <c r="F257" s="15">
        <f>ROUND(Categorias_Registro[[#This Row],[Mínimo]]+((Categorias_Registro[[#This Row],[Máximo]]-Categorias_Registro[[#This Row],[Mínimo]])/2),0)</f>
        <v>2326</v>
      </c>
      <c r="G257" s="78">
        <f>VLOOKUP(Categorias_Registro[[#This Row],[Puntos]],Categorias_Configuracion[],MATCH(Categorias_Configuracion[[#Headers],[% Amplitud]],Categorias_Configuracion[#Headers],0),TRUE)</f>
        <v>0.15</v>
      </c>
      <c r="H257" s="15" t="str">
        <f ca="1">TEXT(Categorias_Registro[[#This Row],[Mínimo]],Formato_Rango_Categorias)&amp;" - "&amp;TEXT(Categorias_Registro[[#This Row],[Máximo]],Formato_Rango_Categorias)</f>
        <v>2.164 - 2.487</v>
      </c>
    </row>
    <row r="258" spans="2:8">
      <c r="B258" s="15">
        <f>Techo - ROW() + ROW(Categorias_Registro[])</f>
        <v>2371</v>
      </c>
      <c r="C258" s="15">
        <f>IF(Categorias_Registro[[#This Row],[Puntos]]&lt;=ROUND(Piso,0),Piso,IF(Categorias_Registro[[#This Row],[Puntos]]&lt;D259,C259,D259+1))</f>
        <v>2164</v>
      </c>
      <c r="D258" s="15">
        <f>IF(Categorias_Registro[[#This Row],[Puntos]]=ROUND(Piso,0),ROUND(Categorias_Registro[[#This Row],[Puntos]]*(1+Categorias_Registro[[#This Row],[Amplitud]]),0),IF(Categorias_Registro[[#This Row],[Puntos]]&lt;D259,D259,ROUND(D259*(1+Categorias_Registro[[#This Row],[Amplitud]]),0)))</f>
        <v>2487</v>
      </c>
      <c r="E258" s="15">
        <f>E259+IF(D259=Categorias_Registro[[#This Row],[Máximo]],0,1)</f>
        <v>24</v>
      </c>
      <c r="F258" s="15">
        <f>ROUND(Categorias_Registro[[#This Row],[Mínimo]]+((Categorias_Registro[[#This Row],[Máximo]]-Categorias_Registro[[#This Row],[Mínimo]])/2),0)</f>
        <v>2326</v>
      </c>
      <c r="G258" s="78">
        <f>VLOOKUP(Categorias_Registro[[#This Row],[Puntos]],Categorias_Configuracion[],MATCH(Categorias_Configuracion[[#Headers],[% Amplitud]],Categorias_Configuracion[#Headers],0),TRUE)</f>
        <v>0.15</v>
      </c>
      <c r="H258" s="15" t="str">
        <f ca="1">TEXT(Categorias_Registro[[#This Row],[Mínimo]],Formato_Rango_Categorias)&amp;" - "&amp;TEXT(Categorias_Registro[[#This Row],[Máximo]],Formato_Rango_Categorias)</f>
        <v>2.164 - 2.487</v>
      </c>
    </row>
    <row r="259" spans="2:8">
      <c r="B259" s="15">
        <f>Techo - ROW() + ROW(Categorias_Registro[])</f>
        <v>2370</v>
      </c>
      <c r="C259" s="15">
        <f>IF(Categorias_Registro[[#This Row],[Puntos]]&lt;=ROUND(Piso,0),Piso,IF(Categorias_Registro[[#This Row],[Puntos]]&lt;D260,C260,D260+1))</f>
        <v>2164</v>
      </c>
      <c r="D259" s="15">
        <f>IF(Categorias_Registro[[#This Row],[Puntos]]=ROUND(Piso,0),ROUND(Categorias_Registro[[#This Row],[Puntos]]*(1+Categorias_Registro[[#This Row],[Amplitud]]),0),IF(Categorias_Registro[[#This Row],[Puntos]]&lt;D260,D260,ROUND(D260*(1+Categorias_Registro[[#This Row],[Amplitud]]),0)))</f>
        <v>2487</v>
      </c>
      <c r="E259" s="15">
        <f>E260+IF(D260=Categorias_Registro[[#This Row],[Máximo]],0,1)</f>
        <v>24</v>
      </c>
      <c r="F259" s="15">
        <f>ROUND(Categorias_Registro[[#This Row],[Mínimo]]+((Categorias_Registro[[#This Row],[Máximo]]-Categorias_Registro[[#This Row],[Mínimo]])/2),0)</f>
        <v>2326</v>
      </c>
      <c r="G259" s="78">
        <f>VLOOKUP(Categorias_Registro[[#This Row],[Puntos]],Categorias_Configuracion[],MATCH(Categorias_Configuracion[[#Headers],[% Amplitud]],Categorias_Configuracion[#Headers],0),TRUE)</f>
        <v>0.15</v>
      </c>
      <c r="H259" s="15" t="str">
        <f ca="1">TEXT(Categorias_Registro[[#This Row],[Mínimo]],Formato_Rango_Categorias)&amp;" - "&amp;TEXT(Categorias_Registro[[#This Row],[Máximo]],Formato_Rango_Categorias)</f>
        <v>2.164 - 2.487</v>
      </c>
    </row>
    <row r="260" spans="2:8">
      <c r="B260" s="15">
        <f>Techo - ROW() + ROW(Categorias_Registro[])</f>
        <v>2369</v>
      </c>
      <c r="C260" s="15">
        <f>IF(Categorias_Registro[[#This Row],[Puntos]]&lt;=ROUND(Piso,0),Piso,IF(Categorias_Registro[[#This Row],[Puntos]]&lt;D261,C261,D261+1))</f>
        <v>2164</v>
      </c>
      <c r="D260" s="15">
        <f>IF(Categorias_Registro[[#This Row],[Puntos]]=ROUND(Piso,0),ROUND(Categorias_Registro[[#This Row],[Puntos]]*(1+Categorias_Registro[[#This Row],[Amplitud]]),0),IF(Categorias_Registro[[#This Row],[Puntos]]&lt;D261,D261,ROUND(D261*(1+Categorias_Registro[[#This Row],[Amplitud]]),0)))</f>
        <v>2487</v>
      </c>
      <c r="E260" s="15">
        <f>E261+IF(D261=Categorias_Registro[[#This Row],[Máximo]],0,1)</f>
        <v>24</v>
      </c>
      <c r="F260" s="15">
        <f>ROUND(Categorias_Registro[[#This Row],[Mínimo]]+((Categorias_Registro[[#This Row],[Máximo]]-Categorias_Registro[[#This Row],[Mínimo]])/2),0)</f>
        <v>2326</v>
      </c>
      <c r="G260" s="78">
        <f>VLOOKUP(Categorias_Registro[[#This Row],[Puntos]],Categorias_Configuracion[],MATCH(Categorias_Configuracion[[#Headers],[% Amplitud]],Categorias_Configuracion[#Headers],0),TRUE)</f>
        <v>0.15</v>
      </c>
      <c r="H260" s="15" t="str">
        <f ca="1">TEXT(Categorias_Registro[[#This Row],[Mínimo]],Formato_Rango_Categorias)&amp;" - "&amp;TEXT(Categorias_Registro[[#This Row],[Máximo]],Formato_Rango_Categorias)</f>
        <v>2.164 - 2.487</v>
      </c>
    </row>
    <row r="261" spans="2:8">
      <c r="B261" s="15">
        <f>Techo - ROW() + ROW(Categorias_Registro[])</f>
        <v>2368</v>
      </c>
      <c r="C261" s="15">
        <f>IF(Categorias_Registro[[#This Row],[Puntos]]&lt;=ROUND(Piso,0),Piso,IF(Categorias_Registro[[#This Row],[Puntos]]&lt;D262,C262,D262+1))</f>
        <v>2164</v>
      </c>
      <c r="D261" s="15">
        <f>IF(Categorias_Registro[[#This Row],[Puntos]]=ROUND(Piso,0),ROUND(Categorias_Registro[[#This Row],[Puntos]]*(1+Categorias_Registro[[#This Row],[Amplitud]]),0),IF(Categorias_Registro[[#This Row],[Puntos]]&lt;D262,D262,ROUND(D262*(1+Categorias_Registro[[#This Row],[Amplitud]]),0)))</f>
        <v>2487</v>
      </c>
      <c r="E261" s="15">
        <f>E262+IF(D262=Categorias_Registro[[#This Row],[Máximo]],0,1)</f>
        <v>24</v>
      </c>
      <c r="F261" s="15">
        <f>ROUND(Categorias_Registro[[#This Row],[Mínimo]]+((Categorias_Registro[[#This Row],[Máximo]]-Categorias_Registro[[#This Row],[Mínimo]])/2),0)</f>
        <v>2326</v>
      </c>
      <c r="G261" s="78">
        <f>VLOOKUP(Categorias_Registro[[#This Row],[Puntos]],Categorias_Configuracion[],MATCH(Categorias_Configuracion[[#Headers],[% Amplitud]],Categorias_Configuracion[#Headers],0),TRUE)</f>
        <v>0.15</v>
      </c>
      <c r="H261" s="15" t="str">
        <f ca="1">TEXT(Categorias_Registro[[#This Row],[Mínimo]],Formato_Rango_Categorias)&amp;" - "&amp;TEXT(Categorias_Registro[[#This Row],[Máximo]],Formato_Rango_Categorias)</f>
        <v>2.164 - 2.487</v>
      </c>
    </row>
    <row r="262" spans="2:8">
      <c r="B262" s="15">
        <f>Techo - ROW() + ROW(Categorias_Registro[])</f>
        <v>2367</v>
      </c>
      <c r="C262" s="15">
        <f>IF(Categorias_Registro[[#This Row],[Puntos]]&lt;=ROUND(Piso,0),Piso,IF(Categorias_Registro[[#This Row],[Puntos]]&lt;D263,C263,D263+1))</f>
        <v>2164</v>
      </c>
      <c r="D262" s="15">
        <f>IF(Categorias_Registro[[#This Row],[Puntos]]=ROUND(Piso,0),ROUND(Categorias_Registro[[#This Row],[Puntos]]*(1+Categorias_Registro[[#This Row],[Amplitud]]),0),IF(Categorias_Registro[[#This Row],[Puntos]]&lt;D263,D263,ROUND(D263*(1+Categorias_Registro[[#This Row],[Amplitud]]),0)))</f>
        <v>2487</v>
      </c>
      <c r="E262" s="15">
        <f>E263+IF(D263=Categorias_Registro[[#This Row],[Máximo]],0,1)</f>
        <v>24</v>
      </c>
      <c r="F262" s="15">
        <f>ROUND(Categorias_Registro[[#This Row],[Mínimo]]+((Categorias_Registro[[#This Row],[Máximo]]-Categorias_Registro[[#This Row],[Mínimo]])/2),0)</f>
        <v>2326</v>
      </c>
      <c r="G262" s="78">
        <f>VLOOKUP(Categorias_Registro[[#This Row],[Puntos]],Categorias_Configuracion[],MATCH(Categorias_Configuracion[[#Headers],[% Amplitud]],Categorias_Configuracion[#Headers],0),TRUE)</f>
        <v>0.15</v>
      </c>
      <c r="H262" s="15" t="str">
        <f ca="1">TEXT(Categorias_Registro[[#This Row],[Mínimo]],Formato_Rango_Categorias)&amp;" - "&amp;TEXT(Categorias_Registro[[#This Row],[Máximo]],Formato_Rango_Categorias)</f>
        <v>2.164 - 2.487</v>
      </c>
    </row>
    <row r="263" spans="2:8">
      <c r="B263" s="15">
        <f>Techo - ROW() + ROW(Categorias_Registro[])</f>
        <v>2366</v>
      </c>
      <c r="C263" s="15">
        <f>IF(Categorias_Registro[[#This Row],[Puntos]]&lt;=ROUND(Piso,0),Piso,IF(Categorias_Registro[[#This Row],[Puntos]]&lt;D264,C264,D264+1))</f>
        <v>2164</v>
      </c>
      <c r="D263" s="15">
        <f>IF(Categorias_Registro[[#This Row],[Puntos]]=ROUND(Piso,0),ROUND(Categorias_Registro[[#This Row],[Puntos]]*(1+Categorias_Registro[[#This Row],[Amplitud]]),0),IF(Categorias_Registro[[#This Row],[Puntos]]&lt;D264,D264,ROUND(D264*(1+Categorias_Registro[[#This Row],[Amplitud]]),0)))</f>
        <v>2487</v>
      </c>
      <c r="E263" s="15">
        <f>E264+IF(D264=Categorias_Registro[[#This Row],[Máximo]],0,1)</f>
        <v>24</v>
      </c>
      <c r="F263" s="15">
        <f>ROUND(Categorias_Registro[[#This Row],[Mínimo]]+((Categorias_Registro[[#This Row],[Máximo]]-Categorias_Registro[[#This Row],[Mínimo]])/2),0)</f>
        <v>2326</v>
      </c>
      <c r="G263" s="78">
        <f>VLOOKUP(Categorias_Registro[[#This Row],[Puntos]],Categorias_Configuracion[],MATCH(Categorias_Configuracion[[#Headers],[% Amplitud]],Categorias_Configuracion[#Headers],0),TRUE)</f>
        <v>0.15</v>
      </c>
      <c r="H263" s="15" t="str">
        <f ca="1">TEXT(Categorias_Registro[[#This Row],[Mínimo]],Formato_Rango_Categorias)&amp;" - "&amp;TEXT(Categorias_Registro[[#This Row],[Máximo]],Formato_Rango_Categorias)</f>
        <v>2.164 - 2.487</v>
      </c>
    </row>
    <row r="264" spans="2:8">
      <c r="B264" s="15">
        <f>Techo - ROW() + ROW(Categorias_Registro[])</f>
        <v>2365</v>
      </c>
      <c r="C264" s="15">
        <f>IF(Categorias_Registro[[#This Row],[Puntos]]&lt;=ROUND(Piso,0),Piso,IF(Categorias_Registro[[#This Row],[Puntos]]&lt;D265,C265,D265+1))</f>
        <v>2164</v>
      </c>
      <c r="D264" s="15">
        <f>IF(Categorias_Registro[[#This Row],[Puntos]]=ROUND(Piso,0),ROUND(Categorias_Registro[[#This Row],[Puntos]]*(1+Categorias_Registro[[#This Row],[Amplitud]]),0),IF(Categorias_Registro[[#This Row],[Puntos]]&lt;D265,D265,ROUND(D265*(1+Categorias_Registro[[#This Row],[Amplitud]]),0)))</f>
        <v>2487</v>
      </c>
      <c r="E264" s="15">
        <f>E265+IF(D265=Categorias_Registro[[#This Row],[Máximo]],0,1)</f>
        <v>24</v>
      </c>
      <c r="F264" s="15">
        <f>ROUND(Categorias_Registro[[#This Row],[Mínimo]]+((Categorias_Registro[[#This Row],[Máximo]]-Categorias_Registro[[#This Row],[Mínimo]])/2),0)</f>
        <v>2326</v>
      </c>
      <c r="G264" s="78">
        <f>VLOOKUP(Categorias_Registro[[#This Row],[Puntos]],Categorias_Configuracion[],MATCH(Categorias_Configuracion[[#Headers],[% Amplitud]],Categorias_Configuracion[#Headers],0),TRUE)</f>
        <v>0.15</v>
      </c>
      <c r="H264" s="15" t="str">
        <f ca="1">TEXT(Categorias_Registro[[#This Row],[Mínimo]],Formato_Rango_Categorias)&amp;" - "&amp;TEXT(Categorias_Registro[[#This Row],[Máximo]],Formato_Rango_Categorias)</f>
        <v>2.164 - 2.487</v>
      </c>
    </row>
    <row r="265" spans="2:8">
      <c r="B265" s="15">
        <f>Techo - ROW() + ROW(Categorias_Registro[])</f>
        <v>2364</v>
      </c>
      <c r="C265" s="15">
        <f>IF(Categorias_Registro[[#This Row],[Puntos]]&lt;=ROUND(Piso,0),Piso,IF(Categorias_Registro[[#This Row],[Puntos]]&lt;D266,C266,D266+1))</f>
        <v>2164</v>
      </c>
      <c r="D265" s="15">
        <f>IF(Categorias_Registro[[#This Row],[Puntos]]=ROUND(Piso,0),ROUND(Categorias_Registro[[#This Row],[Puntos]]*(1+Categorias_Registro[[#This Row],[Amplitud]]),0),IF(Categorias_Registro[[#This Row],[Puntos]]&lt;D266,D266,ROUND(D266*(1+Categorias_Registro[[#This Row],[Amplitud]]),0)))</f>
        <v>2487</v>
      </c>
      <c r="E265" s="15">
        <f>E266+IF(D266=Categorias_Registro[[#This Row],[Máximo]],0,1)</f>
        <v>24</v>
      </c>
      <c r="F265" s="15">
        <f>ROUND(Categorias_Registro[[#This Row],[Mínimo]]+((Categorias_Registro[[#This Row],[Máximo]]-Categorias_Registro[[#This Row],[Mínimo]])/2),0)</f>
        <v>2326</v>
      </c>
      <c r="G265" s="78">
        <f>VLOOKUP(Categorias_Registro[[#This Row],[Puntos]],Categorias_Configuracion[],MATCH(Categorias_Configuracion[[#Headers],[% Amplitud]],Categorias_Configuracion[#Headers],0),TRUE)</f>
        <v>0.15</v>
      </c>
      <c r="H265" s="15" t="str">
        <f ca="1">TEXT(Categorias_Registro[[#This Row],[Mínimo]],Formato_Rango_Categorias)&amp;" - "&amp;TEXT(Categorias_Registro[[#This Row],[Máximo]],Formato_Rango_Categorias)</f>
        <v>2.164 - 2.487</v>
      </c>
    </row>
    <row r="266" spans="2:8">
      <c r="B266" s="15">
        <f>Techo - ROW() + ROW(Categorias_Registro[])</f>
        <v>2363</v>
      </c>
      <c r="C266" s="15">
        <f>IF(Categorias_Registro[[#This Row],[Puntos]]&lt;=ROUND(Piso,0),Piso,IF(Categorias_Registro[[#This Row],[Puntos]]&lt;D267,C267,D267+1))</f>
        <v>2164</v>
      </c>
      <c r="D266" s="15">
        <f>IF(Categorias_Registro[[#This Row],[Puntos]]=ROUND(Piso,0),ROUND(Categorias_Registro[[#This Row],[Puntos]]*(1+Categorias_Registro[[#This Row],[Amplitud]]),0),IF(Categorias_Registro[[#This Row],[Puntos]]&lt;D267,D267,ROUND(D267*(1+Categorias_Registro[[#This Row],[Amplitud]]),0)))</f>
        <v>2487</v>
      </c>
      <c r="E266" s="15">
        <f>E267+IF(D267=Categorias_Registro[[#This Row],[Máximo]],0,1)</f>
        <v>24</v>
      </c>
      <c r="F266" s="15">
        <f>ROUND(Categorias_Registro[[#This Row],[Mínimo]]+((Categorias_Registro[[#This Row],[Máximo]]-Categorias_Registro[[#This Row],[Mínimo]])/2),0)</f>
        <v>2326</v>
      </c>
      <c r="G266" s="78">
        <f>VLOOKUP(Categorias_Registro[[#This Row],[Puntos]],Categorias_Configuracion[],MATCH(Categorias_Configuracion[[#Headers],[% Amplitud]],Categorias_Configuracion[#Headers],0),TRUE)</f>
        <v>0.15</v>
      </c>
      <c r="H266" s="15" t="str">
        <f ca="1">TEXT(Categorias_Registro[[#This Row],[Mínimo]],Formato_Rango_Categorias)&amp;" - "&amp;TEXT(Categorias_Registro[[#This Row],[Máximo]],Formato_Rango_Categorias)</f>
        <v>2.164 - 2.487</v>
      </c>
    </row>
    <row r="267" spans="2:8">
      <c r="B267" s="15">
        <f>Techo - ROW() + ROW(Categorias_Registro[])</f>
        <v>2362</v>
      </c>
      <c r="C267" s="15">
        <f>IF(Categorias_Registro[[#This Row],[Puntos]]&lt;=ROUND(Piso,0),Piso,IF(Categorias_Registro[[#This Row],[Puntos]]&lt;D268,C268,D268+1))</f>
        <v>2164</v>
      </c>
      <c r="D267" s="15">
        <f>IF(Categorias_Registro[[#This Row],[Puntos]]=ROUND(Piso,0),ROUND(Categorias_Registro[[#This Row],[Puntos]]*(1+Categorias_Registro[[#This Row],[Amplitud]]),0),IF(Categorias_Registro[[#This Row],[Puntos]]&lt;D268,D268,ROUND(D268*(1+Categorias_Registro[[#This Row],[Amplitud]]),0)))</f>
        <v>2487</v>
      </c>
      <c r="E267" s="15">
        <f>E268+IF(D268=Categorias_Registro[[#This Row],[Máximo]],0,1)</f>
        <v>24</v>
      </c>
      <c r="F267" s="15">
        <f>ROUND(Categorias_Registro[[#This Row],[Mínimo]]+((Categorias_Registro[[#This Row],[Máximo]]-Categorias_Registro[[#This Row],[Mínimo]])/2),0)</f>
        <v>2326</v>
      </c>
      <c r="G267" s="78">
        <f>VLOOKUP(Categorias_Registro[[#This Row],[Puntos]],Categorias_Configuracion[],MATCH(Categorias_Configuracion[[#Headers],[% Amplitud]],Categorias_Configuracion[#Headers],0),TRUE)</f>
        <v>0.15</v>
      </c>
      <c r="H267" s="15" t="str">
        <f ca="1">TEXT(Categorias_Registro[[#This Row],[Mínimo]],Formato_Rango_Categorias)&amp;" - "&amp;TEXT(Categorias_Registro[[#This Row],[Máximo]],Formato_Rango_Categorias)</f>
        <v>2.164 - 2.487</v>
      </c>
    </row>
    <row r="268" spans="2:8">
      <c r="B268" s="15">
        <f>Techo - ROW() + ROW(Categorias_Registro[])</f>
        <v>2361</v>
      </c>
      <c r="C268" s="15">
        <f>IF(Categorias_Registro[[#This Row],[Puntos]]&lt;=ROUND(Piso,0),Piso,IF(Categorias_Registro[[#This Row],[Puntos]]&lt;D269,C269,D269+1))</f>
        <v>2164</v>
      </c>
      <c r="D268" s="15">
        <f>IF(Categorias_Registro[[#This Row],[Puntos]]=ROUND(Piso,0),ROUND(Categorias_Registro[[#This Row],[Puntos]]*(1+Categorias_Registro[[#This Row],[Amplitud]]),0),IF(Categorias_Registro[[#This Row],[Puntos]]&lt;D269,D269,ROUND(D269*(1+Categorias_Registro[[#This Row],[Amplitud]]),0)))</f>
        <v>2487</v>
      </c>
      <c r="E268" s="15">
        <f>E269+IF(D269=Categorias_Registro[[#This Row],[Máximo]],0,1)</f>
        <v>24</v>
      </c>
      <c r="F268" s="15">
        <f>ROUND(Categorias_Registro[[#This Row],[Mínimo]]+((Categorias_Registro[[#This Row],[Máximo]]-Categorias_Registro[[#This Row],[Mínimo]])/2),0)</f>
        <v>2326</v>
      </c>
      <c r="G268" s="78">
        <f>VLOOKUP(Categorias_Registro[[#This Row],[Puntos]],Categorias_Configuracion[],MATCH(Categorias_Configuracion[[#Headers],[% Amplitud]],Categorias_Configuracion[#Headers],0),TRUE)</f>
        <v>0.15</v>
      </c>
      <c r="H268" s="15" t="str">
        <f ca="1">TEXT(Categorias_Registro[[#This Row],[Mínimo]],Formato_Rango_Categorias)&amp;" - "&amp;TEXT(Categorias_Registro[[#This Row],[Máximo]],Formato_Rango_Categorias)</f>
        <v>2.164 - 2.487</v>
      </c>
    </row>
    <row r="269" spans="2:8">
      <c r="B269" s="15">
        <f>Techo - ROW() + ROW(Categorias_Registro[])</f>
        <v>2360</v>
      </c>
      <c r="C269" s="15">
        <f>IF(Categorias_Registro[[#This Row],[Puntos]]&lt;=ROUND(Piso,0),Piso,IF(Categorias_Registro[[#This Row],[Puntos]]&lt;D270,C270,D270+1))</f>
        <v>2164</v>
      </c>
      <c r="D269" s="15">
        <f>IF(Categorias_Registro[[#This Row],[Puntos]]=ROUND(Piso,0),ROUND(Categorias_Registro[[#This Row],[Puntos]]*(1+Categorias_Registro[[#This Row],[Amplitud]]),0),IF(Categorias_Registro[[#This Row],[Puntos]]&lt;D270,D270,ROUND(D270*(1+Categorias_Registro[[#This Row],[Amplitud]]),0)))</f>
        <v>2487</v>
      </c>
      <c r="E269" s="15">
        <f>E270+IF(D270=Categorias_Registro[[#This Row],[Máximo]],0,1)</f>
        <v>24</v>
      </c>
      <c r="F269" s="15">
        <f>ROUND(Categorias_Registro[[#This Row],[Mínimo]]+((Categorias_Registro[[#This Row],[Máximo]]-Categorias_Registro[[#This Row],[Mínimo]])/2),0)</f>
        <v>2326</v>
      </c>
      <c r="G269" s="78">
        <f>VLOOKUP(Categorias_Registro[[#This Row],[Puntos]],Categorias_Configuracion[],MATCH(Categorias_Configuracion[[#Headers],[% Amplitud]],Categorias_Configuracion[#Headers],0),TRUE)</f>
        <v>0.15</v>
      </c>
      <c r="H269" s="15" t="str">
        <f ca="1">TEXT(Categorias_Registro[[#This Row],[Mínimo]],Formato_Rango_Categorias)&amp;" - "&amp;TEXT(Categorias_Registro[[#This Row],[Máximo]],Formato_Rango_Categorias)</f>
        <v>2.164 - 2.487</v>
      </c>
    </row>
    <row r="270" spans="2:8">
      <c r="B270" s="15">
        <f>Techo - ROW() + ROW(Categorias_Registro[])</f>
        <v>2359</v>
      </c>
      <c r="C270" s="15">
        <f>IF(Categorias_Registro[[#This Row],[Puntos]]&lt;=ROUND(Piso,0),Piso,IF(Categorias_Registro[[#This Row],[Puntos]]&lt;D271,C271,D271+1))</f>
        <v>2164</v>
      </c>
      <c r="D270" s="15">
        <f>IF(Categorias_Registro[[#This Row],[Puntos]]=ROUND(Piso,0),ROUND(Categorias_Registro[[#This Row],[Puntos]]*(1+Categorias_Registro[[#This Row],[Amplitud]]),0),IF(Categorias_Registro[[#This Row],[Puntos]]&lt;D271,D271,ROUND(D271*(1+Categorias_Registro[[#This Row],[Amplitud]]),0)))</f>
        <v>2487</v>
      </c>
      <c r="E270" s="15">
        <f>E271+IF(D271=Categorias_Registro[[#This Row],[Máximo]],0,1)</f>
        <v>24</v>
      </c>
      <c r="F270" s="15">
        <f>ROUND(Categorias_Registro[[#This Row],[Mínimo]]+((Categorias_Registro[[#This Row],[Máximo]]-Categorias_Registro[[#This Row],[Mínimo]])/2),0)</f>
        <v>2326</v>
      </c>
      <c r="G270" s="78">
        <f>VLOOKUP(Categorias_Registro[[#This Row],[Puntos]],Categorias_Configuracion[],MATCH(Categorias_Configuracion[[#Headers],[% Amplitud]],Categorias_Configuracion[#Headers],0),TRUE)</f>
        <v>0.15</v>
      </c>
      <c r="H270" s="15" t="str">
        <f ca="1">TEXT(Categorias_Registro[[#This Row],[Mínimo]],Formato_Rango_Categorias)&amp;" - "&amp;TEXT(Categorias_Registro[[#This Row],[Máximo]],Formato_Rango_Categorias)</f>
        <v>2.164 - 2.487</v>
      </c>
    </row>
    <row r="271" spans="2:8">
      <c r="B271" s="15">
        <f>Techo - ROW() + ROW(Categorias_Registro[])</f>
        <v>2358</v>
      </c>
      <c r="C271" s="15">
        <f>IF(Categorias_Registro[[#This Row],[Puntos]]&lt;=ROUND(Piso,0),Piso,IF(Categorias_Registro[[#This Row],[Puntos]]&lt;D272,C272,D272+1))</f>
        <v>2164</v>
      </c>
      <c r="D271" s="15">
        <f>IF(Categorias_Registro[[#This Row],[Puntos]]=ROUND(Piso,0),ROUND(Categorias_Registro[[#This Row],[Puntos]]*(1+Categorias_Registro[[#This Row],[Amplitud]]),0),IF(Categorias_Registro[[#This Row],[Puntos]]&lt;D272,D272,ROUND(D272*(1+Categorias_Registro[[#This Row],[Amplitud]]),0)))</f>
        <v>2487</v>
      </c>
      <c r="E271" s="15">
        <f>E272+IF(D272=Categorias_Registro[[#This Row],[Máximo]],0,1)</f>
        <v>24</v>
      </c>
      <c r="F271" s="15">
        <f>ROUND(Categorias_Registro[[#This Row],[Mínimo]]+((Categorias_Registro[[#This Row],[Máximo]]-Categorias_Registro[[#This Row],[Mínimo]])/2),0)</f>
        <v>2326</v>
      </c>
      <c r="G271" s="78">
        <f>VLOOKUP(Categorias_Registro[[#This Row],[Puntos]],Categorias_Configuracion[],MATCH(Categorias_Configuracion[[#Headers],[% Amplitud]],Categorias_Configuracion[#Headers],0),TRUE)</f>
        <v>0.15</v>
      </c>
      <c r="H271" s="15" t="str">
        <f ca="1">TEXT(Categorias_Registro[[#This Row],[Mínimo]],Formato_Rango_Categorias)&amp;" - "&amp;TEXT(Categorias_Registro[[#This Row],[Máximo]],Formato_Rango_Categorias)</f>
        <v>2.164 - 2.487</v>
      </c>
    </row>
    <row r="272" spans="2:8">
      <c r="B272" s="15">
        <f>Techo - ROW() + ROW(Categorias_Registro[])</f>
        <v>2357</v>
      </c>
      <c r="C272" s="15">
        <f>IF(Categorias_Registro[[#This Row],[Puntos]]&lt;=ROUND(Piso,0),Piso,IF(Categorias_Registro[[#This Row],[Puntos]]&lt;D273,C273,D273+1))</f>
        <v>2164</v>
      </c>
      <c r="D272" s="15">
        <f>IF(Categorias_Registro[[#This Row],[Puntos]]=ROUND(Piso,0),ROUND(Categorias_Registro[[#This Row],[Puntos]]*(1+Categorias_Registro[[#This Row],[Amplitud]]),0),IF(Categorias_Registro[[#This Row],[Puntos]]&lt;D273,D273,ROUND(D273*(1+Categorias_Registro[[#This Row],[Amplitud]]),0)))</f>
        <v>2487</v>
      </c>
      <c r="E272" s="15">
        <f>E273+IF(D273=Categorias_Registro[[#This Row],[Máximo]],0,1)</f>
        <v>24</v>
      </c>
      <c r="F272" s="15">
        <f>ROUND(Categorias_Registro[[#This Row],[Mínimo]]+((Categorias_Registro[[#This Row],[Máximo]]-Categorias_Registro[[#This Row],[Mínimo]])/2),0)</f>
        <v>2326</v>
      </c>
      <c r="G272" s="78">
        <f>VLOOKUP(Categorias_Registro[[#This Row],[Puntos]],Categorias_Configuracion[],MATCH(Categorias_Configuracion[[#Headers],[% Amplitud]],Categorias_Configuracion[#Headers],0),TRUE)</f>
        <v>0.15</v>
      </c>
      <c r="H272" s="15" t="str">
        <f ca="1">TEXT(Categorias_Registro[[#This Row],[Mínimo]],Formato_Rango_Categorias)&amp;" - "&amp;TEXT(Categorias_Registro[[#This Row],[Máximo]],Formato_Rango_Categorias)</f>
        <v>2.164 - 2.487</v>
      </c>
    </row>
    <row r="273" spans="2:8">
      <c r="B273" s="15">
        <f>Techo - ROW() + ROW(Categorias_Registro[])</f>
        <v>2356</v>
      </c>
      <c r="C273" s="15">
        <f>IF(Categorias_Registro[[#This Row],[Puntos]]&lt;=ROUND(Piso,0),Piso,IF(Categorias_Registro[[#This Row],[Puntos]]&lt;D274,C274,D274+1))</f>
        <v>2164</v>
      </c>
      <c r="D273" s="15">
        <f>IF(Categorias_Registro[[#This Row],[Puntos]]=ROUND(Piso,0),ROUND(Categorias_Registro[[#This Row],[Puntos]]*(1+Categorias_Registro[[#This Row],[Amplitud]]),0),IF(Categorias_Registro[[#This Row],[Puntos]]&lt;D274,D274,ROUND(D274*(1+Categorias_Registro[[#This Row],[Amplitud]]),0)))</f>
        <v>2487</v>
      </c>
      <c r="E273" s="15">
        <f>E274+IF(D274=Categorias_Registro[[#This Row],[Máximo]],0,1)</f>
        <v>24</v>
      </c>
      <c r="F273" s="15">
        <f>ROUND(Categorias_Registro[[#This Row],[Mínimo]]+((Categorias_Registro[[#This Row],[Máximo]]-Categorias_Registro[[#This Row],[Mínimo]])/2),0)</f>
        <v>2326</v>
      </c>
      <c r="G273" s="78">
        <f>VLOOKUP(Categorias_Registro[[#This Row],[Puntos]],Categorias_Configuracion[],MATCH(Categorias_Configuracion[[#Headers],[% Amplitud]],Categorias_Configuracion[#Headers],0),TRUE)</f>
        <v>0.15</v>
      </c>
      <c r="H273" s="15" t="str">
        <f ca="1">TEXT(Categorias_Registro[[#This Row],[Mínimo]],Formato_Rango_Categorias)&amp;" - "&amp;TEXT(Categorias_Registro[[#This Row],[Máximo]],Formato_Rango_Categorias)</f>
        <v>2.164 - 2.487</v>
      </c>
    </row>
    <row r="274" spans="2:8">
      <c r="B274" s="15">
        <f>Techo - ROW() + ROW(Categorias_Registro[])</f>
        <v>2355</v>
      </c>
      <c r="C274" s="15">
        <f>IF(Categorias_Registro[[#This Row],[Puntos]]&lt;=ROUND(Piso,0),Piso,IF(Categorias_Registro[[#This Row],[Puntos]]&lt;D275,C275,D275+1))</f>
        <v>2164</v>
      </c>
      <c r="D274" s="15">
        <f>IF(Categorias_Registro[[#This Row],[Puntos]]=ROUND(Piso,0),ROUND(Categorias_Registro[[#This Row],[Puntos]]*(1+Categorias_Registro[[#This Row],[Amplitud]]),0),IF(Categorias_Registro[[#This Row],[Puntos]]&lt;D275,D275,ROUND(D275*(1+Categorias_Registro[[#This Row],[Amplitud]]),0)))</f>
        <v>2487</v>
      </c>
      <c r="E274" s="15">
        <f>E275+IF(D275=Categorias_Registro[[#This Row],[Máximo]],0,1)</f>
        <v>24</v>
      </c>
      <c r="F274" s="15">
        <f>ROUND(Categorias_Registro[[#This Row],[Mínimo]]+((Categorias_Registro[[#This Row],[Máximo]]-Categorias_Registro[[#This Row],[Mínimo]])/2),0)</f>
        <v>2326</v>
      </c>
      <c r="G274" s="78">
        <f>VLOOKUP(Categorias_Registro[[#This Row],[Puntos]],Categorias_Configuracion[],MATCH(Categorias_Configuracion[[#Headers],[% Amplitud]],Categorias_Configuracion[#Headers],0),TRUE)</f>
        <v>0.15</v>
      </c>
      <c r="H274" s="15" t="str">
        <f ca="1">TEXT(Categorias_Registro[[#This Row],[Mínimo]],Formato_Rango_Categorias)&amp;" - "&amp;TEXT(Categorias_Registro[[#This Row],[Máximo]],Formato_Rango_Categorias)</f>
        <v>2.164 - 2.487</v>
      </c>
    </row>
    <row r="275" spans="2:8">
      <c r="B275" s="15">
        <f>Techo - ROW() + ROW(Categorias_Registro[])</f>
        <v>2354</v>
      </c>
      <c r="C275" s="15">
        <f>IF(Categorias_Registro[[#This Row],[Puntos]]&lt;=ROUND(Piso,0),Piso,IF(Categorias_Registro[[#This Row],[Puntos]]&lt;D276,C276,D276+1))</f>
        <v>2164</v>
      </c>
      <c r="D275" s="15">
        <f>IF(Categorias_Registro[[#This Row],[Puntos]]=ROUND(Piso,0),ROUND(Categorias_Registro[[#This Row],[Puntos]]*(1+Categorias_Registro[[#This Row],[Amplitud]]),0),IF(Categorias_Registro[[#This Row],[Puntos]]&lt;D276,D276,ROUND(D276*(1+Categorias_Registro[[#This Row],[Amplitud]]),0)))</f>
        <v>2487</v>
      </c>
      <c r="E275" s="15">
        <f>E276+IF(D276=Categorias_Registro[[#This Row],[Máximo]],0,1)</f>
        <v>24</v>
      </c>
      <c r="F275" s="15">
        <f>ROUND(Categorias_Registro[[#This Row],[Mínimo]]+((Categorias_Registro[[#This Row],[Máximo]]-Categorias_Registro[[#This Row],[Mínimo]])/2),0)</f>
        <v>2326</v>
      </c>
      <c r="G275" s="78">
        <f>VLOOKUP(Categorias_Registro[[#This Row],[Puntos]],Categorias_Configuracion[],MATCH(Categorias_Configuracion[[#Headers],[% Amplitud]],Categorias_Configuracion[#Headers],0),TRUE)</f>
        <v>0.15</v>
      </c>
      <c r="H275" s="15" t="str">
        <f ca="1">TEXT(Categorias_Registro[[#This Row],[Mínimo]],Formato_Rango_Categorias)&amp;" - "&amp;TEXT(Categorias_Registro[[#This Row],[Máximo]],Formato_Rango_Categorias)</f>
        <v>2.164 - 2.487</v>
      </c>
    </row>
    <row r="276" spans="2:8">
      <c r="B276" s="15">
        <f>Techo - ROW() + ROW(Categorias_Registro[])</f>
        <v>2353</v>
      </c>
      <c r="C276" s="15">
        <f>IF(Categorias_Registro[[#This Row],[Puntos]]&lt;=ROUND(Piso,0),Piso,IF(Categorias_Registro[[#This Row],[Puntos]]&lt;D277,C277,D277+1))</f>
        <v>2164</v>
      </c>
      <c r="D276" s="15">
        <f>IF(Categorias_Registro[[#This Row],[Puntos]]=ROUND(Piso,0),ROUND(Categorias_Registro[[#This Row],[Puntos]]*(1+Categorias_Registro[[#This Row],[Amplitud]]),0),IF(Categorias_Registro[[#This Row],[Puntos]]&lt;D277,D277,ROUND(D277*(1+Categorias_Registro[[#This Row],[Amplitud]]),0)))</f>
        <v>2487</v>
      </c>
      <c r="E276" s="15">
        <f>E277+IF(D277=Categorias_Registro[[#This Row],[Máximo]],0,1)</f>
        <v>24</v>
      </c>
      <c r="F276" s="15">
        <f>ROUND(Categorias_Registro[[#This Row],[Mínimo]]+((Categorias_Registro[[#This Row],[Máximo]]-Categorias_Registro[[#This Row],[Mínimo]])/2),0)</f>
        <v>2326</v>
      </c>
      <c r="G276" s="78">
        <f>VLOOKUP(Categorias_Registro[[#This Row],[Puntos]],Categorias_Configuracion[],MATCH(Categorias_Configuracion[[#Headers],[% Amplitud]],Categorias_Configuracion[#Headers],0),TRUE)</f>
        <v>0.15</v>
      </c>
      <c r="H276" s="15" t="str">
        <f ca="1">TEXT(Categorias_Registro[[#This Row],[Mínimo]],Formato_Rango_Categorias)&amp;" - "&amp;TEXT(Categorias_Registro[[#This Row],[Máximo]],Formato_Rango_Categorias)</f>
        <v>2.164 - 2.487</v>
      </c>
    </row>
    <row r="277" spans="2:8">
      <c r="B277" s="15">
        <f>Techo - ROW() + ROW(Categorias_Registro[])</f>
        <v>2352</v>
      </c>
      <c r="C277" s="15">
        <f>IF(Categorias_Registro[[#This Row],[Puntos]]&lt;=ROUND(Piso,0),Piso,IF(Categorias_Registro[[#This Row],[Puntos]]&lt;D278,C278,D278+1))</f>
        <v>2164</v>
      </c>
      <c r="D277" s="15">
        <f>IF(Categorias_Registro[[#This Row],[Puntos]]=ROUND(Piso,0),ROUND(Categorias_Registro[[#This Row],[Puntos]]*(1+Categorias_Registro[[#This Row],[Amplitud]]),0),IF(Categorias_Registro[[#This Row],[Puntos]]&lt;D278,D278,ROUND(D278*(1+Categorias_Registro[[#This Row],[Amplitud]]),0)))</f>
        <v>2487</v>
      </c>
      <c r="E277" s="15">
        <f>E278+IF(D278=Categorias_Registro[[#This Row],[Máximo]],0,1)</f>
        <v>24</v>
      </c>
      <c r="F277" s="15">
        <f>ROUND(Categorias_Registro[[#This Row],[Mínimo]]+((Categorias_Registro[[#This Row],[Máximo]]-Categorias_Registro[[#This Row],[Mínimo]])/2),0)</f>
        <v>2326</v>
      </c>
      <c r="G277" s="78">
        <f>VLOOKUP(Categorias_Registro[[#This Row],[Puntos]],Categorias_Configuracion[],MATCH(Categorias_Configuracion[[#Headers],[% Amplitud]],Categorias_Configuracion[#Headers],0),TRUE)</f>
        <v>0.15</v>
      </c>
      <c r="H277" s="15" t="str">
        <f ca="1">TEXT(Categorias_Registro[[#This Row],[Mínimo]],Formato_Rango_Categorias)&amp;" - "&amp;TEXT(Categorias_Registro[[#This Row],[Máximo]],Formato_Rango_Categorias)</f>
        <v>2.164 - 2.487</v>
      </c>
    </row>
    <row r="278" spans="2:8">
      <c r="B278" s="15">
        <f>Techo - ROW() + ROW(Categorias_Registro[])</f>
        <v>2351</v>
      </c>
      <c r="C278" s="15">
        <f>IF(Categorias_Registro[[#This Row],[Puntos]]&lt;=ROUND(Piso,0),Piso,IF(Categorias_Registro[[#This Row],[Puntos]]&lt;D279,C279,D279+1))</f>
        <v>2164</v>
      </c>
      <c r="D278" s="15">
        <f>IF(Categorias_Registro[[#This Row],[Puntos]]=ROUND(Piso,0),ROUND(Categorias_Registro[[#This Row],[Puntos]]*(1+Categorias_Registro[[#This Row],[Amplitud]]),0),IF(Categorias_Registro[[#This Row],[Puntos]]&lt;D279,D279,ROUND(D279*(1+Categorias_Registro[[#This Row],[Amplitud]]),0)))</f>
        <v>2487</v>
      </c>
      <c r="E278" s="15">
        <f>E279+IF(D279=Categorias_Registro[[#This Row],[Máximo]],0,1)</f>
        <v>24</v>
      </c>
      <c r="F278" s="15">
        <f>ROUND(Categorias_Registro[[#This Row],[Mínimo]]+((Categorias_Registro[[#This Row],[Máximo]]-Categorias_Registro[[#This Row],[Mínimo]])/2),0)</f>
        <v>2326</v>
      </c>
      <c r="G278" s="78">
        <f>VLOOKUP(Categorias_Registro[[#This Row],[Puntos]],Categorias_Configuracion[],MATCH(Categorias_Configuracion[[#Headers],[% Amplitud]],Categorias_Configuracion[#Headers],0),TRUE)</f>
        <v>0.15</v>
      </c>
      <c r="H278" s="15" t="str">
        <f ca="1">TEXT(Categorias_Registro[[#This Row],[Mínimo]],Formato_Rango_Categorias)&amp;" - "&amp;TEXT(Categorias_Registro[[#This Row],[Máximo]],Formato_Rango_Categorias)</f>
        <v>2.164 - 2.487</v>
      </c>
    </row>
    <row r="279" spans="2:8">
      <c r="B279" s="15">
        <f>Techo - ROW() + ROW(Categorias_Registro[])</f>
        <v>2350</v>
      </c>
      <c r="C279" s="15">
        <f>IF(Categorias_Registro[[#This Row],[Puntos]]&lt;=ROUND(Piso,0),Piso,IF(Categorias_Registro[[#This Row],[Puntos]]&lt;D280,C280,D280+1))</f>
        <v>2164</v>
      </c>
      <c r="D279" s="15">
        <f>IF(Categorias_Registro[[#This Row],[Puntos]]=ROUND(Piso,0),ROUND(Categorias_Registro[[#This Row],[Puntos]]*(1+Categorias_Registro[[#This Row],[Amplitud]]),0),IF(Categorias_Registro[[#This Row],[Puntos]]&lt;D280,D280,ROUND(D280*(1+Categorias_Registro[[#This Row],[Amplitud]]),0)))</f>
        <v>2487</v>
      </c>
      <c r="E279" s="15">
        <f>E280+IF(D280=Categorias_Registro[[#This Row],[Máximo]],0,1)</f>
        <v>24</v>
      </c>
      <c r="F279" s="15">
        <f>ROUND(Categorias_Registro[[#This Row],[Mínimo]]+((Categorias_Registro[[#This Row],[Máximo]]-Categorias_Registro[[#This Row],[Mínimo]])/2),0)</f>
        <v>2326</v>
      </c>
      <c r="G279" s="78">
        <f>VLOOKUP(Categorias_Registro[[#This Row],[Puntos]],Categorias_Configuracion[],MATCH(Categorias_Configuracion[[#Headers],[% Amplitud]],Categorias_Configuracion[#Headers],0),TRUE)</f>
        <v>0.15</v>
      </c>
      <c r="H279" s="15" t="str">
        <f ca="1">TEXT(Categorias_Registro[[#This Row],[Mínimo]],Formato_Rango_Categorias)&amp;" - "&amp;TEXT(Categorias_Registro[[#This Row],[Máximo]],Formato_Rango_Categorias)</f>
        <v>2.164 - 2.487</v>
      </c>
    </row>
    <row r="280" spans="2:8">
      <c r="B280" s="15">
        <f>Techo - ROW() + ROW(Categorias_Registro[])</f>
        <v>2349</v>
      </c>
      <c r="C280" s="15">
        <f>IF(Categorias_Registro[[#This Row],[Puntos]]&lt;=ROUND(Piso,0),Piso,IF(Categorias_Registro[[#This Row],[Puntos]]&lt;D281,C281,D281+1))</f>
        <v>2164</v>
      </c>
      <c r="D280" s="15">
        <f>IF(Categorias_Registro[[#This Row],[Puntos]]=ROUND(Piso,0),ROUND(Categorias_Registro[[#This Row],[Puntos]]*(1+Categorias_Registro[[#This Row],[Amplitud]]),0),IF(Categorias_Registro[[#This Row],[Puntos]]&lt;D281,D281,ROUND(D281*(1+Categorias_Registro[[#This Row],[Amplitud]]),0)))</f>
        <v>2487</v>
      </c>
      <c r="E280" s="15">
        <f>E281+IF(D281=Categorias_Registro[[#This Row],[Máximo]],0,1)</f>
        <v>24</v>
      </c>
      <c r="F280" s="15">
        <f>ROUND(Categorias_Registro[[#This Row],[Mínimo]]+((Categorias_Registro[[#This Row],[Máximo]]-Categorias_Registro[[#This Row],[Mínimo]])/2),0)</f>
        <v>2326</v>
      </c>
      <c r="G280" s="78">
        <f>VLOOKUP(Categorias_Registro[[#This Row],[Puntos]],Categorias_Configuracion[],MATCH(Categorias_Configuracion[[#Headers],[% Amplitud]],Categorias_Configuracion[#Headers],0),TRUE)</f>
        <v>0.15</v>
      </c>
      <c r="H280" s="15" t="str">
        <f ca="1">TEXT(Categorias_Registro[[#This Row],[Mínimo]],Formato_Rango_Categorias)&amp;" - "&amp;TEXT(Categorias_Registro[[#This Row],[Máximo]],Formato_Rango_Categorias)</f>
        <v>2.164 - 2.487</v>
      </c>
    </row>
    <row r="281" spans="2:8">
      <c r="B281" s="15">
        <f>Techo - ROW() + ROW(Categorias_Registro[])</f>
        <v>2348</v>
      </c>
      <c r="C281" s="15">
        <f>IF(Categorias_Registro[[#This Row],[Puntos]]&lt;=ROUND(Piso,0),Piso,IF(Categorias_Registro[[#This Row],[Puntos]]&lt;D282,C282,D282+1))</f>
        <v>2164</v>
      </c>
      <c r="D281" s="15">
        <f>IF(Categorias_Registro[[#This Row],[Puntos]]=ROUND(Piso,0),ROUND(Categorias_Registro[[#This Row],[Puntos]]*(1+Categorias_Registro[[#This Row],[Amplitud]]),0),IF(Categorias_Registro[[#This Row],[Puntos]]&lt;D282,D282,ROUND(D282*(1+Categorias_Registro[[#This Row],[Amplitud]]),0)))</f>
        <v>2487</v>
      </c>
      <c r="E281" s="15">
        <f>E282+IF(D282=Categorias_Registro[[#This Row],[Máximo]],0,1)</f>
        <v>24</v>
      </c>
      <c r="F281" s="15">
        <f>ROUND(Categorias_Registro[[#This Row],[Mínimo]]+((Categorias_Registro[[#This Row],[Máximo]]-Categorias_Registro[[#This Row],[Mínimo]])/2),0)</f>
        <v>2326</v>
      </c>
      <c r="G281" s="78">
        <f>VLOOKUP(Categorias_Registro[[#This Row],[Puntos]],Categorias_Configuracion[],MATCH(Categorias_Configuracion[[#Headers],[% Amplitud]],Categorias_Configuracion[#Headers],0),TRUE)</f>
        <v>0.15</v>
      </c>
      <c r="H281" s="15" t="str">
        <f ca="1">TEXT(Categorias_Registro[[#This Row],[Mínimo]],Formato_Rango_Categorias)&amp;" - "&amp;TEXT(Categorias_Registro[[#This Row],[Máximo]],Formato_Rango_Categorias)</f>
        <v>2.164 - 2.487</v>
      </c>
    </row>
    <row r="282" spans="2:8">
      <c r="B282" s="15">
        <f>Techo - ROW() + ROW(Categorias_Registro[])</f>
        <v>2347</v>
      </c>
      <c r="C282" s="15">
        <f>IF(Categorias_Registro[[#This Row],[Puntos]]&lt;=ROUND(Piso,0),Piso,IF(Categorias_Registro[[#This Row],[Puntos]]&lt;D283,C283,D283+1))</f>
        <v>2164</v>
      </c>
      <c r="D282" s="15">
        <f>IF(Categorias_Registro[[#This Row],[Puntos]]=ROUND(Piso,0),ROUND(Categorias_Registro[[#This Row],[Puntos]]*(1+Categorias_Registro[[#This Row],[Amplitud]]),0),IF(Categorias_Registro[[#This Row],[Puntos]]&lt;D283,D283,ROUND(D283*(1+Categorias_Registro[[#This Row],[Amplitud]]),0)))</f>
        <v>2487</v>
      </c>
      <c r="E282" s="15">
        <f>E283+IF(D283=Categorias_Registro[[#This Row],[Máximo]],0,1)</f>
        <v>24</v>
      </c>
      <c r="F282" s="15">
        <f>ROUND(Categorias_Registro[[#This Row],[Mínimo]]+((Categorias_Registro[[#This Row],[Máximo]]-Categorias_Registro[[#This Row],[Mínimo]])/2),0)</f>
        <v>2326</v>
      </c>
      <c r="G282" s="78">
        <f>VLOOKUP(Categorias_Registro[[#This Row],[Puntos]],Categorias_Configuracion[],MATCH(Categorias_Configuracion[[#Headers],[% Amplitud]],Categorias_Configuracion[#Headers],0),TRUE)</f>
        <v>0.15</v>
      </c>
      <c r="H282" s="15" t="str">
        <f ca="1">TEXT(Categorias_Registro[[#This Row],[Mínimo]],Formato_Rango_Categorias)&amp;" - "&amp;TEXT(Categorias_Registro[[#This Row],[Máximo]],Formato_Rango_Categorias)</f>
        <v>2.164 - 2.487</v>
      </c>
    </row>
    <row r="283" spans="2:8">
      <c r="B283" s="15">
        <f>Techo - ROW() + ROW(Categorias_Registro[])</f>
        <v>2346</v>
      </c>
      <c r="C283" s="15">
        <f>IF(Categorias_Registro[[#This Row],[Puntos]]&lt;=ROUND(Piso,0),Piso,IF(Categorias_Registro[[#This Row],[Puntos]]&lt;D284,C284,D284+1))</f>
        <v>2164</v>
      </c>
      <c r="D283" s="15">
        <f>IF(Categorias_Registro[[#This Row],[Puntos]]=ROUND(Piso,0),ROUND(Categorias_Registro[[#This Row],[Puntos]]*(1+Categorias_Registro[[#This Row],[Amplitud]]),0),IF(Categorias_Registro[[#This Row],[Puntos]]&lt;D284,D284,ROUND(D284*(1+Categorias_Registro[[#This Row],[Amplitud]]),0)))</f>
        <v>2487</v>
      </c>
      <c r="E283" s="15">
        <f>E284+IF(D284=Categorias_Registro[[#This Row],[Máximo]],0,1)</f>
        <v>24</v>
      </c>
      <c r="F283" s="15">
        <f>ROUND(Categorias_Registro[[#This Row],[Mínimo]]+((Categorias_Registro[[#This Row],[Máximo]]-Categorias_Registro[[#This Row],[Mínimo]])/2),0)</f>
        <v>2326</v>
      </c>
      <c r="G283" s="78">
        <f>VLOOKUP(Categorias_Registro[[#This Row],[Puntos]],Categorias_Configuracion[],MATCH(Categorias_Configuracion[[#Headers],[% Amplitud]],Categorias_Configuracion[#Headers],0),TRUE)</f>
        <v>0.15</v>
      </c>
      <c r="H283" s="15" t="str">
        <f ca="1">TEXT(Categorias_Registro[[#This Row],[Mínimo]],Formato_Rango_Categorias)&amp;" - "&amp;TEXT(Categorias_Registro[[#This Row],[Máximo]],Formato_Rango_Categorias)</f>
        <v>2.164 - 2.487</v>
      </c>
    </row>
    <row r="284" spans="2:8">
      <c r="B284" s="15">
        <f>Techo - ROW() + ROW(Categorias_Registro[])</f>
        <v>2345</v>
      </c>
      <c r="C284" s="15">
        <f>IF(Categorias_Registro[[#This Row],[Puntos]]&lt;=ROUND(Piso,0),Piso,IF(Categorias_Registro[[#This Row],[Puntos]]&lt;D285,C285,D285+1))</f>
        <v>2164</v>
      </c>
      <c r="D284" s="15">
        <f>IF(Categorias_Registro[[#This Row],[Puntos]]=ROUND(Piso,0),ROUND(Categorias_Registro[[#This Row],[Puntos]]*(1+Categorias_Registro[[#This Row],[Amplitud]]),0),IF(Categorias_Registro[[#This Row],[Puntos]]&lt;D285,D285,ROUND(D285*(1+Categorias_Registro[[#This Row],[Amplitud]]),0)))</f>
        <v>2487</v>
      </c>
      <c r="E284" s="15">
        <f>E285+IF(D285=Categorias_Registro[[#This Row],[Máximo]],0,1)</f>
        <v>24</v>
      </c>
      <c r="F284" s="15">
        <f>ROUND(Categorias_Registro[[#This Row],[Mínimo]]+((Categorias_Registro[[#This Row],[Máximo]]-Categorias_Registro[[#This Row],[Mínimo]])/2),0)</f>
        <v>2326</v>
      </c>
      <c r="G284" s="78">
        <f>VLOOKUP(Categorias_Registro[[#This Row],[Puntos]],Categorias_Configuracion[],MATCH(Categorias_Configuracion[[#Headers],[% Amplitud]],Categorias_Configuracion[#Headers],0),TRUE)</f>
        <v>0.15</v>
      </c>
      <c r="H284" s="15" t="str">
        <f ca="1">TEXT(Categorias_Registro[[#This Row],[Mínimo]],Formato_Rango_Categorias)&amp;" - "&amp;TEXT(Categorias_Registro[[#This Row],[Máximo]],Formato_Rango_Categorias)</f>
        <v>2.164 - 2.487</v>
      </c>
    </row>
    <row r="285" spans="2:8">
      <c r="B285" s="15">
        <f>Techo - ROW() + ROW(Categorias_Registro[])</f>
        <v>2344</v>
      </c>
      <c r="C285" s="15">
        <f>IF(Categorias_Registro[[#This Row],[Puntos]]&lt;=ROUND(Piso,0),Piso,IF(Categorias_Registro[[#This Row],[Puntos]]&lt;D286,C286,D286+1))</f>
        <v>2164</v>
      </c>
      <c r="D285" s="15">
        <f>IF(Categorias_Registro[[#This Row],[Puntos]]=ROUND(Piso,0),ROUND(Categorias_Registro[[#This Row],[Puntos]]*(1+Categorias_Registro[[#This Row],[Amplitud]]),0),IF(Categorias_Registro[[#This Row],[Puntos]]&lt;D286,D286,ROUND(D286*(1+Categorias_Registro[[#This Row],[Amplitud]]),0)))</f>
        <v>2487</v>
      </c>
      <c r="E285" s="15">
        <f>E286+IF(D286=Categorias_Registro[[#This Row],[Máximo]],0,1)</f>
        <v>24</v>
      </c>
      <c r="F285" s="15">
        <f>ROUND(Categorias_Registro[[#This Row],[Mínimo]]+((Categorias_Registro[[#This Row],[Máximo]]-Categorias_Registro[[#This Row],[Mínimo]])/2),0)</f>
        <v>2326</v>
      </c>
      <c r="G285" s="78">
        <f>VLOOKUP(Categorias_Registro[[#This Row],[Puntos]],Categorias_Configuracion[],MATCH(Categorias_Configuracion[[#Headers],[% Amplitud]],Categorias_Configuracion[#Headers],0),TRUE)</f>
        <v>0.15</v>
      </c>
      <c r="H285" s="15" t="str">
        <f ca="1">TEXT(Categorias_Registro[[#This Row],[Mínimo]],Formato_Rango_Categorias)&amp;" - "&amp;TEXT(Categorias_Registro[[#This Row],[Máximo]],Formato_Rango_Categorias)</f>
        <v>2.164 - 2.487</v>
      </c>
    </row>
    <row r="286" spans="2:8">
      <c r="B286" s="15">
        <f>Techo - ROW() + ROW(Categorias_Registro[])</f>
        <v>2343</v>
      </c>
      <c r="C286" s="15">
        <f>IF(Categorias_Registro[[#This Row],[Puntos]]&lt;=ROUND(Piso,0),Piso,IF(Categorias_Registro[[#This Row],[Puntos]]&lt;D287,C287,D287+1))</f>
        <v>2164</v>
      </c>
      <c r="D286" s="15">
        <f>IF(Categorias_Registro[[#This Row],[Puntos]]=ROUND(Piso,0),ROUND(Categorias_Registro[[#This Row],[Puntos]]*(1+Categorias_Registro[[#This Row],[Amplitud]]),0),IF(Categorias_Registro[[#This Row],[Puntos]]&lt;D287,D287,ROUND(D287*(1+Categorias_Registro[[#This Row],[Amplitud]]),0)))</f>
        <v>2487</v>
      </c>
      <c r="E286" s="15">
        <f>E287+IF(D287=Categorias_Registro[[#This Row],[Máximo]],0,1)</f>
        <v>24</v>
      </c>
      <c r="F286" s="15">
        <f>ROUND(Categorias_Registro[[#This Row],[Mínimo]]+((Categorias_Registro[[#This Row],[Máximo]]-Categorias_Registro[[#This Row],[Mínimo]])/2),0)</f>
        <v>2326</v>
      </c>
      <c r="G286" s="78">
        <f>VLOOKUP(Categorias_Registro[[#This Row],[Puntos]],Categorias_Configuracion[],MATCH(Categorias_Configuracion[[#Headers],[% Amplitud]],Categorias_Configuracion[#Headers],0),TRUE)</f>
        <v>0.15</v>
      </c>
      <c r="H286" s="15" t="str">
        <f ca="1">TEXT(Categorias_Registro[[#This Row],[Mínimo]],Formato_Rango_Categorias)&amp;" - "&amp;TEXT(Categorias_Registro[[#This Row],[Máximo]],Formato_Rango_Categorias)</f>
        <v>2.164 - 2.487</v>
      </c>
    </row>
    <row r="287" spans="2:8">
      <c r="B287" s="15">
        <f>Techo - ROW() + ROW(Categorias_Registro[])</f>
        <v>2342</v>
      </c>
      <c r="C287" s="15">
        <f>IF(Categorias_Registro[[#This Row],[Puntos]]&lt;=ROUND(Piso,0),Piso,IF(Categorias_Registro[[#This Row],[Puntos]]&lt;D288,C288,D288+1))</f>
        <v>2164</v>
      </c>
      <c r="D287" s="15">
        <f>IF(Categorias_Registro[[#This Row],[Puntos]]=ROUND(Piso,0),ROUND(Categorias_Registro[[#This Row],[Puntos]]*(1+Categorias_Registro[[#This Row],[Amplitud]]),0),IF(Categorias_Registro[[#This Row],[Puntos]]&lt;D288,D288,ROUND(D288*(1+Categorias_Registro[[#This Row],[Amplitud]]),0)))</f>
        <v>2487</v>
      </c>
      <c r="E287" s="15">
        <f>E288+IF(D288=Categorias_Registro[[#This Row],[Máximo]],0,1)</f>
        <v>24</v>
      </c>
      <c r="F287" s="15">
        <f>ROUND(Categorias_Registro[[#This Row],[Mínimo]]+((Categorias_Registro[[#This Row],[Máximo]]-Categorias_Registro[[#This Row],[Mínimo]])/2),0)</f>
        <v>2326</v>
      </c>
      <c r="G287" s="78">
        <f>VLOOKUP(Categorias_Registro[[#This Row],[Puntos]],Categorias_Configuracion[],MATCH(Categorias_Configuracion[[#Headers],[% Amplitud]],Categorias_Configuracion[#Headers],0),TRUE)</f>
        <v>0.15</v>
      </c>
      <c r="H287" s="15" t="str">
        <f ca="1">TEXT(Categorias_Registro[[#This Row],[Mínimo]],Formato_Rango_Categorias)&amp;" - "&amp;TEXT(Categorias_Registro[[#This Row],[Máximo]],Formato_Rango_Categorias)</f>
        <v>2.164 - 2.487</v>
      </c>
    </row>
    <row r="288" spans="2:8">
      <c r="B288" s="15">
        <f>Techo - ROW() + ROW(Categorias_Registro[])</f>
        <v>2341</v>
      </c>
      <c r="C288" s="15">
        <f>IF(Categorias_Registro[[#This Row],[Puntos]]&lt;=ROUND(Piso,0),Piso,IF(Categorias_Registro[[#This Row],[Puntos]]&lt;D289,C289,D289+1))</f>
        <v>2164</v>
      </c>
      <c r="D288" s="15">
        <f>IF(Categorias_Registro[[#This Row],[Puntos]]=ROUND(Piso,0),ROUND(Categorias_Registro[[#This Row],[Puntos]]*(1+Categorias_Registro[[#This Row],[Amplitud]]),0),IF(Categorias_Registro[[#This Row],[Puntos]]&lt;D289,D289,ROUND(D289*(1+Categorias_Registro[[#This Row],[Amplitud]]),0)))</f>
        <v>2487</v>
      </c>
      <c r="E288" s="15">
        <f>E289+IF(D289=Categorias_Registro[[#This Row],[Máximo]],0,1)</f>
        <v>24</v>
      </c>
      <c r="F288" s="15">
        <f>ROUND(Categorias_Registro[[#This Row],[Mínimo]]+((Categorias_Registro[[#This Row],[Máximo]]-Categorias_Registro[[#This Row],[Mínimo]])/2),0)</f>
        <v>2326</v>
      </c>
      <c r="G288" s="78">
        <f>VLOOKUP(Categorias_Registro[[#This Row],[Puntos]],Categorias_Configuracion[],MATCH(Categorias_Configuracion[[#Headers],[% Amplitud]],Categorias_Configuracion[#Headers],0),TRUE)</f>
        <v>0.15</v>
      </c>
      <c r="H288" s="15" t="str">
        <f ca="1">TEXT(Categorias_Registro[[#This Row],[Mínimo]],Formato_Rango_Categorias)&amp;" - "&amp;TEXT(Categorias_Registro[[#This Row],[Máximo]],Formato_Rango_Categorias)</f>
        <v>2.164 - 2.487</v>
      </c>
    </row>
    <row r="289" spans="2:8">
      <c r="B289" s="15">
        <f>Techo - ROW() + ROW(Categorias_Registro[])</f>
        <v>2340</v>
      </c>
      <c r="C289" s="15">
        <f>IF(Categorias_Registro[[#This Row],[Puntos]]&lt;=ROUND(Piso,0),Piso,IF(Categorias_Registro[[#This Row],[Puntos]]&lt;D290,C290,D290+1))</f>
        <v>2164</v>
      </c>
      <c r="D289" s="15">
        <f>IF(Categorias_Registro[[#This Row],[Puntos]]=ROUND(Piso,0),ROUND(Categorias_Registro[[#This Row],[Puntos]]*(1+Categorias_Registro[[#This Row],[Amplitud]]),0),IF(Categorias_Registro[[#This Row],[Puntos]]&lt;D290,D290,ROUND(D290*(1+Categorias_Registro[[#This Row],[Amplitud]]),0)))</f>
        <v>2487</v>
      </c>
      <c r="E289" s="15">
        <f>E290+IF(D290=Categorias_Registro[[#This Row],[Máximo]],0,1)</f>
        <v>24</v>
      </c>
      <c r="F289" s="15">
        <f>ROUND(Categorias_Registro[[#This Row],[Mínimo]]+((Categorias_Registro[[#This Row],[Máximo]]-Categorias_Registro[[#This Row],[Mínimo]])/2),0)</f>
        <v>2326</v>
      </c>
      <c r="G289" s="78">
        <f>VLOOKUP(Categorias_Registro[[#This Row],[Puntos]],Categorias_Configuracion[],MATCH(Categorias_Configuracion[[#Headers],[% Amplitud]],Categorias_Configuracion[#Headers],0),TRUE)</f>
        <v>0.15</v>
      </c>
      <c r="H289" s="15" t="str">
        <f ca="1">TEXT(Categorias_Registro[[#This Row],[Mínimo]],Formato_Rango_Categorias)&amp;" - "&amp;TEXT(Categorias_Registro[[#This Row],[Máximo]],Formato_Rango_Categorias)</f>
        <v>2.164 - 2.487</v>
      </c>
    </row>
    <row r="290" spans="2:8">
      <c r="B290" s="15">
        <f>Techo - ROW() + ROW(Categorias_Registro[])</f>
        <v>2339</v>
      </c>
      <c r="C290" s="15">
        <f>IF(Categorias_Registro[[#This Row],[Puntos]]&lt;=ROUND(Piso,0),Piso,IF(Categorias_Registro[[#This Row],[Puntos]]&lt;D291,C291,D291+1))</f>
        <v>2164</v>
      </c>
      <c r="D290" s="15">
        <f>IF(Categorias_Registro[[#This Row],[Puntos]]=ROUND(Piso,0),ROUND(Categorias_Registro[[#This Row],[Puntos]]*(1+Categorias_Registro[[#This Row],[Amplitud]]),0),IF(Categorias_Registro[[#This Row],[Puntos]]&lt;D291,D291,ROUND(D291*(1+Categorias_Registro[[#This Row],[Amplitud]]),0)))</f>
        <v>2487</v>
      </c>
      <c r="E290" s="15">
        <f>E291+IF(D291=Categorias_Registro[[#This Row],[Máximo]],0,1)</f>
        <v>24</v>
      </c>
      <c r="F290" s="15">
        <f>ROUND(Categorias_Registro[[#This Row],[Mínimo]]+((Categorias_Registro[[#This Row],[Máximo]]-Categorias_Registro[[#This Row],[Mínimo]])/2),0)</f>
        <v>2326</v>
      </c>
      <c r="G290" s="78">
        <f>VLOOKUP(Categorias_Registro[[#This Row],[Puntos]],Categorias_Configuracion[],MATCH(Categorias_Configuracion[[#Headers],[% Amplitud]],Categorias_Configuracion[#Headers],0),TRUE)</f>
        <v>0.15</v>
      </c>
      <c r="H290" s="15" t="str">
        <f ca="1">TEXT(Categorias_Registro[[#This Row],[Mínimo]],Formato_Rango_Categorias)&amp;" - "&amp;TEXT(Categorias_Registro[[#This Row],[Máximo]],Formato_Rango_Categorias)</f>
        <v>2.164 - 2.487</v>
      </c>
    </row>
    <row r="291" spans="2:8">
      <c r="B291" s="15">
        <f>Techo - ROW() + ROW(Categorias_Registro[])</f>
        <v>2338</v>
      </c>
      <c r="C291" s="15">
        <f>IF(Categorias_Registro[[#This Row],[Puntos]]&lt;=ROUND(Piso,0),Piso,IF(Categorias_Registro[[#This Row],[Puntos]]&lt;D292,C292,D292+1))</f>
        <v>2164</v>
      </c>
      <c r="D291" s="15">
        <f>IF(Categorias_Registro[[#This Row],[Puntos]]=ROUND(Piso,0),ROUND(Categorias_Registro[[#This Row],[Puntos]]*(1+Categorias_Registro[[#This Row],[Amplitud]]),0),IF(Categorias_Registro[[#This Row],[Puntos]]&lt;D292,D292,ROUND(D292*(1+Categorias_Registro[[#This Row],[Amplitud]]),0)))</f>
        <v>2487</v>
      </c>
      <c r="E291" s="15">
        <f>E292+IF(D292=Categorias_Registro[[#This Row],[Máximo]],0,1)</f>
        <v>24</v>
      </c>
      <c r="F291" s="15">
        <f>ROUND(Categorias_Registro[[#This Row],[Mínimo]]+((Categorias_Registro[[#This Row],[Máximo]]-Categorias_Registro[[#This Row],[Mínimo]])/2),0)</f>
        <v>2326</v>
      </c>
      <c r="G291" s="78">
        <f>VLOOKUP(Categorias_Registro[[#This Row],[Puntos]],Categorias_Configuracion[],MATCH(Categorias_Configuracion[[#Headers],[% Amplitud]],Categorias_Configuracion[#Headers],0),TRUE)</f>
        <v>0.15</v>
      </c>
      <c r="H291" s="15" t="str">
        <f ca="1">TEXT(Categorias_Registro[[#This Row],[Mínimo]],Formato_Rango_Categorias)&amp;" - "&amp;TEXT(Categorias_Registro[[#This Row],[Máximo]],Formato_Rango_Categorias)</f>
        <v>2.164 - 2.487</v>
      </c>
    </row>
    <row r="292" spans="2:8">
      <c r="B292" s="15">
        <f>Techo - ROW() + ROW(Categorias_Registro[])</f>
        <v>2337</v>
      </c>
      <c r="C292" s="15">
        <f>IF(Categorias_Registro[[#This Row],[Puntos]]&lt;=ROUND(Piso,0),Piso,IF(Categorias_Registro[[#This Row],[Puntos]]&lt;D293,C293,D293+1))</f>
        <v>2164</v>
      </c>
      <c r="D292" s="15">
        <f>IF(Categorias_Registro[[#This Row],[Puntos]]=ROUND(Piso,0),ROUND(Categorias_Registro[[#This Row],[Puntos]]*(1+Categorias_Registro[[#This Row],[Amplitud]]),0),IF(Categorias_Registro[[#This Row],[Puntos]]&lt;D293,D293,ROUND(D293*(1+Categorias_Registro[[#This Row],[Amplitud]]),0)))</f>
        <v>2487</v>
      </c>
      <c r="E292" s="15">
        <f>E293+IF(D293=Categorias_Registro[[#This Row],[Máximo]],0,1)</f>
        <v>24</v>
      </c>
      <c r="F292" s="15">
        <f>ROUND(Categorias_Registro[[#This Row],[Mínimo]]+((Categorias_Registro[[#This Row],[Máximo]]-Categorias_Registro[[#This Row],[Mínimo]])/2),0)</f>
        <v>2326</v>
      </c>
      <c r="G292" s="78">
        <f>VLOOKUP(Categorias_Registro[[#This Row],[Puntos]],Categorias_Configuracion[],MATCH(Categorias_Configuracion[[#Headers],[% Amplitud]],Categorias_Configuracion[#Headers],0),TRUE)</f>
        <v>0.15</v>
      </c>
      <c r="H292" s="15" t="str">
        <f ca="1">TEXT(Categorias_Registro[[#This Row],[Mínimo]],Formato_Rango_Categorias)&amp;" - "&amp;TEXT(Categorias_Registro[[#This Row],[Máximo]],Formato_Rango_Categorias)</f>
        <v>2.164 - 2.487</v>
      </c>
    </row>
    <row r="293" spans="2:8">
      <c r="B293" s="15">
        <f>Techo - ROW() + ROW(Categorias_Registro[])</f>
        <v>2336</v>
      </c>
      <c r="C293" s="15">
        <f>IF(Categorias_Registro[[#This Row],[Puntos]]&lt;=ROUND(Piso,0),Piso,IF(Categorias_Registro[[#This Row],[Puntos]]&lt;D294,C294,D294+1))</f>
        <v>2164</v>
      </c>
      <c r="D293" s="15">
        <f>IF(Categorias_Registro[[#This Row],[Puntos]]=ROUND(Piso,0),ROUND(Categorias_Registro[[#This Row],[Puntos]]*(1+Categorias_Registro[[#This Row],[Amplitud]]),0),IF(Categorias_Registro[[#This Row],[Puntos]]&lt;D294,D294,ROUND(D294*(1+Categorias_Registro[[#This Row],[Amplitud]]),0)))</f>
        <v>2487</v>
      </c>
      <c r="E293" s="15">
        <f>E294+IF(D294=Categorias_Registro[[#This Row],[Máximo]],0,1)</f>
        <v>24</v>
      </c>
      <c r="F293" s="15">
        <f>ROUND(Categorias_Registro[[#This Row],[Mínimo]]+((Categorias_Registro[[#This Row],[Máximo]]-Categorias_Registro[[#This Row],[Mínimo]])/2),0)</f>
        <v>2326</v>
      </c>
      <c r="G293" s="78">
        <f>VLOOKUP(Categorias_Registro[[#This Row],[Puntos]],Categorias_Configuracion[],MATCH(Categorias_Configuracion[[#Headers],[% Amplitud]],Categorias_Configuracion[#Headers],0),TRUE)</f>
        <v>0.15</v>
      </c>
      <c r="H293" s="15" t="str">
        <f ca="1">TEXT(Categorias_Registro[[#This Row],[Mínimo]],Formato_Rango_Categorias)&amp;" - "&amp;TEXT(Categorias_Registro[[#This Row],[Máximo]],Formato_Rango_Categorias)</f>
        <v>2.164 - 2.487</v>
      </c>
    </row>
    <row r="294" spans="2:8">
      <c r="B294" s="15">
        <f>Techo - ROW() + ROW(Categorias_Registro[])</f>
        <v>2335</v>
      </c>
      <c r="C294" s="15">
        <f>IF(Categorias_Registro[[#This Row],[Puntos]]&lt;=ROUND(Piso,0),Piso,IF(Categorias_Registro[[#This Row],[Puntos]]&lt;D295,C295,D295+1))</f>
        <v>2164</v>
      </c>
      <c r="D294" s="15">
        <f>IF(Categorias_Registro[[#This Row],[Puntos]]=ROUND(Piso,0),ROUND(Categorias_Registro[[#This Row],[Puntos]]*(1+Categorias_Registro[[#This Row],[Amplitud]]),0),IF(Categorias_Registro[[#This Row],[Puntos]]&lt;D295,D295,ROUND(D295*(1+Categorias_Registro[[#This Row],[Amplitud]]),0)))</f>
        <v>2487</v>
      </c>
      <c r="E294" s="15">
        <f>E295+IF(D295=Categorias_Registro[[#This Row],[Máximo]],0,1)</f>
        <v>24</v>
      </c>
      <c r="F294" s="15">
        <f>ROUND(Categorias_Registro[[#This Row],[Mínimo]]+((Categorias_Registro[[#This Row],[Máximo]]-Categorias_Registro[[#This Row],[Mínimo]])/2),0)</f>
        <v>2326</v>
      </c>
      <c r="G294" s="78">
        <f>VLOOKUP(Categorias_Registro[[#This Row],[Puntos]],Categorias_Configuracion[],MATCH(Categorias_Configuracion[[#Headers],[% Amplitud]],Categorias_Configuracion[#Headers],0),TRUE)</f>
        <v>0.15</v>
      </c>
      <c r="H294" s="15" t="str">
        <f ca="1">TEXT(Categorias_Registro[[#This Row],[Mínimo]],Formato_Rango_Categorias)&amp;" - "&amp;TEXT(Categorias_Registro[[#This Row],[Máximo]],Formato_Rango_Categorias)</f>
        <v>2.164 - 2.487</v>
      </c>
    </row>
    <row r="295" spans="2:8">
      <c r="B295" s="15">
        <f>Techo - ROW() + ROW(Categorias_Registro[])</f>
        <v>2334</v>
      </c>
      <c r="C295" s="15">
        <f>IF(Categorias_Registro[[#This Row],[Puntos]]&lt;=ROUND(Piso,0),Piso,IF(Categorias_Registro[[#This Row],[Puntos]]&lt;D296,C296,D296+1))</f>
        <v>2164</v>
      </c>
      <c r="D295" s="15">
        <f>IF(Categorias_Registro[[#This Row],[Puntos]]=ROUND(Piso,0),ROUND(Categorias_Registro[[#This Row],[Puntos]]*(1+Categorias_Registro[[#This Row],[Amplitud]]),0),IF(Categorias_Registro[[#This Row],[Puntos]]&lt;D296,D296,ROUND(D296*(1+Categorias_Registro[[#This Row],[Amplitud]]),0)))</f>
        <v>2487</v>
      </c>
      <c r="E295" s="15">
        <f>E296+IF(D296=Categorias_Registro[[#This Row],[Máximo]],0,1)</f>
        <v>24</v>
      </c>
      <c r="F295" s="15">
        <f>ROUND(Categorias_Registro[[#This Row],[Mínimo]]+((Categorias_Registro[[#This Row],[Máximo]]-Categorias_Registro[[#This Row],[Mínimo]])/2),0)</f>
        <v>2326</v>
      </c>
      <c r="G295" s="78">
        <f>VLOOKUP(Categorias_Registro[[#This Row],[Puntos]],Categorias_Configuracion[],MATCH(Categorias_Configuracion[[#Headers],[% Amplitud]],Categorias_Configuracion[#Headers],0),TRUE)</f>
        <v>0.15</v>
      </c>
      <c r="H295" s="15" t="str">
        <f ca="1">TEXT(Categorias_Registro[[#This Row],[Mínimo]],Formato_Rango_Categorias)&amp;" - "&amp;TEXT(Categorias_Registro[[#This Row],[Máximo]],Formato_Rango_Categorias)</f>
        <v>2.164 - 2.487</v>
      </c>
    </row>
    <row r="296" spans="2:8">
      <c r="B296" s="15">
        <f>Techo - ROW() + ROW(Categorias_Registro[])</f>
        <v>2333</v>
      </c>
      <c r="C296" s="15">
        <f>IF(Categorias_Registro[[#This Row],[Puntos]]&lt;=ROUND(Piso,0),Piso,IF(Categorias_Registro[[#This Row],[Puntos]]&lt;D297,C297,D297+1))</f>
        <v>2164</v>
      </c>
      <c r="D296" s="15">
        <f>IF(Categorias_Registro[[#This Row],[Puntos]]=ROUND(Piso,0),ROUND(Categorias_Registro[[#This Row],[Puntos]]*(1+Categorias_Registro[[#This Row],[Amplitud]]),0),IF(Categorias_Registro[[#This Row],[Puntos]]&lt;D297,D297,ROUND(D297*(1+Categorias_Registro[[#This Row],[Amplitud]]),0)))</f>
        <v>2487</v>
      </c>
      <c r="E296" s="15">
        <f>E297+IF(D297=Categorias_Registro[[#This Row],[Máximo]],0,1)</f>
        <v>24</v>
      </c>
      <c r="F296" s="15">
        <f>ROUND(Categorias_Registro[[#This Row],[Mínimo]]+((Categorias_Registro[[#This Row],[Máximo]]-Categorias_Registro[[#This Row],[Mínimo]])/2),0)</f>
        <v>2326</v>
      </c>
      <c r="G296" s="78">
        <f>VLOOKUP(Categorias_Registro[[#This Row],[Puntos]],Categorias_Configuracion[],MATCH(Categorias_Configuracion[[#Headers],[% Amplitud]],Categorias_Configuracion[#Headers],0),TRUE)</f>
        <v>0.15</v>
      </c>
      <c r="H296" s="15" t="str">
        <f ca="1">TEXT(Categorias_Registro[[#This Row],[Mínimo]],Formato_Rango_Categorias)&amp;" - "&amp;TEXT(Categorias_Registro[[#This Row],[Máximo]],Formato_Rango_Categorias)</f>
        <v>2.164 - 2.487</v>
      </c>
    </row>
    <row r="297" spans="2:8">
      <c r="B297" s="15">
        <f>Techo - ROW() + ROW(Categorias_Registro[])</f>
        <v>2332</v>
      </c>
      <c r="C297" s="15">
        <f>IF(Categorias_Registro[[#This Row],[Puntos]]&lt;=ROUND(Piso,0),Piso,IF(Categorias_Registro[[#This Row],[Puntos]]&lt;D298,C298,D298+1))</f>
        <v>2164</v>
      </c>
      <c r="D297" s="15">
        <f>IF(Categorias_Registro[[#This Row],[Puntos]]=ROUND(Piso,0),ROUND(Categorias_Registro[[#This Row],[Puntos]]*(1+Categorias_Registro[[#This Row],[Amplitud]]),0),IF(Categorias_Registro[[#This Row],[Puntos]]&lt;D298,D298,ROUND(D298*(1+Categorias_Registro[[#This Row],[Amplitud]]),0)))</f>
        <v>2487</v>
      </c>
      <c r="E297" s="15">
        <f>E298+IF(D298=Categorias_Registro[[#This Row],[Máximo]],0,1)</f>
        <v>24</v>
      </c>
      <c r="F297" s="15">
        <f>ROUND(Categorias_Registro[[#This Row],[Mínimo]]+((Categorias_Registro[[#This Row],[Máximo]]-Categorias_Registro[[#This Row],[Mínimo]])/2),0)</f>
        <v>2326</v>
      </c>
      <c r="G297" s="78">
        <f>VLOOKUP(Categorias_Registro[[#This Row],[Puntos]],Categorias_Configuracion[],MATCH(Categorias_Configuracion[[#Headers],[% Amplitud]],Categorias_Configuracion[#Headers],0),TRUE)</f>
        <v>0.15</v>
      </c>
      <c r="H297" s="15" t="str">
        <f ca="1">TEXT(Categorias_Registro[[#This Row],[Mínimo]],Formato_Rango_Categorias)&amp;" - "&amp;TEXT(Categorias_Registro[[#This Row],[Máximo]],Formato_Rango_Categorias)</f>
        <v>2.164 - 2.487</v>
      </c>
    </row>
    <row r="298" spans="2:8">
      <c r="B298" s="15">
        <f>Techo - ROW() + ROW(Categorias_Registro[])</f>
        <v>2331</v>
      </c>
      <c r="C298" s="15">
        <f>IF(Categorias_Registro[[#This Row],[Puntos]]&lt;=ROUND(Piso,0),Piso,IF(Categorias_Registro[[#This Row],[Puntos]]&lt;D299,C299,D299+1))</f>
        <v>2164</v>
      </c>
      <c r="D298" s="15">
        <f>IF(Categorias_Registro[[#This Row],[Puntos]]=ROUND(Piso,0),ROUND(Categorias_Registro[[#This Row],[Puntos]]*(1+Categorias_Registro[[#This Row],[Amplitud]]),0),IF(Categorias_Registro[[#This Row],[Puntos]]&lt;D299,D299,ROUND(D299*(1+Categorias_Registro[[#This Row],[Amplitud]]),0)))</f>
        <v>2487</v>
      </c>
      <c r="E298" s="15">
        <f>E299+IF(D299=Categorias_Registro[[#This Row],[Máximo]],0,1)</f>
        <v>24</v>
      </c>
      <c r="F298" s="15">
        <f>ROUND(Categorias_Registro[[#This Row],[Mínimo]]+((Categorias_Registro[[#This Row],[Máximo]]-Categorias_Registro[[#This Row],[Mínimo]])/2),0)</f>
        <v>2326</v>
      </c>
      <c r="G298" s="78">
        <f>VLOOKUP(Categorias_Registro[[#This Row],[Puntos]],Categorias_Configuracion[],MATCH(Categorias_Configuracion[[#Headers],[% Amplitud]],Categorias_Configuracion[#Headers],0),TRUE)</f>
        <v>0.15</v>
      </c>
      <c r="H298" s="15" t="str">
        <f ca="1">TEXT(Categorias_Registro[[#This Row],[Mínimo]],Formato_Rango_Categorias)&amp;" - "&amp;TEXT(Categorias_Registro[[#This Row],[Máximo]],Formato_Rango_Categorias)</f>
        <v>2.164 - 2.487</v>
      </c>
    </row>
    <row r="299" spans="2:8">
      <c r="B299" s="15">
        <f>Techo - ROW() + ROW(Categorias_Registro[])</f>
        <v>2330</v>
      </c>
      <c r="C299" s="15">
        <f>IF(Categorias_Registro[[#This Row],[Puntos]]&lt;=ROUND(Piso,0),Piso,IF(Categorias_Registro[[#This Row],[Puntos]]&lt;D300,C300,D300+1))</f>
        <v>2164</v>
      </c>
      <c r="D299" s="15">
        <f>IF(Categorias_Registro[[#This Row],[Puntos]]=ROUND(Piso,0),ROUND(Categorias_Registro[[#This Row],[Puntos]]*(1+Categorias_Registro[[#This Row],[Amplitud]]),0),IF(Categorias_Registro[[#This Row],[Puntos]]&lt;D300,D300,ROUND(D300*(1+Categorias_Registro[[#This Row],[Amplitud]]),0)))</f>
        <v>2487</v>
      </c>
      <c r="E299" s="15">
        <f>E300+IF(D300=Categorias_Registro[[#This Row],[Máximo]],0,1)</f>
        <v>24</v>
      </c>
      <c r="F299" s="15">
        <f>ROUND(Categorias_Registro[[#This Row],[Mínimo]]+((Categorias_Registro[[#This Row],[Máximo]]-Categorias_Registro[[#This Row],[Mínimo]])/2),0)</f>
        <v>2326</v>
      </c>
      <c r="G299" s="78">
        <f>VLOOKUP(Categorias_Registro[[#This Row],[Puntos]],Categorias_Configuracion[],MATCH(Categorias_Configuracion[[#Headers],[% Amplitud]],Categorias_Configuracion[#Headers],0),TRUE)</f>
        <v>0.15</v>
      </c>
      <c r="H299" s="15" t="str">
        <f ca="1">TEXT(Categorias_Registro[[#This Row],[Mínimo]],Formato_Rango_Categorias)&amp;" - "&amp;TEXT(Categorias_Registro[[#This Row],[Máximo]],Formato_Rango_Categorias)</f>
        <v>2.164 - 2.487</v>
      </c>
    </row>
    <row r="300" spans="2:8">
      <c r="B300" s="15">
        <f>Techo - ROW() + ROW(Categorias_Registro[])</f>
        <v>2329</v>
      </c>
      <c r="C300" s="15">
        <f>IF(Categorias_Registro[[#This Row],[Puntos]]&lt;=ROUND(Piso,0),Piso,IF(Categorias_Registro[[#This Row],[Puntos]]&lt;D301,C301,D301+1))</f>
        <v>2164</v>
      </c>
      <c r="D300" s="15">
        <f>IF(Categorias_Registro[[#This Row],[Puntos]]=ROUND(Piso,0),ROUND(Categorias_Registro[[#This Row],[Puntos]]*(1+Categorias_Registro[[#This Row],[Amplitud]]),0),IF(Categorias_Registro[[#This Row],[Puntos]]&lt;D301,D301,ROUND(D301*(1+Categorias_Registro[[#This Row],[Amplitud]]),0)))</f>
        <v>2487</v>
      </c>
      <c r="E300" s="15">
        <f>E301+IF(D301=Categorias_Registro[[#This Row],[Máximo]],0,1)</f>
        <v>24</v>
      </c>
      <c r="F300" s="15">
        <f>ROUND(Categorias_Registro[[#This Row],[Mínimo]]+((Categorias_Registro[[#This Row],[Máximo]]-Categorias_Registro[[#This Row],[Mínimo]])/2),0)</f>
        <v>2326</v>
      </c>
      <c r="G300" s="78">
        <f>VLOOKUP(Categorias_Registro[[#This Row],[Puntos]],Categorias_Configuracion[],MATCH(Categorias_Configuracion[[#Headers],[% Amplitud]],Categorias_Configuracion[#Headers],0),TRUE)</f>
        <v>0.15</v>
      </c>
      <c r="H300" s="15" t="str">
        <f ca="1">TEXT(Categorias_Registro[[#This Row],[Mínimo]],Formato_Rango_Categorias)&amp;" - "&amp;TEXT(Categorias_Registro[[#This Row],[Máximo]],Formato_Rango_Categorias)</f>
        <v>2.164 - 2.487</v>
      </c>
    </row>
    <row r="301" spans="2:8">
      <c r="B301" s="15">
        <f>Techo - ROW() + ROW(Categorias_Registro[])</f>
        <v>2328</v>
      </c>
      <c r="C301" s="15">
        <f>IF(Categorias_Registro[[#This Row],[Puntos]]&lt;=ROUND(Piso,0),Piso,IF(Categorias_Registro[[#This Row],[Puntos]]&lt;D302,C302,D302+1))</f>
        <v>2164</v>
      </c>
      <c r="D301" s="15">
        <f>IF(Categorias_Registro[[#This Row],[Puntos]]=ROUND(Piso,0),ROUND(Categorias_Registro[[#This Row],[Puntos]]*(1+Categorias_Registro[[#This Row],[Amplitud]]),0),IF(Categorias_Registro[[#This Row],[Puntos]]&lt;D302,D302,ROUND(D302*(1+Categorias_Registro[[#This Row],[Amplitud]]),0)))</f>
        <v>2487</v>
      </c>
      <c r="E301" s="15">
        <f>E302+IF(D302=Categorias_Registro[[#This Row],[Máximo]],0,1)</f>
        <v>24</v>
      </c>
      <c r="F301" s="15">
        <f>ROUND(Categorias_Registro[[#This Row],[Mínimo]]+((Categorias_Registro[[#This Row],[Máximo]]-Categorias_Registro[[#This Row],[Mínimo]])/2),0)</f>
        <v>2326</v>
      </c>
      <c r="G301" s="78">
        <f>VLOOKUP(Categorias_Registro[[#This Row],[Puntos]],Categorias_Configuracion[],MATCH(Categorias_Configuracion[[#Headers],[% Amplitud]],Categorias_Configuracion[#Headers],0),TRUE)</f>
        <v>0.15</v>
      </c>
      <c r="H301" s="15" t="str">
        <f ca="1">TEXT(Categorias_Registro[[#This Row],[Mínimo]],Formato_Rango_Categorias)&amp;" - "&amp;TEXT(Categorias_Registro[[#This Row],[Máximo]],Formato_Rango_Categorias)</f>
        <v>2.164 - 2.487</v>
      </c>
    </row>
    <row r="302" spans="2:8">
      <c r="B302" s="15">
        <f>Techo - ROW() + ROW(Categorias_Registro[])</f>
        <v>2327</v>
      </c>
      <c r="C302" s="15">
        <f>IF(Categorias_Registro[[#This Row],[Puntos]]&lt;=ROUND(Piso,0),Piso,IF(Categorias_Registro[[#This Row],[Puntos]]&lt;D303,C303,D303+1))</f>
        <v>2164</v>
      </c>
      <c r="D302" s="15">
        <f>IF(Categorias_Registro[[#This Row],[Puntos]]=ROUND(Piso,0),ROUND(Categorias_Registro[[#This Row],[Puntos]]*(1+Categorias_Registro[[#This Row],[Amplitud]]),0),IF(Categorias_Registro[[#This Row],[Puntos]]&lt;D303,D303,ROUND(D303*(1+Categorias_Registro[[#This Row],[Amplitud]]),0)))</f>
        <v>2487</v>
      </c>
      <c r="E302" s="15">
        <f>E303+IF(D303=Categorias_Registro[[#This Row],[Máximo]],0,1)</f>
        <v>24</v>
      </c>
      <c r="F302" s="15">
        <f>ROUND(Categorias_Registro[[#This Row],[Mínimo]]+((Categorias_Registro[[#This Row],[Máximo]]-Categorias_Registro[[#This Row],[Mínimo]])/2),0)</f>
        <v>2326</v>
      </c>
      <c r="G302" s="78">
        <f>VLOOKUP(Categorias_Registro[[#This Row],[Puntos]],Categorias_Configuracion[],MATCH(Categorias_Configuracion[[#Headers],[% Amplitud]],Categorias_Configuracion[#Headers],0),TRUE)</f>
        <v>0.15</v>
      </c>
      <c r="H302" s="15" t="str">
        <f ca="1">TEXT(Categorias_Registro[[#This Row],[Mínimo]],Formato_Rango_Categorias)&amp;" - "&amp;TEXT(Categorias_Registro[[#This Row],[Máximo]],Formato_Rango_Categorias)</f>
        <v>2.164 - 2.487</v>
      </c>
    </row>
    <row r="303" spans="2:8">
      <c r="B303" s="15">
        <f>Techo - ROW() + ROW(Categorias_Registro[])</f>
        <v>2326</v>
      </c>
      <c r="C303" s="15">
        <f>IF(Categorias_Registro[[#This Row],[Puntos]]&lt;=ROUND(Piso,0),Piso,IF(Categorias_Registro[[#This Row],[Puntos]]&lt;D304,C304,D304+1))</f>
        <v>2164</v>
      </c>
      <c r="D303" s="15">
        <f>IF(Categorias_Registro[[#This Row],[Puntos]]=ROUND(Piso,0),ROUND(Categorias_Registro[[#This Row],[Puntos]]*(1+Categorias_Registro[[#This Row],[Amplitud]]),0),IF(Categorias_Registro[[#This Row],[Puntos]]&lt;D304,D304,ROUND(D304*(1+Categorias_Registro[[#This Row],[Amplitud]]),0)))</f>
        <v>2487</v>
      </c>
      <c r="E303" s="15">
        <f>E304+IF(D304=Categorias_Registro[[#This Row],[Máximo]],0,1)</f>
        <v>24</v>
      </c>
      <c r="F303" s="15">
        <f>ROUND(Categorias_Registro[[#This Row],[Mínimo]]+((Categorias_Registro[[#This Row],[Máximo]]-Categorias_Registro[[#This Row],[Mínimo]])/2),0)</f>
        <v>2326</v>
      </c>
      <c r="G303" s="78">
        <f>VLOOKUP(Categorias_Registro[[#This Row],[Puntos]],Categorias_Configuracion[],MATCH(Categorias_Configuracion[[#Headers],[% Amplitud]],Categorias_Configuracion[#Headers],0),TRUE)</f>
        <v>0.15</v>
      </c>
      <c r="H303" s="15" t="str">
        <f ca="1">TEXT(Categorias_Registro[[#This Row],[Mínimo]],Formato_Rango_Categorias)&amp;" - "&amp;TEXT(Categorias_Registro[[#This Row],[Máximo]],Formato_Rango_Categorias)</f>
        <v>2.164 - 2.487</v>
      </c>
    </row>
    <row r="304" spans="2:8">
      <c r="B304" s="15">
        <f>Techo - ROW() + ROW(Categorias_Registro[])</f>
        <v>2325</v>
      </c>
      <c r="C304" s="15">
        <f>IF(Categorias_Registro[[#This Row],[Puntos]]&lt;=ROUND(Piso,0),Piso,IF(Categorias_Registro[[#This Row],[Puntos]]&lt;D305,C305,D305+1))</f>
        <v>2164</v>
      </c>
      <c r="D304" s="15">
        <f>IF(Categorias_Registro[[#This Row],[Puntos]]=ROUND(Piso,0),ROUND(Categorias_Registro[[#This Row],[Puntos]]*(1+Categorias_Registro[[#This Row],[Amplitud]]),0),IF(Categorias_Registro[[#This Row],[Puntos]]&lt;D305,D305,ROUND(D305*(1+Categorias_Registro[[#This Row],[Amplitud]]),0)))</f>
        <v>2487</v>
      </c>
      <c r="E304" s="15">
        <f>E305+IF(D305=Categorias_Registro[[#This Row],[Máximo]],0,1)</f>
        <v>24</v>
      </c>
      <c r="F304" s="15">
        <f>ROUND(Categorias_Registro[[#This Row],[Mínimo]]+((Categorias_Registro[[#This Row],[Máximo]]-Categorias_Registro[[#This Row],[Mínimo]])/2),0)</f>
        <v>2326</v>
      </c>
      <c r="G304" s="78">
        <f>VLOOKUP(Categorias_Registro[[#This Row],[Puntos]],Categorias_Configuracion[],MATCH(Categorias_Configuracion[[#Headers],[% Amplitud]],Categorias_Configuracion[#Headers],0),TRUE)</f>
        <v>0.15</v>
      </c>
      <c r="H304" s="15" t="str">
        <f ca="1">TEXT(Categorias_Registro[[#This Row],[Mínimo]],Formato_Rango_Categorias)&amp;" - "&amp;TEXT(Categorias_Registro[[#This Row],[Máximo]],Formato_Rango_Categorias)</f>
        <v>2.164 - 2.487</v>
      </c>
    </row>
    <row r="305" spans="2:8">
      <c r="B305" s="15">
        <f>Techo - ROW() + ROW(Categorias_Registro[])</f>
        <v>2324</v>
      </c>
      <c r="C305" s="15">
        <f>IF(Categorias_Registro[[#This Row],[Puntos]]&lt;=ROUND(Piso,0),Piso,IF(Categorias_Registro[[#This Row],[Puntos]]&lt;D306,C306,D306+1))</f>
        <v>2164</v>
      </c>
      <c r="D305" s="15">
        <f>IF(Categorias_Registro[[#This Row],[Puntos]]=ROUND(Piso,0),ROUND(Categorias_Registro[[#This Row],[Puntos]]*(1+Categorias_Registro[[#This Row],[Amplitud]]),0),IF(Categorias_Registro[[#This Row],[Puntos]]&lt;D306,D306,ROUND(D306*(1+Categorias_Registro[[#This Row],[Amplitud]]),0)))</f>
        <v>2487</v>
      </c>
      <c r="E305" s="15">
        <f>E306+IF(D306=Categorias_Registro[[#This Row],[Máximo]],0,1)</f>
        <v>24</v>
      </c>
      <c r="F305" s="15">
        <f>ROUND(Categorias_Registro[[#This Row],[Mínimo]]+((Categorias_Registro[[#This Row],[Máximo]]-Categorias_Registro[[#This Row],[Mínimo]])/2),0)</f>
        <v>2326</v>
      </c>
      <c r="G305" s="78">
        <f>VLOOKUP(Categorias_Registro[[#This Row],[Puntos]],Categorias_Configuracion[],MATCH(Categorias_Configuracion[[#Headers],[% Amplitud]],Categorias_Configuracion[#Headers],0),TRUE)</f>
        <v>0.15</v>
      </c>
      <c r="H305" s="15" t="str">
        <f ca="1">TEXT(Categorias_Registro[[#This Row],[Mínimo]],Formato_Rango_Categorias)&amp;" - "&amp;TEXT(Categorias_Registro[[#This Row],[Máximo]],Formato_Rango_Categorias)</f>
        <v>2.164 - 2.487</v>
      </c>
    </row>
    <row r="306" spans="2:8">
      <c r="B306" s="15">
        <f>Techo - ROW() + ROW(Categorias_Registro[])</f>
        <v>2323</v>
      </c>
      <c r="C306" s="15">
        <f>IF(Categorias_Registro[[#This Row],[Puntos]]&lt;=ROUND(Piso,0),Piso,IF(Categorias_Registro[[#This Row],[Puntos]]&lt;D307,C307,D307+1))</f>
        <v>2164</v>
      </c>
      <c r="D306" s="15">
        <f>IF(Categorias_Registro[[#This Row],[Puntos]]=ROUND(Piso,0),ROUND(Categorias_Registro[[#This Row],[Puntos]]*(1+Categorias_Registro[[#This Row],[Amplitud]]),0),IF(Categorias_Registro[[#This Row],[Puntos]]&lt;D307,D307,ROUND(D307*(1+Categorias_Registro[[#This Row],[Amplitud]]),0)))</f>
        <v>2487</v>
      </c>
      <c r="E306" s="15">
        <f>E307+IF(D307=Categorias_Registro[[#This Row],[Máximo]],0,1)</f>
        <v>24</v>
      </c>
      <c r="F306" s="15">
        <f>ROUND(Categorias_Registro[[#This Row],[Mínimo]]+((Categorias_Registro[[#This Row],[Máximo]]-Categorias_Registro[[#This Row],[Mínimo]])/2),0)</f>
        <v>2326</v>
      </c>
      <c r="G306" s="78">
        <f>VLOOKUP(Categorias_Registro[[#This Row],[Puntos]],Categorias_Configuracion[],MATCH(Categorias_Configuracion[[#Headers],[% Amplitud]],Categorias_Configuracion[#Headers],0),TRUE)</f>
        <v>0.15</v>
      </c>
      <c r="H306" s="15" t="str">
        <f ca="1">TEXT(Categorias_Registro[[#This Row],[Mínimo]],Formato_Rango_Categorias)&amp;" - "&amp;TEXT(Categorias_Registro[[#This Row],[Máximo]],Formato_Rango_Categorias)</f>
        <v>2.164 - 2.487</v>
      </c>
    </row>
    <row r="307" spans="2:8">
      <c r="B307" s="15">
        <f>Techo - ROW() + ROW(Categorias_Registro[])</f>
        <v>2322</v>
      </c>
      <c r="C307" s="15">
        <f>IF(Categorias_Registro[[#This Row],[Puntos]]&lt;=ROUND(Piso,0),Piso,IF(Categorias_Registro[[#This Row],[Puntos]]&lt;D308,C308,D308+1))</f>
        <v>2164</v>
      </c>
      <c r="D307" s="15">
        <f>IF(Categorias_Registro[[#This Row],[Puntos]]=ROUND(Piso,0),ROUND(Categorias_Registro[[#This Row],[Puntos]]*(1+Categorias_Registro[[#This Row],[Amplitud]]),0),IF(Categorias_Registro[[#This Row],[Puntos]]&lt;D308,D308,ROUND(D308*(1+Categorias_Registro[[#This Row],[Amplitud]]),0)))</f>
        <v>2487</v>
      </c>
      <c r="E307" s="15">
        <f>E308+IF(D308=Categorias_Registro[[#This Row],[Máximo]],0,1)</f>
        <v>24</v>
      </c>
      <c r="F307" s="15">
        <f>ROUND(Categorias_Registro[[#This Row],[Mínimo]]+((Categorias_Registro[[#This Row],[Máximo]]-Categorias_Registro[[#This Row],[Mínimo]])/2),0)</f>
        <v>2326</v>
      </c>
      <c r="G307" s="78">
        <f>VLOOKUP(Categorias_Registro[[#This Row],[Puntos]],Categorias_Configuracion[],MATCH(Categorias_Configuracion[[#Headers],[% Amplitud]],Categorias_Configuracion[#Headers],0),TRUE)</f>
        <v>0.15</v>
      </c>
      <c r="H307" s="15" t="str">
        <f ca="1">TEXT(Categorias_Registro[[#This Row],[Mínimo]],Formato_Rango_Categorias)&amp;" - "&amp;TEXT(Categorias_Registro[[#This Row],[Máximo]],Formato_Rango_Categorias)</f>
        <v>2.164 - 2.487</v>
      </c>
    </row>
    <row r="308" spans="2:8">
      <c r="B308" s="15">
        <f>Techo - ROW() + ROW(Categorias_Registro[])</f>
        <v>2321</v>
      </c>
      <c r="C308" s="15">
        <f>IF(Categorias_Registro[[#This Row],[Puntos]]&lt;=ROUND(Piso,0),Piso,IF(Categorias_Registro[[#This Row],[Puntos]]&lt;D309,C309,D309+1))</f>
        <v>2164</v>
      </c>
      <c r="D308" s="15">
        <f>IF(Categorias_Registro[[#This Row],[Puntos]]=ROUND(Piso,0),ROUND(Categorias_Registro[[#This Row],[Puntos]]*(1+Categorias_Registro[[#This Row],[Amplitud]]),0),IF(Categorias_Registro[[#This Row],[Puntos]]&lt;D309,D309,ROUND(D309*(1+Categorias_Registro[[#This Row],[Amplitud]]),0)))</f>
        <v>2487</v>
      </c>
      <c r="E308" s="15">
        <f>E309+IF(D309=Categorias_Registro[[#This Row],[Máximo]],0,1)</f>
        <v>24</v>
      </c>
      <c r="F308" s="15">
        <f>ROUND(Categorias_Registro[[#This Row],[Mínimo]]+((Categorias_Registro[[#This Row],[Máximo]]-Categorias_Registro[[#This Row],[Mínimo]])/2),0)</f>
        <v>2326</v>
      </c>
      <c r="G308" s="78">
        <f>VLOOKUP(Categorias_Registro[[#This Row],[Puntos]],Categorias_Configuracion[],MATCH(Categorias_Configuracion[[#Headers],[% Amplitud]],Categorias_Configuracion[#Headers],0),TRUE)</f>
        <v>0.15</v>
      </c>
      <c r="H308" s="15" t="str">
        <f ca="1">TEXT(Categorias_Registro[[#This Row],[Mínimo]],Formato_Rango_Categorias)&amp;" - "&amp;TEXT(Categorias_Registro[[#This Row],[Máximo]],Formato_Rango_Categorias)</f>
        <v>2.164 - 2.487</v>
      </c>
    </row>
    <row r="309" spans="2:8">
      <c r="B309" s="15">
        <f>Techo - ROW() + ROW(Categorias_Registro[])</f>
        <v>2320</v>
      </c>
      <c r="C309" s="15">
        <f>IF(Categorias_Registro[[#This Row],[Puntos]]&lt;=ROUND(Piso,0),Piso,IF(Categorias_Registro[[#This Row],[Puntos]]&lt;D310,C310,D310+1))</f>
        <v>2164</v>
      </c>
      <c r="D309" s="15">
        <f>IF(Categorias_Registro[[#This Row],[Puntos]]=ROUND(Piso,0),ROUND(Categorias_Registro[[#This Row],[Puntos]]*(1+Categorias_Registro[[#This Row],[Amplitud]]),0),IF(Categorias_Registro[[#This Row],[Puntos]]&lt;D310,D310,ROUND(D310*(1+Categorias_Registro[[#This Row],[Amplitud]]),0)))</f>
        <v>2487</v>
      </c>
      <c r="E309" s="15">
        <f>E310+IF(D310=Categorias_Registro[[#This Row],[Máximo]],0,1)</f>
        <v>24</v>
      </c>
      <c r="F309" s="15">
        <f>ROUND(Categorias_Registro[[#This Row],[Mínimo]]+((Categorias_Registro[[#This Row],[Máximo]]-Categorias_Registro[[#This Row],[Mínimo]])/2),0)</f>
        <v>2326</v>
      </c>
      <c r="G309" s="78">
        <f>VLOOKUP(Categorias_Registro[[#This Row],[Puntos]],Categorias_Configuracion[],MATCH(Categorias_Configuracion[[#Headers],[% Amplitud]],Categorias_Configuracion[#Headers],0),TRUE)</f>
        <v>0.15</v>
      </c>
      <c r="H309" s="15" t="str">
        <f ca="1">TEXT(Categorias_Registro[[#This Row],[Mínimo]],Formato_Rango_Categorias)&amp;" - "&amp;TEXT(Categorias_Registro[[#This Row],[Máximo]],Formato_Rango_Categorias)</f>
        <v>2.164 - 2.487</v>
      </c>
    </row>
    <row r="310" spans="2:8">
      <c r="B310" s="15">
        <f>Techo - ROW() + ROW(Categorias_Registro[])</f>
        <v>2319</v>
      </c>
      <c r="C310" s="15">
        <f>IF(Categorias_Registro[[#This Row],[Puntos]]&lt;=ROUND(Piso,0),Piso,IF(Categorias_Registro[[#This Row],[Puntos]]&lt;D311,C311,D311+1))</f>
        <v>2164</v>
      </c>
      <c r="D310" s="15">
        <f>IF(Categorias_Registro[[#This Row],[Puntos]]=ROUND(Piso,0),ROUND(Categorias_Registro[[#This Row],[Puntos]]*(1+Categorias_Registro[[#This Row],[Amplitud]]),0),IF(Categorias_Registro[[#This Row],[Puntos]]&lt;D311,D311,ROUND(D311*(1+Categorias_Registro[[#This Row],[Amplitud]]),0)))</f>
        <v>2487</v>
      </c>
      <c r="E310" s="15">
        <f>E311+IF(D311=Categorias_Registro[[#This Row],[Máximo]],0,1)</f>
        <v>24</v>
      </c>
      <c r="F310" s="15">
        <f>ROUND(Categorias_Registro[[#This Row],[Mínimo]]+((Categorias_Registro[[#This Row],[Máximo]]-Categorias_Registro[[#This Row],[Mínimo]])/2),0)</f>
        <v>2326</v>
      </c>
      <c r="G310" s="78">
        <f>VLOOKUP(Categorias_Registro[[#This Row],[Puntos]],Categorias_Configuracion[],MATCH(Categorias_Configuracion[[#Headers],[% Amplitud]],Categorias_Configuracion[#Headers],0),TRUE)</f>
        <v>0.15</v>
      </c>
      <c r="H310" s="15" t="str">
        <f ca="1">TEXT(Categorias_Registro[[#This Row],[Mínimo]],Formato_Rango_Categorias)&amp;" - "&amp;TEXT(Categorias_Registro[[#This Row],[Máximo]],Formato_Rango_Categorias)</f>
        <v>2.164 - 2.487</v>
      </c>
    </row>
    <row r="311" spans="2:8">
      <c r="B311" s="15">
        <f>Techo - ROW() + ROW(Categorias_Registro[])</f>
        <v>2318</v>
      </c>
      <c r="C311" s="15">
        <f>IF(Categorias_Registro[[#This Row],[Puntos]]&lt;=ROUND(Piso,0),Piso,IF(Categorias_Registro[[#This Row],[Puntos]]&lt;D312,C312,D312+1))</f>
        <v>2164</v>
      </c>
      <c r="D311" s="15">
        <f>IF(Categorias_Registro[[#This Row],[Puntos]]=ROUND(Piso,0),ROUND(Categorias_Registro[[#This Row],[Puntos]]*(1+Categorias_Registro[[#This Row],[Amplitud]]),0),IF(Categorias_Registro[[#This Row],[Puntos]]&lt;D312,D312,ROUND(D312*(1+Categorias_Registro[[#This Row],[Amplitud]]),0)))</f>
        <v>2487</v>
      </c>
      <c r="E311" s="15">
        <f>E312+IF(D312=Categorias_Registro[[#This Row],[Máximo]],0,1)</f>
        <v>24</v>
      </c>
      <c r="F311" s="15">
        <f>ROUND(Categorias_Registro[[#This Row],[Mínimo]]+((Categorias_Registro[[#This Row],[Máximo]]-Categorias_Registro[[#This Row],[Mínimo]])/2),0)</f>
        <v>2326</v>
      </c>
      <c r="G311" s="78">
        <f>VLOOKUP(Categorias_Registro[[#This Row],[Puntos]],Categorias_Configuracion[],MATCH(Categorias_Configuracion[[#Headers],[% Amplitud]],Categorias_Configuracion[#Headers],0),TRUE)</f>
        <v>0.15</v>
      </c>
      <c r="H311" s="15" t="str">
        <f ca="1">TEXT(Categorias_Registro[[#This Row],[Mínimo]],Formato_Rango_Categorias)&amp;" - "&amp;TEXT(Categorias_Registro[[#This Row],[Máximo]],Formato_Rango_Categorias)</f>
        <v>2.164 - 2.487</v>
      </c>
    </row>
    <row r="312" spans="2:8">
      <c r="B312" s="15">
        <f>Techo - ROW() + ROW(Categorias_Registro[])</f>
        <v>2317</v>
      </c>
      <c r="C312" s="15">
        <f>IF(Categorias_Registro[[#This Row],[Puntos]]&lt;=ROUND(Piso,0),Piso,IF(Categorias_Registro[[#This Row],[Puntos]]&lt;D313,C313,D313+1))</f>
        <v>2164</v>
      </c>
      <c r="D312" s="15">
        <f>IF(Categorias_Registro[[#This Row],[Puntos]]=ROUND(Piso,0),ROUND(Categorias_Registro[[#This Row],[Puntos]]*(1+Categorias_Registro[[#This Row],[Amplitud]]),0),IF(Categorias_Registro[[#This Row],[Puntos]]&lt;D313,D313,ROUND(D313*(1+Categorias_Registro[[#This Row],[Amplitud]]),0)))</f>
        <v>2487</v>
      </c>
      <c r="E312" s="15">
        <f>E313+IF(D313=Categorias_Registro[[#This Row],[Máximo]],0,1)</f>
        <v>24</v>
      </c>
      <c r="F312" s="15">
        <f>ROUND(Categorias_Registro[[#This Row],[Mínimo]]+((Categorias_Registro[[#This Row],[Máximo]]-Categorias_Registro[[#This Row],[Mínimo]])/2),0)</f>
        <v>2326</v>
      </c>
      <c r="G312" s="78">
        <f>VLOOKUP(Categorias_Registro[[#This Row],[Puntos]],Categorias_Configuracion[],MATCH(Categorias_Configuracion[[#Headers],[% Amplitud]],Categorias_Configuracion[#Headers],0),TRUE)</f>
        <v>0.15</v>
      </c>
      <c r="H312" s="15" t="str">
        <f ca="1">TEXT(Categorias_Registro[[#This Row],[Mínimo]],Formato_Rango_Categorias)&amp;" - "&amp;TEXT(Categorias_Registro[[#This Row],[Máximo]],Formato_Rango_Categorias)</f>
        <v>2.164 - 2.487</v>
      </c>
    </row>
    <row r="313" spans="2:8">
      <c r="B313" s="15">
        <f>Techo - ROW() + ROW(Categorias_Registro[])</f>
        <v>2316</v>
      </c>
      <c r="C313" s="15">
        <f>IF(Categorias_Registro[[#This Row],[Puntos]]&lt;=ROUND(Piso,0),Piso,IF(Categorias_Registro[[#This Row],[Puntos]]&lt;D314,C314,D314+1))</f>
        <v>2164</v>
      </c>
      <c r="D313" s="15">
        <f>IF(Categorias_Registro[[#This Row],[Puntos]]=ROUND(Piso,0),ROUND(Categorias_Registro[[#This Row],[Puntos]]*(1+Categorias_Registro[[#This Row],[Amplitud]]),0),IF(Categorias_Registro[[#This Row],[Puntos]]&lt;D314,D314,ROUND(D314*(1+Categorias_Registro[[#This Row],[Amplitud]]),0)))</f>
        <v>2487</v>
      </c>
      <c r="E313" s="15">
        <f>E314+IF(D314=Categorias_Registro[[#This Row],[Máximo]],0,1)</f>
        <v>24</v>
      </c>
      <c r="F313" s="15">
        <f>ROUND(Categorias_Registro[[#This Row],[Mínimo]]+((Categorias_Registro[[#This Row],[Máximo]]-Categorias_Registro[[#This Row],[Mínimo]])/2),0)</f>
        <v>2326</v>
      </c>
      <c r="G313" s="78">
        <f>VLOOKUP(Categorias_Registro[[#This Row],[Puntos]],Categorias_Configuracion[],MATCH(Categorias_Configuracion[[#Headers],[% Amplitud]],Categorias_Configuracion[#Headers],0),TRUE)</f>
        <v>0.15</v>
      </c>
      <c r="H313" s="15" t="str">
        <f ca="1">TEXT(Categorias_Registro[[#This Row],[Mínimo]],Formato_Rango_Categorias)&amp;" - "&amp;TEXT(Categorias_Registro[[#This Row],[Máximo]],Formato_Rango_Categorias)</f>
        <v>2.164 - 2.487</v>
      </c>
    </row>
    <row r="314" spans="2:8">
      <c r="B314" s="15">
        <f>Techo - ROW() + ROW(Categorias_Registro[])</f>
        <v>2315</v>
      </c>
      <c r="C314" s="15">
        <f>IF(Categorias_Registro[[#This Row],[Puntos]]&lt;=ROUND(Piso,0),Piso,IF(Categorias_Registro[[#This Row],[Puntos]]&lt;D315,C315,D315+1))</f>
        <v>2164</v>
      </c>
      <c r="D314" s="15">
        <f>IF(Categorias_Registro[[#This Row],[Puntos]]=ROUND(Piso,0),ROUND(Categorias_Registro[[#This Row],[Puntos]]*(1+Categorias_Registro[[#This Row],[Amplitud]]),0),IF(Categorias_Registro[[#This Row],[Puntos]]&lt;D315,D315,ROUND(D315*(1+Categorias_Registro[[#This Row],[Amplitud]]),0)))</f>
        <v>2487</v>
      </c>
      <c r="E314" s="15">
        <f>E315+IF(D315=Categorias_Registro[[#This Row],[Máximo]],0,1)</f>
        <v>24</v>
      </c>
      <c r="F314" s="15">
        <f>ROUND(Categorias_Registro[[#This Row],[Mínimo]]+((Categorias_Registro[[#This Row],[Máximo]]-Categorias_Registro[[#This Row],[Mínimo]])/2),0)</f>
        <v>2326</v>
      </c>
      <c r="G314" s="78">
        <f>VLOOKUP(Categorias_Registro[[#This Row],[Puntos]],Categorias_Configuracion[],MATCH(Categorias_Configuracion[[#Headers],[% Amplitud]],Categorias_Configuracion[#Headers],0),TRUE)</f>
        <v>0.15</v>
      </c>
      <c r="H314" s="15" t="str">
        <f ca="1">TEXT(Categorias_Registro[[#This Row],[Mínimo]],Formato_Rango_Categorias)&amp;" - "&amp;TEXT(Categorias_Registro[[#This Row],[Máximo]],Formato_Rango_Categorias)</f>
        <v>2.164 - 2.487</v>
      </c>
    </row>
    <row r="315" spans="2:8">
      <c r="B315" s="15">
        <f>Techo - ROW() + ROW(Categorias_Registro[])</f>
        <v>2314</v>
      </c>
      <c r="C315" s="15">
        <f>IF(Categorias_Registro[[#This Row],[Puntos]]&lt;=ROUND(Piso,0),Piso,IF(Categorias_Registro[[#This Row],[Puntos]]&lt;D316,C316,D316+1))</f>
        <v>2164</v>
      </c>
      <c r="D315" s="15">
        <f>IF(Categorias_Registro[[#This Row],[Puntos]]=ROUND(Piso,0),ROUND(Categorias_Registro[[#This Row],[Puntos]]*(1+Categorias_Registro[[#This Row],[Amplitud]]),0),IF(Categorias_Registro[[#This Row],[Puntos]]&lt;D316,D316,ROUND(D316*(1+Categorias_Registro[[#This Row],[Amplitud]]),0)))</f>
        <v>2487</v>
      </c>
      <c r="E315" s="15">
        <f>E316+IF(D316=Categorias_Registro[[#This Row],[Máximo]],0,1)</f>
        <v>24</v>
      </c>
      <c r="F315" s="15">
        <f>ROUND(Categorias_Registro[[#This Row],[Mínimo]]+((Categorias_Registro[[#This Row],[Máximo]]-Categorias_Registro[[#This Row],[Mínimo]])/2),0)</f>
        <v>2326</v>
      </c>
      <c r="G315" s="78">
        <f>VLOOKUP(Categorias_Registro[[#This Row],[Puntos]],Categorias_Configuracion[],MATCH(Categorias_Configuracion[[#Headers],[% Amplitud]],Categorias_Configuracion[#Headers],0),TRUE)</f>
        <v>0.15</v>
      </c>
      <c r="H315" s="15" t="str">
        <f ca="1">TEXT(Categorias_Registro[[#This Row],[Mínimo]],Formato_Rango_Categorias)&amp;" - "&amp;TEXT(Categorias_Registro[[#This Row],[Máximo]],Formato_Rango_Categorias)</f>
        <v>2.164 - 2.487</v>
      </c>
    </row>
    <row r="316" spans="2:8">
      <c r="B316" s="15">
        <f>Techo - ROW() + ROW(Categorias_Registro[])</f>
        <v>2313</v>
      </c>
      <c r="C316" s="15">
        <f>IF(Categorias_Registro[[#This Row],[Puntos]]&lt;=ROUND(Piso,0),Piso,IF(Categorias_Registro[[#This Row],[Puntos]]&lt;D317,C317,D317+1))</f>
        <v>2164</v>
      </c>
      <c r="D316" s="15">
        <f>IF(Categorias_Registro[[#This Row],[Puntos]]=ROUND(Piso,0),ROUND(Categorias_Registro[[#This Row],[Puntos]]*(1+Categorias_Registro[[#This Row],[Amplitud]]),0),IF(Categorias_Registro[[#This Row],[Puntos]]&lt;D317,D317,ROUND(D317*(1+Categorias_Registro[[#This Row],[Amplitud]]),0)))</f>
        <v>2487</v>
      </c>
      <c r="E316" s="15">
        <f>E317+IF(D317=Categorias_Registro[[#This Row],[Máximo]],0,1)</f>
        <v>24</v>
      </c>
      <c r="F316" s="15">
        <f>ROUND(Categorias_Registro[[#This Row],[Mínimo]]+((Categorias_Registro[[#This Row],[Máximo]]-Categorias_Registro[[#This Row],[Mínimo]])/2),0)</f>
        <v>2326</v>
      </c>
      <c r="G316" s="78">
        <f>VLOOKUP(Categorias_Registro[[#This Row],[Puntos]],Categorias_Configuracion[],MATCH(Categorias_Configuracion[[#Headers],[% Amplitud]],Categorias_Configuracion[#Headers],0),TRUE)</f>
        <v>0.15</v>
      </c>
      <c r="H316" s="15" t="str">
        <f ca="1">TEXT(Categorias_Registro[[#This Row],[Mínimo]],Formato_Rango_Categorias)&amp;" - "&amp;TEXT(Categorias_Registro[[#This Row],[Máximo]],Formato_Rango_Categorias)</f>
        <v>2.164 - 2.487</v>
      </c>
    </row>
    <row r="317" spans="2:8">
      <c r="B317" s="15">
        <f>Techo - ROW() + ROW(Categorias_Registro[])</f>
        <v>2312</v>
      </c>
      <c r="C317" s="15">
        <f>IF(Categorias_Registro[[#This Row],[Puntos]]&lt;=ROUND(Piso,0),Piso,IF(Categorias_Registro[[#This Row],[Puntos]]&lt;D318,C318,D318+1))</f>
        <v>2164</v>
      </c>
      <c r="D317" s="15">
        <f>IF(Categorias_Registro[[#This Row],[Puntos]]=ROUND(Piso,0),ROUND(Categorias_Registro[[#This Row],[Puntos]]*(1+Categorias_Registro[[#This Row],[Amplitud]]),0),IF(Categorias_Registro[[#This Row],[Puntos]]&lt;D318,D318,ROUND(D318*(1+Categorias_Registro[[#This Row],[Amplitud]]),0)))</f>
        <v>2487</v>
      </c>
      <c r="E317" s="15">
        <f>E318+IF(D318=Categorias_Registro[[#This Row],[Máximo]],0,1)</f>
        <v>24</v>
      </c>
      <c r="F317" s="15">
        <f>ROUND(Categorias_Registro[[#This Row],[Mínimo]]+((Categorias_Registro[[#This Row],[Máximo]]-Categorias_Registro[[#This Row],[Mínimo]])/2),0)</f>
        <v>2326</v>
      </c>
      <c r="G317" s="78">
        <f>VLOOKUP(Categorias_Registro[[#This Row],[Puntos]],Categorias_Configuracion[],MATCH(Categorias_Configuracion[[#Headers],[% Amplitud]],Categorias_Configuracion[#Headers],0),TRUE)</f>
        <v>0.15</v>
      </c>
      <c r="H317" s="15" t="str">
        <f ca="1">TEXT(Categorias_Registro[[#This Row],[Mínimo]],Formato_Rango_Categorias)&amp;" - "&amp;TEXT(Categorias_Registro[[#This Row],[Máximo]],Formato_Rango_Categorias)</f>
        <v>2.164 - 2.487</v>
      </c>
    </row>
    <row r="318" spans="2:8">
      <c r="B318" s="15">
        <f>Techo - ROW() + ROW(Categorias_Registro[])</f>
        <v>2311</v>
      </c>
      <c r="C318" s="15">
        <f>IF(Categorias_Registro[[#This Row],[Puntos]]&lt;=ROUND(Piso,0),Piso,IF(Categorias_Registro[[#This Row],[Puntos]]&lt;D319,C319,D319+1))</f>
        <v>2164</v>
      </c>
      <c r="D318" s="15">
        <f>IF(Categorias_Registro[[#This Row],[Puntos]]=ROUND(Piso,0),ROUND(Categorias_Registro[[#This Row],[Puntos]]*(1+Categorias_Registro[[#This Row],[Amplitud]]),0),IF(Categorias_Registro[[#This Row],[Puntos]]&lt;D319,D319,ROUND(D319*(1+Categorias_Registro[[#This Row],[Amplitud]]),0)))</f>
        <v>2487</v>
      </c>
      <c r="E318" s="15">
        <f>E319+IF(D319=Categorias_Registro[[#This Row],[Máximo]],0,1)</f>
        <v>24</v>
      </c>
      <c r="F318" s="15">
        <f>ROUND(Categorias_Registro[[#This Row],[Mínimo]]+((Categorias_Registro[[#This Row],[Máximo]]-Categorias_Registro[[#This Row],[Mínimo]])/2),0)</f>
        <v>2326</v>
      </c>
      <c r="G318" s="78">
        <f>VLOOKUP(Categorias_Registro[[#This Row],[Puntos]],Categorias_Configuracion[],MATCH(Categorias_Configuracion[[#Headers],[% Amplitud]],Categorias_Configuracion[#Headers],0),TRUE)</f>
        <v>0.15</v>
      </c>
      <c r="H318" s="15" t="str">
        <f ca="1">TEXT(Categorias_Registro[[#This Row],[Mínimo]],Formato_Rango_Categorias)&amp;" - "&amp;TEXT(Categorias_Registro[[#This Row],[Máximo]],Formato_Rango_Categorias)</f>
        <v>2.164 - 2.487</v>
      </c>
    </row>
    <row r="319" spans="2:8">
      <c r="B319" s="15">
        <f>Techo - ROW() + ROW(Categorias_Registro[])</f>
        <v>2310</v>
      </c>
      <c r="C319" s="15">
        <f>IF(Categorias_Registro[[#This Row],[Puntos]]&lt;=ROUND(Piso,0),Piso,IF(Categorias_Registro[[#This Row],[Puntos]]&lt;D320,C320,D320+1))</f>
        <v>2164</v>
      </c>
      <c r="D319" s="15">
        <f>IF(Categorias_Registro[[#This Row],[Puntos]]=ROUND(Piso,0),ROUND(Categorias_Registro[[#This Row],[Puntos]]*(1+Categorias_Registro[[#This Row],[Amplitud]]),0),IF(Categorias_Registro[[#This Row],[Puntos]]&lt;D320,D320,ROUND(D320*(1+Categorias_Registro[[#This Row],[Amplitud]]),0)))</f>
        <v>2487</v>
      </c>
      <c r="E319" s="15">
        <f>E320+IF(D320=Categorias_Registro[[#This Row],[Máximo]],0,1)</f>
        <v>24</v>
      </c>
      <c r="F319" s="15">
        <f>ROUND(Categorias_Registro[[#This Row],[Mínimo]]+((Categorias_Registro[[#This Row],[Máximo]]-Categorias_Registro[[#This Row],[Mínimo]])/2),0)</f>
        <v>2326</v>
      </c>
      <c r="G319" s="78">
        <f>VLOOKUP(Categorias_Registro[[#This Row],[Puntos]],Categorias_Configuracion[],MATCH(Categorias_Configuracion[[#Headers],[% Amplitud]],Categorias_Configuracion[#Headers],0),TRUE)</f>
        <v>0.15</v>
      </c>
      <c r="H319" s="15" t="str">
        <f ca="1">TEXT(Categorias_Registro[[#This Row],[Mínimo]],Formato_Rango_Categorias)&amp;" - "&amp;TEXT(Categorias_Registro[[#This Row],[Máximo]],Formato_Rango_Categorias)</f>
        <v>2.164 - 2.487</v>
      </c>
    </row>
    <row r="320" spans="2:8">
      <c r="B320" s="15">
        <f>Techo - ROW() + ROW(Categorias_Registro[])</f>
        <v>2309</v>
      </c>
      <c r="C320" s="15">
        <f>IF(Categorias_Registro[[#This Row],[Puntos]]&lt;=ROUND(Piso,0),Piso,IF(Categorias_Registro[[#This Row],[Puntos]]&lt;D321,C321,D321+1))</f>
        <v>2164</v>
      </c>
      <c r="D320" s="15">
        <f>IF(Categorias_Registro[[#This Row],[Puntos]]=ROUND(Piso,0),ROUND(Categorias_Registro[[#This Row],[Puntos]]*(1+Categorias_Registro[[#This Row],[Amplitud]]),0),IF(Categorias_Registro[[#This Row],[Puntos]]&lt;D321,D321,ROUND(D321*(1+Categorias_Registro[[#This Row],[Amplitud]]),0)))</f>
        <v>2487</v>
      </c>
      <c r="E320" s="15">
        <f>E321+IF(D321=Categorias_Registro[[#This Row],[Máximo]],0,1)</f>
        <v>24</v>
      </c>
      <c r="F320" s="15">
        <f>ROUND(Categorias_Registro[[#This Row],[Mínimo]]+((Categorias_Registro[[#This Row],[Máximo]]-Categorias_Registro[[#This Row],[Mínimo]])/2),0)</f>
        <v>2326</v>
      </c>
      <c r="G320" s="78">
        <f>VLOOKUP(Categorias_Registro[[#This Row],[Puntos]],Categorias_Configuracion[],MATCH(Categorias_Configuracion[[#Headers],[% Amplitud]],Categorias_Configuracion[#Headers],0),TRUE)</f>
        <v>0.15</v>
      </c>
      <c r="H320" s="15" t="str">
        <f ca="1">TEXT(Categorias_Registro[[#This Row],[Mínimo]],Formato_Rango_Categorias)&amp;" - "&amp;TEXT(Categorias_Registro[[#This Row],[Máximo]],Formato_Rango_Categorias)</f>
        <v>2.164 - 2.487</v>
      </c>
    </row>
    <row r="321" spans="2:8">
      <c r="B321" s="15">
        <f>Techo - ROW() + ROW(Categorias_Registro[])</f>
        <v>2308</v>
      </c>
      <c r="C321" s="15">
        <f>IF(Categorias_Registro[[#This Row],[Puntos]]&lt;=ROUND(Piso,0),Piso,IF(Categorias_Registro[[#This Row],[Puntos]]&lt;D322,C322,D322+1))</f>
        <v>2164</v>
      </c>
      <c r="D321" s="15">
        <f>IF(Categorias_Registro[[#This Row],[Puntos]]=ROUND(Piso,0),ROUND(Categorias_Registro[[#This Row],[Puntos]]*(1+Categorias_Registro[[#This Row],[Amplitud]]),0),IF(Categorias_Registro[[#This Row],[Puntos]]&lt;D322,D322,ROUND(D322*(1+Categorias_Registro[[#This Row],[Amplitud]]),0)))</f>
        <v>2487</v>
      </c>
      <c r="E321" s="15">
        <f>E322+IF(D322=Categorias_Registro[[#This Row],[Máximo]],0,1)</f>
        <v>24</v>
      </c>
      <c r="F321" s="15">
        <f>ROUND(Categorias_Registro[[#This Row],[Mínimo]]+((Categorias_Registro[[#This Row],[Máximo]]-Categorias_Registro[[#This Row],[Mínimo]])/2),0)</f>
        <v>2326</v>
      </c>
      <c r="G321" s="78">
        <f>VLOOKUP(Categorias_Registro[[#This Row],[Puntos]],Categorias_Configuracion[],MATCH(Categorias_Configuracion[[#Headers],[% Amplitud]],Categorias_Configuracion[#Headers],0),TRUE)</f>
        <v>0.15</v>
      </c>
      <c r="H321" s="15" t="str">
        <f ca="1">TEXT(Categorias_Registro[[#This Row],[Mínimo]],Formato_Rango_Categorias)&amp;" - "&amp;TEXT(Categorias_Registro[[#This Row],[Máximo]],Formato_Rango_Categorias)</f>
        <v>2.164 - 2.487</v>
      </c>
    </row>
    <row r="322" spans="2:8">
      <c r="B322" s="15">
        <f>Techo - ROW() + ROW(Categorias_Registro[])</f>
        <v>2307</v>
      </c>
      <c r="C322" s="15">
        <f>IF(Categorias_Registro[[#This Row],[Puntos]]&lt;=ROUND(Piso,0),Piso,IF(Categorias_Registro[[#This Row],[Puntos]]&lt;D323,C323,D323+1))</f>
        <v>2164</v>
      </c>
      <c r="D322" s="15">
        <f>IF(Categorias_Registro[[#This Row],[Puntos]]=ROUND(Piso,0),ROUND(Categorias_Registro[[#This Row],[Puntos]]*(1+Categorias_Registro[[#This Row],[Amplitud]]),0),IF(Categorias_Registro[[#This Row],[Puntos]]&lt;D323,D323,ROUND(D323*(1+Categorias_Registro[[#This Row],[Amplitud]]),0)))</f>
        <v>2487</v>
      </c>
      <c r="E322" s="15">
        <f>E323+IF(D323=Categorias_Registro[[#This Row],[Máximo]],0,1)</f>
        <v>24</v>
      </c>
      <c r="F322" s="15">
        <f>ROUND(Categorias_Registro[[#This Row],[Mínimo]]+((Categorias_Registro[[#This Row],[Máximo]]-Categorias_Registro[[#This Row],[Mínimo]])/2),0)</f>
        <v>2326</v>
      </c>
      <c r="G322" s="78">
        <f>VLOOKUP(Categorias_Registro[[#This Row],[Puntos]],Categorias_Configuracion[],MATCH(Categorias_Configuracion[[#Headers],[% Amplitud]],Categorias_Configuracion[#Headers],0),TRUE)</f>
        <v>0.15</v>
      </c>
      <c r="H322" s="15" t="str">
        <f ca="1">TEXT(Categorias_Registro[[#This Row],[Mínimo]],Formato_Rango_Categorias)&amp;" - "&amp;TEXT(Categorias_Registro[[#This Row],[Máximo]],Formato_Rango_Categorias)</f>
        <v>2.164 - 2.487</v>
      </c>
    </row>
    <row r="323" spans="2:8">
      <c r="B323" s="15">
        <f>Techo - ROW() + ROW(Categorias_Registro[])</f>
        <v>2306</v>
      </c>
      <c r="C323" s="15">
        <f>IF(Categorias_Registro[[#This Row],[Puntos]]&lt;=ROUND(Piso,0),Piso,IF(Categorias_Registro[[#This Row],[Puntos]]&lt;D324,C324,D324+1))</f>
        <v>2164</v>
      </c>
      <c r="D323" s="15">
        <f>IF(Categorias_Registro[[#This Row],[Puntos]]=ROUND(Piso,0),ROUND(Categorias_Registro[[#This Row],[Puntos]]*(1+Categorias_Registro[[#This Row],[Amplitud]]),0),IF(Categorias_Registro[[#This Row],[Puntos]]&lt;D324,D324,ROUND(D324*(1+Categorias_Registro[[#This Row],[Amplitud]]),0)))</f>
        <v>2487</v>
      </c>
      <c r="E323" s="15">
        <f>E324+IF(D324=Categorias_Registro[[#This Row],[Máximo]],0,1)</f>
        <v>24</v>
      </c>
      <c r="F323" s="15">
        <f>ROUND(Categorias_Registro[[#This Row],[Mínimo]]+((Categorias_Registro[[#This Row],[Máximo]]-Categorias_Registro[[#This Row],[Mínimo]])/2),0)</f>
        <v>2326</v>
      </c>
      <c r="G323" s="78">
        <f>VLOOKUP(Categorias_Registro[[#This Row],[Puntos]],Categorias_Configuracion[],MATCH(Categorias_Configuracion[[#Headers],[% Amplitud]],Categorias_Configuracion[#Headers],0),TRUE)</f>
        <v>0.15</v>
      </c>
      <c r="H323" s="15" t="str">
        <f ca="1">TEXT(Categorias_Registro[[#This Row],[Mínimo]],Formato_Rango_Categorias)&amp;" - "&amp;TEXT(Categorias_Registro[[#This Row],[Máximo]],Formato_Rango_Categorias)</f>
        <v>2.164 - 2.487</v>
      </c>
    </row>
    <row r="324" spans="2:8">
      <c r="B324" s="15">
        <f>Techo - ROW() + ROW(Categorias_Registro[])</f>
        <v>2305</v>
      </c>
      <c r="C324" s="15">
        <f>IF(Categorias_Registro[[#This Row],[Puntos]]&lt;=ROUND(Piso,0),Piso,IF(Categorias_Registro[[#This Row],[Puntos]]&lt;D325,C325,D325+1))</f>
        <v>2164</v>
      </c>
      <c r="D324" s="15">
        <f>IF(Categorias_Registro[[#This Row],[Puntos]]=ROUND(Piso,0),ROUND(Categorias_Registro[[#This Row],[Puntos]]*(1+Categorias_Registro[[#This Row],[Amplitud]]),0),IF(Categorias_Registro[[#This Row],[Puntos]]&lt;D325,D325,ROUND(D325*(1+Categorias_Registro[[#This Row],[Amplitud]]),0)))</f>
        <v>2487</v>
      </c>
      <c r="E324" s="15">
        <f>E325+IF(D325=Categorias_Registro[[#This Row],[Máximo]],0,1)</f>
        <v>24</v>
      </c>
      <c r="F324" s="15">
        <f>ROUND(Categorias_Registro[[#This Row],[Mínimo]]+((Categorias_Registro[[#This Row],[Máximo]]-Categorias_Registro[[#This Row],[Mínimo]])/2),0)</f>
        <v>2326</v>
      </c>
      <c r="G324" s="78">
        <f>VLOOKUP(Categorias_Registro[[#This Row],[Puntos]],Categorias_Configuracion[],MATCH(Categorias_Configuracion[[#Headers],[% Amplitud]],Categorias_Configuracion[#Headers],0),TRUE)</f>
        <v>0.15</v>
      </c>
      <c r="H324" s="15" t="str">
        <f ca="1">TEXT(Categorias_Registro[[#This Row],[Mínimo]],Formato_Rango_Categorias)&amp;" - "&amp;TEXT(Categorias_Registro[[#This Row],[Máximo]],Formato_Rango_Categorias)</f>
        <v>2.164 - 2.487</v>
      </c>
    </row>
    <row r="325" spans="2:8">
      <c r="B325" s="15">
        <f>Techo - ROW() + ROW(Categorias_Registro[])</f>
        <v>2304</v>
      </c>
      <c r="C325" s="15">
        <f>IF(Categorias_Registro[[#This Row],[Puntos]]&lt;=ROUND(Piso,0),Piso,IF(Categorias_Registro[[#This Row],[Puntos]]&lt;D326,C326,D326+1))</f>
        <v>2164</v>
      </c>
      <c r="D325" s="15">
        <f>IF(Categorias_Registro[[#This Row],[Puntos]]=ROUND(Piso,0),ROUND(Categorias_Registro[[#This Row],[Puntos]]*(1+Categorias_Registro[[#This Row],[Amplitud]]),0),IF(Categorias_Registro[[#This Row],[Puntos]]&lt;D326,D326,ROUND(D326*(1+Categorias_Registro[[#This Row],[Amplitud]]),0)))</f>
        <v>2487</v>
      </c>
      <c r="E325" s="15">
        <f>E326+IF(D326=Categorias_Registro[[#This Row],[Máximo]],0,1)</f>
        <v>24</v>
      </c>
      <c r="F325" s="15">
        <f>ROUND(Categorias_Registro[[#This Row],[Mínimo]]+((Categorias_Registro[[#This Row],[Máximo]]-Categorias_Registro[[#This Row],[Mínimo]])/2),0)</f>
        <v>2326</v>
      </c>
      <c r="G325" s="78">
        <f>VLOOKUP(Categorias_Registro[[#This Row],[Puntos]],Categorias_Configuracion[],MATCH(Categorias_Configuracion[[#Headers],[% Amplitud]],Categorias_Configuracion[#Headers],0),TRUE)</f>
        <v>0.15</v>
      </c>
      <c r="H325" s="15" t="str">
        <f ca="1">TEXT(Categorias_Registro[[#This Row],[Mínimo]],Formato_Rango_Categorias)&amp;" - "&amp;TEXT(Categorias_Registro[[#This Row],[Máximo]],Formato_Rango_Categorias)</f>
        <v>2.164 - 2.487</v>
      </c>
    </row>
    <row r="326" spans="2:8">
      <c r="B326" s="15">
        <f>Techo - ROW() + ROW(Categorias_Registro[])</f>
        <v>2303</v>
      </c>
      <c r="C326" s="15">
        <f>IF(Categorias_Registro[[#This Row],[Puntos]]&lt;=ROUND(Piso,0),Piso,IF(Categorias_Registro[[#This Row],[Puntos]]&lt;D327,C327,D327+1))</f>
        <v>2164</v>
      </c>
      <c r="D326" s="15">
        <f>IF(Categorias_Registro[[#This Row],[Puntos]]=ROUND(Piso,0),ROUND(Categorias_Registro[[#This Row],[Puntos]]*(1+Categorias_Registro[[#This Row],[Amplitud]]),0),IF(Categorias_Registro[[#This Row],[Puntos]]&lt;D327,D327,ROUND(D327*(1+Categorias_Registro[[#This Row],[Amplitud]]),0)))</f>
        <v>2487</v>
      </c>
      <c r="E326" s="15">
        <f>E327+IF(D327=Categorias_Registro[[#This Row],[Máximo]],0,1)</f>
        <v>24</v>
      </c>
      <c r="F326" s="15">
        <f>ROUND(Categorias_Registro[[#This Row],[Mínimo]]+((Categorias_Registro[[#This Row],[Máximo]]-Categorias_Registro[[#This Row],[Mínimo]])/2),0)</f>
        <v>2326</v>
      </c>
      <c r="G326" s="78">
        <f>VLOOKUP(Categorias_Registro[[#This Row],[Puntos]],Categorias_Configuracion[],MATCH(Categorias_Configuracion[[#Headers],[% Amplitud]],Categorias_Configuracion[#Headers],0),TRUE)</f>
        <v>0.15</v>
      </c>
      <c r="H326" s="15" t="str">
        <f ca="1">TEXT(Categorias_Registro[[#This Row],[Mínimo]],Formato_Rango_Categorias)&amp;" - "&amp;TEXT(Categorias_Registro[[#This Row],[Máximo]],Formato_Rango_Categorias)</f>
        <v>2.164 - 2.487</v>
      </c>
    </row>
    <row r="327" spans="2:8">
      <c r="B327" s="15">
        <f>Techo - ROW() + ROW(Categorias_Registro[])</f>
        <v>2302</v>
      </c>
      <c r="C327" s="15">
        <f>IF(Categorias_Registro[[#This Row],[Puntos]]&lt;=ROUND(Piso,0),Piso,IF(Categorias_Registro[[#This Row],[Puntos]]&lt;D328,C328,D328+1))</f>
        <v>2164</v>
      </c>
      <c r="D327" s="15">
        <f>IF(Categorias_Registro[[#This Row],[Puntos]]=ROUND(Piso,0),ROUND(Categorias_Registro[[#This Row],[Puntos]]*(1+Categorias_Registro[[#This Row],[Amplitud]]),0),IF(Categorias_Registro[[#This Row],[Puntos]]&lt;D328,D328,ROUND(D328*(1+Categorias_Registro[[#This Row],[Amplitud]]),0)))</f>
        <v>2487</v>
      </c>
      <c r="E327" s="15">
        <f>E328+IF(D328=Categorias_Registro[[#This Row],[Máximo]],0,1)</f>
        <v>24</v>
      </c>
      <c r="F327" s="15">
        <f>ROUND(Categorias_Registro[[#This Row],[Mínimo]]+((Categorias_Registro[[#This Row],[Máximo]]-Categorias_Registro[[#This Row],[Mínimo]])/2),0)</f>
        <v>2326</v>
      </c>
      <c r="G327" s="78">
        <f>VLOOKUP(Categorias_Registro[[#This Row],[Puntos]],Categorias_Configuracion[],MATCH(Categorias_Configuracion[[#Headers],[% Amplitud]],Categorias_Configuracion[#Headers],0),TRUE)</f>
        <v>0.15</v>
      </c>
      <c r="H327" s="15" t="str">
        <f ca="1">TEXT(Categorias_Registro[[#This Row],[Mínimo]],Formato_Rango_Categorias)&amp;" - "&amp;TEXT(Categorias_Registro[[#This Row],[Máximo]],Formato_Rango_Categorias)</f>
        <v>2.164 - 2.487</v>
      </c>
    </row>
    <row r="328" spans="2:8">
      <c r="B328" s="15">
        <f>Techo - ROW() + ROW(Categorias_Registro[])</f>
        <v>2301</v>
      </c>
      <c r="C328" s="15">
        <f>IF(Categorias_Registro[[#This Row],[Puntos]]&lt;=ROUND(Piso,0),Piso,IF(Categorias_Registro[[#This Row],[Puntos]]&lt;D329,C329,D329+1))</f>
        <v>2164</v>
      </c>
      <c r="D328" s="15">
        <f>IF(Categorias_Registro[[#This Row],[Puntos]]=ROUND(Piso,0),ROUND(Categorias_Registro[[#This Row],[Puntos]]*(1+Categorias_Registro[[#This Row],[Amplitud]]),0),IF(Categorias_Registro[[#This Row],[Puntos]]&lt;D329,D329,ROUND(D329*(1+Categorias_Registro[[#This Row],[Amplitud]]),0)))</f>
        <v>2487</v>
      </c>
      <c r="E328" s="15">
        <f>E329+IF(D329=Categorias_Registro[[#This Row],[Máximo]],0,1)</f>
        <v>24</v>
      </c>
      <c r="F328" s="15">
        <f>ROUND(Categorias_Registro[[#This Row],[Mínimo]]+((Categorias_Registro[[#This Row],[Máximo]]-Categorias_Registro[[#This Row],[Mínimo]])/2),0)</f>
        <v>2326</v>
      </c>
      <c r="G328" s="78">
        <f>VLOOKUP(Categorias_Registro[[#This Row],[Puntos]],Categorias_Configuracion[],MATCH(Categorias_Configuracion[[#Headers],[% Amplitud]],Categorias_Configuracion[#Headers],0),TRUE)</f>
        <v>0.15</v>
      </c>
      <c r="H328" s="15" t="str">
        <f ca="1">TEXT(Categorias_Registro[[#This Row],[Mínimo]],Formato_Rango_Categorias)&amp;" - "&amp;TEXT(Categorias_Registro[[#This Row],[Máximo]],Formato_Rango_Categorias)</f>
        <v>2.164 - 2.487</v>
      </c>
    </row>
    <row r="329" spans="2:8">
      <c r="B329" s="15">
        <f>Techo - ROW() + ROW(Categorias_Registro[])</f>
        <v>2300</v>
      </c>
      <c r="C329" s="15">
        <f>IF(Categorias_Registro[[#This Row],[Puntos]]&lt;=ROUND(Piso,0),Piso,IF(Categorias_Registro[[#This Row],[Puntos]]&lt;D330,C330,D330+1))</f>
        <v>2164</v>
      </c>
      <c r="D329" s="15">
        <f>IF(Categorias_Registro[[#This Row],[Puntos]]=ROUND(Piso,0),ROUND(Categorias_Registro[[#This Row],[Puntos]]*(1+Categorias_Registro[[#This Row],[Amplitud]]),0),IF(Categorias_Registro[[#This Row],[Puntos]]&lt;D330,D330,ROUND(D330*(1+Categorias_Registro[[#This Row],[Amplitud]]),0)))</f>
        <v>2487</v>
      </c>
      <c r="E329" s="15">
        <f>E330+IF(D330=Categorias_Registro[[#This Row],[Máximo]],0,1)</f>
        <v>24</v>
      </c>
      <c r="F329" s="15">
        <f>ROUND(Categorias_Registro[[#This Row],[Mínimo]]+((Categorias_Registro[[#This Row],[Máximo]]-Categorias_Registro[[#This Row],[Mínimo]])/2),0)</f>
        <v>2326</v>
      </c>
      <c r="G329" s="78">
        <f>VLOOKUP(Categorias_Registro[[#This Row],[Puntos]],Categorias_Configuracion[],MATCH(Categorias_Configuracion[[#Headers],[% Amplitud]],Categorias_Configuracion[#Headers],0),TRUE)</f>
        <v>0.15</v>
      </c>
      <c r="H329" s="15" t="str">
        <f ca="1">TEXT(Categorias_Registro[[#This Row],[Mínimo]],Formato_Rango_Categorias)&amp;" - "&amp;TEXT(Categorias_Registro[[#This Row],[Máximo]],Formato_Rango_Categorias)</f>
        <v>2.164 - 2.487</v>
      </c>
    </row>
    <row r="330" spans="2:8">
      <c r="B330" s="15">
        <f>Techo - ROW() + ROW(Categorias_Registro[])</f>
        <v>2299</v>
      </c>
      <c r="C330" s="15">
        <f>IF(Categorias_Registro[[#This Row],[Puntos]]&lt;=ROUND(Piso,0),Piso,IF(Categorias_Registro[[#This Row],[Puntos]]&lt;D331,C331,D331+1))</f>
        <v>2164</v>
      </c>
      <c r="D330" s="15">
        <f>IF(Categorias_Registro[[#This Row],[Puntos]]=ROUND(Piso,0),ROUND(Categorias_Registro[[#This Row],[Puntos]]*(1+Categorias_Registro[[#This Row],[Amplitud]]),0),IF(Categorias_Registro[[#This Row],[Puntos]]&lt;D331,D331,ROUND(D331*(1+Categorias_Registro[[#This Row],[Amplitud]]),0)))</f>
        <v>2487</v>
      </c>
      <c r="E330" s="15">
        <f>E331+IF(D331=Categorias_Registro[[#This Row],[Máximo]],0,1)</f>
        <v>24</v>
      </c>
      <c r="F330" s="15">
        <f>ROUND(Categorias_Registro[[#This Row],[Mínimo]]+((Categorias_Registro[[#This Row],[Máximo]]-Categorias_Registro[[#This Row],[Mínimo]])/2),0)</f>
        <v>2326</v>
      </c>
      <c r="G330" s="78">
        <f>VLOOKUP(Categorias_Registro[[#This Row],[Puntos]],Categorias_Configuracion[],MATCH(Categorias_Configuracion[[#Headers],[% Amplitud]],Categorias_Configuracion[#Headers],0),TRUE)</f>
        <v>0.15</v>
      </c>
      <c r="H330" s="15" t="str">
        <f ca="1">TEXT(Categorias_Registro[[#This Row],[Mínimo]],Formato_Rango_Categorias)&amp;" - "&amp;TEXT(Categorias_Registro[[#This Row],[Máximo]],Formato_Rango_Categorias)</f>
        <v>2.164 - 2.487</v>
      </c>
    </row>
    <row r="331" spans="2:8">
      <c r="B331" s="15">
        <f>Techo - ROW() + ROW(Categorias_Registro[])</f>
        <v>2298</v>
      </c>
      <c r="C331" s="15">
        <f>IF(Categorias_Registro[[#This Row],[Puntos]]&lt;=ROUND(Piso,0),Piso,IF(Categorias_Registro[[#This Row],[Puntos]]&lt;D332,C332,D332+1))</f>
        <v>2164</v>
      </c>
      <c r="D331" s="15">
        <f>IF(Categorias_Registro[[#This Row],[Puntos]]=ROUND(Piso,0),ROUND(Categorias_Registro[[#This Row],[Puntos]]*(1+Categorias_Registro[[#This Row],[Amplitud]]),0),IF(Categorias_Registro[[#This Row],[Puntos]]&lt;D332,D332,ROUND(D332*(1+Categorias_Registro[[#This Row],[Amplitud]]),0)))</f>
        <v>2487</v>
      </c>
      <c r="E331" s="15">
        <f>E332+IF(D332=Categorias_Registro[[#This Row],[Máximo]],0,1)</f>
        <v>24</v>
      </c>
      <c r="F331" s="15">
        <f>ROUND(Categorias_Registro[[#This Row],[Mínimo]]+((Categorias_Registro[[#This Row],[Máximo]]-Categorias_Registro[[#This Row],[Mínimo]])/2),0)</f>
        <v>2326</v>
      </c>
      <c r="G331" s="78">
        <f>VLOOKUP(Categorias_Registro[[#This Row],[Puntos]],Categorias_Configuracion[],MATCH(Categorias_Configuracion[[#Headers],[% Amplitud]],Categorias_Configuracion[#Headers],0),TRUE)</f>
        <v>0.15</v>
      </c>
      <c r="H331" s="15" t="str">
        <f ca="1">TEXT(Categorias_Registro[[#This Row],[Mínimo]],Formato_Rango_Categorias)&amp;" - "&amp;TEXT(Categorias_Registro[[#This Row],[Máximo]],Formato_Rango_Categorias)</f>
        <v>2.164 - 2.487</v>
      </c>
    </row>
    <row r="332" spans="2:8">
      <c r="B332" s="15">
        <f>Techo - ROW() + ROW(Categorias_Registro[])</f>
        <v>2297</v>
      </c>
      <c r="C332" s="15">
        <f>IF(Categorias_Registro[[#This Row],[Puntos]]&lt;=ROUND(Piso,0),Piso,IF(Categorias_Registro[[#This Row],[Puntos]]&lt;D333,C333,D333+1))</f>
        <v>2164</v>
      </c>
      <c r="D332" s="15">
        <f>IF(Categorias_Registro[[#This Row],[Puntos]]=ROUND(Piso,0),ROUND(Categorias_Registro[[#This Row],[Puntos]]*(1+Categorias_Registro[[#This Row],[Amplitud]]),0),IF(Categorias_Registro[[#This Row],[Puntos]]&lt;D333,D333,ROUND(D333*(1+Categorias_Registro[[#This Row],[Amplitud]]),0)))</f>
        <v>2487</v>
      </c>
      <c r="E332" s="15">
        <f>E333+IF(D333=Categorias_Registro[[#This Row],[Máximo]],0,1)</f>
        <v>24</v>
      </c>
      <c r="F332" s="15">
        <f>ROUND(Categorias_Registro[[#This Row],[Mínimo]]+((Categorias_Registro[[#This Row],[Máximo]]-Categorias_Registro[[#This Row],[Mínimo]])/2),0)</f>
        <v>2326</v>
      </c>
      <c r="G332" s="78">
        <f>VLOOKUP(Categorias_Registro[[#This Row],[Puntos]],Categorias_Configuracion[],MATCH(Categorias_Configuracion[[#Headers],[% Amplitud]],Categorias_Configuracion[#Headers],0),TRUE)</f>
        <v>0.15</v>
      </c>
      <c r="H332" s="15" t="str">
        <f ca="1">TEXT(Categorias_Registro[[#This Row],[Mínimo]],Formato_Rango_Categorias)&amp;" - "&amp;TEXT(Categorias_Registro[[#This Row],[Máximo]],Formato_Rango_Categorias)</f>
        <v>2.164 - 2.487</v>
      </c>
    </row>
    <row r="333" spans="2:8">
      <c r="B333" s="15">
        <f>Techo - ROW() + ROW(Categorias_Registro[])</f>
        <v>2296</v>
      </c>
      <c r="C333" s="15">
        <f>IF(Categorias_Registro[[#This Row],[Puntos]]&lt;=ROUND(Piso,0),Piso,IF(Categorias_Registro[[#This Row],[Puntos]]&lt;D334,C334,D334+1))</f>
        <v>2164</v>
      </c>
      <c r="D333" s="15">
        <f>IF(Categorias_Registro[[#This Row],[Puntos]]=ROUND(Piso,0),ROUND(Categorias_Registro[[#This Row],[Puntos]]*(1+Categorias_Registro[[#This Row],[Amplitud]]),0),IF(Categorias_Registro[[#This Row],[Puntos]]&lt;D334,D334,ROUND(D334*(1+Categorias_Registro[[#This Row],[Amplitud]]),0)))</f>
        <v>2487</v>
      </c>
      <c r="E333" s="15">
        <f>E334+IF(D334=Categorias_Registro[[#This Row],[Máximo]],0,1)</f>
        <v>24</v>
      </c>
      <c r="F333" s="15">
        <f>ROUND(Categorias_Registro[[#This Row],[Mínimo]]+((Categorias_Registro[[#This Row],[Máximo]]-Categorias_Registro[[#This Row],[Mínimo]])/2),0)</f>
        <v>2326</v>
      </c>
      <c r="G333" s="78">
        <f>VLOOKUP(Categorias_Registro[[#This Row],[Puntos]],Categorias_Configuracion[],MATCH(Categorias_Configuracion[[#Headers],[% Amplitud]],Categorias_Configuracion[#Headers],0),TRUE)</f>
        <v>0.15</v>
      </c>
      <c r="H333" s="15" t="str">
        <f ca="1">TEXT(Categorias_Registro[[#This Row],[Mínimo]],Formato_Rango_Categorias)&amp;" - "&amp;TEXT(Categorias_Registro[[#This Row],[Máximo]],Formato_Rango_Categorias)</f>
        <v>2.164 - 2.487</v>
      </c>
    </row>
    <row r="334" spans="2:8">
      <c r="B334" s="15">
        <f>Techo - ROW() + ROW(Categorias_Registro[])</f>
        <v>2295</v>
      </c>
      <c r="C334" s="15">
        <f>IF(Categorias_Registro[[#This Row],[Puntos]]&lt;=ROUND(Piso,0),Piso,IF(Categorias_Registro[[#This Row],[Puntos]]&lt;D335,C335,D335+1))</f>
        <v>2164</v>
      </c>
      <c r="D334" s="15">
        <f>IF(Categorias_Registro[[#This Row],[Puntos]]=ROUND(Piso,0),ROUND(Categorias_Registro[[#This Row],[Puntos]]*(1+Categorias_Registro[[#This Row],[Amplitud]]),0),IF(Categorias_Registro[[#This Row],[Puntos]]&lt;D335,D335,ROUND(D335*(1+Categorias_Registro[[#This Row],[Amplitud]]),0)))</f>
        <v>2487</v>
      </c>
      <c r="E334" s="15">
        <f>E335+IF(D335=Categorias_Registro[[#This Row],[Máximo]],0,1)</f>
        <v>24</v>
      </c>
      <c r="F334" s="15">
        <f>ROUND(Categorias_Registro[[#This Row],[Mínimo]]+((Categorias_Registro[[#This Row],[Máximo]]-Categorias_Registro[[#This Row],[Mínimo]])/2),0)</f>
        <v>2326</v>
      </c>
      <c r="G334" s="78">
        <f>VLOOKUP(Categorias_Registro[[#This Row],[Puntos]],Categorias_Configuracion[],MATCH(Categorias_Configuracion[[#Headers],[% Amplitud]],Categorias_Configuracion[#Headers],0),TRUE)</f>
        <v>0.15</v>
      </c>
      <c r="H334" s="15" t="str">
        <f ca="1">TEXT(Categorias_Registro[[#This Row],[Mínimo]],Formato_Rango_Categorias)&amp;" - "&amp;TEXT(Categorias_Registro[[#This Row],[Máximo]],Formato_Rango_Categorias)</f>
        <v>2.164 - 2.487</v>
      </c>
    </row>
    <row r="335" spans="2:8">
      <c r="B335" s="15">
        <f>Techo - ROW() + ROW(Categorias_Registro[])</f>
        <v>2294</v>
      </c>
      <c r="C335" s="15">
        <f>IF(Categorias_Registro[[#This Row],[Puntos]]&lt;=ROUND(Piso,0),Piso,IF(Categorias_Registro[[#This Row],[Puntos]]&lt;D336,C336,D336+1))</f>
        <v>2164</v>
      </c>
      <c r="D335" s="15">
        <f>IF(Categorias_Registro[[#This Row],[Puntos]]=ROUND(Piso,0),ROUND(Categorias_Registro[[#This Row],[Puntos]]*(1+Categorias_Registro[[#This Row],[Amplitud]]),0),IF(Categorias_Registro[[#This Row],[Puntos]]&lt;D336,D336,ROUND(D336*(1+Categorias_Registro[[#This Row],[Amplitud]]),0)))</f>
        <v>2487</v>
      </c>
      <c r="E335" s="15">
        <f>E336+IF(D336=Categorias_Registro[[#This Row],[Máximo]],0,1)</f>
        <v>24</v>
      </c>
      <c r="F335" s="15">
        <f>ROUND(Categorias_Registro[[#This Row],[Mínimo]]+((Categorias_Registro[[#This Row],[Máximo]]-Categorias_Registro[[#This Row],[Mínimo]])/2),0)</f>
        <v>2326</v>
      </c>
      <c r="G335" s="78">
        <f>VLOOKUP(Categorias_Registro[[#This Row],[Puntos]],Categorias_Configuracion[],MATCH(Categorias_Configuracion[[#Headers],[% Amplitud]],Categorias_Configuracion[#Headers],0),TRUE)</f>
        <v>0.15</v>
      </c>
      <c r="H335" s="15" t="str">
        <f ca="1">TEXT(Categorias_Registro[[#This Row],[Mínimo]],Formato_Rango_Categorias)&amp;" - "&amp;TEXT(Categorias_Registro[[#This Row],[Máximo]],Formato_Rango_Categorias)</f>
        <v>2.164 - 2.487</v>
      </c>
    </row>
    <row r="336" spans="2:8">
      <c r="B336" s="15">
        <f>Techo - ROW() + ROW(Categorias_Registro[])</f>
        <v>2293</v>
      </c>
      <c r="C336" s="15">
        <f>IF(Categorias_Registro[[#This Row],[Puntos]]&lt;=ROUND(Piso,0),Piso,IF(Categorias_Registro[[#This Row],[Puntos]]&lt;D337,C337,D337+1))</f>
        <v>2164</v>
      </c>
      <c r="D336" s="15">
        <f>IF(Categorias_Registro[[#This Row],[Puntos]]=ROUND(Piso,0),ROUND(Categorias_Registro[[#This Row],[Puntos]]*(1+Categorias_Registro[[#This Row],[Amplitud]]),0),IF(Categorias_Registro[[#This Row],[Puntos]]&lt;D337,D337,ROUND(D337*(1+Categorias_Registro[[#This Row],[Amplitud]]),0)))</f>
        <v>2487</v>
      </c>
      <c r="E336" s="15">
        <f>E337+IF(D337=Categorias_Registro[[#This Row],[Máximo]],0,1)</f>
        <v>24</v>
      </c>
      <c r="F336" s="15">
        <f>ROUND(Categorias_Registro[[#This Row],[Mínimo]]+((Categorias_Registro[[#This Row],[Máximo]]-Categorias_Registro[[#This Row],[Mínimo]])/2),0)</f>
        <v>2326</v>
      </c>
      <c r="G336" s="78">
        <f>VLOOKUP(Categorias_Registro[[#This Row],[Puntos]],Categorias_Configuracion[],MATCH(Categorias_Configuracion[[#Headers],[% Amplitud]],Categorias_Configuracion[#Headers],0),TRUE)</f>
        <v>0.15</v>
      </c>
      <c r="H336" s="15" t="str">
        <f ca="1">TEXT(Categorias_Registro[[#This Row],[Mínimo]],Formato_Rango_Categorias)&amp;" - "&amp;TEXT(Categorias_Registro[[#This Row],[Máximo]],Formato_Rango_Categorias)</f>
        <v>2.164 - 2.487</v>
      </c>
    </row>
    <row r="337" spans="2:8">
      <c r="B337" s="15">
        <f>Techo - ROW() + ROW(Categorias_Registro[])</f>
        <v>2292</v>
      </c>
      <c r="C337" s="15">
        <f>IF(Categorias_Registro[[#This Row],[Puntos]]&lt;=ROUND(Piso,0),Piso,IF(Categorias_Registro[[#This Row],[Puntos]]&lt;D338,C338,D338+1))</f>
        <v>2164</v>
      </c>
      <c r="D337" s="15">
        <f>IF(Categorias_Registro[[#This Row],[Puntos]]=ROUND(Piso,0),ROUND(Categorias_Registro[[#This Row],[Puntos]]*(1+Categorias_Registro[[#This Row],[Amplitud]]),0),IF(Categorias_Registro[[#This Row],[Puntos]]&lt;D338,D338,ROUND(D338*(1+Categorias_Registro[[#This Row],[Amplitud]]),0)))</f>
        <v>2487</v>
      </c>
      <c r="E337" s="15">
        <f>E338+IF(D338=Categorias_Registro[[#This Row],[Máximo]],0,1)</f>
        <v>24</v>
      </c>
      <c r="F337" s="15">
        <f>ROUND(Categorias_Registro[[#This Row],[Mínimo]]+((Categorias_Registro[[#This Row],[Máximo]]-Categorias_Registro[[#This Row],[Mínimo]])/2),0)</f>
        <v>2326</v>
      </c>
      <c r="G337" s="78">
        <f>VLOOKUP(Categorias_Registro[[#This Row],[Puntos]],Categorias_Configuracion[],MATCH(Categorias_Configuracion[[#Headers],[% Amplitud]],Categorias_Configuracion[#Headers],0),TRUE)</f>
        <v>0.15</v>
      </c>
      <c r="H337" s="15" t="str">
        <f ca="1">TEXT(Categorias_Registro[[#This Row],[Mínimo]],Formato_Rango_Categorias)&amp;" - "&amp;TEXT(Categorias_Registro[[#This Row],[Máximo]],Formato_Rango_Categorias)</f>
        <v>2.164 - 2.487</v>
      </c>
    </row>
    <row r="338" spans="2:8">
      <c r="B338" s="15">
        <f>Techo - ROW() + ROW(Categorias_Registro[])</f>
        <v>2291</v>
      </c>
      <c r="C338" s="15">
        <f>IF(Categorias_Registro[[#This Row],[Puntos]]&lt;=ROUND(Piso,0),Piso,IF(Categorias_Registro[[#This Row],[Puntos]]&lt;D339,C339,D339+1))</f>
        <v>2164</v>
      </c>
      <c r="D338" s="15">
        <f>IF(Categorias_Registro[[#This Row],[Puntos]]=ROUND(Piso,0),ROUND(Categorias_Registro[[#This Row],[Puntos]]*(1+Categorias_Registro[[#This Row],[Amplitud]]),0),IF(Categorias_Registro[[#This Row],[Puntos]]&lt;D339,D339,ROUND(D339*(1+Categorias_Registro[[#This Row],[Amplitud]]),0)))</f>
        <v>2487</v>
      </c>
      <c r="E338" s="15">
        <f>E339+IF(D339=Categorias_Registro[[#This Row],[Máximo]],0,1)</f>
        <v>24</v>
      </c>
      <c r="F338" s="15">
        <f>ROUND(Categorias_Registro[[#This Row],[Mínimo]]+((Categorias_Registro[[#This Row],[Máximo]]-Categorias_Registro[[#This Row],[Mínimo]])/2),0)</f>
        <v>2326</v>
      </c>
      <c r="G338" s="78">
        <f>VLOOKUP(Categorias_Registro[[#This Row],[Puntos]],Categorias_Configuracion[],MATCH(Categorias_Configuracion[[#Headers],[% Amplitud]],Categorias_Configuracion[#Headers],0),TRUE)</f>
        <v>0.15</v>
      </c>
      <c r="H338" s="15" t="str">
        <f ca="1">TEXT(Categorias_Registro[[#This Row],[Mínimo]],Formato_Rango_Categorias)&amp;" - "&amp;TEXT(Categorias_Registro[[#This Row],[Máximo]],Formato_Rango_Categorias)</f>
        <v>2.164 - 2.487</v>
      </c>
    </row>
    <row r="339" spans="2:8">
      <c r="B339" s="15">
        <f>Techo - ROW() + ROW(Categorias_Registro[])</f>
        <v>2290</v>
      </c>
      <c r="C339" s="15">
        <f>IF(Categorias_Registro[[#This Row],[Puntos]]&lt;=ROUND(Piso,0),Piso,IF(Categorias_Registro[[#This Row],[Puntos]]&lt;D340,C340,D340+1))</f>
        <v>2164</v>
      </c>
      <c r="D339" s="15">
        <f>IF(Categorias_Registro[[#This Row],[Puntos]]=ROUND(Piso,0),ROUND(Categorias_Registro[[#This Row],[Puntos]]*(1+Categorias_Registro[[#This Row],[Amplitud]]),0),IF(Categorias_Registro[[#This Row],[Puntos]]&lt;D340,D340,ROUND(D340*(1+Categorias_Registro[[#This Row],[Amplitud]]),0)))</f>
        <v>2487</v>
      </c>
      <c r="E339" s="15">
        <f>E340+IF(D340=Categorias_Registro[[#This Row],[Máximo]],0,1)</f>
        <v>24</v>
      </c>
      <c r="F339" s="15">
        <f>ROUND(Categorias_Registro[[#This Row],[Mínimo]]+((Categorias_Registro[[#This Row],[Máximo]]-Categorias_Registro[[#This Row],[Mínimo]])/2),0)</f>
        <v>2326</v>
      </c>
      <c r="G339" s="78">
        <f>VLOOKUP(Categorias_Registro[[#This Row],[Puntos]],Categorias_Configuracion[],MATCH(Categorias_Configuracion[[#Headers],[% Amplitud]],Categorias_Configuracion[#Headers],0),TRUE)</f>
        <v>0.15</v>
      </c>
      <c r="H339" s="15" t="str">
        <f ca="1">TEXT(Categorias_Registro[[#This Row],[Mínimo]],Formato_Rango_Categorias)&amp;" - "&amp;TEXT(Categorias_Registro[[#This Row],[Máximo]],Formato_Rango_Categorias)</f>
        <v>2.164 - 2.487</v>
      </c>
    </row>
    <row r="340" spans="2:8">
      <c r="B340" s="15">
        <f>Techo - ROW() + ROW(Categorias_Registro[])</f>
        <v>2289</v>
      </c>
      <c r="C340" s="15">
        <f>IF(Categorias_Registro[[#This Row],[Puntos]]&lt;=ROUND(Piso,0),Piso,IF(Categorias_Registro[[#This Row],[Puntos]]&lt;D341,C341,D341+1))</f>
        <v>2164</v>
      </c>
      <c r="D340" s="15">
        <f>IF(Categorias_Registro[[#This Row],[Puntos]]=ROUND(Piso,0),ROUND(Categorias_Registro[[#This Row],[Puntos]]*(1+Categorias_Registro[[#This Row],[Amplitud]]),0),IF(Categorias_Registro[[#This Row],[Puntos]]&lt;D341,D341,ROUND(D341*(1+Categorias_Registro[[#This Row],[Amplitud]]),0)))</f>
        <v>2487</v>
      </c>
      <c r="E340" s="15">
        <f>E341+IF(D341=Categorias_Registro[[#This Row],[Máximo]],0,1)</f>
        <v>24</v>
      </c>
      <c r="F340" s="15">
        <f>ROUND(Categorias_Registro[[#This Row],[Mínimo]]+((Categorias_Registro[[#This Row],[Máximo]]-Categorias_Registro[[#This Row],[Mínimo]])/2),0)</f>
        <v>2326</v>
      </c>
      <c r="G340" s="78">
        <f>VLOOKUP(Categorias_Registro[[#This Row],[Puntos]],Categorias_Configuracion[],MATCH(Categorias_Configuracion[[#Headers],[% Amplitud]],Categorias_Configuracion[#Headers],0),TRUE)</f>
        <v>0.15</v>
      </c>
      <c r="H340" s="15" t="str">
        <f ca="1">TEXT(Categorias_Registro[[#This Row],[Mínimo]],Formato_Rango_Categorias)&amp;" - "&amp;TEXT(Categorias_Registro[[#This Row],[Máximo]],Formato_Rango_Categorias)</f>
        <v>2.164 - 2.487</v>
      </c>
    </row>
    <row r="341" spans="2:8">
      <c r="B341" s="15">
        <f>Techo - ROW() + ROW(Categorias_Registro[])</f>
        <v>2288</v>
      </c>
      <c r="C341" s="15">
        <f>IF(Categorias_Registro[[#This Row],[Puntos]]&lt;=ROUND(Piso,0),Piso,IF(Categorias_Registro[[#This Row],[Puntos]]&lt;D342,C342,D342+1))</f>
        <v>2164</v>
      </c>
      <c r="D341" s="15">
        <f>IF(Categorias_Registro[[#This Row],[Puntos]]=ROUND(Piso,0),ROUND(Categorias_Registro[[#This Row],[Puntos]]*(1+Categorias_Registro[[#This Row],[Amplitud]]),0),IF(Categorias_Registro[[#This Row],[Puntos]]&lt;D342,D342,ROUND(D342*(1+Categorias_Registro[[#This Row],[Amplitud]]),0)))</f>
        <v>2487</v>
      </c>
      <c r="E341" s="15">
        <f>E342+IF(D342=Categorias_Registro[[#This Row],[Máximo]],0,1)</f>
        <v>24</v>
      </c>
      <c r="F341" s="15">
        <f>ROUND(Categorias_Registro[[#This Row],[Mínimo]]+((Categorias_Registro[[#This Row],[Máximo]]-Categorias_Registro[[#This Row],[Mínimo]])/2),0)</f>
        <v>2326</v>
      </c>
      <c r="G341" s="78">
        <f>VLOOKUP(Categorias_Registro[[#This Row],[Puntos]],Categorias_Configuracion[],MATCH(Categorias_Configuracion[[#Headers],[% Amplitud]],Categorias_Configuracion[#Headers],0),TRUE)</f>
        <v>0.15</v>
      </c>
      <c r="H341" s="15" t="str">
        <f ca="1">TEXT(Categorias_Registro[[#This Row],[Mínimo]],Formato_Rango_Categorias)&amp;" - "&amp;TEXT(Categorias_Registro[[#This Row],[Máximo]],Formato_Rango_Categorias)</f>
        <v>2.164 - 2.487</v>
      </c>
    </row>
    <row r="342" spans="2:8">
      <c r="B342" s="15">
        <f>Techo - ROW() + ROW(Categorias_Registro[])</f>
        <v>2287</v>
      </c>
      <c r="C342" s="15">
        <f>IF(Categorias_Registro[[#This Row],[Puntos]]&lt;=ROUND(Piso,0),Piso,IF(Categorias_Registro[[#This Row],[Puntos]]&lt;D343,C343,D343+1))</f>
        <v>2164</v>
      </c>
      <c r="D342" s="15">
        <f>IF(Categorias_Registro[[#This Row],[Puntos]]=ROUND(Piso,0),ROUND(Categorias_Registro[[#This Row],[Puntos]]*(1+Categorias_Registro[[#This Row],[Amplitud]]),0),IF(Categorias_Registro[[#This Row],[Puntos]]&lt;D343,D343,ROUND(D343*(1+Categorias_Registro[[#This Row],[Amplitud]]),0)))</f>
        <v>2487</v>
      </c>
      <c r="E342" s="15">
        <f>E343+IF(D343=Categorias_Registro[[#This Row],[Máximo]],0,1)</f>
        <v>24</v>
      </c>
      <c r="F342" s="15">
        <f>ROUND(Categorias_Registro[[#This Row],[Mínimo]]+((Categorias_Registro[[#This Row],[Máximo]]-Categorias_Registro[[#This Row],[Mínimo]])/2),0)</f>
        <v>2326</v>
      </c>
      <c r="G342" s="78">
        <f>VLOOKUP(Categorias_Registro[[#This Row],[Puntos]],Categorias_Configuracion[],MATCH(Categorias_Configuracion[[#Headers],[% Amplitud]],Categorias_Configuracion[#Headers],0),TRUE)</f>
        <v>0.15</v>
      </c>
      <c r="H342" s="15" t="str">
        <f ca="1">TEXT(Categorias_Registro[[#This Row],[Mínimo]],Formato_Rango_Categorias)&amp;" - "&amp;TEXT(Categorias_Registro[[#This Row],[Máximo]],Formato_Rango_Categorias)</f>
        <v>2.164 - 2.487</v>
      </c>
    </row>
    <row r="343" spans="2:8">
      <c r="B343" s="15">
        <f>Techo - ROW() + ROW(Categorias_Registro[])</f>
        <v>2286</v>
      </c>
      <c r="C343" s="15">
        <f>IF(Categorias_Registro[[#This Row],[Puntos]]&lt;=ROUND(Piso,0),Piso,IF(Categorias_Registro[[#This Row],[Puntos]]&lt;D344,C344,D344+1))</f>
        <v>2164</v>
      </c>
      <c r="D343" s="15">
        <f>IF(Categorias_Registro[[#This Row],[Puntos]]=ROUND(Piso,0),ROUND(Categorias_Registro[[#This Row],[Puntos]]*(1+Categorias_Registro[[#This Row],[Amplitud]]),0),IF(Categorias_Registro[[#This Row],[Puntos]]&lt;D344,D344,ROUND(D344*(1+Categorias_Registro[[#This Row],[Amplitud]]),0)))</f>
        <v>2487</v>
      </c>
      <c r="E343" s="15">
        <f>E344+IF(D344=Categorias_Registro[[#This Row],[Máximo]],0,1)</f>
        <v>24</v>
      </c>
      <c r="F343" s="15">
        <f>ROUND(Categorias_Registro[[#This Row],[Mínimo]]+((Categorias_Registro[[#This Row],[Máximo]]-Categorias_Registro[[#This Row],[Mínimo]])/2),0)</f>
        <v>2326</v>
      </c>
      <c r="G343" s="78">
        <f>VLOOKUP(Categorias_Registro[[#This Row],[Puntos]],Categorias_Configuracion[],MATCH(Categorias_Configuracion[[#Headers],[% Amplitud]],Categorias_Configuracion[#Headers],0),TRUE)</f>
        <v>0.15</v>
      </c>
      <c r="H343" s="15" t="str">
        <f ca="1">TEXT(Categorias_Registro[[#This Row],[Mínimo]],Formato_Rango_Categorias)&amp;" - "&amp;TEXT(Categorias_Registro[[#This Row],[Máximo]],Formato_Rango_Categorias)</f>
        <v>2.164 - 2.487</v>
      </c>
    </row>
    <row r="344" spans="2:8">
      <c r="B344" s="15">
        <f>Techo - ROW() + ROW(Categorias_Registro[])</f>
        <v>2285</v>
      </c>
      <c r="C344" s="15">
        <f>IF(Categorias_Registro[[#This Row],[Puntos]]&lt;=ROUND(Piso,0),Piso,IF(Categorias_Registro[[#This Row],[Puntos]]&lt;D345,C345,D345+1))</f>
        <v>2164</v>
      </c>
      <c r="D344" s="15">
        <f>IF(Categorias_Registro[[#This Row],[Puntos]]=ROUND(Piso,0),ROUND(Categorias_Registro[[#This Row],[Puntos]]*(1+Categorias_Registro[[#This Row],[Amplitud]]),0),IF(Categorias_Registro[[#This Row],[Puntos]]&lt;D345,D345,ROUND(D345*(1+Categorias_Registro[[#This Row],[Amplitud]]),0)))</f>
        <v>2487</v>
      </c>
      <c r="E344" s="15">
        <f>E345+IF(D345=Categorias_Registro[[#This Row],[Máximo]],0,1)</f>
        <v>24</v>
      </c>
      <c r="F344" s="15">
        <f>ROUND(Categorias_Registro[[#This Row],[Mínimo]]+((Categorias_Registro[[#This Row],[Máximo]]-Categorias_Registro[[#This Row],[Mínimo]])/2),0)</f>
        <v>2326</v>
      </c>
      <c r="G344" s="78">
        <f>VLOOKUP(Categorias_Registro[[#This Row],[Puntos]],Categorias_Configuracion[],MATCH(Categorias_Configuracion[[#Headers],[% Amplitud]],Categorias_Configuracion[#Headers],0),TRUE)</f>
        <v>0.15</v>
      </c>
      <c r="H344" s="15" t="str">
        <f ca="1">TEXT(Categorias_Registro[[#This Row],[Mínimo]],Formato_Rango_Categorias)&amp;" - "&amp;TEXT(Categorias_Registro[[#This Row],[Máximo]],Formato_Rango_Categorias)</f>
        <v>2.164 - 2.487</v>
      </c>
    </row>
    <row r="345" spans="2:8">
      <c r="B345" s="15">
        <f>Techo - ROW() + ROW(Categorias_Registro[])</f>
        <v>2284</v>
      </c>
      <c r="C345" s="15">
        <f>IF(Categorias_Registro[[#This Row],[Puntos]]&lt;=ROUND(Piso,0),Piso,IF(Categorias_Registro[[#This Row],[Puntos]]&lt;D346,C346,D346+1))</f>
        <v>2164</v>
      </c>
      <c r="D345" s="15">
        <f>IF(Categorias_Registro[[#This Row],[Puntos]]=ROUND(Piso,0),ROUND(Categorias_Registro[[#This Row],[Puntos]]*(1+Categorias_Registro[[#This Row],[Amplitud]]),0),IF(Categorias_Registro[[#This Row],[Puntos]]&lt;D346,D346,ROUND(D346*(1+Categorias_Registro[[#This Row],[Amplitud]]),0)))</f>
        <v>2487</v>
      </c>
      <c r="E345" s="15">
        <f>E346+IF(D346=Categorias_Registro[[#This Row],[Máximo]],0,1)</f>
        <v>24</v>
      </c>
      <c r="F345" s="15">
        <f>ROUND(Categorias_Registro[[#This Row],[Mínimo]]+((Categorias_Registro[[#This Row],[Máximo]]-Categorias_Registro[[#This Row],[Mínimo]])/2),0)</f>
        <v>2326</v>
      </c>
      <c r="G345" s="78">
        <f>VLOOKUP(Categorias_Registro[[#This Row],[Puntos]],Categorias_Configuracion[],MATCH(Categorias_Configuracion[[#Headers],[% Amplitud]],Categorias_Configuracion[#Headers],0),TRUE)</f>
        <v>0.15</v>
      </c>
      <c r="H345" s="15" t="str">
        <f ca="1">TEXT(Categorias_Registro[[#This Row],[Mínimo]],Formato_Rango_Categorias)&amp;" - "&amp;TEXT(Categorias_Registro[[#This Row],[Máximo]],Formato_Rango_Categorias)</f>
        <v>2.164 - 2.487</v>
      </c>
    </row>
    <row r="346" spans="2:8">
      <c r="B346" s="15">
        <f>Techo - ROW() + ROW(Categorias_Registro[])</f>
        <v>2283</v>
      </c>
      <c r="C346" s="15">
        <f>IF(Categorias_Registro[[#This Row],[Puntos]]&lt;=ROUND(Piso,0),Piso,IF(Categorias_Registro[[#This Row],[Puntos]]&lt;D347,C347,D347+1))</f>
        <v>2164</v>
      </c>
      <c r="D346" s="15">
        <f>IF(Categorias_Registro[[#This Row],[Puntos]]=ROUND(Piso,0),ROUND(Categorias_Registro[[#This Row],[Puntos]]*(1+Categorias_Registro[[#This Row],[Amplitud]]),0),IF(Categorias_Registro[[#This Row],[Puntos]]&lt;D347,D347,ROUND(D347*(1+Categorias_Registro[[#This Row],[Amplitud]]),0)))</f>
        <v>2487</v>
      </c>
      <c r="E346" s="15">
        <f>E347+IF(D347=Categorias_Registro[[#This Row],[Máximo]],0,1)</f>
        <v>24</v>
      </c>
      <c r="F346" s="15">
        <f>ROUND(Categorias_Registro[[#This Row],[Mínimo]]+((Categorias_Registro[[#This Row],[Máximo]]-Categorias_Registro[[#This Row],[Mínimo]])/2),0)</f>
        <v>2326</v>
      </c>
      <c r="G346" s="78">
        <f>VLOOKUP(Categorias_Registro[[#This Row],[Puntos]],Categorias_Configuracion[],MATCH(Categorias_Configuracion[[#Headers],[% Amplitud]],Categorias_Configuracion[#Headers],0),TRUE)</f>
        <v>0.15</v>
      </c>
      <c r="H346" s="15" t="str">
        <f ca="1">TEXT(Categorias_Registro[[#This Row],[Mínimo]],Formato_Rango_Categorias)&amp;" - "&amp;TEXT(Categorias_Registro[[#This Row],[Máximo]],Formato_Rango_Categorias)</f>
        <v>2.164 - 2.487</v>
      </c>
    </row>
    <row r="347" spans="2:8">
      <c r="B347" s="15">
        <f>Techo - ROW() + ROW(Categorias_Registro[])</f>
        <v>2282</v>
      </c>
      <c r="C347" s="15">
        <f>IF(Categorias_Registro[[#This Row],[Puntos]]&lt;=ROUND(Piso,0),Piso,IF(Categorias_Registro[[#This Row],[Puntos]]&lt;D348,C348,D348+1))</f>
        <v>2164</v>
      </c>
      <c r="D347" s="15">
        <f>IF(Categorias_Registro[[#This Row],[Puntos]]=ROUND(Piso,0),ROUND(Categorias_Registro[[#This Row],[Puntos]]*(1+Categorias_Registro[[#This Row],[Amplitud]]),0),IF(Categorias_Registro[[#This Row],[Puntos]]&lt;D348,D348,ROUND(D348*(1+Categorias_Registro[[#This Row],[Amplitud]]),0)))</f>
        <v>2487</v>
      </c>
      <c r="E347" s="15">
        <f>E348+IF(D348=Categorias_Registro[[#This Row],[Máximo]],0,1)</f>
        <v>24</v>
      </c>
      <c r="F347" s="15">
        <f>ROUND(Categorias_Registro[[#This Row],[Mínimo]]+((Categorias_Registro[[#This Row],[Máximo]]-Categorias_Registro[[#This Row],[Mínimo]])/2),0)</f>
        <v>2326</v>
      </c>
      <c r="G347" s="78">
        <f>VLOOKUP(Categorias_Registro[[#This Row],[Puntos]],Categorias_Configuracion[],MATCH(Categorias_Configuracion[[#Headers],[% Amplitud]],Categorias_Configuracion[#Headers],0),TRUE)</f>
        <v>0.15</v>
      </c>
      <c r="H347" s="15" t="str">
        <f ca="1">TEXT(Categorias_Registro[[#This Row],[Mínimo]],Formato_Rango_Categorias)&amp;" - "&amp;TEXT(Categorias_Registro[[#This Row],[Máximo]],Formato_Rango_Categorias)</f>
        <v>2.164 - 2.487</v>
      </c>
    </row>
    <row r="348" spans="2:8">
      <c r="B348" s="15">
        <f>Techo - ROW() + ROW(Categorias_Registro[])</f>
        <v>2281</v>
      </c>
      <c r="C348" s="15">
        <f>IF(Categorias_Registro[[#This Row],[Puntos]]&lt;=ROUND(Piso,0),Piso,IF(Categorias_Registro[[#This Row],[Puntos]]&lt;D349,C349,D349+1))</f>
        <v>2164</v>
      </c>
      <c r="D348" s="15">
        <f>IF(Categorias_Registro[[#This Row],[Puntos]]=ROUND(Piso,0),ROUND(Categorias_Registro[[#This Row],[Puntos]]*(1+Categorias_Registro[[#This Row],[Amplitud]]),0),IF(Categorias_Registro[[#This Row],[Puntos]]&lt;D349,D349,ROUND(D349*(1+Categorias_Registro[[#This Row],[Amplitud]]),0)))</f>
        <v>2487</v>
      </c>
      <c r="E348" s="15">
        <f>E349+IF(D349=Categorias_Registro[[#This Row],[Máximo]],0,1)</f>
        <v>24</v>
      </c>
      <c r="F348" s="15">
        <f>ROUND(Categorias_Registro[[#This Row],[Mínimo]]+((Categorias_Registro[[#This Row],[Máximo]]-Categorias_Registro[[#This Row],[Mínimo]])/2),0)</f>
        <v>2326</v>
      </c>
      <c r="G348" s="78">
        <f>VLOOKUP(Categorias_Registro[[#This Row],[Puntos]],Categorias_Configuracion[],MATCH(Categorias_Configuracion[[#Headers],[% Amplitud]],Categorias_Configuracion[#Headers],0),TRUE)</f>
        <v>0.15</v>
      </c>
      <c r="H348" s="15" t="str">
        <f ca="1">TEXT(Categorias_Registro[[#This Row],[Mínimo]],Formato_Rango_Categorias)&amp;" - "&amp;TEXT(Categorias_Registro[[#This Row],[Máximo]],Formato_Rango_Categorias)</f>
        <v>2.164 - 2.487</v>
      </c>
    </row>
    <row r="349" spans="2:8">
      <c r="B349" s="15">
        <f>Techo - ROW() + ROW(Categorias_Registro[])</f>
        <v>2280</v>
      </c>
      <c r="C349" s="15">
        <f>IF(Categorias_Registro[[#This Row],[Puntos]]&lt;=ROUND(Piso,0),Piso,IF(Categorias_Registro[[#This Row],[Puntos]]&lt;D350,C350,D350+1))</f>
        <v>2164</v>
      </c>
      <c r="D349" s="15">
        <f>IF(Categorias_Registro[[#This Row],[Puntos]]=ROUND(Piso,0),ROUND(Categorias_Registro[[#This Row],[Puntos]]*(1+Categorias_Registro[[#This Row],[Amplitud]]),0),IF(Categorias_Registro[[#This Row],[Puntos]]&lt;D350,D350,ROUND(D350*(1+Categorias_Registro[[#This Row],[Amplitud]]),0)))</f>
        <v>2487</v>
      </c>
      <c r="E349" s="15">
        <f>E350+IF(D350=Categorias_Registro[[#This Row],[Máximo]],0,1)</f>
        <v>24</v>
      </c>
      <c r="F349" s="15">
        <f>ROUND(Categorias_Registro[[#This Row],[Mínimo]]+((Categorias_Registro[[#This Row],[Máximo]]-Categorias_Registro[[#This Row],[Mínimo]])/2),0)</f>
        <v>2326</v>
      </c>
      <c r="G349" s="78">
        <f>VLOOKUP(Categorias_Registro[[#This Row],[Puntos]],Categorias_Configuracion[],MATCH(Categorias_Configuracion[[#Headers],[% Amplitud]],Categorias_Configuracion[#Headers],0),TRUE)</f>
        <v>0.15</v>
      </c>
      <c r="H349" s="15" t="str">
        <f ca="1">TEXT(Categorias_Registro[[#This Row],[Mínimo]],Formato_Rango_Categorias)&amp;" - "&amp;TEXT(Categorias_Registro[[#This Row],[Máximo]],Formato_Rango_Categorias)</f>
        <v>2.164 - 2.487</v>
      </c>
    </row>
    <row r="350" spans="2:8">
      <c r="B350" s="15">
        <f>Techo - ROW() + ROW(Categorias_Registro[])</f>
        <v>2279</v>
      </c>
      <c r="C350" s="15">
        <f>IF(Categorias_Registro[[#This Row],[Puntos]]&lt;=ROUND(Piso,0),Piso,IF(Categorias_Registro[[#This Row],[Puntos]]&lt;D351,C351,D351+1))</f>
        <v>2164</v>
      </c>
      <c r="D350" s="15">
        <f>IF(Categorias_Registro[[#This Row],[Puntos]]=ROUND(Piso,0),ROUND(Categorias_Registro[[#This Row],[Puntos]]*(1+Categorias_Registro[[#This Row],[Amplitud]]),0),IF(Categorias_Registro[[#This Row],[Puntos]]&lt;D351,D351,ROUND(D351*(1+Categorias_Registro[[#This Row],[Amplitud]]),0)))</f>
        <v>2487</v>
      </c>
      <c r="E350" s="15">
        <f>E351+IF(D351=Categorias_Registro[[#This Row],[Máximo]],0,1)</f>
        <v>24</v>
      </c>
      <c r="F350" s="15">
        <f>ROUND(Categorias_Registro[[#This Row],[Mínimo]]+((Categorias_Registro[[#This Row],[Máximo]]-Categorias_Registro[[#This Row],[Mínimo]])/2),0)</f>
        <v>2326</v>
      </c>
      <c r="G350" s="78">
        <f>VLOOKUP(Categorias_Registro[[#This Row],[Puntos]],Categorias_Configuracion[],MATCH(Categorias_Configuracion[[#Headers],[% Amplitud]],Categorias_Configuracion[#Headers],0),TRUE)</f>
        <v>0.15</v>
      </c>
      <c r="H350" s="15" t="str">
        <f ca="1">TEXT(Categorias_Registro[[#This Row],[Mínimo]],Formato_Rango_Categorias)&amp;" - "&amp;TEXT(Categorias_Registro[[#This Row],[Máximo]],Formato_Rango_Categorias)</f>
        <v>2.164 - 2.487</v>
      </c>
    </row>
    <row r="351" spans="2:8">
      <c r="B351" s="15">
        <f>Techo - ROW() + ROW(Categorias_Registro[])</f>
        <v>2278</v>
      </c>
      <c r="C351" s="15">
        <f>IF(Categorias_Registro[[#This Row],[Puntos]]&lt;=ROUND(Piso,0),Piso,IF(Categorias_Registro[[#This Row],[Puntos]]&lt;D352,C352,D352+1))</f>
        <v>2164</v>
      </c>
      <c r="D351" s="15">
        <f>IF(Categorias_Registro[[#This Row],[Puntos]]=ROUND(Piso,0),ROUND(Categorias_Registro[[#This Row],[Puntos]]*(1+Categorias_Registro[[#This Row],[Amplitud]]),0),IF(Categorias_Registro[[#This Row],[Puntos]]&lt;D352,D352,ROUND(D352*(1+Categorias_Registro[[#This Row],[Amplitud]]),0)))</f>
        <v>2487</v>
      </c>
      <c r="E351" s="15">
        <f>E352+IF(D352=Categorias_Registro[[#This Row],[Máximo]],0,1)</f>
        <v>24</v>
      </c>
      <c r="F351" s="15">
        <f>ROUND(Categorias_Registro[[#This Row],[Mínimo]]+((Categorias_Registro[[#This Row],[Máximo]]-Categorias_Registro[[#This Row],[Mínimo]])/2),0)</f>
        <v>2326</v>
      </c>
      <c r="G351" s="78">
        <f>VLOOKUP(Categorias_Registro[[#This Row],[Puntos]],Categorias_Configuracion[],MATCH(Categorias_Configuracion[[#Headers],[% Amplitud]],Categorias_Configuracion[#Headers],0),TRUE)</f>
        <v>0.15</v>
      </c>
      <c r="H351" s="15" t="str">
        <f ca="1">TEXT(Categorias_Registro[[#This Row],[Mínimo]],Formato_Rango_Categorias)&amp;" - "&amp;TEXT(Categorias_Registro[[#This Row],[Máximo]],Formato_Rango_Categorias)</f>
        <v>2.164 - 2.487</v>
      </c>
    </row>
    <row r="352" spans="2:8">
      <c r="B352" s="15">
        <f>Techo - ROW() + ROW(Categorias_Registro[])</f>
        <v>2277</v>
      </c>
      <c r="C352" s="15">
        <f>IF(Categorias_Registro[[#This Row],[Puntos]]&lt;=ROUND(Piso,0),Piso,IF(Categorias_Registro[[#This Row],[Puntos]]&lt;D353,C353,D353+1))</f>
        <v>2164</v>
      </c>
      <c r="D352" s="15">
        <f>IF(Categorias_Registro[[#This Row],[Puntos]]=ROUND(Piso,0),ROUND(Categorias_Registro[[#This Row],[Puntos]]*(1+Categorias_Registro[[#This Row],[Amplitud]]),0),IF(Categorias_Registro[[#This Row],[Puntos]]&lt;D353,D353,ROUND(D353*(1+Categorias_Registro[[#This Row],[Amplitud]]),0)))</f>
        <v>2487</v>
      </c>
      <c r="E352" s="15">
        <f>E353+IF(D353=Categorias_Registro[[#This Row],[Máximo]],0,1)</f>
        <v>24</v>
      </c>
      <c r="F352" s="15">
        <f>ROUND(Categorias_Registro[[#This Row],[Mínimo]]+((Categorias_Registro[[#This Row],[Máximo]]-Categorias_Registro[[#This Row],[Mínimo]])/2),0)</f>
        <v>2326</v>
      </c>
      <c r="G352" s="78">
        <f>VLOOKUP(Categorias_Registro[[#This Row],[Puntos]],Categorias_Configuracion[],MATCH(Categorias_Configuracion[[#Headers],[% Amplitud]],Categorias_Configuracion[#Headers],0),TRUE)</f>
        <v>0.15</v>
      </c>
      <c r="H352" s="15" t="str">
        <f ca="1">TEXT(Categorias_Registro[[#This Row],[Mínimo]],Formato_Rango_Categorias)&amp;" - "&amp;TEXT(Categorias_Registro[[#This Row],[Máximo]],Formato_Rango_Categorias)</f>
        <v>2.164 - 2.487</v>
      </c>
    </row>
    <row r="353" spans="2:8">
      <c r="B353" s="15">
        <f>Techo - ROW() + ROW(Categorias_Registro[])</f>
        <v>2276</v>
      </c>
      <c r="C353" s="15">
        <f>IF(Categorias_Registro[[#This Row],[Puntos]]&lt;=ROUND(Piso,0),Piso,IF(Categorias_Registro[[#This Row],[Puntos]]&lt;D354,C354,D354+1))</f>
        <v>2164</v>
      </c>
      <c r="D353" s="15">
        <f>IF(Categorias_Registro[[#This Row],[Puntos]]=ROUND(Piso,0),ROUND(Categorias_Registro[[#This Row],[Puntos]]*(1+Categorias_Registro[[#This Row],[Amplitud]]),0),IF(Categorias_Registro[[#This Row],[Puntos]]&lt;D354,D354,ROUND(D354*(1+Categorias_Registro[[#This Row],[Amplitud]]),0)))</f>
        <v>2487</v>
      </c>
      <c r="E353" s="15">
        <f>E354+IF(D354=Categorias_Registro[[#This Row],[Máximo]],0,1)</f>
        <v>24</v>
      </c>
      <c r="F353" s="15">
        <f>ROUND(Categorias_Registro[[#This Row],[Mínimo]]+((Categorias_Registro[[#This Row],[Máximo]]-Categorias_Registro[[#This Row],[Mínimo]])/2),0)</f>
        <v>2326</v>
      </c>
      <c r="G353" s="78">
        <f>VLOOKUP(Categorias_Registro[[#This Row],[Puntos]],Categorias_Configuracion[],MATCH(Categorias_Configuracion[[#Headers],[% Amplitud]],Categorias_Configuracion[#Headers],0),TRUE)</f>
        <v>0.15</v>
      </c>
      <c r="H353" s="15" t="str">
        <f ca="1">TEXT(Categorias_Registro[[#This Row],[Mínimo]],Formato_Rango_Categorias)&amp;" - "&amp;TEXT(Categorias_Registro[[#This Row],[Máximo]],Formato_Rango_Categorias)</f>
        <v>2.164 - 2.487</v>
      </c>
    </row>
    <row r="354" spans="2:8">
      <c r="B354" s="15">
        <f>Techo - ROW() + ROW(Categorias_Registro[])</f>
        <v>2275</v>
      </c>
      <c r="C354" s="15">
        <f>IF(Categorias_Registro[[#This Row],[Puntos]]&lt;=ROUND(Piso,0),Piso,IF(Categorias_Registro[[#This Row],[Puntos]]&lt;D355,C355,D355+1))</f>
        <v>2164</v>
      </c>
      <c r="D354" s="15">
        <f>IF(Categorias_Registro[[#This Row],[Puntos]]=ROUND(Piso,0),ROUND(Categorias_Registro[[#This Row],[Puntos]]*(1+Categorias_Registro[[#This Row],[Amplitud]]),0),IF(Categorias_Registro[[#This Row],[Puntos]]&lt;D355,D355,ROUND(D355*(1+Categorias_Registro[[#This Row],[Amplitud]]),0)))</f>
        <v>2487</v>
      </c>
      <c r="E354" s="15">
        <f>E355+IF(D355=Categorias_Registro[[#This Row],[Máximo]],0,1)</f>
        <v>24</v>
      </c>
      <c r="F354" s="15">
        <f>ROUND(Categorias_Registro[[#This Row],[Mínimo]]+((Categorias_Registro[[#This Row],[Máximo]]-Categorias_Registro[[#This Row],[Mínimo]])/2),0)</f>
        <v>2326</v>
      </c>
      <c r="G354" s="78">
        <f>VLOOKUP(Categorias_Registro[[#This Row],[Puntos]],Categorias_Configuracion[],MATCH(Categorias_Configuracion[[#Headers],[% Amplitud]],Categorias_Configuracion[#Headers],0),TRUE)</f>
        <v>0.15</v>
      </c>
      <c r="H354" s="15" t="str">
        <f ca="1">TEXT(Categorias_Registro[[#This Row],[Mínimo]],Formato_Rango_Categorias)&amp;" - "&amp;TEXT(Categorias_Registro[[#This Row],[Máximo]],Formato_Rango_Categorias)</f>
        <v>2.164 - 2.487</v>
      </c>
    </row>
    <row r="355" spans="2:8">
      <c r="B355" s="15">
        <f>Techo - ROW() + ROW(Categorias_Registro[])</f>
        <v>2274</v>
      </c>
      <c r="C355" s="15">
        <f>IF(Categorias_Registro[[#This Row],[Puntos]]&lt;=ROUND(Piso,0),Piso,IF(Categorias_Registro[[#This Row],[Puntos]]&lt;D356,C356,D356+1))</f>
        <v>2164</v>
      </c>
      <c r="D355" s="15">
        <f>IF(Categorias_Registro[[#This Row],[Puntos]]=ROUND(Piso,0),ROUND(Categorias_Registro[[#This Row],[Puntos]]*(1+Categorias_Registro[[#This Row],[Amplitud]]),0),IF(Categorias_Registro[[#This Row],[Puntos]]&lt;D356,D356,ROUND(D356*(1+Categorias_Registro[[#This Row],[Amplitud]]),0)))</f>
        <v>2487</v>
      </c>
      <c r="E355" s="15">
        <f>E356+IF(D356=Categorias_Registro[[#This Row],[Máximo]],0,1)</f>
        <v>24</v>
      </c>
      <c r="F355" s="15">
        <f>ROUND(Categorias_Registro[[#This Row],[Mínimo]]+((Categorias_Registro[[#This Row],[Máximo]]-Categorias_Registro[[#This Row],[Mínimo]])/2),0)</f>
        <v>2326</v>
      </c>
      <c r="G355" s="78">
        <f>VLOOKUP(Categorias_Registro[[#This Row],[Puntos]],Categorias_Configuracion[],MATCH(Categorias_Configuracion[[#Headers],[% Amplitud]],Categorias_Configuracion[#Headers],0),TRUE)</f>
        <v>0.15</v>
      </c>
      <c r="H355" s="15" t="str">
        <f ca="1">TEXT(Categorias_Registro[[#This Row],[Mínimo]],Formato_Rango_Categorias)&amp;" - "&amp;TEXT(Categorias_Registro[[#This Row],[Máximo]],Formato_Rango_Categorias)</f>
        <v>2.164 - 2.487</v>
      </c>
    </row>
    <row r="356" spans="2:8">
      <c r="B356" s="15">
        <f>Techo - ROW() + ROW(Categorias_Registro[])</f>
        <v>2273</v>
      </c>
      <c r="C356" s="15">
        <f>IF(Categorias_Registro[[#This Row],[Puntos]]&lt;=ROUND(Piso,0),Piso,IF(Categorias_Registro[[#This Row],[Puntos]]&lt;D357,C357,D357+1))</f>
        <v>2164</v>
      </c>
      <c r="D356" s="15">
        <f>IF(Categorias_Registro[[#This Row],[Puntos]]=ROUND(Piso,0),ROUND(Categorias_Registro[[#This Row],[Puntos]]*(1+Categorias_Registro[[#This Row],[Amplitud]]),0),IF(Categorias_Registro[[#This Row],[Puntos]]&lt;D357,D357,ROUND(D357*(1+Categorias_Registro[[#This Row],[Amplitud]]),0)))</f>
        <v>2487</v>
      </c>
      <c r="E356" s="15">
        <f>E357+IF(D357=Categorias_Registro[[#This Row],[Máximo]],0,1)</f>
        <v>24</v>
      </c>
      <c r="F356" s="15">
        <f>ROUND(Categorias_Registro[[#This Row],[Mínimo]]+((Categorias_Registro[[#This Row],[Máximo]]-Categorias_Registro[[#This Row],[Mínimo]])/2),0)</f>
        <v>2326</v>
      </c>
      <c r="G356" s="78">
        <f>VLOOKUP(Categorias_Registro[[#This Row],[Puntos]],Categorias_Configuracion[],MATCH(Categorias_Configuracion[[#Headers],[% Amplitud]],Categorias_Configuracion[#Headers],0),TRUE)</f>
        <v>0.15</v>
      </c>
      <c r="H356" s="15" t="str">
        <f ca="1">TEXT(Categorias_Registro[[#This Row],[Mínimo]],Formato_Rango_Categorias)&amp;" - "&amp;TEXT(Categorias_Registro[[#This Row],[Máximo]],Formato_Rango_Categorias)</f>
        <v>2.164 - 2.487</v>
      </c>
    </row>
    <row r="357" spans="2:8">
      <c r="B357" s="15">
        <f>Techo - ROW() + ROW(Categorias_Registro[])</f>
        <v>2272</v>
      </c>
      <c r="C357" s="15">
        <f>IF(Categorias_Registro[[#This Row],[Puntos]]&lt;=ROUND(Piso,0),Piso,IF(Categorias_Registro[[#This Row],[Puntos]]&lt;D358,C358,D358+1))</f>
        <v>2164</v>
      </c>
      <c r="D357" s="15">
        <f>IF(Categorias_Registro[[#This Row],[Puntos]]=ROUND(Piso,0),ROUND(Categorias_Registro[[#This Row],[Puntos]]*(1+Categorias_Registro[[#This Row],[Amplitud]]),0),IF(Categorias_Registro[[#This Row],[Puntos]]&lt;D358,D358,ROUND(D358*(1+Categorias_Registro[[#This Row],[Amplitud]]),0)))</f>
        <v>2487</v>
      </c>
      <c r="E357" s="15">
        <f>E358+IF(D358=Categorias_Registro[[#This Row],[Máximo]],0,1)</f>
        <v>24</v>
      </c>
      <c r="F357" s="15">
        <f>ROUND(Categorias_Registro[[#This Row],[Mínimo]]+((Categorias_Registro[[#This Row],[Máximo]]-Categorias_Registro[[#This Row],[Mínimo]])/2),0)</f>
        <v>2326</v>
      </c>
      <c r="G357" s="78">
        <f>VLOOKUP(Categorias_Registro[[#This Row],[Puntos]],Categorias_Configuracion[],MATCH(Categorias_Configuracion[[#Headers],[% Amplitud]],Categorias_Configuracion[#Headers],0),TRUE)</f>
        <v>0.15</v>
      </c>
      <c r="H357" s="15" t="str">
        <f ca="1">TEXT(Categorias_Registro[[#This Row],[Mínimo]],Formato_Rango_Categorias)&amp;" - "&amp;TEXT(Categorias_Registro[[#This Row],[Máximo]],Formato_Rango_Categorias)</f>
        <v>2.164 - 2.487</v>
      </c>
    </row>
    <row r="358" spans="2:8">
      <c r="B358" s="15">
        <f>Techo - ROW() + ROW(Categorias_Registro[])</f>
        <v>2271</v>
      </c>
      <c r="C358" s="15">
        <f>IF(Categorias_Registro[[#This Row],[Puntos]]&lt;=ROUND(Piso,0),Piso,IF(Categorias_Registro[[#This Row],[Puntos]]&lt;D359,C359,D359+1))</f>
        <v>2164</v>
      </c>
      <c r="D358" s="15">
        <f>IF(Categorias_Registro[[#This Row],[Puntos]]=ROUND(Piso,0),ROUND(Categorias_Registro[[#This Row],[Puntos]]*(1+Categorias_Registro[[#This Row],[Amplitud]]),0),IF(Categorias_Registro[[#This Row],[Puntos]]&lt;D359,D359,ROUND(D359*(1+Categorias_Registro[[#This Row],[Amplitud]]),0)))</f>
        <v>2487</v>
      </c>
      <c r="E358" s="15">
        <f>E359+IF(D359=Categorias_Registro[[#This Row],[Máximo]],0,1)</f>
        <v>24</v>
      </c>
      <c r="F358" s="15">
        <f>ROUND(Categorias_Registro[[#This Row],[Mínimo]]+((Categorias_Registro[[#This Row],[Máximo]]-Categorias_Registro[[#This Row],[Mínimo]])/2),0)</f>
        <v>2326</v>
      </c>
      <c r="G358" s="78">
        <f>VLOOKUP(Categorias_Registro[[#This Row],[Puntos]],Categorias_Configuracion[],MATCH(Categorias_Configuracion[[#Headers],[% Amplitud]],Categorias_Configuracion[#Headers],0),TRUE)</f>
        <v>0.15</v>
      </c>
      <c r="H358" s="15" t="str">
        <f ca="1">TEXT(Categorias_Registro[[#This Row],[Mínimo]],Formato_Rango_Categorias)&amp;" - "&amp;TEXT(Categorias_Registro[[#This Row],[Máximo]],Formato_Rango_Categorias)</f>
        <v>2.164 - 2.487</v>
      </c>
    </row>
    <row r="359" spans="2:8">
      <c r="B359" s="15">
        <f>Techo - ROW() + ROW(Categorias_Registro[])</f>
        <v>2270</v>
      </c>
      <c r="C359" s="15">
        <f>IF(Categorias_Registro[[#This Row],[Puntos]]&lt;=ROUND(Piso,0),Piso,IF(Categorias_Registro[[#This Row],[Puntos]]&lt;D360,C360,D360+1))</f>
        <v>2164</v>
      </c>
      <c r="D359" s="15">
        <f>IF(Categorias_Registro[[#This Row],[Puntos]]=ROUND(Piso,0),ROUND(Categorias_Registro[[#This Row],[Puntos]]*(1+Categorias_Registro[[#This Row],[Amplitud]]),0),IF(Categorias_Registro[[#This Row],[Puntos]]&lt;D360,D360,ROUND(D360*(1+Categorias_Registro[[#This Row],[Amplitud]]),0)))</f>
        <v>2487</v>
      </c>
      <c r="E359" s="15">
        <f>E360+IF(D360=Categorias_Registro[[#This Row],[Máximo]],0,1)</f>
        <v>24</v>
      </c>
      <c r="F359" s="15">
        <f>ROUND(Categorias_Registro[[#This Row],[Mínimo]]+((Categorias_Registro[[#This Row],[Máximo]]-Categorias_Registro[[#This Row],[Mínimo]])/2),0)</f>
        <v>2326</v>
      </c>
      <c r="G359" s="78">
        <f>VLOOKUP(Categorias_Registro[[#This Row],[Puntos]],Categorias_Configuracion[],MATCH(Categorias_Configuracion[[#Headers],[% Amplitud]],Categorias_Configuracion[#Headers],0),TRUE)</f>
        <v>0.15</v>
      </c>
      <c r="H359" s="15" t="str">
        <f ca="1">TEXT(Categorias_Registro[[#This Row],[Mínimo]],Formato_Rango_Categorias)&amp;" - "&amp;TEXT(Categorias_Registro[[#This Row],[Máximo]],Formato_Rango_Categorias)</f>
        <v>2.164 - 2.487</v>
      </c>
    </row>
    <row r="360" spans="2:8">
      <c r="B360" s="15">
        <f>Techo - ROW() + ROW(Categorias_Registro[])</f>
        <v>2269</v>
      </c>
      <c r="C360" s="15">
        <f>IF(Categorias_Registro[[#This Row],[Puntos]]&lt;=ROUND(Piso,0),Piso,IF(Categorias_Registro[[#This Row],[Puntos]]&lt;D361,C361,D361+1))</f>
        <v>2164</v>
      </c>
      <c r="D360" s="15">
        <f>IF(Categorias_Registro[[#This Row],[Puntos]]=ROUND(Piso,0),ROUND(Categorias_Registro[[#This Row],[Puntos]]*(1+Categorias_Registro[[#This Row],[Amplitud]]),0),IF(Categorias_Registro[[#This Row],[Puntos]]&lt;D361,D361,ROUND(D361*(1+Categorias_Registro[[#This Row],[Amplitud]]),0)))</f>
        <v>2487</v>
      </c>
      <c r="E360" s="15">
        <f>E361+IF(D361=Categorias_Registro[[#This Row],[Máximo]],0,1)</f>
        <v>24</v>
      </c>
      <c r="F360" s="15">
        <f>ROUND(Categorias_Registro[[#This Row],[Mínimo]]+((Categorias_Registro[[#This Row],[Máximo]]-Categorias_Registro[[#This Row],[Mínimo]])/2),0)</f>
        <v>2326</v>
      </c>
      <c r="G360" s="78">
        <f>VLOOKUP(Categorias_Registro[[#This Row],[Puntos]],Categorias_Configuracion[],MATCH(Categorias_Configuracion[[#Headers],[% Amplitud]],Categorias_Configuracion[#Headers],0),TRUE)</f>
        <v>0.15</v>
      </c>
      <c r="H360" s="15" t="str">
        <f ca="1">TEXT(Categorias_Registro[[#This Row],[Mínimo]],Formato_Rango_Categorias)&amp;" - "&amp;TEXT(Categorias_Registro[[#This Row],[Máximo]],Formato_Rango_Categorias)</f>
        <v>2.164 - 2.487</v>
      </c>
    </row>
    <row r="361" spans="2:8">
      <c r="B361" s="15">
        <f>Techo - ROW() + ROW(Categorias_Registro[])</f>
        <v>2268</v>
      </c>
      <c r="C361" s="15">
        <f>IF(Categorias_Registro[[#This Row],[Puntos]]&lt;=ROUND(Piso,0),Piso,IF(Categorias_Registro[[#This Row],[Puntos]]&lt;D362,C362,D362+1))</f>
        <v>2164</v>
      </c>
      <c r="D361" s="15">
        <f>IF(Categorias_Registro[[#This Row],[Puntos]]=ROUND(Piso,0),ROUND(Categorias_Registro[[#This Row],[Puntos]]*(1+Categorias_Registro[[#This Row],[Amplitud]]),0),IF(Categorias_Registro[[#This Row],[Puntos]]&lt;D362,D362,ROUND(D362*(1+Categorias_Registro[[#This Row],[Amplitud]]),0)))</f>
        <v>2487</v>
      </c>
      <c r="E361" s="15">
        <f>E362+IF(D362=Categorias_Registro[[#This Row],[Máximo]],0,1)</f>
        <v>24</v>
      </c>
      <c r="F361" s="15">
        <f>ROUND(Categorias_Registro[[#This Row],[Mínimo]]+((Categorias_Registro[[#This Row],[Máximo]]-Categorias_Registro[[#This Row],[Mínimo]])/2),0)</f>
        <v>2326</v>
      </c>
      <c r="G361" s="78">
        <f>VLOOKUP(Categorias_Registro[[#This Row],[Puntos]],Categorias_Configuracion[],MATCH(Categorias_Configuracion[[#Headers],[% Amplitud]],Categorias_Configuracion[#Headers],0),TRUE)</f>
        <v>0.15</v>
      </c>
      <c r="H361" s="15" t="str">
        <f ca="1">TEXT(Categorias_Registro[[#This Row],[Mínimo]],Formato_Rango_Categorias)&amp;" - "&amp;TEXT(Categorias_Registro[[#This Row],[Máximo]],Formato_Rango_Categorias)</f>
        <v>2.164 - 2.487</v>
      </c>
    </row>
    <row r="362" spans="2:8">
      <c r="B362" s="15">
        <f>Techo - ROW() + ROW(Categorias_Registro[])</f>
        <v>2267</v>
      </c>
      <c r="C362" s="15">
        <f>IF(Categorias_Registro[[#This Row],[Puntos]]&lt;=ROUND(Piso,0),Piso,IF(Categorias_Registro[[#This Row],[Puntos]]&lt;D363,C363,D363+1))</f>
        <v>2164</v>
      </c>
      <c r="D362" s="15">
        <f>IF(Categorias_Registro[[#This Row],[Puntos]]=ROUND(Piso,0),ROUND(Categorias_Registro[[#This Row],[Puntos]]*(1+Categorias_Registro[[#This Row],[Amplitud]]),0),IF(Categorias_Registro[[#This Row],[Puntos]]&lt;D363,D363,ROUND(D363*(1+Categorias_Registro[[#This Row],[Amplitud]]),0)))</f>
        <v>2487</v>
      </c>
      <c r="E362" s="15">
        <f>E363+IF(D363=Categorias_Registro[[#This Row],[Máximo]],0,1)</f>
        <v>24</v>
      </c>
      <c r="F362" s="15">
        <f>ROUND(Categorias_Registro[[#This Row],[Mínimo]]+((Categorias_Registro[[#This Row],[Máximo]]-Categorias_Registro[[#This Row],[Mínimo]])/2),0)</f>
        <v>2326</v>
      </c>
      <c r="G362" s="78">
        <f>VLOOKUP(Categorias_Registro[[#This Row],[Puntos]],Categorias_Configuracion[],MATCH(Categorias_Configuracion[[#Headers],[% Amplitud]],Categorias_Configuracion[#Headers],0),TRUE)</f>
        <v>0.15</v>
      </c>
      <c r="H362" s="15" t="str">
        <f ca="1">TEXT(Categorias_Registro[[#This Row],[Mínimo]],Formato_Rango_Categorias)&amp;" - "&amp;TEXT(Categorias_Registro[[#This Row],[Máximo]],Formato_Rango_Categorias)</f>
        <v>2.164 - 2.487</v>
      </c>
    </row>
    <row r="363" spans="2:8">
      <c r="B363" s="15">
        <f>Techo - ROW() + ROW(Categorias_Registro[])</f>
        <v>2266</v>
      </c>
      <c r="C363" s="15">
        <f>IF(Categorias_Registro[[#This Row],[Puntos]]&lt;=ROUND(Piso,0),Piso,IF(Categorias_Registro[[#This Row],[Puntos]]&lt;D364,C364,D364+1))</f>
        <v>2164</v>
      </c>
      <c r="D363" s="15">
        <f>IF(Categorias_Registro[[#This Row],[Puntos]]=ROUND(Piso,0),ROUND(Categorias_Registro[[#This Row],[Puntos]]*(1+Categorias_Registro[[#This Row],[Amplitud]]),0),IF(Categorias_Registro[[#This Row],[Puntos]]&lt;D364,D364,ROUND(D364*(1+Categorias_Registro[[#This Row],[Amplitud]]),0)))</f>
        <v>2487</v>
      </c>
      <c r="E363" s="15">
        <f>E364+IF(D364=Categorias_Registro[[#This Row],[Máximo]],0,1)</f>
        <v>24</v>
      </c>
      <c r="F363" s="15">
        <f>ROUND(Categorias_Registro[[#This Row],[Mínimo]]+((Categorias_Registro[[#This Row],[Máximo]]-Categorias_Registro[[#This Row],[Mínimo]])/2),0)</f>
        <v>2326</v>
      </c>
      <c r="G363" s="78">
        <f>VLOOKUP(Categorias_Registro[[#This Row],[Puntos]],Categorias_Configuracion[],MATCH(Categorias_Configuracion[[#Headers],[% Amplitud]],Categorias_Configuracion[#Headers],0),TRUE)</f>
        <v>0.15</v>
      </c>
      <c r="H363" s="15" t="str">
        <f ca="1">TEXT(Categorias_Registro[[#This Row],[Mínimo]],Formato_Rango_Categorias)&amp;" - "&amp;TEXT(Categorias_Registro[[#This Row],[Máximo]],Formato_Rango_Categorias)</f>
        <v>2.164 - 2.487</v>
      </c>
    </row>
    <row r="364" spans="2:8">
      <c r="B364" s="15">
        <f>Techo - ROW() + ROW(Categorias_Registro[])</f>
        <v>2265</v>
      </c>
      <c r="C364" s="15">
        <f>IF(Categorias_Registro[[#This Row],[Puntos]]&lt;=ROUND(Piso,0),Piso,IF(Categorias_Registro[[#This Row],[Puntos]]&lt;D365,C365,D365+1))</f>
        <v>2164</v>
      </c>
      <c r="D364" s="15">
        <f>IF(Categorias_Registro[[#This Row],[Puntos]]=ROUND(Piso,0),ROUND(Categorias_Registro[[#This Row],[Puntos]]*(1+Categorias_Registro[[#This Row],[Amplitud]]),0),IF(Categorias_Registro[[#This Row],[Puntos]]&lt;D365,D365,ROUND(D365*(1+Categorias_Registro[[#This Row],[Amplitud]]),0)))</f>
        <v>2487</v>
      </c>
      <c r="E364" s="15">
        <f>E365+IF(D365=Categorias_Registro[[#This Row],[Máximo]],0,1)</f>
        <v>24</v>
      </c>
      <c r="F364" s="15">
        <f>ROUND(Categorias_Registro[[#This Row],[Mínimo]]+((Categorias_Registro[[#This Row],[Máximo]]-Categorias_Registro[[#This Row],[Mínimo]])/2),0)</f>
        <v>2326</v>
      </c>
      <c r="G364" s="78">
        <f>VLOOKUP(Categorias_Registro[[#This Row],[Puntos]],Categorias_Configuracion[],MATCH(Categorias_Configuracion[[#Headers],[% Amplitud]],Categorias_Configuracion[#Headers],0),TRUE)</f>
        <v>0.15</v>
      </c>
      <c r="H364" s="15" t="str">
        <f ca="1">TEXT(Categorias_Registro[[#This Row],[Mínimo]],Formato_Rango_Categorias)&amp;" - "&amp;TEXT(Categorias_Registro[[#This Row],[Máximo]],Formato_Rango_Categorias)</f>
        <v>2.164 - 2.487</v>
      </c>
    </row>
    <row r="365" spans="2:8">
      <c r="B365" s="15">
        <f>Techo - ROW() + ROW(Categorias_Registro[])</f>
        <v>2264</v>
      </c>
      <c r="C365" s="15">
        <f>IF(Categorias_Registro[[#This Row],[Puntos]]&lt;=ROUND(Piso,0),Piso,IF(Categorias_Registro[[#This Row],[Puntos]]&lt;D366,C366,D366+1))</f>
        <v>2164</v>
      </c>
      <c r="D365" s="15">
        <f>IF(Categorias_Registro[[#This Row],[Puntos]]=ROUND(Piso,0),ROUND(Categorias_Registro[[#This Row],[Puntos]]*(1+Categorias_Registro[[#This Row],[Amplitud]]),0),IF(Categorias_Registro[[#This Row],[Puntos]]&lt;D366,D366,ROUND(D366*(1+Categorias_Registro[[#This Row],[Amplitud]]),0)))</f>
        <v>2487</v>
      </c>
      <c r="E365" s="15">
        <f>E366+IF(D366=Categorias_Registro[[#This Row],[Máximo]],0,1)</f>
        <v>24</v>
      </c>
      <c r="F365" s="15">
        <f>ROUND(Categorias_Registro[[#This Row],[Mínimo]]+((Categorias_Registro[[#This Row],[Máximo]]-Categorias_Registro[[#This Row],[Mínimo]])/2),0)</f>
        <v>2326</v>
      </c>
      <c r="G365" s="78">
        <f>VLOOKUP(Categorias_Registro[[#This Row],[Puntos]],Categorias_Configuracion[],MATCH(Categorias_Configuracion[[#Headers],[% Amplitud]],Categorias_Configuracion[#Headers],0),TRUE)</f>
        <v>0.15</v>
      </c>
      <c r="H365" s="15" t="str">
        <f ca="1">TEXT(Categorias_Registro[[#This Row],[Mínimo]],Formato_Rango_Categorias)&amp;" - "&amp;TEXT(Categorias_Registro[[#This Row],[Máximo]],Formato_Rango_Categorias)</f>
        <v>2.164 - 2.487</v>
      </c>
    </row>
    <row r="366" spans="2:8">
      <c r="B366" s="15">
        <f>Techo - ROW() + ROW(Categorias_Registro[])</f>
        <v>2263</v>
      </c>
      <c r="C366" s="15">
        <f>IF(Categorias_Registro[[#This Row],[Puntos]]&lt;=ROUND(Piso,0),Piso,IF(Categorias_Registro[[#This Row],[Puntos]]&lt;D367,C367,D367+1))</f>
        <v>2164</v>
      </c>
      <c r="D366" s="15">
        <f>IF(Categorias_Registro[[#This Row],[Puntos]]=ROUND(Piso,0),ROUND(Categorias_Registro[[#This Row],[Puntos]]*(1+Categorias_Registro[[#This Row],[Amplitud]]),0),IF(Categorias_Registro[[#This Row],[Puntos]]&lt;D367,D367,ROUND(D367*(1+Categorias_Registro[[#This Row],[Amplitud]]),0)))</f>
        <v>2487</v>
      </c>
      <c r="E366" s="15">
        <f>E367+IF(D367=Categorias_Registro[[#This Row],[Máximo]],0,1)</f>
        <v>24</v>
      </c>
      <c r="F366" s="15">
        <f>ROUND(Categorias_Registro[[#This Row],[Mínimo]]+((Categorias_Registro[[#This Row],[Máximo]]-Categorias_Registro[[#This Row],[Mínimo]])/2),0)</f>
        <v>2326</v>
      </c>
      <c r="G366" s="78">
        <f>VLOOKUP(Categorias_Registro[[#This Row],[Puntos]],Categorias_Configuracion[],MATCH(Categorias_Configuracion[[#Headers],[% Amplitud]],Categorias_Configuracion[#Headers],0),TRUE)</f>
        <v>0.15</v>
      </c>
      <c r="H366" s="15" t="str">
        <f ca="1">TEXT(Categorias_Registro[[#This Row],[Mínimo]],Formato_Rango_Categorias)&amp;" - "&amp;TEXT(Categorias_Registro[[#This Row],[Máximo]],Formato_Rango_Categorias)</f>
        <v>2.164 - 2.487</v>
      </c>
    </row>
    <row r="367" spans="2:8">
      <c r="B367" s="15">
        <f>Techo - ROW() + ROW(Categorias_Registro[])</f>
        <v>2262</v>
      </c>
      <c r="C367" s="15">
        <f>IF(Categorias_Registro[[#This Row],[Puntos]]&lt;=ROUND(Piso,0),Piso,IF(Categorias_Registro[[#This Row],[Puntos]]&lt;D368,C368,D368+1))</f>
        <v>2164</v>
      </c>
      <c r="D367" s="15">
        <f>IF(Categorias_Registro[[#This Row],[Puntos]]=ROUND(Piso,0),ROUND(Categorias_Registro[[#This Row],[Puntos]]*(1+Categorias_Registro[[#This Row],[Amplitud]]),0),IF(Categorias_Registro[[#This Row],[Puntos]]&lt;D368,D368,ROUND(D368*(1+Categorias_Registro[[#This Row],[Amplitud]]),0)))</f>
        <v>2487</v>
      </c>
      <c r="E367" s="15">
        <f>E368+IF(D368=Categorias_Registro[[#This Row],[Máximo]],0,1)</f>
        <v>24</v>
      </c>
      <c r="F367" s="15">
        <f>ROUND(Categorias_Registro[[#This Row],[Mínimo]]+((Categorias_Registro[[#This Row],[Máximo]]-Categorias_Registro[[#This Row],[Mínimo]])/2),0)</f>
        <v>2326</v>
      </c>
      <c r="G367" s="78">
        <f>VLOOKUP(Categorias_Registro[[#This Row],[Puntos]],Categorias_Configuracion[],MATCH(Categorias_Configuracion[[#Headers],[% Amplitud]],Categorias_Configuracion[#Headers],0),TRUE)</f>
        <v>0.15</v>
      </c>
      <c r="H367" s="15" t="str">
        <f ca="1">TEXT(Categorias_Registro[[#This Row],[Mínimo]],Formato_Rango_Categorias)&amp;" - "&amp;TEXT(Categorias_Registro[[#This Row],[Máximo]],Formato_Rango_Categorias)</f>
        <v>2.164 - 2.487</v>
      </c>
    </row>
    <row r="368" spans="2:8">
      <c r="B368" s="15">
        <f>Techo - ROW() + ROW(Categorias_Registro[])</f>
        <v>2261</v>
      </c>
      <c r="C368" s="15">
        <f>IF(Categorias_Registro[[#This Row],[Puntos]]&lt;=ROUND(Piso,0),Piso,IF(Categorias_Registro[[#This Row],[Puntos]]&lt;D369,C369,D369+1))</f>
        <v>2164</v>
      </c>
      <c r="D368" s="15">
        <f>IF(Categorias_Registro[[#This Row],[Puntos]]=ROUND(Piso,0),ROUND(Categorias_Registro[[#This Row],[Puntos]]*(1+Categorias_Registro[[#This Row],[Amplitud]]),0),IF(Categorias_Registro[[#This Row],[Puntos]]&lt;D369,D369,ROUND(D369*(1+Categorias_Registro[[#This Row],[Amplitud]]),0)))</f>
        <v>2487</v>
      </c>
      <c r="E368" s="15">
        <f>E369+IF(D369=Categorias_Registro[[#This Row],[Máximo]],0,1)</f>
        <v>24</v>
      </c>
      <c r="F368" s="15">
        <f>ROUND(Categorias_Registro[[#This Row],[Mínimo]]+((Categorias_Registro[[#This Row],[Máximo]]-Categorias_Registro[[#This Row],[Mínimo]])/2),0)</f>
        <v>2326</v>
      </c>
      <c r="G368" s="78">
        <f>VLOOKUP(Categorias_Registro[[#This Row],[Puntos]],Categorias_Configuracion[],MATCH(Categorias_Configuracion[[#Headers],[% Amplitud]],Categorias_Configuracion[#Headers],0),TRUE)</f>
        <v>0.15</v>
      </c>
      <c r="H368" s="15" t="str">
        <f ca="1">TEXT(Categorias_Registro[[#This Row],[Mínimo]],Formato_Rango_Categorias)&amp;" - "&amp;TEXT(Categorias_Registro[[#This Row],[Máximo]],Formato_Rango_Categorias)</f>
        <v>2.164 - 2.487</v>
      </c>
    </row>
    <row r="369" spans="2:8">
      <c r="B369" s="15">
        <f>Techo - ROW() + ROW(Categorias_Registro[])</f>
        <v>2260</v>
      </c>
      <c r="C369" s="15">
        <f>IF(Categorias_Registro[[#This Row],[Puntos]]&lt;=ROUND(Piso,0),Piso,IF(Categorias_Registro[[#This Row],[Puntos]]&lt;D370,C370,D370+1))</f>
        <v>2164</v>
      </c>
      <c r="D369" s="15">
        <f>IF(Categorias_Registro[[#This Row],[Puntos]]=ROUND(Piso,0),ROUND(Categorias_Registro[[#This Row],[Puntos]]*(1+Categorias_Registro[[#This Row],[Amplitud]]),0),IF(Categorias_Registro[[#This Row],[Puntos]]&lt;D370,D370,ROUND(D370*(1+Categorias_Registro[[#This Row],[Amplitud]]),0)))</f>
        <v>2487</v>
      </c>
      <c r="E369" s="15">
        <f>E370+IF(D370=Categorias_Registro[[#This Row],[Máximo]],0,1)</f>
        <v>24</v>
      </c>
      <c r="F369" s="15">
        <f>ROUND(Categorias_Registro[[#This Row],[Mínimo]]+((Categorias_Registro[[#This Row],[Máximo]]-Categorias_Registro[[#This Row],[Mínimo]])/2),0)</f>
        <v>2326</v>
      </c>
      <c r="G369" s="78">
        <f>VLOOKUP(Categorias_Registro[[#This Row],[Puntos]],Categorias_Configuracion[],MATCH(Categorias_Configuracion[[#Headers],[% Amplitud]],Categorias_Configuracion[#Headers],0),TRUE)</f>
        <v>0.15</v>
      </c>
      <c r="H369" s="15" t="str">
        <f ca="1">TEXT(Categorias_Registro[[#This Row],[Mínimo]],Formato_Rango_Categorias)&amp;" - "&amp;TEXT(Categorias_Registro[[#This Row],[Máximo]],Formato_Rango_Categorias)</f>
        <v>2.164 - 2.487</v>
      </c>
    </row>
    <row r="370" spans="2:8">
      <c r="B370" s="15">
        <f>Techo - ROW() + ROW(Categorias_Registro[])</f>
        <v>2259</v>
      </c>
      <c r="C370" s="15">
        <f>IF(Categorias_Registro[[#This Row],[Puntos]]&lt;=ROUND(Piso,0),Piso,IF(Categorias_Registro[[#This Row],[Puntos]]&lt;D371,C371,D371+1))</f>
        <v>2164</v>
      </c>
      <c r="D370" s="15">
        <f>IF(Categorias_Registro[[#This Row],[Puntos]]=ROUND(Piso,0),ROUND(Categorias_Registro[[#This Row],[Puntos]]*(1+Categorias_Registro[[#This Row],[Amplitud]]),0),IF(Categorias_Registro[[#This Row],[Puntos]]&lt;D371,D371,ROUND(D371*(1+Categorias_Registro[[#This Row],[Amplitud]]),0)))</f>
        <v>2487</v>
      </c>
      <c r="E370" s="15">
        <f>E371+IF(D371=Categorias_Registro[[#This Row],[Máximo]],0,1)</f>
        <v>24</v>
      </c>
      <c r="F370" s="15">
        <f>ROUND(Categorias_Registro[[#This Row],[Mínimo]]+((Categorias_Registro[[#This Row],[Máximo]]-Categorias_Registro[[#This Row],[Mínimo]])/2),0)</f>
        <v>2326</v>
      </c>
      <c r="G370" s="78">
        <f>VLOOKUP(Categorias_Registro[[#This Row],[Puntos]],Categorias_Configuracion[],MATCH(Categorias_Configuracion[[#Headers],[% Amplitud]],Categorias_Configuracion[#Headers],0),TRUE)</f>
        <v>0.15</v>
      </c>
      <c r="H370" s="15" t="str">
        <f ca="1">TEXT(Categorias_Registro[[#This Row],[Mínimo]],Formato_Rango_Categorias)&amp;" - "&amp;TEXT(Categorias_Registro[[#This Row],[Máximo]],Formato_Rango_Categorias)</f>
        <v>2.164 - 2.487</v>
      </c>
    </row>
    <row r="371" spans="2:8">
      <c r="B371" s="15">
        <f>Techo - ROW() + ROW(Categorias_Registro[])</f>
        <v>2258</v>
      </c>
      <c r="C371" s="15">
        <f>IF(Categorias_Registro[[#This Row],[Puntos]]&lt;=ROUND(Piso,0),Piso,IF(Categorias_Registro[[#This Row],[Puntos]]&lt;D372,C372,D372+1))</f>
        <v>2164</v>
      </c>
      <c r="D371" s="15">
        <f>IF(Categorias_Registro[[#This Row],[Puntos]]=ROUND(Piso,0),ROUND(Categorias_Registro[[#This Row],[Puntos]]*(1+Categorias_Registro[[#This Row],[Amplitud]]),0),IF(Categorias_Registro[[#This Row],[Puntos]]&lt;D372,D372,ROUND(D372*(1+Categorias_Registro[[#This Row],[Amplitud]]),0)))</f>
        <v>2487</v>
      </c>
      <c r="E371" s="15">
        <f>E372+IF(D372=Categorias_Registro[[#This Row],[Máximo]],0,1)</f>
        <v>24</v>
      </c>
      <c r="F371" s="15">
        <f>ROUND(Categorias_Registro[[#This Row],[Mínimo]]+((Categorias_Registro[[#This Row],[Máximo]]-Categorias_Registro[[#This Row],[Mínimo]])/2),0)</f>
        <v>2326</v>
      </c>
      <c r="G371" s="78">
        <f>VLOOKUP(Categorias_Registro[[#This Row],[Puntos]],Categorias_Configuracion[],MATCH(Categorias_Configuracion[[#Headers],[% Amplitud]],Categorias_Configuracion[#Headers],0),TRUE)</f>
        <v>0.15</v>
      </c>
      <c r="H371" s="15" t="str">
        <f ca="1">TEXT(Categorias_Registro[[#This Row],[Mínimo]],Formato_Rango_Categorias)&amp;" - "&amp;TEXT(Categorias_Registro[[#This Row],[Máximo]],Formato_Rango_Categorias)</f>
        <v>2.164 - 2.487</v>
      </c>
    </row>
    <row r="372" spans="2:8">
      <c r="B372" s="15">
        <f>Techo - ROW() + ROW(Categorias_Registro[])</f>
        <v>2257</v>
      </c>
      <c r="C372" s="15">
        <f>IF(Categorias_Registro[[#This Row],[Puntos]]&lt;=ROUND(Piso,0),Piso,IF(Categorias_Registro[[#This Row],[Puntos]]&lt;D373,C373,D373+1))</f>
        <v>2164</v>
      </c>
      <c r="D372" s="15">
        <f>IF(Categorias_Registro[[#This Row],[Puntos]]=ROUND(Piso,0),ROUND(Categorias_Registro[[#This Row],[Puntos]]*(1+Categorias_Registro[[#This Row],[Amplitud]]),0),IF(Categorias_Registro[[#This Row],[Puntos]]&lt;D373,D373,ROUND(D373*(1+Categorias_Registro[[#This Row],[Amplitud]]),0)))</f>
        <v>2487</v>
      </c>
      <c r="E372" s="15">
        <f>E373+IF(D373=Categorias_Registro[[#This Row],[Máximo]],0,1)</f>
        <v>24</v>
      </c>
      <c r="F372" s="15">
        <f>ROUND(Categorias_Registro[[#This Row],[Mínimo]]+((Categorias_Registro[[#This Row],[Máximo]]-Categorias_Registro[[#This Row],[Mínimo]])/2),0)</f>
        <v>2326</v>
      </c>
      <c r="G372" s="78">
        <f>VLOOKUP(Categorias_Registro[[#This Row],[Puntos]],Categorias_Configuracion[],MATCH(Categorias_Configuracion[[#Headers],[% Amplitud]],Categorias_Configuracion[#Headers],0),TRUE)</f>
        <v>0.15</v>
      </c>
      <c r="H372" s="15" t="str">
        <f ca="1">TEXT(Categorias_Registro[[#This Row],[Mínimo]],Formato_Rango_Categorias)&amp;" - "&amp;TEXT(Categorias_Registro[[#This Row],[Máximo]],Formato_Rango_Categorias)</f>
        <v>2.164 - 2.487</v>
      </c>
    </row>
    <row r="373" spans="2:8">
      <c r="B373" s="15">
        <f>Techo - ROW() + ROW(Categorias_Registro[])</f>
        <v>2256</v>
      </c>
      <c r="C373" s="15">
        <f>IF(Categorias_Registro[[#This Row],[Puntos]]&lt;=ROUND(Piso,0),Piso,IF(Categorias_Registro[[#This Row],[Puntos]]&lt;D374,C374,D374+1))</f>
        <v>2164</v>
      </c>
      <c r="D373" s="15">
        <f>IF(Categorias_Registro[[#This Row],[Puntos]]=ROUND(Piso,0),ROUND(Categorias_Registro[[#This Row],[Puntos]]*(1+Categorias_Registro[[#This Row],[Amplitud]]),0),IF(Categorias_Registro[[#This Row],[Puntos]]&lt;D374,D374,ROUND(D374*(1+Categorias_Registro[[#This Row],[Amplitud]]),0)))</f>
        <v>2487</v>
      </c>
      <c r="E373" s="15">
        <f>E374+IF(D374=Categorias_Registro[[#This Row],[Máximo]],0,1)</f>
        <v>24</v>
      </c>
      <c r="F373" s="15">
        <f>ROUND(Categorias_Registro[[#This Row],[Mínimo]]+((Categorias_Registro[[#This Row],[Máximo]]-Categorias_Registro[[#This Row],[Mínimo]])/2),0)</f>
        <v>2326</v>
      </c>
      <c r="G373" s="78">
        <f>VLOOKUP(Categorias_Registro[[#This Row],[Puntos]],Categorias_Configuracion[],MATCH(Categorias_Configuracion[[#Headers],[% Amplitud]],Categorias_Configuracion[#Headers],0),TRUE)</f>
        <v>0.15</v>
      </c>
      <c r="H373" s="15" t="str">
        <f ca="1">TEXT(Categorias_Registro[[#This Row],[Mínimo]],Formato_Rango_Categorias)&amp;" - "&amp;TEXT(Categorias_Registro[[#This Row],[Máximo]],Formato_Rango_Categorias)</f>
        <v>2.164 - 2.487</v>
      </c>
    </row>
    <row r="374" spans="2:8">
      <c r="B374" s="15">
        <f>Techo - ROW() + ROW(Categorias_Registro[])</f>
        <v>2255</v>
      </c>
      <c r="C374" s="15">
        <f>IF(Categorias_Registro[[#This Row],[Puntos]]&lt;=ROUND(Piso,0),Piso,IF(Categorias_Registro[[#This Row],[Puntos]]&lt;D375,C375,D375+1))</f>
        <v>2164</v>
      </c>
      <c r="D374" s="15">
        <f>IF(Categorias_Registro[[#This Row],[Puntos]]=ROUND(Piso,0),ROUND(Categorias_Registro[[#This Row],[Puntos]]*(1+Categorias_Registro[[#This Row],[Amplitud]]),0),IF(Categorias_Registro[[#This Row],[Puntos]]&lt;D375,D375,ROUND(D375*(1+Categorias_Registro[[#This Row],[Amplitud]]),0)))</f>
        <v>2487</v>
      </c>
      <c r="E374" s="15">
        <f>E375+IF(D375=Categorias_Registro[[#This Row],[Máximo]],0,1)</f>
        <v>24</v>
      </c>
      <c r="F374" s="15">
        <f>ROUND(Categorias_Registro[[#This Row],[Mínimo]]+((Categorias_Registro[[#This Row],[Máximo]]-Categorias_Registro[[#This Row],[Mínimo]])/2),0)</f>
        <v>2326</v>
      </c>
      <c r="G374" s="78">
        <f>VLOOKUP(Categorias_Registro[[#This Row],[Puntos]],Categorias_Configuracion[],MATCH(Categorias_Configuracion[[#Headers],[% Amplitud]],Categorias_Configuracion[#Headers],0),TRUE)</f>
        <v>0.15</v>
      </c>
      <c r="H374" s="15" t="str">
        <f ca="1">TEXT(Categorias_Registro[[#This Row],[Mínimo]],Formato_Rango_Categorias)&amp;" - "&amp;TEXT(Categorias_Registro[[#This Row],[Máximo]],Formato_Rango_Categorias)</f>
        <v>2.164 - 2.487</v>
      </c>
    </row>
    <row r="375" spans="2:8">
      <c r="B375" s="15">
        <f>Techo - ROW() + ROW(Categorias_Registro[])</f>
        <v>2254</v>
      </c>
      <c r="C375" s="15">
        <f>IF(Categorias_Registro[[#This Row],[Puntos]]&lt;=ROUND(Piso,0),Piso,IF(Categorias_Registro[[#This Row],[Puntos]]&lt;D376,C376,D376+1))</f>
        <v>2164</v>
      </c>
      <c r="D375" s="15">
        <f>IF(Categorias_Registro[[#This Row],[Puntos]]=ROUND(Piso,0),ROUND(Categorias_Registro[[#This Row],[Puntos]]*(1+Categorias_Registro[[#This Row],[Amplitud]]),0),IF(Categorias_Registro[[#This Row],[Puntos]]&lt;D376,D376,ROUND(D376*(1+Categorias_Registro[[#This Row],[Amplitud]]),0)))</f>
        <v>2487</v>
      </c>
      <c r="E375" s="15">
        <f>E376+IF(D376=Categorias_Registro[[#This Row],[Máximo]],0,1)</f>
        <v>24</v>
      </c>
      <c r="F375" s="15">
        <f>ROUND(Categorias_Registro[[#This Row],[Mínimo]]+((Categorias_Registro[[#This Row],[Máximo]]-Categorias_Registro[[#This Row],[Mínimo]])/2),0)</f>
        <v>2326</v>
      </c>
      <c r="G375" s="78">
        <f>VLOOKUP(Categorias_Registro[[#This Row],[Puntos]],Categorias_Configuracion[],MATCH(Categorias_Configuracion[[#Headers],[% Amplitud]],Categorias_Configuracion[#Headers],0),TRUE)</f>
        <v>0.15</v>
      </c>
      <c r="H375" s="15" t="str">
        <f ca="1">TEXT(Categorias_Registro[[#This Row],[Mínimo]],Formato_Rango_Categorias)&amp;" - "&amp;TEXT(Categorias_Registro[[#This Row],[Máximo]],Formato_Rango_Categorias)</f>
        <v>2.164 - 2.487</v>
      </c>
    </row>
    <row r="376" spans="2:8">
      <c r="B376" s="15">
        <f>Techo - ROW() + ROW(Categorias_Registro[])</f>
        <v>2253</v>
      </c>
      <c r="C376" s="15">
        <f>IF(Categorias_Registro[[#This Row],[Puntos]]&lt;=ROUND(Piso,0),Piso,IF(Categorias_Registro[[#This Row],[Puntos]]&lt;D377,C377,D377+1))</f>
        <v>2164</v>
      </c>
      <c r="D376" s="15">
        <f>IF(Categorias_Registro[[#This Row],[Puntos]]=ROUND(Piso,0),ROUND(Categorias_Registro[[#This Row],[Puntos]]*(1+Categorias_Registro[[#This Row],[Amplitud]]),0),IF(Categorias_Registro[[#This Row],[Puntos]]&lt;D377,D377,ROUND(D377*(1+Categorias_Registro[[#This Row],[Amplitud]]),0)))</f>
        <v>2487</v>
      </c>
      <c r="E376" s="15">
        <f>E377+IF(D377=Categorias_Registro[[#This Row],[Máximo]],0,1)</f>
        <v>24</v>
      </c>
      <c r="F376" s="15">
        <f>ROUND(Categorias_Registro[[#This Row],[Mínimo]]+((Categorias_Registro[[#This Row],[Máximo]]-Categorias_Registro[[#This Row],[Mínimo]])/2),0)</f>
        <v>2326</v>
      </c>
      <c r="G376" s="78">
        <f>VLOOKUP(Categorias_Registro[[#This Row],[Puntos]],Categorias_Configuracion[],MATCH(Categorias_Configuracion[[#Headers],[% Amplitud]],Categorias_Configuracion[#Headers],0),TRUE)</f>
        <v>0.15</v>
      </c>
      <c r="H376" s="15" t="str">
        <f ca="1">TEXT(Categorias_Registro[[#This Row],[Mínimo]],Formato_Rango_Categorias)&amp;" - "&amp;TEXT(Categorias_Registro[[#This Row],[Máximo]],Formato_Rango_Categorias)</f>
        <v>2.164 - 2.487</v>
      </c>
    </row>
    <row r="377" spans="2:8">
      <c r="B377" s="15">
        <f>Techo - ROW() + ROW(Categorias_Registro[])</f>
        <v>2252</v>
      </c>
      <c r="C377" s="15">
        <f>IF(Categorias_Registro[[#This Row],[Puntos]]&lt;=ROUND(Piso,0),Piso,IF(Categorias_Registro[[#This Row],[Puntos]]&lt;D378,C378,D378+1))</f>
        <v>2164</v>
      </c>
      <c r="D377" s="15">
        <f>IF(Categorias_Registro[[#This Row],[Puntos]]=ROUND(Piso,0),ROUND(Categorias_Registro[[#This Row],[Puntos]]*(1+Categorias_Registro[[#This Row],[Amplitud]]),0),IF(Categorias_Registro[[#This Row],[Puntos]]&lt;D378,D378,ROUND(D378*(1+Categorias_Registro[[#This Row],[Amplitud]]),0)))</f>
        <v>2487</v>
      </c>
      <c r="E377" s="15">
        <f>E378+IF(D378=Categorias_Registro[[#This Row],[Máximo]],0,1)</f>
        <v>24</v>
      </c>
      <c r="F377" s="15">
        <f>ROUND(Categorias_Registro[[#This Row],[Mínimo]]+((Categorias_Registro[[#This Row],[Máximo]]-Categorias_Registro[[#This Row],[Mínimo]])/2),0)</f>
        <v>2326</v>
      </c>
      <c r="G377" s="78">
        <f>VLOOKUP(Categorias_Registro[[#This Row],[Puntos]],Categorias_Configuracion[],MATCH(Categorias_Configuracion[[#Headers],[% Amplitud]],Categorias_Configuracion[#Headers],0),TRUE)</f>
        <v>0.15</v>
      </c>
      <c r="H377" s="15" t="str">
        <f ca="1">TEXT(Categorias_Registro[[#This Row],[Mínimo]],Formato_Rango_Categorias)&amp;" - "&amp;TEXT(Categorias_Registro[[#This Row],[Máximo]],Formato_Rango_Categorias)</f>
        <v>2.164 - 2.487</v>
      </c>
    </row>
    <row r="378" spans="2:8">
      <c r="B378" s="15">
        <f>Techo - ROW() + ROW(Categorias_Registro[])</f>
        <v>2251</v>
      </c>
      <c r="C378" s="15">
        <f>IF(Categorias_Registro[[#This Row],[Puntos]]&lt;=ROUND(Piso,0),Piso,IF(Categorias_Registro[[#This Row],[Puntos]]&lt;D379,C379,D379+1))</f>
        <v>2164</v>
      </c>
      <c r="D378" s="15">
        <f>IF(Categorias_Registro[[#This Row],[Puntos]]=ROUND(Piso,0),ROUND(Categorias_Registro[[#This Row],[Puntos]]*(1+Categorias_Registro[[#This Row],[Amplitud]]),0),IF(Categorias_Registro[[#This Row],[Puntos]]&lt;D379,D379,ROUND(D379*(1+Categorias_Registro[[#This Row],[Amplitud]]),0)))</f>
        <v>2487</v>
      </c>
      <c r="E378" s="15">
        <f>E379+IF(D379=Categorias_Registro[[#This Row],[Máximo]],0,1)</f>
        <v>24</v>
      </c>
      <c r="F378" s="15">
        <f>ROUND(Categorias_Registro[[#This Row],[Mínimo]]+((Categorias_Registro[[#This Row],[Máximo]]-Categorias_Registro[[#This Row],[Mínimo]])/2),0)</f>
        <v>2326</v>
      </c>
      <c r="G378" s="78">
        <f>VLOOKUP(Categorias_Registro[[#This Row],[Puntos]],Categorias_Configuracion[],MATCH(Categorias_Configuracion[[#Headers],[% Amplitud]],Categorias_Configuracion[#Headers],0),TRUE)</f>
        <v>0.15</v>
      </c>
      <c r="H378" s="15" t="str">
        <f ca="1">TEXT(Categorias_Registro[[#This Row],[Mínimo]],Formato_Rango_Categorias)&amp;" - "&amp;TEXT(Categorias_Registro[[#This Row],[Máximo]],Formato_Rango_Categorias)</f>
        <v>2.164 - 2.487</v>
      </c>
    </row>
    <row r="379" spans="2:8">
      <c r="B379" s="15">
        <f>Techo - ROW() + ROW(Categorias_Registro[])</f>
        <v>2250</v>
      </c>
      <c r="C379" s="15">
        <f>IF(Categorias_Registro[[#This Row],[Puntos]]&lt;=ROUND(Piso,0),Piso,IF(Categorias_Registro[[#This Row],[Puntos]]&lt;D380,C380,D380+1))</f>
        <v>2164</v>
      </c>
      <c r="D379" s="15">
        <f>IF(Categorias_Registro[[#This Row],[Puntos]]=ROUND(Piso,0),ROUND(Categorias_Registro[[#This Row],[Puntos]]*(1+Categorias_Registro[[#This Row],[Amplitud]]),0),IF(Categorias_Registro[[#This Row],[Puntos]]&lt;D380,D380,ROUND(D380*(1+Categorias_Registro[[#This Row],[Amplitud]]),0)))</f>
        <v>2487</v>
      </c>
      <c r="E379" s="15">
        <f>E380+IF(D380=Categorias_Registro[[#This Row],[Máximo]],0,1)</f>
        <v>24</v>
      </c>
      <c r="F379" s="15">
        <f>ROUND(Categorias_Registro[[#This Row],[Mínimo]]+((Categorias_Registro[[#This Row],[Máximo]]-Categorias_Registro[[#This Row],[Mínimo]])/2),0)</f>
        <v>2326</v>
      </c>
      <c r="G379" s="78">
        <f>VLOOKUP(Categorias_Registro[[#This Row],[Puntos]],Categorias_Configuracion[],MATCH(Categorias_Configuracion[[#Headers],[% Amplitud]],Categorias_Configuracion[#Headers],0),TRUE)</f>
        <v>0.15</v>
      </c>
      <c r="H379" s="15" t="str">
        <f ca="1">TEXT(Categorias_Registro[[#This Row],[Mínimo]],Formato_Rango_Categorias)&amp;" - "&amp;TEXT(Categorias_Registro[[#This Row],[Máximo]],Formato_Rango_Categorias)</f>
        <v>2.164 - 2.487</v>
      </c>
    </row>
    <row r="380" spans="2:8">
      <c r="B380" s="15">
        <f>Techo - ROW() + ROW(Categorias_Registro[])</f>
        <v>2249</v>
      </c>
      <c r="C380" s="15">
        <f>IF(Categorias_Registro[[#This Row],[Puntos]]&lt;=ROUND(Piso,0),Piso,IF(Categorias_Registro[[#This Row],[Puntos]]&lt;D381,C381,D381+1))</f>
        <v>2164</v>
      </c>
      <c r="D380" s="15">
        <f>IF(Categorias_Registro[[#This Row],[Puntos]]=ROUND(Piso,0),ROUND(Categorias_Registro[[#This Row],[Puntos]]*(1+Categorias_Registro[[#This Row],[Amplitud]]),0),IF(Categorias_Registro[[#This Row],[Puntos]]&lt;D381,D381,ROUND(D381*(1+Categorias_Registro[[#This Row],[Amplitud]]),0)))</f>
        <v>2487</v>
      </c>
      <c r="E380" s="15">
        <f>E381+IF(D381=Categorias_Registro[[#This Row],[Máximo]],0,1)</f>
        <v>24</v>
      </c>
      <c r="F380" s="15">
        <f>ROUND(Categorias_Registro[[#This Row],[Mínimo]]+((Categorias_Registro[[#This Row],[Máximo]]-Categorias_Registro[[#This Row],[Mínimo]])/2),0)</f>
        <v>2326</v>
      </c>
      <c r="G380" s="78">
        <f>VLOOKUP(Categorias_Registro[[#This Row],[Puntos]],Categorias_Configuracion[],MATCH(Categorias_Configuracion[[#Headers],[% Amplitud]],Categorias_Configuracion[#Headers],0),TRUE)</f>
        <v>0.15</v>
      </c>
      <c r="H380" s="15" t="str">
        <f ca="1">TEXT(Categorias_Registro[[#This Row],[Mínimo]],Formato_Rango_Categorias)&amp;" - "&amp;TEXT(Categorias_Registro[[#This Row],[Máximo]],Formato_Rango_Categorias)</f>
        <v>2.164 - 2.487</v>
      </c>
    </row>
    <row r="381" spans="2:8">
      <c r="B381" s="15">
        <f>Techo - ROW() + ROW(Categorias_Registro[])</f>
        <v>2248</v>
      </c>
      <c r="C381" s="15">
        <f>IF(Categorias_Registro[[#This Row],[Puntos]]&lt;=ROUND(Piso,0),Piso,IF(Categorias_Registro[[#This Row],[Puntos]]&lt;D382,C382,D382+1))</f>
        <v>2164</v>
      </c>
      <c r="D381" s="15">
        <f>IF(Categorias_Registro[[#This Row],[Puntos]]=ROUND(Piso,0),ROUND(Categorias_Registro[[#This Row],[Puntos]]*(1+Categorias_Registro[[#This Row],[Amplitud]]),0),IF(Categorias_Registro[[#This Row],[Puntos]]&lt;D382,D382,ROUND(D382*(1+Categorias_Registro[[#This Row],[Amplitud]]),0)))</f>
        <v>2487</v>
      </c>
      <c r="E381" s="15">
        <f>E382+IF(D382=Categorias_Registro[[#This Row],[Máximo]],0,1)</f>
        <v>24</v>
      </c>
      <c r="F381" s="15">
        <f>ROUND(Categorias_Registro[[#This Row],[Mínimo]]+((Categorias_Registro[[#This Row],[Máximo]]-Categorias_Registro[[#This Row],[Mínimo]])/2),0)</f>
        <v>2326</v>
      </c>
      <c r="G381" s="78">
        <f>VLOOKUP(Categorias_Registro[[#This Row],[Puntos]],Categorias_Configuracion[],MATCH(Categorias_Configuracion[[#Headers],[% Amplitud]],Categorias_Configuracion[#Headers],0),TRUE)</f>
        <v>0.15</v>
      </c>
      <c r="H381" s="15" t="str">
        <f ca="1">TEXT(Categorias_Registro[[#This Row],[Mínimo]],Formato_Rango_Categorias)&amp;" - "&amp;TEXT(Categorias_Registro[[#This Row],[Máximo]],Formato_Rango_Categorias)</f>
        <v>2.164 - 2.487</v>
      </c>
    </row>
    <row r="382" spans="2:8">
      <c r="B382" s="15">
        <f>Techo - ROW() + ROW(Categorias_Registro[])</f>
        <v>2247</v>
      </c>
      <c r="C382" s="15">
        <f>IF(Categorias_Registro[[#This Row],[Puntos]]&lt;=ROUND(Piso,0),Piso,IF(Categorias_Registro[[#This Row],[Puntos]]&lt;D383,C383,D383+1))</f>
        <v>2164</v>
      </c>
      <c r="D382" s="15">
        <f>IF(Categorias_Registro[[#This Row],[Puntos]]=ROUND(Piso,0),ROUND(Categorias_Registro[[#This Row],[Puntos]]*(1+Categorias_Registro[[#This Row],[Amplitud]]),0),IF(Categorias_Registro[[#This Row],[Puntos]]&lt;D383,D383,ROUND(D383*(1+Categorias_Registro[[#This Row],[Amplitud]]),0)))</f>
        <v>2487</v>
      </c>
      <c r="E382" s="15">
        <f>E383+IF(D383=Categorias_Registro[[#This Row],[Máximo]],0,1)</f>
        <v>24</v>
      </c>
      <c r="F382" s="15">
        <f>ROUND(Categorias_Registro[[#This Row],[Mínimo]]+((Categorias_Registro[[#This Row],[Máximo]]-Categorias_Registro[[#This Row],[Mínimo]])/2),0)</f>
        <v>2326</v>
      </c>
      <c r="G382" s="78">
        <f>VLOOKUP(Categorias_Registro[[#This Row],[Puntos]],Categorias_Configuracion[],MATCH(Categorias_Configuracion[[#Headers],[% Amplitud]],Categorias_Configuracion[#Headers],0),TRUE)</f>
        <v>0.15</v>
      </c>
      <c r="H382" s="15" t="str">
        <f ca="1">TEXT(Categorias_Registro[[#This Row],[Mínimo]],Formato_Rango_Categorias)&amp;" - "&amp;TEXT(Categorias_Registro[[#This Row],[Máximo]],Formato_Rango_Categorias)</f>
        <v>2.164 - 2.487</v>
      </c>
    </row>
    <row r="383" spans="2:8">
      <c r="B383" s="15">
        <f>Techo - ROW() + ROW(Categorias_Registro[])</f>
        <v>2246</v>
      </c>
      <c r="C383" s="15">
        <f>IF(Categorias_Registro[[#This Row],[Puntos]]&lt;=ROUND(Piso,0),Piso,IF(Categorias_Registro[[#This Row],[Puntos]]&lt;D384,C384,D384+1))</f>
        <v>2164</v>
      </c>
      <c r="D383" s="15">
        <f>IF(Categorias_Registro[[#This Row],[Puntos]]=ROUND(Piso,0),ROUND(Categorias_Registro[[#This Row],[Puntos]]*(1+Categorias_Registro[[#This Row],[Amplitud]]),0),IF(Categorias_Registro[[#This Row],[Puntos]]&lt;D384,D384,ROUND(D384*(1+Categorias_Registro[[#This Row],[Amplitud]]),0)))</f>
        <v>2487</v>
      </c>
      <c r="E383" s="15">
        <f>E384+IF(D384=Categorias_Registro[[#This Row],[Máximo]],0,1)</f>
        <v>24</v>
      </c>
      <c r="F383" s="15">
        <f>ROUND(Categorias_Registro[[#This Row],[Mínimo]]+((Categorias_Registro[[#This Row],[Máximo]]-Categorias_Registro[[#This Row],[Mínimo]])/2),0)</f>
        <v>2326</v>
      </c>
      <c r="G383" s="78">
        <f>VLOOKUP(Categorias_Registro[[#This Row],[Puntos]],Categorias_Configuracion[],MATCH(Categorias_Configuracion[[#Headers],[% Amplitud]],Categorias_Configuracion[#Headers],0),TRUE)</f>
        <v>0.15</v>
      </c>
      <c r="H383" s="15" t="str">
        <f ca="1">TEXT(Categorias_Registro[[#This Row],[Mínimo]],Formato_Rango_Categorias)&amp;" - "&amp;TEXT(Categorias_Registro[[#This Row],[Máximo]],Formato_Rango_Categorias)</f>
        <v>2.164 - 2.487</v>
      </c>
    </row>
    <row r="384" spans="2:8">
      <c r="B384" s="15">
        <f>Techo - ROW() + ROW(Categorias_Registro[])</f>
        <v>2245</v>
      </c>
      <c r="C384" s="15">
        <f>IF(Categorias_Registro[[#This Row],[Puntos]]&lt;=ROUND(Piso,0),Piso,IF(Categorias_Registro[[#This Row],[Puntos]]&lt;D385,C385,D385+1))</f>
        <v>2164</v>
      </c>
      <c r="D384" s="15">
        <f>IF(Categorias_Registro[[#This Row],[Puntos]]=ROUND(Piso,0),ROUND(Categorias_Registro[[#This Row],[Puntos]]*(1+Categorias_Registro[[#This Row],[Amplitud]]),0),IF(Categorias_Registro[[#This Row],[Puntos]]&lt;D385,D385,ROUND(D385*(1+Categorias_Registro[[#This Row],[Amplitud]]),0)))</f>
        <v>2487</v>
      </c>
      <c r="E384" s="15">
        <f>E385+IF(D385=Categorias_Registro[[#This Row],[Máximo]],0,1)</f>
        <v>24</v>
      </c>
      <c r="F384" s="15">
        <f>ROUND(Categorias_Registro[[#This Row],[Mínimo]]+((Categorias_Registro[[#This Row],[Máximo]]-Categorias_Registro[[#This Row],[Mínimo]])/2),0)</f>
        <v>2326</v>
      </c>
      <c r="G384" s="78">
        <f>VLOOKUP(Categorias_Registro[[#This Row],[Puntos]],Categorias_Configuracion[],MATCH(Categorias_Configuracion[[#Headers],[% Amplitud]],Categorias_Configuracion[#Headers],0),TRUE)</f>
        <v>0.15</v>
      </c>
      <c r="H384" s="15" t="str">
        <f ca="1">TEXT(Categorias_Registro[[#This Row],[Mínimo]],Formato_Rango_Categorias)&amp;" - "&amp;TEXT(Categorias_Registro[[#This Row],[Máximo]],Formato_Rango_Categorias)</f>
        <v>2.164 - 2.487</v>
      </c>
    </row>
    <row r="385" spans="2:8">
      <c r="B385" s="15">
        <f>Techo - ROW() + ROW(Categorias_Registro[])</f>
        <v>2244</v>
      </c>
      <c r="C385" s="15">
        <f>IF(Categorias_Registro[[#This Row],[Puntos]]&lt;=ROUND(Piso,0),Piso,IF(Categorias_Registro[[#This Row],[Puntos]]&lt;D386,C386,D386+1))</f>
        <v>2164</v>
      </c>
      <c r="D385" s="15">
        <f>IF(Categorias_Registro[[#This Row],[Puntos]]=ROUND(Piso,0),ROUND(Categorias_Registro[[#This Row],[Puntos]]*(1+Categorias_Registro[[#This Row],[Amplitud]]),0),IF(Categorias_Registro[[#This Row],[Puntos]]&lt;D386,D386,ROUND(D386*(1+Categorias_Registro[[#This Row],[Amplitud]]),0)))</f>
        <v>2487</v>
      </c>
      <c r="E385" s="15">
        <f>E386+IF(D386=Categorias_Registro[[#This Row],[Máximo]],0,1)</f>
        <v>24</v>
      </c>
      <c r="F385" s="15">
        <f>ROUND(Categorias_Registro[[#This Row],[Mínimo]]+((Categorias_Registro[[#This Row],[Máximo]]-Categorias_Registro[[#This Row],[Mínimo]])/2),0)</f>
        <v>2326</v>
      </c>
      <c r="G385" s="78">
        <f>VLOOKUP(Categorias_Registro[[#This Row],[Puntos]],Categorias_Configuracion[],MATCH(Categorias_Configuracion[[#Headers],[% Amplitud]],Categorias_Configuracion[#Headers],0),TRUE)</f>
        <v>0.15</v>
      </c>
      <c r="H385" s="15" t="str">
        <f ca="1">TEXT(Categorias_Registro[[#This Row],[Mínimo]],Formato_Rango_Categorias)&amp;" - "&amp;TEXT(Categorias_Registro[[#This Row],[Máximo]],Formato_Rango_Categorias)</f>
        <v>2.164 - 2.487</v>
      </c>
    </row>
    <row r="386" spans="2:8">
      <c r="B386" s="15">
        <f>Techo - ROW() + ROW(Categorias_Registro[])</f>
        <v>2243</v>
      </c>
      <c r="C386" s="15">
        <f>IF(Categorias_Registro[[#This Row],[Puntos]]&lt;=ROUND(Piso,0),Piso,IF(Categorias_Registro[[#This Row],[Puntos]]&lt;D387,C387,D387+1))</f>
        <v>2164</v>
      </c>
      <c r="D386" s="15">
        <f>IF(Categorias_Registro[[#This Row],[Puntos]]=ROUND(Piso,0),ROUND(Categorias_Registro[[#This Row],[Puntos]]*(1+Categorias_Registro[[#This Row],[Amplitud]]),0),IF(Categorias_Registro[[#This Row],[Puntos]]&lt;D387,D387,ROUND(D387*(1+Categorias_Registro[[#This Row],[Amplitud]]),0)))</f>
        <v>2487</v>
      </c>
      <c r="E386" s="15">
        <f>E387+IF(D387=Categorias_Registro[[#This Row],[Máximo]],0,1)</f>
        <v>24</v>
      </c>
      <c r="F386" s="15">
        <f>ROUND(Categorias_Registro[[#This Row],[Mínimo]]+((Categorias_Registro[[#This Row],[Máximo]]-Categorias_Registro[[#This Row],[Mínimo]])/2),0)</f>
        <v>2326</v>
      </c>
      <c r="G386" s="78">
        <f>VLOOKUP(Categorias_Registro[[#This Row],[Puntos]],Categorias_Configuracion[],MATCH(Categorias_Configuracion[[#Headers],[% Amplitud]],Categorias_Configuracion[#Headers],0),TRUE)</f>
        <v>0.15</v>
      </c>
      <c r="H386" s="15" t="str">
        <f ca="1">TEXT(Categorias_Registro[[#This Row],[Mínimo]],Formato_Rango_Categorias)&amp;" - "&amp;TEXT(Categorias_Registro[[#This Row],[Máximo]],Formato_Rango_Categorias)</f>
        <v>2.164 - 2.487</v>
      </c>
    </row>
    <row r="387" spans="2:8">
      <c r="B387" s="15">
        <f>Techo - ROW() + ROW(Categorias_Registro[])</f>
        <v>2242</v>
      </c>
      <c r="C387" s="15">
        <f>IF(Categorias_Registro[[#This Row],[Puntos]]&lt;=ROUND(Piso,0),Piso,IF(Categorias_Registro[[#This Row],[Puntos]]&lt;D388,C388,D388+1))</f>
        <v>2164</v>
      </c>
      <c r="D387" s="15">
        <f>IF(Categorias_Registro[[#This Row],[Puntos]]=ROUND(Piso,0),ROUND(Categorias_Registro[[#This Row],[Puntos]]*(1+Categorias_Registro[[#This Row],[Amplitud]]),0),IF(Categorias_Registro[[#This Row],[Puntos]]&lt;D388,D388,ROUND(D388*(1+Categorias_Registro[[#This Row],[Amplitud]]),0)))</f>
        <v>2487</v>
      </c>
      <c r="E387" s="15">
        <f>E388+IF(D388=Categorias_Registro[[#This Row],[Máximo]],0,1)</f>
        <v>24</v>
      </c>
      <c r="F387" s="15">
        <f>ROUND(Categorias_Registro[[#This Row],[Mínimo]]+((Categorias_Registro[[#This Row],[Máximo]]-Categorias_Registro[[#This Row],[Mínimo]])/2),0)</f>
        <v>2326</v>
      </c>
      <c r="G387" s="78">
        <f>VLOOKUP(Categorias_Registro[[#This Row],[Puntos]],Categorias_Configuracion[],MATCH(Categorias_Configuracion[[#Headers],[% Amplitud]],Categorias_Configuracion[#Headers],0),TRUE)</f>
        <v>0.15</v>
      </c>
      <c r="H387" s="15" t="str">
        <f ca="1">TEXT(Categorias_Registro[[#This Row],[Mínimo]],Formato_Rango_Categorias)&amp;" - "&amp;TEXT(Categorias_Registro[[#This Row],[Máximo]],Formato_Rango_Categorias)</f>
        <v>2.164 - 2.487</v>
      </c>
    </row>
    <row r="388" spans="2:8">
      <c r="B388" s="15">
        <f>Techo - ROW() + ROW(Categorias_Registro[])</f>
        <v>2241</v>
      </c>
      <c r="C388" s="15">
        <f>IF(Categorias_Registro[[#This Row],[Puntos]]&lt;=ROUND(Piso,0),Piso,IF(Categorias_Registro[[#This Row],[Puntos]]&lt;D389,C389,D389+1))</f>
        <v>2164</v>
      </c>
      <c r="D388" s="15">
        <f>IF(Categorias_Registro[[#This Row],[Puntos]]=ROUND(Piso,0),ROUND(Categorias_Registro[[#This Row],[Puntos]]*(1+Categorias_Registro[[#This Row],[Amplitud]]),0),IF(Categorias_Registro[[#This Row],[Puntos]]&lt;D389,D389,ROUND(D389*(1+Categorias_Registro[[#This Row],[Amplitud]]),0)))</f>
        <v>2487</v>
      </c>
      <c r="E388" s="15">
        <f>E389+IF(D389=Categorias_Registro[[#This Row],[Máximo]],0,1)</f>
        <v>24</v>
      </c>
      <c r="F388" s="15">
        <f>ROUND(Categorias_Registro[[#This Row],[Mínimo]]+((Categorias_Registro[[#This Row],[Máximo]]-Categorias_Registro[[#This Row],[Mínimo]])/2),0)</f>
        <v>2326</v>
      </c>
      <c r="G388" s="78">
        <f>VLOOKUP(Categorias_Registro[[#This Row],[Puntos]],Categorias_Configuracion[],MATCH(Categorias_Configuracion[[#Headers],[% Amplitud]],Categorias_Configuracion[#Headers],0),TRUE)</f>
        <v>0.15</v>
      </c>
      <c r="H388" s="15" t="str">
        <f ca="1">TEXT(Categorias_Registro[[#This Row],[Mínimo]],Formato_Rango_Categorias)&amp;" - "&amp;TEXT(Categorias_Registro[[#This Row],[Máximo]],Formato_Rango_Categorias)</f>
        <v>2.164 - 2.487</v>
      </c>
    </row>
    <row r="389" spans="2:8">
      <c r="B389" s="15">
        <f>Techo - ROW() + ROW(Categorias_Registro[])</f>
        <v>2240</v>
      </c>
      <c r="C389" s="15">
        <f>IF(Categorias_Registro[[#This Row],[Puntos]]&lt;=ROUND(Piso,0),Piso,IF(Categorias_Registro[[#This Row],[Puntos]]&lt;D390,C390,D390+1))</f>
        <v>2164</v>
      </c>
      <c r="D389" s="15">
        <f>IF(Categorias_Registro[[#This Row],[Puntos]]=ROUND(Piso,0),ROUND(Categorias_Registro[[#This Row],[Puntos]]*(1+Categorias_Registro[[#This Row],[Amplitud]]),0),IF(Categorias_Registro[[#This Row],[Puntos]]&lt;D390,D390,ROUND(D390*(1+Categorias_Registro[[#This Row],[Amplitud]]),0)))</f>
        <v>2487</v>
      </c>
      <c r="E389" s="15">
        <f>E390+IF(D390=Categorias_Registro[[#This Row],[Máximo]],0,1)</f>
        <v>24</v>
      </c>
      <c r="F389" s="15">
        <f>ROUND(Categorias_Registro[[#This Row],[Mínimo]]+((Categorias_Registro[[#This Row],[Máximo]]-Categorias_Registro[[#This Row],[Mínimo]])/2),0)</f>
        <v>2326</v>
      </c>
      <c r="G389" s="78">
        <f>VLOOKUP(Categorias_Registro[[#This Row],[Puntos]],Categorias_Configuracion[],MATCH(Categorias_Configuracion[[#Headers],[% Amplitud]],Categorias_Configuracion[#Headers],0),TRUE)</f>
        <v>0.15</v>
      </c>
      <c r="H389" s="15" t="str">
        <f ca="1">TEXT(Categorias_Registro[[#This Row],[Mínimo]],Formato_Rango_Categorias)&amp;" - "&amp;TEXT(Categorias_Registro[[#This Row],[Máximo]],Formato_Rango_Categorias)</f>
        <v>2.164 - 2.487</v>
      </c>
    </row>
    <row r="390" spans="2:8">
      <c r="B390" s="15">
        <f>Techo - ROW() + ROW(Categorias_Registro[])</f>
        <v>2239</v>
      </c>
      <c r="C390" s="15">
        <f>IF(Categorias_Registro[[#This Row],[Puntos]]&lt;=ROUND(Piso,0),Piso,IF(Categorias_Registro[[#This Row],[Puntos]]&lt;D391,C391,D391+1))</f>
        <v>2164</v>
      </c>
      <c r="D390" s="15">
        <f>IF(Categorias_Registro[[#This Row],[Puntos]]=ROUND(Piso,0),ROUND(Categorias_Registro[[#This Row],[Puntos]]*(1+Categorias_Registro[[#This Row],[Amplitud]]),0),IF(Categorias_Registro[[#This Row],[Puntos]]&lt;D391,D391,ROUND(D391*(1+Categorias_Registro[[#This Row],[Amplitud]]),0)))</f>
        <v>2487</v>
      </c>
      <c r="E390" s="15">
        <f>E391+IF(D391=Categorias_Registro[[#This Row],[Máximo]],0,1)</f>
        <v>24</v>
      </c>
      <c r="F390" s="15">
        <f>ROUND(Categorias_Registro[[#This Row],[Mínimo]]+((Categorias_Registro[[#This Row],[Máximo]]-Categorias_Registro[[#This Row],[Mínimo]])/2),0)</f>
        <v>2326</v>
      </c>
      <c r="G390" s="78">
        <f>VLOOKUP(Categorias_Registro[[#This Row],[Puntos]],Categorias_Configuracion[],MATCH(Categorias_Configuracion[[#Headers],[% Amplitud]],Categorias_Configuracion[#Headers],0),TRUE)</f>
        <v>0.15</v>
      </c>
      <c r="H390" s="15" t="str">
        <f ca="1">TEXT(Categorias_Registro[[#This Row],[Mínimo]],Formato_Rango_Categorias)&amp;" - "&amp;TEXT(Categorias_Registro[[#This Row],[Máximo]],Formato_Rango_Categorias)</f>
        <v>2.164 - 2.487</v>
      </c>
    </row>
    <row r="391" spans="2:8">
      <c r="B391" s="15">
        <f>Techo - ROW() + ROW(Categorias_Registro[])</f>
        <v>2238</v>
      </c>
      <c r="C391" s="15">
        <f>IF(Categorias_Registro[[#This Row],[Puntos]]&lt;=ROUND(Piso,0),Piso,IF(Categorias_Registro[[#This Row],[Puntos]]&lt;D392,C392,D392+1))</f>
        <v>2164</v>
      </c>
      <c r="D391" s="15">
        <f>IF(Categorias_Registro[[#This Row],[Puntos]]=ROUND(Piso,0),ROUND(Categorias_Registro[[#This Row],[Puntos]]*(1+Categorias_Registro[[#This Row],[Amplitud]]),0),IF(Categorias_Registro[[#This Row],[Puntos]]&lt;D392,D392,ROUND(D392*(1+Categorias_Registro[[#This Row],[Amplitud]]),0)))</f>
        <v>2487</v>
      </c>
      <c r="E391" s="15">
        <f>E392+IF(D392=Categorias_Registro[[#This Row],[Máximo]],0,1)</f>
        <v>24</v>
      </c>
      <c r="F391" s="15">
        <f>ROUND(Categorias_Registro[[#This Row],[Mínimo]]+((Categorias_Registro[[#This Row],[Máximo]]-Categorias_Registro[[#This Row],[Mínimo]])/2),0)</f>
        <v>2326</v>
      </c>
      <c r="G391" s="78">
        <f>VLOOKUP(Categorias_Registro[[#This Row],[Puntos]],Categorias_Configuracion[],MATCH(Categorias_Configuracion[[#Headers],[% Amplitud]],Categorias_Configuracion[#Headers],0),TRUE)</f>
        <v>0.15</v>
      </c>
      <c r="H391" s="15" t="str">
        <f ca="1">TEXT(Categorias_Registro[[#This Row],[Mínimo]],Formato_Rango_Categorias)&amp;" - "&amp;TEXT(Categorias_Registro[[#This Row],[Máximo]],Formato_Rango_Categorias)</f>
        <v>2.164 - 2.487</v>
      </c>
    </row>
    <row r="392" spans="2:8">
      <c r="B392" s="15">
        <f>Techo - ROW() + ROW(Categorias_Registro[])</f>
        <v>2237</v>
      </c>
      <c r="C392" s="15">
        <f>IF(Categorias_Registro[[#This Row],[Puntos]]&lt;=ROUND(Piso,0),Piso,IF(Categorias_Registro[[#This Row],[Puntos]]&lt;D393,C393,D393+1))</f>
        <v>2164</v>
      </c>
      <c r="D392" s="15">
        <f>IF(Categorias_Registro[[#This Row],[Puntos]]=ROUND(Piso,0),ROUND(Categorias_Registro[[#This Row],[Puntos]]*(1+Categorias_Registro[[#This Row],[Amplitud]]),0),IF(Categorias_Registro[[#This Row],[Puntos]]&lt;D393,D393,ROUND(D393*(1+Categorias_Registro[[#This Row],[Amplitud]]),0)))</f>
        <v>2487</v>
      </c>
      <c r="E392" s="15">
        <f>E393+IF(D393=Categorias_Registro[[#This Row],[Máximo]],0,1)</f>
        <v>24</v>
      </c>
      <c r="F392" s="15">
        <f>ROUND(Categorias_Registro[[#This Row],[Mínimo]]+((Categorias_Registro[[#This Row],[Máximo]]-Categorias_Registro[[#This Row],[Mínimo]])/2),0)</f>
        <v>2326</v>
      </c>
      <c r="G392" s="78">
        <f>VLOOKUP(Categorias_Registro[[#This Row],[Puntos]],Categorias_Configuracion[],MATCH(Categorias_Configuracion[[#Headers],[% Amplitud]],Categorias_Configuracion[#Headers],0),TRUE)</f>
        <v>0.15</v>
      </c>
      <c r="H392" s="15" t="str">
        <f ca="1">TEXT(Categorias_Registro[[#This Row],[Mínimo]],Formato_Rango_Categorias)&amp;" - "&amp;TEXT(Categorias_Registro[[#This Row],[Máximo]],Formato_Rango_Categorias)</f>
        <v>2.164 - 2.487</v>
      </c>
    </row>
    <row r="393" spans="2:8">
      <c r="B393" s="15">
        <f>Techo - ROW() + ROW(Categorias_Registro[])</f>
        <v>2236</v>
      </c>
      <c r="C393" s="15">
        <f>IF(Categorias_Registro[[#This Row],[Puntos]]&lt;=ROUND(Piso,0),Piso,IF(Categorias_Registro[[#This Row],[Puntos]]&lt;D394,C394,D394+1))</f>
        <v>2164</v>
      </c>
      <c r="D393" s="15">
        <f>IF(Categorias_Registro[[#This Row],[Puntos]]=ROUND(Piso,0),ROUND(Categorias_Registro[[#This Row],[Puntos]]*(1+Categorias_Registro[[#This Row],[Amplitud]]),0),IF(Categorias_Registro[[#This Row],[Puntos]]&lt;D394,D394,ROUND(D394*(1+Categorias_Registro[[#This Row],[Amplitud]]),0)))</f>
        <v>2487</v>
      </c>
      <c r="E393" s="15">
        <f>E394+IF(D394=Categorias_Registro[[#This Row],[Máximo]],0,1)</f>
        <v>24</v>
      </c>
      <c r="F393" s="15">
        <f>ROUND(Categorias_Registro[[#This Row],[Mínimo]]+((Categorias_Registro[[#This Row],[Máximo]]-Categorias_Registro[[#This Row],[Mínimo]])/2),0)</f>
        <v>2326</v>
      </c>
      <c r="G393" s="78">
        <f>VLOOKUP(Categorias_Registro[[#This Row],[Puntos]],Categorias_Configuracion[],MATCH(Categorias_Configuracion[[#Headers],[% Amplitud]],Categorias_Configuracion[#Headers],0),TRUE)</f>
        <v>0.15</v>
      </c>
      <c r="H393" s="15" t="str">
        <f ca="1">TEXT(Categorias_Registro[[#This Row],[Mínimo]],Formato_Rango_Categorias)&amp;" - "&amp;TEXT(Categorias_Registro[[#This Row],[Máximo]],Formato_Rango_Categorias)</f>
        <v>2.164 - 2.487</v>
      </c>
    </row>
    <row r="394" spans="2:8">
      <c r="B394" s="15">
        <f>Techo - ROW() + ROW(Categorias_Registro[])</f>
        <v>2235</v>
      </c>
      <c r="C394" s="15">
        <f>IF(Categorias_Registro[[#This Row],[Puntos]]&lt;=ROUND(Piso,0),Piso,IF(Categorias_Registro[[#This Row],[Puntos]]&lt;D395,C395,D395+1))</f>
        <v>2164</v>
      </c>
      <c r="D394" s="15">
        <f>IF(Categorias_Registro[[#This Row],[Puntos]]=ROUND(Piso,0),ROUND(Categorias_Registro[[#This Row],[Puntos]]*(1+Categorias_Registro[[#This Row],[Amplitud]]),0),IF(Categorias_Registro[[#This Row],[Puntos]]&lt;D395,D395,ROUND(D395*(1+Categorias_Registro[[#This Row],[Amplitud]]),0)))</f>
        <v>2487</v>
      </c>
      <c r="E394" s="15">
        <f>E395+IF(D395=Categorias_Registro[[#This Row],[Máximo]],0,1)</f>
        <v>24</v>
      </c>
      <c r="F394" s="15">
        <f>ROUND(Categorias_Registro[[#This Row],[Mínimo]]+((Categorias_Registro[[#This Row],[Máximo]]-Categorias_Registro[[#This Row],[Mínimo]])/2),0)</f>
        <v>2326</v>
      </c>
      <c r="G394" s="78">
        <f>VLOOKUP(Categorias_Registro[[#This Row],[Puntos]],Categorias_Configuracion[],MATCH(Categorias_Configuracion[[#Headers],[% Amplitud]],Categorias_Configuracion[#Headers],0),TRUE)</f>
        <v>0.15</v>
      </c>
      <c r="H394" s="15" t="str">
        <f ca="1">TEXT(Categorias_Registro[[#This Row],[Mínimo]],Formato_Rango_Categorias)&amp;" - "&amp;TEXT(Categorias_Registro[[#This Row],[Máximo]],Formato_Rango_Categorias)</f>
        <v>2.164 - 2.487</v>
      </c>
    </row>
    <row r="395" spans="2:8">
      <c r="B395" s="15">
        <f>Techo - ROW() + ROW(Categorias_Registro[])</f>
        <v>2234</v>
      </c>
      <c r="C395" s="15">
        <f>IF(Categorias_Registro[[#This Row],[Puntos]]&lt;=ROUND(Piso,0),Piso,IF(Categorias_Registro[[#This Row],[Puntos]]&lt;D396,C396,D396+1))</f>
        <v>2164</v>
      </c>
      <c r="D395" s="15">
        <f>IF(Categorias_Registro[[#This Row],[Puntos]]=ROUND(Piso,0),ROUND(Categorias_Registro[[#This Row],[Puntos]]*(1+Categorias_Registro[[#This Row],[Amplitud]]),0),IF(Categorias_Registro[[#This Row],[Puntos]]&lt;D396,D396,ROUND(D396*(1+Categorias_Registro[[#This Row],[Amplitud]]),0)))</f>
        <v>2487</v>
      </c>
      <c r="E395" s="15">
        <f>E396+IF(D396=Categorias_Registro[[#This Row],[Máximo]],0,1)</f>
        <v>24</v>
      </c>
      <c r="F395" s="15">
        <f>ROUND(Categorias_Registro[[#This Row],[Mínimo]]+((Categorias_Registro[[#This Row],[Máximo]]-Categorias_Registro[[#This Row],[Mínimo]])/2),0)</f>
        <v>2326</v>
      </c>
      <c r="G395" s="78">
        <f>VLOOKUP(Categorias_Registro[[#This Row],[Puntos]],Categorias_Configuracion[],MATCH(Categorias_Configuracion[[#Headers],[% Amplitud]],Categorias_Configuracion[#Headers],0),TRUE)</f>
        <v>0.15</v>
      </c>
      <c r="H395" s="15" t="str">
        <f ca="1">TEXT(Categorias_Registro[[#This Row],[Mínimo]],Formato_Rango_Categorias)&amp;" - "&amp;TEXT(Categorias_Registro[[#This Row],[Máximo]],Formato_Rango_Categorias)</f>
        <v>2.164 - 2.487</v>
      </c>
    </row>
    <row r="396" spans="2:8">
      <c r="B396" s="15">
        <f>Techo - ROW() + ROW(Categorias_Registro[])</f>
        <v>2233</v>
      </c>
      <c r="C396" s="15">
        <f>IF(Categorias_Registro[[#This Row],[Puntos]]&lt;=ROUND(Piso,0),Piso,IF(Categorias_Registro[[#This Row],[Puntos]]&lt;D397,C397,D397+1))</f>
        <v>2164</v>
      </c>
      <c r="D396" s="15">
        <f>IF(Categorias_Registro[[#This Row],[Puntos]]=ROUND(Piso,0),ROUND(Categorias_Registro[[#This Row],[Puntos]]*(1+Categorias_Registro[[#This Row],[Amplitud]]),0),IF(Categorias_Registro[[#This Row],[Puntos]]&lt;D397,D397,ROUND(D397*(1+Categorias_Registro[[#This Row],[Amplitud]]),0)))</f>
        <v>2487</v>
      </c>
      <c r="E396" s="15">
        <f>E397+IF(D397=Categorias_Registro[[#This Row],[Máximo]],0,1)</f>
        <v>24</v>
      </c>
      <c r="F396" s="15">
        <f>ROUND(Categorias_Registro[[#This Row],[Mínimo]]+((Categorias_Registro[[#This Row],[Máximo]]-Categorias_Registro[[#This Row],[Mínimo]])/2),0)</f>
        <v>2326</v>
      </c>
      <c r="G396" s="78">
        <f>VLOOKUP(Categorias_Registro[[#This Row],[Puntos]],Categorias_Configuracion[],MATCH(Categorias_Configuracion[[#Headers],[% Amplitud]],Categorias_Configuracion[#Headers],0),TRUE)</f>
        <v>0.15</v>
      </c>
      <c r="H396" s="15" t="str">
        <f ca="1">TEXT(Categorias_Registro[[#This Row],[Mínimo]],Formato_Rango_Categorias)&amp;" - "&amp;TEXT(Categorias_Registro[[#This Row],[Máximo]],Formato_Rango_Categorias)</f>
        <v>2.164 - 2.487</v>
      </c>
    </row>
    <row r="397" spans="2:8">
      <c r="B397" s="15">
        <f>Techo - ROW() + ROW(Categorias_Registro[])</f>
        <v>2232</v>
      </c>
      <c r="C397" s="15">
        <f>IF(Categorias_Registro[[#This Row],[Puntos]]&lt;=ROUND(Piso,0),Piso,IF(Categorias_Registro[[#This Row],[Puntos]]&lt;D398,C398,D398+1))</f>
        <v>2164</v>
      </c>
      <c r="D397" s="15">
        <f>IF(Categorias_Registro[[#This Row],[Puntos]]=ROUND(Piso,0),ROUND(Categorias_Registro[[#This Row],[Puntos]]*(1+Categorias_Registro[[#This Row],[Amplitud]]),0),IF(Categorias_Registro[[#This Row],[Puntos]]&lt;D398,D398,ROUND(D398*(1+Categorias_Registro[[#This Row],[Amplitud]]),0)))</f>
        <v>2487</v>
      </c>
      <c r="E397" s="15">
        <f>E398+IF(D398=Categorias_Registro[[#This Row],[Máximo]],0,1)</f>
        <v>24</v>
      </c>
      <c r="F397" s="15">
        <f>ROUND(Categorias_Registro[[#This Row],[Mínimo]]+((Categorias_Registro[[#This Row],[Máximo]]-Categorias_Registro[[#This Row],[Mínimo]])/2),0)</f>
        <v>2326</v>
      </c>
      <c r="G397" s="78">
        <f>VLOOKUP(Categorias_Registro[[#This Row],[Puntos]],Categorias_Configuracion[],MATCH(Categorias_Configuracion[[#Headers],[% Amplitud]],Categorias_Configuracion[#Headers],0),TRUE)</f>
        <v>0.15</v>
      </c>
      <c r="H397" s="15" t="str">
        <f ca="1">TEXT(Categorias_Registro[[#This Row],[Mínimo]],Formato_Rango_Categorias)&amp;" - "&amp;TEXT(Categorias_Registro[[#This Row],[Máximo]],Formato_Rango_Categorias)</f>
        <v>2.164 - 2.487</v>
      </c>
    </row>
    <row r="398" spans="2:8">
      <c r="B398" s="15">
        <f>Techo - ROW() + ROW(Categorias_Registro[])</f>
        <v>2231</v>
      </c>
      <c r="C398" s="15">
        <f>IF(Categorias_Registro[[#This Row],[Puntos]]&lt;=ROUND(Piso,0),Piso,IF(Categorias_Registro[[#This Row],[Puntos]]&lt;D399,C399,D399+1))</f>
        <v>2164</v>
      </c>
      <c r="D398" s="15">
        <f>IF(Categorias_Registro[[#This Row],[Puntos]]=ROUND(Piso,0),ROUND(Categorias_Registro[[#This Row],[Puntos]]*(1+Categorias_Registro[[#This Row],[Amplitud]]),0),IF(Categorias_Registro[[#This Row],[Puntos]]&lt;D399,D399,ROUND(D399*(1+Categorias_Registro[[#This Row],[Amplitud]]),0)))</f>
        <v>2487</v>
      </c>
      <c r="E398" s="15">
        <f>E399+IF(D399=Categorias_Registro[[#This Row],[Máximo]],0,1)</f>
        <v>24</v>
      </c>
      <c r="F398" s="15">
        <f>ROUND(Categorias_Registro[[#This Row],[Mínimo]]+((Categorias_Registro[[#This Row],[Máximo]]-Categorias_Registro[[#This Row],[Mínimo]])/2),0)</f>
        <v>2326</v>
      </c>
      <c r="G398" s="78">
        <f>VLOOKUP(Categorias_Registro[[#This Row],[Puntos]],Categorias_Configuracion[],MATCH(Categorias_Configuracion[[#Headers],[% Amplitud]],Categorias_Configuracion[#Headers],0),TRUE)</f>
        <v>0.15</v>
      </c>
      <c r="H398" s="15" t="str">
        <f ca="1">TEXT(Categorias_Registro[[#This Row],[Mínimo]],Formato_Rango_Categorias)&amp;" - "&amp;TEXT(Categorias_Registro[[#This Row],[Máximo]],Formato_Rango_Categorias)</f>
        <v>2.164 - 2.487</v>
      </c>
    </row>
    <row r="399" spans="2:8">
      <c r="B399" s="15">
        <f>Techo - ROW() + ROW(Categorias_Registro[])</f>
        <v>2230</v>
      </c>
      <c r="C399" s="15">
        <f>IF(Categorias_Registro[[#This Row],[Puntos]]&lt;=ROUND(Piso,0),Piso,IF(Categorias_Registro[[#This Row],[Puntos]]&lt;D400,C400,D400+1))</f>
        <v>2164</v>
      </c>
      <c r="D399" s="15">
        <f>IF(Categorias_Registro[[#This Row],[Puntos]]=ROUND(Piso,0),ROUND(Categorias_Registro[[#This Row],[Puntos]]*(1+Categorias_Registro[[#This Row],[Amplitud]]),0),IF(Categorias_Registro[[#This Row],[Puntos]]&lt;D400,D400,ROUND(D400*(1+Categorias_Registro[[#This Row],[Amplitud]]),0)))</f>
        <v>2487</v>
      </c>
      <c r="E399" s="15">
        <f>E400+IF(D400=Categorias_Registro[[#This Row],[Máximo]],0,1)</f>
        <v>24</v>
      </c>
      <c r="F399" s="15">
        <f>ROUND(Categorias_Registro[[#This Row],[Mínimo]]+((Categorias_Registro[[#This Row],[Máximo]]-Categorias_Registro[[#This Row],[Mínimo]])/2),0)</f>
        <v>2326</v>
      </c>
      <c r="G399" s="78">
        <f>VLOOKUP(Categorias_Registro[[#This Row],[Puntos]],Categorias_Configuracion[],MATCH(Categorias_Configuracion[[#Headers],[% Amplitud]],Categorias_Configuracion[#Headers],0),TRUE)</f>
        <v>0.15</v>
      </c>
      <c r="H399" s="15" t="str">
        <f ca="1">TEXT(Categorias_Registro[[#This Row],[Mínimo]],Formato_Rango_Categorias)&amp;" - "&amp;TEXT(Categorias_Registro[[#This Row],[Máximo]],Formato_Rango_Categorias)</f>
        <v>2.164 - 2.487</v>
      </c>
    </row>
    <row r="400" spans="2:8">
      <c r="B400" s="15">
        <f>Techo - ROW() + ROW(Categorias_Registro[])</f>
        <v>2229</v>
      </c>
      <c r="C400" s="15">
        <f>IF(Categorias_Registro[[#This Row],[Puntos]]&lt;=ROUND(Piso,0),Piso,IF(Categorias_Registro[[#This Row],[Puntos]]&lt;D401,C401,D401+1))</f>
        <v>2164</v>
      </c>
      <c r="D400" s="15">
        <f>IF(Categorias_Registro[[#This Row],[Puntos]]=ROUND(Piso,0),ROUND(Categorias_Registro[[#This Row],[Puntos]]*(1+Categorias_Registro[[#This Row],[Amplitud]]),0),IF(Categorias_Registro[[#This Row],[Puntos]]&lt;D401,D401,ROUND(D401*(1+Categorias_Registro[[#This Row],[Amplitud]]),0)))</f>
        <v>2487</v>
      </c>
      <c r="E400" s="15">
        <f>E401+IF(D401=Categorias_Registro[[#This Row],[Máximo]],0,1)</f>
        <v>24</v>
      </c>
      <c r="F400" s="15">
        <f>ROUND(Categorias_Registro[[#This Row],[Mínimo]]+((Categorias_Registro[[#This Row],[Máximo]]-Categorias_Registro[[#This Row],[Mínimo]])/2),0)</f>
        <v>2326</v>
      </c>
      <c r="G400" s="78">
        <f>VLOOKUP(Categorias_Registro[[#This Row],[Puntos]],Categorias_Configuracion[],MATCH(Categorias_Configuracion[[#Headers],[% Amplitud]],Categorias_Configuracion[#Headers],0),TRUE)</f>
        <v>0.15</v>
      </c>
      <c r="H400" s="15" t="str">
        <f ca="1">TEXT(Categorias_Registro[[#This Row],[Mínimo]],Formato_Rango_Categorias)&amp;" - "&amp;TEXT(Categorias_Registro[[#This Row],[Máximo]],Formato_Rango_Categorias)</f>
        <v>2.164 - 2.487</v>
      </c>
    </row>
    <row r="401" spans="2:8">
      <c r="B401" s="15">
        <f>Techo - ROW() + ROW(Categorias_Registro[])</f>
        <v>2228</v>
      </c>
      <c r="C401" s="15">
        <f>IF(Categorias_Registro[[#This Row],[Puntos]]&lt;=ROUND(Piso,0),Piso,IF(Categorias_Registro[[#This Row],[Puntos]]&lt;D402,C402,D402+1))</f>
        <v>2164</v>
      </c>
      <c r="D401" s="15">
        <f>IF(Categorias_Registro[[#This Row],[Puntos]]=ROUND(Piso,0),ROUND(Categorias_Registro[[#This Row],[Puntos]]*(1+Categorias_Registro[[#This Row],[Amplitud]]),0),IF(Categorias_Registro[[#This Row],[Puntos]]&lt;D402,D402,ROUND(D402*(1+Categorias_Registro[[#This Row],[Amplitud]]),0)))</f>
        <v>2487</v>
      </c>
      <c r="E401" s="15">
        <f>E402+IF(D402=Categorias_Registro[[#This Row],[Máximo]],0,1)</f>
        <v>24</v>
      </c>
      <c r="F401" s="15">
        <f>ROUND(Categorias_Registro[[#This Row],[Mínimo]]+((Categorias_Registro[[#This Row],[Máximo]]-Categorias_Registro[[#This Row],[Mínimo]])/2),0)</f>
        <v>2326</v>
      </c>
      <c r="G401" s="78">
        <f>VLOOKUP(Categorias_Registro[[#This Row],[Puntos]],Categorias_Configuracion[],MATCH(Categorias_Configuracion[[#Headers],[% Amplitud]],Categorias_Configuracion[#Headers],0),TRUE)</f>
        <v>0.15</v>
      </c>
      <c r="H401" s="15" t="str">
        <f ca="1">TEXT(Categorias_Registro[[#This Row],[Mínimo]],Formato_Rango_Categorias)&amp;" - "&amp;TEXT(Categorias_Registro[[#This Row],[Máximo]],Formato_Rango_Categorias)</f>
        <v>2.164 - 2.487</v>
      </c>
    </row>
    <row r="402" spans="2:8">
      <c r="B402" s="15">
        <f>Techo - ROW() + ROW(Categorias_Registro[])</f>
        <v>2227</v>
      </c>
      <c r="C402" s="15">
        <f>IF(Categorias_Registro[[#This Row],[Puntos]]&lt;=ROUND(Piso,0),Piso,IF(Categorias_Registro[[#This Row],[Puntos]]&lt;D403,C403,D403+1))</f>
        <v>2164</v>
      </c>
      <c r="D402" s="15">
        <f>IF(Categorias_Registro[[#This Row],[Puntos]]=ROUND(Piso,0),ROUND(Categorias_Registro[[#This Row],[Puntos]]*(1+Categorias_Registro[[#This Row],[Amplitud]]),0),IF(Categorias_Registro[[#This Row],[Puntos]]&lt;D403,D403,ROUND(D403*(1+Categorias_Registro[[#This Row],[Amplitud]]),0)))</f>
        <v>2487</v>
      </c>
      <c r="E402" s="15">
        <f>E403+IF(D403=Categorias_Registro[[#This Row],[Máximo]],0,1)</f>
        <v>24</v>
      </c>
      <c r="F402" s="15">
        <f>ROUND(Categorias_Registro[[#This Row],[Mínimo]]+((Categorias_Registro[[#This Row],[Máximo]]-Categorias_Registro[[#This Row],[Mínimo]])/2),0)</f>
        <v>2326</v>
      </c>
      <c r="G402" s="78">
        <f>VLOOKUP(Categorias_Registro[[#This Row],[Puntos]],Categorias_Configuracion[],MATCH(Categorias_Configuracion[[#Headers],[% Amplitud]],Categorias_Configuracion[#Headers],0),TRUE)</f>
        <v>0.15</v>
      </c>
      <c r="H402" s="15" t="str">
        <f ca="1">TEXT(Categorias_Registro[[#This Row],[Mínimo]],Formato_Rango_Categorias)&amp;" - "&amp;TEXT(Categorias_Registro[[#This Row],[Máximo]],Formato_Rango_Categorias)</f>
        <v>2.164 - 2.487</v>
      </c>
    </row>
    <row r="403" spans="2:8">
      <c r="B403" s="15">
        <f>Techo - ROW() + ROW(Categorias_Registro[])</f>
        <v>2226</v>
      </c>
      <c r="C403" s="15">
        <f>IF(Categorias_Registro[[#This Row],[Puntos]]&lt;=ROUND(Piso,0),Piso,IF(Categorias_Registro[[#This Row],[Puntos]]&lt;D404,C404,D404+1))</f>
        <v>2164</v>
      </c>
      <c r="D403" s="15">
        <f>IF(Categorias_Registro[[#This Row],[Puntos]]=ROUND(Piso,0),ROUND(Categorias_Registro[[#This Row],[Puntos]]*(1+Categorias_Registro[[#This Row],[Amplitud]]),0),IF(Categorias_Registro[[#This Row],[Puntos]]&lt;D404,D404,ROUND(D404*(1+Categorias_Registro[[#This Row],[Amplitud]]),0)))</f>
        <v>2487</v>
      </c>
      <c r="E403" s="15">
        <f>E404+IF(D404=Categorias_Registro[[#This Row],[Máximo]],0,1)</f>
        <v>24</v>
      </c>
      <c r="F403" s="15">
        <f>ROUND(Categorias_Registro[[#This Row],[Mínimo]]+((Categorias_Registro[[#This Row],[Máximo]]-Categorias_Registro[[#This Row],[Mínimo]])/2),0)</f>
        <v>2326</v>
      </c>
      <c r="G403" s="78">
        <f>VLOOKUP(Categorias_Registro[[#This Row],[Puntos]],Categorias_Configuracion[],MATCH(Categorias_Configuracion[[#Headers],[% Amplitud]],Categorias_Configuracion[#Headers],0),TRUE)</f>
        <v>0.15</v>
      </c>
      <c r="H403" s="15" t="str">
        <f ca="1">TEXT(Categorias_Registro[[#This Row],[Mínimo]],Formato_Rango_Categorias)&amp;" - "&amp;TEXT(Categorias_Registro[[#This Row],[Máximo]],Formato_Rango_Categorias)</f>
        <v>2.164 - 2.487</v>
      </c>
    </row>
    <row r="404" spans="2:8">
      <c r="B404" s="15">
        <f>Techo - ROW() + ROW(Categorias_Registro[])</f>
        <v>2225</v>
      </c>
      <c r="C404" s="15">
        <f>IF(Categorias_Registro[[#This Row],[Puntos]]&lt;=ROUND(Piso,0),Piso,IF(Categorias_Registro[[#This Row],[Puntos]]&lt;D405,C405,D405+1))</f>
        <v>2164</v>
      </c>
      <c r="D404" s="15">
        <f>IF(Categorias_Registro[[#This Row],[Puntos]]=ROUND(Piso,0),ROUND(Categorias_Registro[[#This Row],[Puntos]]*(1+Categorias_Registro[[#This Row],[Amplitud]]),0),IF(Categorias_Registro[[#This Row],[Puntos]]&lt;D405,D405,ROUND(D405*(1+Categorias_Registro[[#This Row],[Amplitud]]),0)))</f>
        <v>2487</v>
      </c>
      <c r="E404" s="15">
        <f>E405+IF(D405=Categorias_Registro[[#This Row],[Máximo]],0,1)</f>
        <v>24</v>
      </c>
      <c r="F404" s="15">
        <f>ROUND(Categorias_Registro[[#This Row],[Mínimo]]+((Categorias_Registro[[#This Row],[Máximo]]-Categorias_Registro[[#This Row],[Mínimo]])/2),0)</f>
        <v>2326</v>
      </c>
      <c r="G404" s="78">
        <f>VLOOKUP(Categorias_Registro[[#This Row],[Puntos]],Categorias_Configuracion[],MATCH(Categorias_Configuracion[[#Headers],[% Amplitud]],Categorias_Configuracion[#Headers],0),TRUE)</f>
        <v>0.15</v>
      </c>
      <c r="H404" s="15" t="str">
        <f ca="1">TEXT(Categorias_Registro[[#This Row],[Mínimo]],Formato_Rango_Categorias)&amp;" - "&amp;TEXT(Categorias_Registro[[#This Row],[Máximo]],Formato_Rango_Categorias)</f>
        <v>2.164 - 2.487</v>
      </c>
    </row>
    <row r="405" spans="2:8">
      <c r="B405" s="15">
        <f>Techo - ROW() + ROW(Categorias_Registro[])</f>
        <v>2224</v>
      </c>
      <c r="C405" s="15">
        <f>IF(Categorias_Registro[[#This Row],[Puntos]]&lt;=ROUND(Piso,0),Piso,IF(Categorias_Registro[[#This Row],[Puntos]]&lt;D406,C406,D406+1))</f>
        <v>2164</v>
      </c>
      <c r="D405" s="15">
        <f>IF(Categorias_Registro[[#This Row],[Puntos]]=ROUND(Piso,0),ROUND(Categorias_Registro[[#This Row],[Puntos]]*(1+Categorias_Registro[[#This Row],[Amplitud]]),0),IF(Categorias_Registro[[#This Row],[Puntos]]&lt;D406,D406,ROUND(D406*(1+Categorias_Registro[[#This Row],[Amplitud]]),0)))</f>
        <v>2487</v>
      </c>
      <c r="E405" s="15">
        <f>E406+IF(D406=Categorias_Registro[[#This Row],[Máximo]],0,1)</f>
        <v>24</v>
      </c>
      <c r="F405" s="15">
        <f>ROUND(Categorias_Registro[[#This Row],[Mínimo]]+((Categorias_Registro[[#This Row],[Máximo]]-Categorias_Registro[[#This Row],[Mínimo]])/2),0)</f>
        <v>2326</v>
      </c>
      <c r="G405" s="78">
        <f>VLOOKUP(Categorias_Registro[[#This Row],[Puntos]],Categorias_Configuracion[],MATCH(Categorias_Configuracion[[#Headers],[% Amplitud]],Categorias_Configuracion[#Headers],0),TRUE)</f>
        <v>0.15</v>
      </c>
      <c r="H405" s="15" t="str">
        <f ca="1">TEXT(Categorias_Registro[[#This Row],[Mínimo]],Formato_Rango_Categorias)&amp;" - "&amp;TEXT(Categorias_Registro[[#This Row],[Máximo]],Formato_Rango_Categorias)</f>
        <v>2.164 - 2.487</v>
      </c>
    </row>
    <row r="406" spans="2:8">
      <c r="B406" s="15">
        <f>Techo - ROW() + ROW(Categorias_Registro[])</f>
        <v>2223</v>
      </c>
      <c r="C406" s="15">
        <f>IF(Categorias_Registro[[#This Row],[Puntos]]&lt;=ROUND(Piso,0),Piso,IF(Categorias_Registro[[#This Row],[Puntos]]&lt;D407,C407,D407+1))</f>
        <v>2164</v>
      </c>
      <c r="D406" s="15">
        <f>IF(Categorias_Registro[[#This Row],[Puntos]]=ROUND(Piso,0),ROUND(Categorias_Registro[[#This Row],[Puntos]]*(1+Categorias_Registro[[#This Row],[Amplitud]]),0),IF(Categorias_Registro[[#This Row],[Puntos]]&lt;D407,D407,ROUND(D407*(1+Categorias_Registro[[#This Row],[Amplitud]]),0)))</f>
        <v>2487</v>
      </c>
      <c r="E406" s="15">
        <f>E407+IF(D407=Categorias_Registro[[#This Row],[Máximo]],0,1)</f>
        <v>24</v>
      </c>
      <c r="F406" s="15">
        <f>ROUND(Categorias_Registro[[#This Row],[Mínimo]]+((Categorias_Registro[[#This Row],[Máximo]]-Categorias_Registro[[#This Row],[Mínimo]])/2),0)</f>
        <v>2326</v>
      </c>
      <c r="G406" s="78">
        <f>VLOOKUP(Categorias_Registro[[#This Row],[Puntos]],Categorias_Configuracion[],MATCH(Categorias_Configuracion[[#Headers],[% Amplitud]],Categorias_Configuracion[#Headers],0),TRUE)</f>
        <v>0.15</v>
      </c>
      <c r="H406" s="15" t="str">
        <f ca="1">TEXT(Categorias_Registro[[#This Row],[Mínimo]],Formato_Rango_Categorias)&amp;" - "&amp;TEXT(Categorias_Registro[[#This Row],[Máximo]],Formato_Rango_Categorias)</f>
        <v>2.164 - 2.487</v>
      </c>
    </row>
    <row r="407" spans="2:8">
      <c r="B407" s="15">
        <f>Techo - ROW() + ROW(Categorias_Registro[])</f>
        <v>2222</v>
      </c>
      <c r="C407" s="15">
        <f>IF(Categorias_Registro[[#This Row],[Puntos]]&lt;=ROUND(Piso,0),Piso,IF(Categorias_Registro[[#This Row],[Puntos]]&lt;D408,C408,D408+1))</f>
        <v>2164</v>
      </c>
      <c r="D407" s="15">
        <f>IF(Categorias_Registro[[#This Row],[Puntos]]=ROUND(Piso,0),ROUND(Categorias_Registro[[#This Row],[Puntos]]*(1+Categorias_Registro[[#This Row],[Amplitud]]),0),IF(Categorias_Registro[[#This Row],[Puntos]]&lt;D408,D408,ROUND(D408*(1+Categorias_Registro[[#This Row],[Amplitud]]),0)))</f>
        <v>2487</v>
      </c>
      <c r="E407" s="15">
        <f>E408+IF(D408=Categorias_Registro[[#This Row],[Máximo]],0,1)</f>
        <v>24</v>
      </c>
      <c r="F407" s="15">
        <f>ROUND(Categorias_Registro[[#This Row],[Mínimo]]+((Categorias_Registro[[#This Row],[Máximo]]-Categorias_Registro[[#This Row],[Mínimo]])/2),0)</f>
        <v>2326</v>
      </c>
      <c r="G407" s="78">
        <f>VLOOKUP(Categorias_Registro[[#This Row],[Puntos]],Categorias_Configuracion[],MATCH(Categorias_Configuracion[[#Headers],[% Amplitud]],Categorias_Configuracion[#Headers],0),TRUE)</f>
        <v>0.15</v>
      </c>
      <c r="H407" s="15" t="str">
        <f ca="1">TEXT(Categorias_Registro[[#This Row],[Mínimo]],Formato_Rango_Categorias)&amp;" - "&amp;TEXT(Categorias_Registro[[#This Row],[Máximo]],Formato_Rango_Categorias)</f>
        <v>2.164 - 2.487</v>
      </c>
    </row>
    <row r="408" spans="2:8">
      <c r="B408" s="15">
        <f>Techo - ROW() + ROW(Categorias_Registro[])</f>
        <v>2221</v>
      </c>
      <c r="C408" s="15">
        <f>IF(Categorias_Registro[[#This Row],[Puntos]]&lt;=ROUND(Piso,0),Piso,IF(Categorias_Registro[[#This Row],[Puntos]]&lt;D409,C409,D409+1))</f>
        <v>2164</v>
      </c>
      <c r="D408" s="15">
        <f>IF(Categorias_Registro[[#This Row],[Puntos]]=ROUND(Piso,0),ROUND(Categorias_Registro[[#This Row],[Puntos]]*(1+Categorias_Registro[[#This Row],[Amplitud]]),0),IF(Categorias_Registro[[#This Row],[Puntos]]&lt;D409,D409,ROUND(D409*(1+Categorias_Registro[[#This Row],[Amplitud]]),0)))</f>
        <v>2487</v>
      </c>
      <c r="E408" s="15">
        <f>E409+IF(D409=Categorias_Registro[[#This Row],[Máximo]],0,1)</f>
        <v>24</v>
      </c>
      <c r="F408" s="15">
        <f>ROUND(Categorias_Registro[[#This Row],[Mínimo]]+((Categorias_Registro[[#This Row],[Máximo]]-Categorias_Registro[[#This Row],[Mínimo]])/2),0)</f>
        <v>2326</v>
      </c>
      <c r="G408" s="78">
        <f>VLOOKUP(Categorias_Registro[[#This Row],[Puntos]],Categorias_Configuracion[],MATCH(Categorias_Configuracion[[#Headers],[% Amplitud]],Categorias_Configuracion[#Headers],0),TRUE)</f>
        <v>0.15</v>
      </c>
      <c r="H408" s="15" t="str">
        <f ca="1">TEXT(Categorias_Registro[[#This Row],[Mínimo]],Formato_Rango_Categorias)&amp;" - "&amp;TEXT(Categorias_Registro[[#This Row],[Máximo]],Formato_Rango_Categorias)</f>
        <v>2.164 - 2.487</v>
      </c>
    </row>
    <row r="409" spans="2:8">
      <c r="B409" s="15">
        <f>Techo - ROW() + ROW(Categorias_Registro[])</f>
        <v>2220</v>
      </c>
      <c r="C409" s="15">
        <f>IF(Categorias_Registro[[#This Row],[Puntos]]&lt;=ROUND(Piso,0),Piso,IF(Categorias_Registro[[#This Row],[Puntos]]&lt;D410,C410,D410+1))</f>
        <v>2164</v>
      </c>
      <c r="D409" s="15">
        <f>IF(Categorias_Registro[[#This Row],[Puntos]]=ROUND(Piso,0),ROUND(Categorias_Registro[[#This Row],[Puntos]]*(1+Categorias_Registro[[#This Row],[Amplitud]]),0),IF(Categorias_Registro[[#This Row],[Puntos]]&lt;D410,D410,ROUND(D410*(1+Categorias_Registro[[#This Row],[Amplitud]]),0)))</f>
        <v>2487</v>
      </c>
      <c r="E409" s="15">
        <f>E410+IF(D410=Categorias_Registro[[#This Row],[Máximo]],0,1)</f>
        <v>24</v>
      </c>
      <c r="F409" s="15">
        <f>ROUND(Categorias_Registro[[#This Row],[Mínimo]]+((Categorias_Registro[[#This Row],[Máximo]]-Categorias_Registro[[#This Row],[Mínimo]])/2),0)</f>
        <v>2326</v>
      </c>
      <c r="G409" s="78">
        <f>VLOOKUP(Categorias_Registro[[#This Row],[Puntos]],Categorias_Configuracion[],MATCH(Categorias_Configuracion[[#Headers],[% Amplitud]],Categorias_Configuracion[#Headers],0),TRUE)</f>
        <v>0.15</v>
      </c>
      <c r="H409" s="15" t="str">
        <f ca="1">TEXT(Categorias_Registro[[#This Row],[Mínimo]],Formato_Rango_Categorias)&amp;" - "&amp;TEXT(Categorias_Registro[[#This Row],[Máximo]],Formato_Rango_Categorias)</f>
        <v>2.164 - 2.487</v>
      </c>
    </row>
    <row r="410" spans="2:8">
      <c r="B410" s="15">
        <f>Techo - ROW() + ROW(Categorias_Registro[])</f>
        <v>2219</v>
      </c>
      <c r="C410" s="15">
        <f>IF(Categorias_Registro[[#This Row],[Puntos]]&lt;=ROUND(Piso,0),Piso,IF(Categorias_Registro[[#This Row],[Puntos]]&lt;D411,C411,D411+1))</f>
        <v>2164</v>
      </c>
      <c r="D410" s="15">
        <f>IF(Categorias_Registro[[#This Row],[Puntos]]=ROUND(Piso,0),ROUND(Categorias_Registro[[#This Row],[Puntos]]*(1+Categorias_Registro[[#This Row],[Amplitud]]),0),IF(Categorias_Registro[[#This Row],[Puntos]]&lt;D411,D411,ROUND(D411*(1+Categorias_Registro[[#This Row],[Amplitud]]),0)))</f>
        <v>2487</v>
      </c>
      <c r="E410" s="15">
        <f>E411+IF(D411=Categorias_Registro[[#This Row],[Máximo]],0,1)</f>
        <v>24</v>
      </c>
      <c r="F410" s="15">
        <f>ROUND(Categorias_Registro[[#This Row],[Mínimo]]+((Categorias_Registro[[#This Row],[Máximo]]-Categorias_Registro[[#This Row],[Mínimo]])/2),0)</f>
        <v>2326</v>
      </c>
      <c r="G410" s="78">
        <f>VLOOKUP(Categorias_Registro[[#This Row],[Puntos]],Categorias_Configuracion[],MATCH(Categorias_Configuracion[[#Headers],[% Amplitud]],Categorias_Configuracion[#Headers],0),TRUE)</f>
        <v>0.15</v>
      </c>
      <c r="H410" s="15" t="str">
        <f ca="1">TEXT(Categorias_Registro[[#This Row],[Mínimo]],Formato_Rango_Categorias)&amp;" - "&amp;TEXT(Categorias_Registro[[#This Row],[Máximo]],Formato_Rango_Categorias)</f>
        <v>2.164 - 2.487</v>
      </c>
    </row>
    <row r="411" spans="2:8">
      <c r="B411" s="15">
        <f>Techo - ROW() + ROW(Categorias_Registro[])</f>
        <v>2218</v>
      </c>
      <c r="C411" s="15">
        <f>IF(Categorias_Registro[[#This Row],[Puntos]]&lt;=ROUND(Piso,0),Piso,IF(Categorias_Registro[[#This Row],[Puntos]]&lt;D412,C412,D412+1))</f>
        <v>2164</v>
      </c>
      <c r="D411" s="15">
        <f>IF(Categorias_Registro[[#This Row],[Puntos]]=ROUND(Piso,0),ROUND(Categorias_Registro[[#This Row],[Puntos]]*(1+Categorias_Registro[[#This Row],[Amplitud]]),0),IF(Categorias_Registro[[#This Row],[Puntos]]&lt;D412,D412,ROUND(D412*(1+Categorias_Registro[[#This Row],[Amplitud]]),0)))</f>
        <v>2487</v>
      </c>
      <c r="E411" s="15">
        <f>E412+IF(D412=Categorias_Registro[[#This Row],[Máximo]],0,1)</f>
        <v>24</v>
      </c>
      <c r="F411" s="15">
        <f>ROUND(Categorias_Registro[[#This Row],[Mínimo]]+((Categorias_Registro[[#This Row],[Máximo]]-Categorias_Registro[[#This Row],[Mínimo]])/2),0)</f>
        <v>2326</v>
      </c>
      <c r="G411" s="78">
        <f>VLOOKUP(Categorias_Registro[[#This Row],[Puntos]],Categorias_Configuracion[],MATCH(Categorias_Configuracion[[#Headers],[% Amplitud]],Categorias_Configuracion[#Headers],0),TRUE)</f>
        <v>0.15</v>
      </c>
      <c r="H411" s="15" t="str">
        <f ca="1">TEXT(Categorias_Registro[[#This Row],[Mínimo]],Formato_Rango_Categorias)&amp;" - "&amp;TEXT(Categorias_Registro[[#This Row],[Máximo]],Formato_Rango_Categorias)</f>
        <v>2.164 - 2.487</v>
      </c>
    </row>
    <row r="412" spans="2:8">
      <c r="B412" s="15">
        <f>Techo - ROW() + ROW(Categorias_Registro[])</f>
        <v>2217</v>
      </c>
      <c r="C412" s="15">
        <f>IF(Categorias_Registro[[#This Row],[Puntos]]&lt;=ROUND(Piso,0),Piso,IF(Categorias_Registro[[#This Row],[Puntos]]&lt;D413,C413,D413+1))</f>
        <v>2164</v>
      </c>
      <c r="D412" s="15">
        <f>IF(Categorias_Registro[[#This Row],[Puntos]]=ROUND(Piso,0),ROUND(Categorias_Registro[[#This Row],[Puntos]]*(1+Categorias_Registro[[#This Row],[Amplitud]]),0),IF(Categorias_Registro[[#This Row],[Puntos]]&lt;D413,D413,ROUND(D413*(1+Categorias_Registro[[#This Row],[Amplitud]]),0)))</f>
        <v>2487</v>
      </c>
      <c r="E412" s="15">
        <f>E413+IF(D413=Categorias_Registro[[#This Row],[Máximo]],0,1)</f>
        <v>24</v>
      </c>
      <c r="F412" s="15">
        <f>ROUND(Categorias_Registro[[#This Row],[Mínimo]]+((Categorias_Registro[[#This Row],[Máximo]]-Categorias_Registro[[#This Row],[Mínimo]])/2),0)</f>
        <v>2326</v>
      </c>
      <c r="G412" s="78">
        <f>VLOOKUP(Categorias_Registro[[#This Row],[Puntos]],Categorias_Configuracion[],MATCH(Categorias_Configuracion[[#Headers],[% Amplitud]],Categorias_Configuracion[#Headers],0),TRUE)</f>
        <v>0.15</v>
      </c>
      <c r="H412" s="15" t="str">
        <f ca="1">TEXT(Categorias_Registro[[#This Row],[Mínimo]],Formato_Rango_Categorias)&amp;" - "&amp;TEXT(Categorias_Registro[[#This Row],[Máximo]],Formato_Rango_Categorias)</f>
        <v>2.164 - 2.487</v>
      </c>
    </row>
    <row r="413" spans="2:8">
      <c r="B413" s="15">
        <f>Techo - ROW() + ROW(Categorias_Registro[])</f>
        <v>2216</v>
      </c>
      <c r="C413" s="15">
        <f>IF(Categorias_Registro[[#This Row],[Puntos]]&lt;=ROUND(Piso,0),Piso,IF(Categorias_Registro[[#This Row],[Puntos]]&lt;D414,C414,D414+1))</f>
        <v>2164</v>
      </c>
      <c r="D413" s="15">
        <f>IF(Categorias_Registro[[#This Row],[Puntos]]=ROUND(Piso,0),ROUND(Categorias_Registro[[#This Row],[Puntos]]*(1+Categorias_Registro[[#This Row],[Amplitud]]),0),IF(Categorias_Registro[[#This Row],[Puntos]]&lt;D414,D414,ROUND(D414*(1+Categorias_Registro[[#This Row],[Amplitud]]),0)))</f>
        <v>2487</v>
      </c>
      <c r="E413" s="15">
        <f>E414+IF(D414=Categorias_Registro[[#This Row],[Máximo]],0,1)</f>
        <v>24</v>
      </c>
      <c r="F413" s="15">
        <f>ROUND(Categorias_Registro[[#This Row],[Mínimo]]+((Categorias_Registro[[#This Row],[Máximo]]-Categorias_Registro[[#This Row],[Mínimo]])/2),0)</f>
        <v>2326</v>
      </c>
      <c r="G413" s="78">
        <f>VLOOKUP(Categorias_Registro[[#This Row],[Puntos]],Categorias_Configuracion[],MATCH(Categorias_Configuracion[[#Headers],[% Amplitud]],Categorias_Configuracion[#Headers],0),TRUE)</f>
        <v>0.15</v>
      </c>
      <c r="H413" s="15" t="str">
        <f ca="1">TEXT(Categorias_Registro[[#This Row],[Mínimo]],Formato_Rango_Categorias)&amp;" - "&amp;TEXT(Categorias_Registro[[#This Row],[Máximo]],Formato_Rango_Categorias)</f>
        <v>2.164 - 2.487</v>
      </c>
    </row>
    <row r="414" spans="2:8">
      <c r="B414" s="15">
        <f>Techo - ROW() + ROW(Categorias_Registro[])</f>
        <v>2215</v>
      </c>
      <c r="C414" s="15">
        <f>IF(Categorias_Registro[[#This Row],[Puntos]]&lt;=ROUND(Piso,0),Piso,IF(Categorias_Registro[[#This Row],[Puntos]]&lt;D415,C415,D415+1))</f>
        <v>2164</v>
      </c>
      <c r="D414" s="15">
        <f>IF(Categorias_Registro[[#This Row],[Puntos]]=ROUND(Piso,0),ROUND(Categorias_Registro[[#This Row],[Puntos]]*(1+Categorias_Registro[[#This Row],[Amplitud]]),0),IF(Categorias_Registro[[#This Row],[Puntos]]&lt;D415,D415,ROUND(D415*(1+Categorias_Registro[[#This Row],[Amplitud]]),0)))</f>
        <v>2487</v>
      </c>
      <c r="E414" s="15">
        <f>E415+IF(D415=Categorias_Registro[[#This Row],[Máximo]],0,1)</f>
        <v>24</v>
      </c>
      <c r="F414" s="15">
        <f>ROUND(Categorias_Registro[[#This Row],[Mínimo]]+((Categorias_Registro[[#This Row],[Máximo]]-Categorias_Registro[[#This Row],[Mínimo]])/2),0)</f>
        <v>2326</v>
      </c>
      <c r="G414" s="78">
        <f>VLOOKUP(Categorias_Registro[[#This Row],[Puntos]],Categorias_Configuracion[],MATCH(Categorias_Configuracion[[#Headers],[% Amplitud]],Categorias_Configuracion[#Headers],0),TRUE)</f>
        <v>0.15</v>
      </c>
      <c r="H414" s="15" t="str">
        <f ca="1">TEXT(Categorias_Registro[[#This Row],[Mínimo]],Formato_Rango_Categorias)&amp;" - "&amp;TEXT(Categorias_Registro[[#This Row],[Máximo]],Formato_Rango_Categorias)</f>
        <v>2.164 - 2.487</v>
      </c>
    </row>
    <row r="415" spans="2:8">
      <c r="B415" s="15">
        <f>Techo - ROW() + ROW(Categorias_Registro[])</f>
        <v>2214</v>
      </c>
      <c r="C415" s="15">
        <f>IF(Categorias_Registro[[#This Row],[Puntos]]&lt;=ROUND(Piso,0),Piso,IF(Categorias_Registro[[#This Row],[Puntos]]&lt;D416,C416,D416+1))</f>
        <v>2164</v>
      </c>
      <c r="D415" s="15">
        <f>IF(Categorias_Registro[[#This Row],[Puntos]]=ROUND(Piso,0),ROUND(Categorias_Registro[[#This Row],[Puntos]]*(1+Categorias_Registro[[#This Row],[Amplitud]]),0),IF(Categorias_Registro[[#This Row],[Puntos]]&lt;D416,D416,ROUND(D416*(1+Categorias_Registro[[#This Row],[Amplitud]]),0)))</f>
        <v>2487</v>
      </c>
      <c r="E415" s="15">
        <f>E416+IF(D416=Categorias_Registro[[#This Row],[Máximo]],0,1)</f>
        <v>24</v>
      </c>
      <c r="F415" s="15">
        <f>ROUND(Categorias_Registro[[#This Row],[Mínimo]]+((Categorias_Registro[[#This Row],[Máximo]]-Categorias_Registro[[#This Row],[Mínimo]])/2),0)</f>
        <v>2326</v>
      </c>
      <c r="G415" s="78">
        <f>VLOOKUP(Categorias_Registro[[#This Row],[Puntos]],Categorias_Configuracion[],MATCH(Categorias_Configuracion[[#Headers],[% Amplitud]],Categorias_Configuracion[#Headers],0),TRUE)</f>
        <v>0.15</v>
      </c>
      <c r="H415" s="15" t="str">
        <f ca="1">TEXT(Categorias_Registro[[#This Row],[Mínimo]],Formato_Rango_Categorias)&amp;" - "&amp;TEXT(Categorias_Registro[[#This Row],[Máximo]],Formato_Rango_Categorias)</f>
        <v>2.164 - 2.487</v>
      </c>
    </row>
    <row r="416" spans="2:8">
      <c r="B416" s="15">
        <f>Techo - ROW() + ROW(Categorias_Registro[])</f>
        <v>2213</v>
      </c>
      <c r="C416" s="15">
        <f>IF(Categorias_Registro[[#This Row],[Puntos]]&lt;=ROUND(Piso,0),Piso,IF(Categorias_Registro[[#This Row],[Puntos]]&lt;D417,C417,D417+1))</f>
        <v>2164</v>
      </c>
      <c r="D416" s="15">
        <f>IF(Categorias_Registro[[#This Row],[Puntos]]=ROUND(Piso,0),ROUND(Categorias_Registro[[#This Row],[Puntos]]*(1+Categorias_Registro[[#This Row],[Amplitud]]),0),IF(Categorias_Registro[[#This Row],[Puntos]]&lt;D417,D417,ROUND(D417*(1+Categorias_Registro[[#This Row],[Amplitud]]),0)))</f>
        <v>2487</v>
      </c>
      <c r="E416" s="15">
        <f>E417+IF(D417=Categorias_Registro[[#This Row],[Máximo]],0,1)</f>
        <v>24</v>
      </c>
      <c r="F416" s="15">
        <f>ROUND(Categorias_Registro[[#This Row],[Mínimo]]+((Categorias_Registro[[#This Row],[Máximo]]-Categorias_Registro[[#This Row],[Mínimo]])/2),0)</f>
        <v>2326</v>
      </c>
      <c r="G416" s="78">
        <f>VLOOKUP(Categorias_Registro[[#This Row],[Puntos]],Categorias_Configuracion[],MATCH(Categorias_Configuracion[[#Headers],[% Amplitud]],Categorias_Configuracion[#Headers],0),TRUE)</f>
        <v>0.15</v>
      </c>
      <c r="H416" s="15" t="str">
        <f ca="1">TEXT(Categorias_Registro[[#This Row],[Mínimo]],Formato_Rango_Categorias)&amp;" - "&amp;TEXT(Categorias_Registro[[#This Row],[Máximo]],Formato_Rango_Categorias)</f>
        <v>2.164 - 2.487</v>
      </c>
    </row>
    <row r="417" spans="2:8">
      <c r="B417" s="15">
        <f>Techo - ROW() + ROW(Categorias_Registro[])</f>
        <v>2212</v>
      </c>
      <c r="C417" s="15">
        <f>IF(Categorias_Registro[[#This Row],[Puntos]]&lt;=ROUND(Piso,0),Piso,IF(Categorias_Registro[[#This Row],[Puntos]]&lt;D418,C418,D418+1))</f>
        <v>2164</v>
      </c>
      <c r="D417" s="15">
        <f>IF(Categorias_Registro[[#This Row],[Puntos]]=ROUND(Piso,0),ROUND(Categorias_Registro[[#This Row],[Puntos]]*(1+Categorias_Registro[[#This Row],[Amplitud]]),0),IF(Categorias_Registro[[#This Row],[Puntos]]&lt;D418,D418,ROUND(D418*(1+Categorias_Registro[[#This Row],[Amplitud]]),0)))</f>
        <v>2487</v>
      </c>
      <c r="E417" s="15">
        <f>E418+IF(D418=Categorias_Registro[[#This Row],[Máximo]],0,1)</f>
        <v>24</v>
      </c>
      <c r="F417" s="15">
        <f>ROUND(Categorias_Registro[[#This Row],[Mínimo]]+((Categorias_Registro[[#This Row],[Máximo]]-Categorias_Registro[[#This Row],[Mínimo]])/2),0)</f>
        <v>2326</v>
      </c>
      <c r="G417" s="78">
        <f>VLOOKUP(Categorias_Registro[[#This Row],[Puntos]],Categorias_Configuracion[],MATCH(Categorias_Configuracion[[#Headers],[% Amplitud]],Categorias_Configuracion[#Headers],0),TRUE)</f>
        <v>0.15</v>
      </c>
      <c r="H417" s="15" t="str">
        <f ca="1">TEXT(Categorias_Registro[[#This Row],[Mínimo]],Formato_Rango_Categorias)&amp;" - "&amp;TEXT(Categorias_Registro[[#This Row],[Máximo]],Formato_Rango_Categorias)</f>
        <v>2.164 - 2.487</v>
      </c>
    </row>
    <row r="418" spans="2:8">
      <c r="B418" s="15">
        <f>Techo - ROW() + ROW(Categorias_Registro[])</f>
        <v>2211</v>
      </c>
      <c r="C418" s="15">
        <f>IF(Categorias_Registro[[#This Row],[Puntos]]&lt;=ROUND(Piso,0),Piso,IF(Categorias_Registro[[#This Row],[Puntos]]&lt;D419,C419,D419+1))</f>
        <v>2164</v>
      </c>
      <c r="D418" s="15">
        <f>IF(Categorias_Registro[[#This Row],[Puntos]]=ROUND(Piso,0),ROUND(Categorias_Registro[[#This Row],[Puntos]]*(1+Categorias_Registro[[#This Row],[Amplitud]]),0),IF(Categorias_Registro[[#This Row],[Puntos]]&lt;D419,D419,ROUND(D419*(1+Categorias_Registro[[#This Row],[Amplitud]]),0)))</f>
        <v>2487</v>
      </c>
      <c r="E418" s="15">
        <f>E419+IF(D419=Categorias_Registro[[#This Row],[Máximo]],0,1)</f>
        <v>24</v>
      </c>
      <c r="F418" s="15">
        <f>ROUND(Categorias_Registro[[#This Row],[Mínimo]]+((Categorias_Registro[[#This Row],[Máximo]]-Categorias_Registro[[#This Row],[Mínimo]])/2),0)</f>
        <v>2326</v>
      </c>
      <c r="G418" s="78">
        <f>VLOOKUP(Categorias_Registro[[#This Row],[Puntos]],Categorias_Configuracion[],MATCH(Categorias_Configuracion[[#Headers],[% Amplitud]],Categorias_Configuracion[#Headers],0),TRUE)</f>
        <v>0.15</v>
      </c>
      <c r="H418" s="15" t="str">
        <f ca="1">TEXT(Categorias_Registro[[#This Row],[Mínimo]],Formato_Rango_Categorias)&amp;" - "&amp;TEXT(Categorias_Registro[[#This Row],[Máximo]],Formato_Rango_Categorias)</f>
        <v>2.164 - 2.487</v>
      </c>
    </row>
    <row r="419" spans="2:8">
      <c r="B419" s="15">
        <f>Techo - ROW() + ROW(Categorias_Registro[])</f>
        <v>2210</v>
      </c>
      <c r="C419" s="15">
        <f>IF(Categorias_Registro[[#This Row],[Puntos]]&lt;=ROUND(Piso,0),Piso,IF(Categorias_Registro[[#This Row],[Puntos]]&lt;D420,C420,D420+1))</f>
        <v>2164</v>
      </c>
      <c r="D419" s="15">
        <f>IF(Categorias_Registro[[#This Row],[Puntos]]=ROUND(Piso,0),ROUND(Categorias_Registro[[#This Row],[Puntos]]*(1+Categorias_Registro[[#This Row],[Amplitud]]),0),IF(Categorias_Registro[[#This Row],[Puntos]]&lt;D420,D420,ROUND(D420*(1+Categorias_Registro[[#This Row],[Amplitud]]),0)))</f>
        <v>2487</v>
      </c>
      <c r="E419" s="15">
        <f>E420+IF(D420=Categorias_Registro[[#This Row],[Máximo]],0,1)</f>
        <v>24</v>
      </c>
      <c r="F419" s="15">
        <f>ROUND(Categorias_Registro[[#This Row],[Mínimo]]+((Categorias_Registro[[#This Row],[Máximo]]-Categorias_Registro[[#This Row],[Mínimo]])/2),0)</f>
        <v>2326</v>
      </c>
      <c r="G419" s="78">
        <f>VLOOKUP(Categorias_Registro[[#This Row],[Puntos]],Categorias_Configuracion[],MATCH(Categorias_Configuracion[[#Headers],[% Amplitud]],Categorias_Configuracion[#Headers],0),TRUE)</f>
        <v>0.15</v>
      </c>
      <c r="H419" s="15" t="str">
        <f ca="1">TEXT(Categorias_Registro[[#This Row],[Mínimo]],Formato_Rango_Categorias)&amp;" - "&amp;TEXT(Categorias_Registro[[#This Row],[Máximo]],Formato_Rango_Categorias)</f>
        <v>2.164 - 2.487</v>
      </c>
    </row>
    <row r="420" spans="2:8">
      <c r="B420" s="15">
        <f>Techo - ROW() + ROW(Categorias_Registro[])</f>
        <v>2209</v>
      </c>
      <c r="C420" s="15">
        <f>IF(Categorias_Registro[[#This Row],[Puntos]]&lt;=ROUND(Piso,0),Piso,IF(Categorias_Registro[[#This Row],[Puntos]]&lt;D421,C421,D421+1))</f>
        <v>2164</v>
      </c>
      <c r="D420" s="15">
        <f>IF(Categorias_Registro[[#This Row],[Puntos]]=ROUND(Piso,0),ROUND(Categorias_Registro[[#This Row],[Puntos]]*(1+Categorias_Registro[[#This Row],[Amplitud]]),0),IF(Categorias_Registro[[#This Row],[Puntos]]&lt;D421,D421,ROUND(D421*(1+Categorias_Registro[[#This Row],[Amplitud]]),0)))</f>
        <v>2487</v>
      </c>
      <c r="E420" s="15">
        <f>E421+IF(D421=Categorias_Registro[[#This Row],[Máximo]],0,1)</f>
        <v>24</v>
      </c>
      <c r="F420" s="15">
        <f>ROUND(Categorias_Registro[[#This Row],[Mínimo]]+((Categorias_Registro[[#This Row],[Máximo]]-Categorias_Registro[[#This Row],[Mínimo]])/2),0)</f>
        <v>2326</v>
      </c>
      <c r="G420" s="78">
        <f>VLOOKUP(Categorias_Registro[[#This Row],[Puntos]],Categorias_Configuracion[],MATCH(Categorias_Configuracion[[#Headers],[% Amplitud]],Categorias_Configuracion[#Headers],0),TRUE)</f>
        <v>0.15</v>
      </c>
      <c r="H420" s="15" t="str">
        <f ca="1">TEXT(Categorias_Registro[[#This Row],[Mínimo]],Formato_Rango_Categorias)&amp;" - "&amp;TEXT(Categorias_Registro[[#This Row],[Máximo]],Formato_Rango_Categorias)</f>
        <v>2.164 - 2.487</v>
      </c>
    </row>
    <row r="421" spans="2:8">
      <c r="B421" s="15">
        <f>Techo - ROW() + ROW(Categorias_Registro[])</f>
        <v>2208</v>
      </c>
      <c r="C421" s="15">
        <f>IF(Categorias_Registro[[#This Row],[Puntos]]&lt;=ROUND(Piso,0),Piso,IF(Categorias_Registro[[#This Row],[Puntos]]&lt;D422,C422,D422+1))</f>
        <v>2164</v>
      </c>
      <c r="D421" s="15">
        <f>IF(Categorias_Registro[[#This Row],[Puntos]]=ROUND(Piso,0),ROUND(Categorias_Registro[[#This Row],[Puntos]]*(1+Categorias_Registro[[#This Row],[Amplitud]]),0),IF(Categorias_Registro[[#This Row],[Puntos]]&lt;D422,D422,ROUND(D422*(1+Categorias_Registro[[#This Row],[Amplitud]]),0)))</f>
        <v>2487</v>
      </c>
      <c r="E421" s="15">
        <f>E422+IF(D422=Categorias_Registro[[#This Row],[Máximo]],0,1)</f>
        <v>24</v>
      </c>
      <c r="F421" s="15">
        <f>ROUND(Categorias_Registro[[#This Row],[Mínimo]]+((Categorias_Registro[[#This Row],[Máximo]]-Categorias_Registro[[#This Row],[Mínimo]])/2),0)</f>
        <v>2326</v>
      </c>
      <c r="G421" s="78">
        <f>VLOOKUP(Categorias_Registro[[#This Row],[Puntos]],Categorias_Configuracion[],MATCH(Categorias_Configuracion[[#Headers],[% Amplitud]],Categorias_Configuracion[#Headers],0),TRUE)</f>
        <v>0.15</v>
      </c>
      <c r="H421" s="15" t="str">
        <f ca="1">TEXT(Categorias_Registro[[#This Row],[Mínimo]],Formato_Rango_Categorias)&amp;" - "&amp;TEXT(Categorias_Registro[[#This Row],[Máximo]],Formato_Rango_Categorias)</f>
        <v>2.164 - 2.487</v>
      </c>
    </row>
    <row r="422" spans="2:8">
      <c r="B422" s="15">
        <f>Techo - ROW() + ROW(Categorias_Registro[])</f>
        <v>2207</v>
      </c>
      <c r="C422" s="15">
        <f>IF(Categorias_Registro[[#This Row],[Puntos]]&lt;=ROUND(Piso,0),Piso,IF(Categorias_Registro[[#This Row],[Puntos]]&lt;D423,C423,D423+1))</f>
        <v>2164</v>
      </c>
      <c r="D422" s="15">
        <f>IF(Categorias_Registro[[#This Row],[Puntos]]=ROUND(Piso,0),ROUND(Categorias_Registro[[#This Row],[Puntos]]*(1+Categorias_Registro[[#This Row],[Amplitud]]),0),IF(Categorias_Registro[[#This Row],[Puntos]]&lt;D423,D423,ROUND(D423*(1+Categorias_Registro[[#This Row],[Amplitud]]),0)))</f>
        <v>2487</v>
      </c>
      <c r="E422" s="15">
        <f>E423+IF(D423=Categorias_Registro[[#This Row],[Máximo]],0,1)</f>
        <v>24</v>
      </c>
      <c r="F422" s="15">
        <f>ROUND(Categorias_Registro[[#This Row],[Mínimo]]+((Categorias_Registro[[#This Row],[Máximo]]-Categorias_Registro[[#This Row],[Mínimo]])/2),0)</f>
        <v>2326</v>
      </c>
      <c r="G422" s="78">
        <f>VLOOKUP(Categorias_Registro[[#This Row],[Puntos]],Categorias_Configuracion[],MATCH(Categorias_Configuracion[[#Headers],[% Amplitud]],Categorias_Configuracion[#Headers],0),TRUE)</f>
        <v>0.15</v>
      </c>
      <c r="H422" s="15" t="str">
        <f ca="1">TEXT(Categorias_Registro[[#This Row],[Mínimo]],Formato_Rango_Categorias)&amp;" - "&amp;TEXT(Categorias_Registro[[#This Row],[Máximo]],Formato_Rango_Categorias)</f>
        <v>2.164 - 2.487</v>
      </c>
    </row>
    <row r="423" spans="2:8">
      <c r="B423" s="15">
        <f>Techo - ROW() + ROW(Categorias_Registro[])</f>
        <v>2206</v>
      </c>
      <c r="C423" s="15">
        <f>IF(Categorias_Registro[[#This Row],[Puntos]]&lt;=ROUND(Piso,0),Piso,IF(Categorias_Registro[[#This Row],[Puntos]]&lt;D424,C424,D424+1))</f>
        <v>2164</v>
      </c>
      <c r="D423" s="15">
        <f>IF(Categorias_Registro[[#This Row],[Puntos]]=ROUND(Piso,0),ROUND(Categorias_Registro[[#This Row],[Puntos]]*(1+Categorias_Registro[[#This Row],[Amplitud]]),0),IF(Categorias_Registro[[#This Row],[Puntos]]&lt;D424,D424,ROUND(D424*(1+Categorias_Registro[[#This Row],[Amplitud]]),0)))</f>
        <v>2487</v>
      </c>
      <c r="E423" s="15">
        <f>E424+IF(D424=Categorias_Registro[[#This Row],[Máximo]],0,1)</f>
        <v>24</v>
      </c>
      <c r="F423" s="15">
        <f>ROUND(Categorias_Registro[[#This Row],[Mínimo]]+((Categorias_Registro[[#This Row],[Máximo]]-Categorias_Registro[[#This Row],[Mínimo]])/2),0)</f>
        <v>2326</v>
      </c>
      <c r="G423" s="78">
        <f>VLOOKUP(Categorias_Registro[[#This Row],[Puntos]],Categorias_Configuracion[],MATCH(Categorias_Configuracion[[#Headers],[% Amplitud]],Categorias_Configuracion[#Headers],0),TRUE)</f>
        <v>0.15</v>
      </c>
      <c r="H423" s="15" t="str">
        <f ca="1">TEXT(Categorias_Registro[[#This Row],[Mínimo]],Formato_Rango_Categorias)&amp;" - "&amp;TEXT(Categorias_Registro[[#This Row],[Máximo]],Formato_Rango_Categorias)</f>
        <v>2.164 - 2.487</v>
      </c>
    </row>
    <row r="424" spans="2:8">
      <c r="B424" s="15">
        <f>Techo - ROW() + ROW(Categorias_Registro[])</f>
        <v>2205</v>
      </c>
      <c r="C424" s="15">
        <f>IF(Categorias_Registro[[#This Row],[Puntos]]&lt;=ROUND(Piso,0),Piso,IF(Categorias_Registro[[#This Row],[Puntos]]&lt;D425,C425,D425+1))</f>
        <v>2164</v>
      </c>
      <c r="D424" s="15">
        <f>IF(Categorias_Registro[[#This Row],[Puntos]]=ROUND(Piso,0),ROUND(Categorias_Registro[[#This Row],[Puntos]]*(1+Categorias_Registro[[#This Row],[Amplitud]]),0),IF(Categorias_Registro[[#This Row],[Puntos]]&lt;D425,D425,ROUND(D425*(1+Categorias_Registro[[#This Row],[Amplitud]]),0)))</f>
        <v>2487</v>
      </c>
      <c r="E424" s="15">
        <f>E425+IF(D425=Categorias_Registro[[#This Row],[Máximo]],0,1)</f>
        <v>24</v>
      </c>
      <c r="F424" s="15">
        <f>ROUND(Categorias_Registro[[#This Row],[Mínimo]]+((Categorias_Registro[[#This Row],[Máximo]]-Categorias_Registro[[#This Row],[Mínimo]])/2),0)</f>
        <v>2326</v>
      </c>
      <c r="G424" s="78">
        <f>VLOOKUP(Categorias_Registro[[#This Row],[Puntos]],Categorias_Configuracion[],MATCH(Categorias_Configuracion[[#Headers],[% Amplitud]],Categorias_Configuracion[#Headers],0),TRUE)</f>
        <v>0.15</v>
      </c>
      <c r="H424" s="15" t="str">
        <f ca="1">TEXT(Categorias_Registro[[#This Row],[Mínimo]],Formato_Rango_Categorias)&amp;" - "&amp;TEXT(Categorias_Registro[[#This Row],[Máximo]],Formato_Rango_Categorias)</f>
        <v>2.164 - 2.487</v>
      </c>
    </row>
    <row r="425" spans="2:8">
      <c r="B425" s="15">
        <f>Techo - ROW() + ROW(Categorias_Registro[])</f>
        <v>2204</v>
      </c>
      <c r="C425" s="15">
        <f>IF(Categorias_Registro[[#This Row],[Puntos]]&lt;=ROUND(Piso,0),Piso,IF(Categorias_Registro[[#This Row],[Puntos]]&lt;D426,C426,D426+1))</f>
        <v>2164</v>
      </c>
      <c r="D425" s="15">
        <f>IF(Categorias_Registro[[#This Row],[Puntos]]=ROUND(Piso,0),ROUND(Categorias_Registro[[#This Row],[Puntos]]*(1+Categorias_Registro[[#This Row],[Amplitud]]),0),IF(Categorias_Registro[[#This Row],[Puntos]]&lt;D426,D426,ROUND(D426*(1+Categorias_Registro[[#This Row],[Amplitud]]),0)))</f>
        <v>2487</v>
      </c>
      <c r="E425" s="15">
        <f>E426+IF(D426=Categorias_Registro[[#This Row],[Máximo]],0,1)</f>
        <v>24</v>
      </c>
      <c r="F425" s="15">
        <f>ROUND(Categorias_Registro[[#This Row],[Mínimo]]+((Categorias_Registro[[#This Row],[Máximo]]-Categorias_Registro[[#This Row],[Mínimo]])/2),0)</f>
        <v>2326</v>
      </c>
      <c r="G425" s="78">
        <f>VLOOKUP(Categorias_Registro[[#This Row],[Puntos]],Categorias_Configuracion[],MATCH(Categorias_Configuracion[[#Headers],[% Amplitud]],Categorias_Configuracion[#Headers],0),TRUE)</f>
        <v>0.15</v>
      </c>
      <c r="H425" s="15" t="str">
        <f ca="1">TEXT(Categorias_Registro[[#This Row],[Mínimo]],Formato_Rango_Categorias)&amp;" - "&amp;TEXT(Categorias_Registro[[#This Row],[Máximo]],Formato_Rango_Categorias)</f>
        <v>2.164 - 2.487</v>
      </c>
    </row>
    <row r="426" spans="2:8">
      <c r="B426" s="15">
        <f>Techo - ROW() + ROW(Categorias_Registro[])</f>
        <v>2203</v>
      </c>
      <c r="C426" s="15">
        <f>IF(Categorias_Registro[[#This Row],[Puntos]]&lt;=ROUND(Piso,0),Piso,IF(Categorias_Registro[[#This Row],[Puntos]]&lt;D427,C427,D427+1))</f>
        <v>2164</v>
      </c>
      <c r="D426" s="15">
        <f>IF(Categorias_Registro[[#This Row],[Puntos]]=ROUND(Piso,0),ROUND(Categorias_Registro[[#This Row],[Puntos]]*(1+Categorias_Registro[[#This Row],[Amplitud]]),0),IF(Categorias_Registro[[#This Row],[Puntos]]&lt;D427,D427,ROUND(D427*(1+Categorias_Registro[[#This Row],[Amplitud]]),0)))</f>
        <v>2487</v>
      </c>
      <c r="E426" s="15">
        <f>E427+IF(D427=Categorias_Registro[[#This Row],[Máximo]],0,1)</f>
        <v>24</v>
      </c>
      <c r="F426" s="15">
        <f>ROUND(Categorias_Registro[[#This Row],[Mínimo]]+((Categorias_Registro[[#This Row],[Máximo]]-Categorias_Registro[[#This Row],[Mínimo]])/2),0)</f>
        <v>2326</v>
      </c>
      <c r="G426" s="78">
        <f>VLOOKUP(Categorias_Registro[[#This Row],[Puntos]],Categorias_Configuracion[],MATCH(Categorias_Configuracion[[#Headers],[% Amplitud]],Categorias_Configuracion[#Headers],0),TRUE)</f>
        <v>0.15</v>
      </c>
      <c r="H426" s="15" t="str">
        <f ca="1">TEXT(Categorias_Registro[[#This Row],[Mínimo]],Formato_Rango_Categorias)&amp;" - "&amp;TEXT(Categorias_Registro[[#This Row],[Máximo]],Formato_Rango_Categorias)</f>
        <v>2.164 - 2.487</v>
      </c>
    </row>
    <row r="427" spans="2:8">
      <c r="B427" s="15">
        <f>Techo - ROW() + ROW(Categorias_Registro[])</f>
        <v>2202</v>
      </c>
      <c r="C427" s="15">
        <f>IF(Categorias_Registro[[#This Row],[Puntos]]&lt;=ROUND(Piso,0),Piso,IF(Categorias_Registro[[#This Row],[Puntos]]&lt;D428,C428,D428+1))</f>
        <v>2164</v>
      </c>
      <c r="D427" s="15">
        <f>IF(Categorias_Registro[[#This Row],[Puntos]]=ROUND(Piso,0),ROUND(Categorias_Registro[[#This Row],[Puntos]]*(1+Categorias_Registro[[#This Row],[Amplitud]]),0),IF(Categorias_Registro[[#This Row],[Puntos]]&lt;D428,D428,ROUND(D428*(1+Categorias_Registro[[#This Row],[Amplitud]]),0)))</f>
        <v>2487</v>
      </c>
      <c r="E427" s="15">
        <f>E428+IF(D428=Categorias_Registro[[#This Row],[Máximo]],0,1)</f>
        <v>24</v>
      </c>
      <c r="F427" s="15">
        <f>ROUND(Categorias_Registro[[#This Row],[Mínimo]]+((Categorias_Registro[[#This Row],[Máximo]]-Categorias_Registro[[#This Row],[Mínimo]])/2),0)</f>
        <v>2326</v>
      </c>
      <c r="G427" s="78">
        <f>VLOOKUP(Categorias_Registro[[#This Row],[Puntos]],Categorias_Configuracion[],MATCH(Categorias_Configuracion[[#Headers],[% Amplitud]],Categorias_Configuracion[#Headers],0),TRUE)</f>
        <v>0.15</v>
      </c>
      <c r="H427" s="15" t="str">
        <f ca="1">TEXT(Categorias_Registro[[#This Row],[Mínimo]],Formato_Rango_Categorias)&amp;" - "&amp;TEXT(Categorias_Registro[[#This Row],[Máximo]],Formato_Rango_Categorias)</f>
        <v>2.164 - 2.487</v>
      </c>
    </row>
    <row r="428" spans="2:8">
      <c r="B428" s="15">
        <f>Techo - ROW() + ROW(Categorias_Registro[])</f>
        <v>2201</v>
      </c>
      <c r="C428" s="15">
        <f>IF(Categorias_Registro[[#This Row],[Puntos]]&lt;=ROUND(Piso,0),Piso,IF(Categorias_Registro[[#This Row],[Puntos]]&lt;D429,C429,D429+1))</f>
        <v>2164</v>
      </c>
      <c r="D428" s="15">
        <f>IF(Categorias_Registro[[#This Row],[Puntos]]=ROUND(Piso,0),ROUND(Categorias_Registro[[#This Row],[Puntos]]*(1+Categorias_Registro[[#This Row],[Amplitud]]),0),IF(Categorias_Registro[[#This Row],[Puntos]]&lt;D429,D429,ROUND(D429*(1+Categorias_Registro[[#This Row],[Amplitud]]),0)))</f>
        <v>2487</v>
      </c>
      <c r="E428" s="15">
        <f>E429+IF(D429=Categorias_Registro[[#This Row],[Máximo]],0,1)</f>
        <v>24</v>
      </c>
      <c r="F428" s="15">
        <f>ROUND(Categorias_Registro[[#This Row],[Mínimo]]+((Categorias_Registro[[#This Row],[Máximo]]-Categorias_Registro[[#This Row],[Mínimo]])/2),0)</f>
        <v>2326</v>
      </c>
      <c r="G428" s="78">
        <f>VLOOKUP(Categorias_Registro[[#This Row],[Puntos]],Categorias_Configuracion[],MATCH(Categorias_Configuracion[[#Headers],[% Amplitud]],Categorias_Configuracion[#Headers],0),TRUE)</f>
        <v>0.15</v>
      </c>
      <c r="H428" s="15" t="str">
        <f ca="1">TEXT(Categorias_Registro[[#This Row],[Mínimo]],Formato_Rango_Categorias)&amp;" - "&amp;TEXT(Categorias_Registro[[#This Row],[Máximo]],Formato_Rango_Categorias)</f>
        <v>2.164 - 2.487</v>
      </c>
    </row>
    <row r="429" spans="2:8">
      <c r="B429" s="15">
        <f>Techo - ROW() + ROW(Categorias_Registro[])</f>
        <v>2200</v>
      </c>
      <c r="C429" s="15">
        <f>IF(Categorias_Registro[[#This Row],[Puntos]]&lt;=ROUND(Piso,0),Piso,IF(Categorias_Registro[[#This Row],[Puntos]]&lt;D430,C430,D430+1))</f>
        <v>2164</v>
      </c>
      <c r="D429" s="15">
        <f>IF(Categorias_Registro[[#This Row],[Puntos]]=ROUND(Piso,0),ROUND(Categorias_Registro[[#This Row],[Puntos]]*(1+Categorias_Registro[[#This Row],[Amplitud]]),0),IF(Categorias_Registro[[#This Row],[Puntos]]&lt;D430,D430,ROUND(D430*(1+Categorias_Registro[[#This Row],[Amplitud]]),0)))</f>
        <v>2487</v>
      </c>
      <c r="E429" s="15">
        <f>E430+IF(D430=Categorias_Registro[[#This Row],[Máximo]],0,1)</f>
        <v>24</v>
      </c>
      <c r="F429" s="15">
        <f>ROUND(Categorias_Registro[[#This Row],[Mínimo]]+((Categorias_Registro[[#This Row],[Máximo]]-Categorias_Registro[[#This Row],[Mínimo]])/2),0)</f>
        <v>2326</v>
      </c>
      <c r="G429" s="78">
        <f>VLOOKUP(Categorias_Registro[[#This Row],[Puntos]],Categorias_Configuracion[],MATCH(Categorias_Configuracion[[#Headers],[% Amplitud]],Categorias_Configuracion[#Headers],0),TRUE)</f>
        <v>0.15</v>
      </c>
      <c r="H429" s="15" t="str">
        <f ca="1">TEXT(Categorias_Registro[[#This Row],[Mínimo]],Formato_Rango_Categorias)&amp;" - "&amp;TEXT(Categorias_Registro[[#This Row],[Máximo]],Formato_Rango_Categorias)</f>
        <v>2.164 - 2.487</v>
      </c>
    </row>
    <row r="430" spans="2:8">
      <c r="B430" s="15">
        <f>Techo - ROW() + ROW(Categorias_Registro[])</f>
        <v>2199</v>
      </c>
      <c r="C430" s="15">
        <f>IF(Categorias_Registro[[#This Row],[Puntos]]&lt;=ROUND(Piso,0),Piso,IF(Categorias_Registro[[#This Row],[Puntos]]&lt;D431,C431,D431+1))</f>
        <v>2164</v>
      </c>
      <c r="D430" s="15">
        <f>IF(Categorias_Registro[[#This Row],[Puntos]]=ROUND(Piso,0),ROUND(Categorias_Registro[[#This Row],[Puntos]]*(1+Categorias_Registro[[#This Row],[Amplitud]]),0),IF(Categorias_Registro[[#This Row],[Puntos]]&lt;D431,D431,ROUND(D431*(1+Categorias_Registro[[#This Row],[Amplitud]]),0)))</f>
        <v>2487</v>
      </c>
      <c r="E430" s="15">
        <f>E431+IF(D431=Categorias_Registro[[#This Row],[Máximo]],0,1)</f>
        <v>24</v>
      </c>
      <c r="F430" s="15">
        <f>ROUND(Categorias_Registro[[#This Row],[Mínimo]]+((Categorias_Registro[[#This Row],[Máximo]]-Categorias_Registro[[#This Row],[Mínimo]])/2),0)</f>
        <v>2326</v>
      </c>
      <c r="G430" s="78">
        <f>VLOOKUP(Categorias_Registro[[#This Row],[Puntos]],Categorias_Configuracion[],MATCH(Categorias_Configuracion[[#Headers],[% Amplitud]],Categorias_Configuracion[#Headers],0),TRUE)</f>
        <v>0.15</v>
      </c>
      <c r="H430" s="15" t="str">
        <f ca="1">TEXT(Categorias_Registro[[#This Row],[Mínimo]],Formato_Rango_Categorias)&amp;" - "&amp;TEXT(Categorias_Registro[[#This Row],[Máximo]],Formato_Rango_Categorias)</f>
        <v>2.164 - 2.487</v>
      </c>
    </row>
    <row r="431" spans="2:8">
      <c r="B431" s="15">
        <f>Techo - ROW() + ROW(Categorias_Registro[])</f>
        <v>2198</v>
      </c>
      <c r="C431" s="15">
        <f>IF(Categorias_Registro[[#This Row],[Puntos]]&lt;=ROUND(Piso,0),Piso,IF(Categorias_Registro[[#This Row],[Puntos]]&lt;D432,C432,D432+1))</f>
        <v>2164</v>
      </c>
      <c r="D431" s="15">
        <f>IF(Categorias_Registro[[#This Row],[Puntos]]=ROUND(Piso,0),ROUND(Categorias_Registro[[#This Row],[Puntos]]*(1+Categorias_Registro[[#This Row],[Amplitud]]),0),IF(Categorias_Registro[[#This Row],[Puntos]]&lt;D432,D432,ROUND(D432*(1+Categorias_Registro[[#This Row],[Amplitud]]),0)))</f>
        <v>2487</v>
      </c>
      <c r="E431" s="15">
        <f>E432+IF(D432=Categorias_Registro[[#This Row],[Máximo]],0,1)</f>
        <v>24</v>
      </c>
      <c r="F431" s="15">
        <f>ROUND(Categorias_Registro[[#This Row],[Mínimo]]+((Categorias_Registro[[#This Row],[Máximo]]-Categorias_Registro[[#This Row],[Mínimo]])/2),0)</f>
        <v>2326</v>
      </c>
      <c r="G431" s="78">
        <f>VLOOKUP(Categorias_Registro[[#This Row],[Puntos]],Categorias_Configuracion[],MATCH(Categorias_Configuracion[[#Headers],[% Amplitud]],Categorias_Configuracion[#Headers],0),TRUE)</f>
        <v>0.15</v>
      </c>
      <c r="H431" s="15" t="str">
        <f ca="1">TEXT(Categorias_Registro[[#This Row],[Mínimo]],Formato_Rango_Categorias)&amp;" - "&amp;TEXT(Categorias_Registro[[#This Row],[Máximo]],Formato_Rango_Categorias)</f>
        <v>2.164 - 2.487</v>
      </c>
    </row>
    <row r="432" spans="2:8">
      <c r="B432" s="15">
        <f>Techo - ROW() + ROW(Categorias_Registro[])</f>
        <v>2197</v>
      </c>
      <c r="C432" s="15">
        <f>IF(Categorias_Registro[[#This Row],[Puntos]]&lt;=ROUND(Piso,0),Piso,IF(Categorias_Registro[[#This Row],[Puntos]]&lt;D433,C433,D433+1))</f>
        <v>2164</v>
      </c>
      <c r="D432" s="15">
        <f>IF(Categorias_Registro[[#This Row],[Puntos]]=ROUND(Piso,0),ROUND(Categorias_Registro[[#This Row],[Puntos]]*(1+Categorias_Registro[[#This Row],[Amplitud]]),0),IF(Categorias_Registro[[#This Row],[Puntos]]&lt;D433,D433,ROUND(D433*(1+Categorias_Registro[[#This Row],[Amplitud]]),0)))</f>
        <v>2487</v>
      </c>
      <c r="E432" s="15">
        <f>E433+IF(D433=Categorias_Registro[[#This Row],[Máximo]],0,1)</f>
        <v>24</v>
      </c>
      <c r="F432" s="15">
        <f>ROUND(Categorias_Registro[[#This Row],[Mínimo]]+((Categorias_Registro[[#This Row],[Máximo]]-Categorias_Registro[[#This Row],[Mínimo]])/2),0)</f>
        <v>2326</v>
      </c>
      <c r="G432" s="78">
        <f>VLOOKUP(Categorias_Registro[[#This Row],[Puntos]],Categorias_Configuracion[],MATCH(Categorias_Configuracion[[#Headers],[% Amplitud]],Categorias_Configuracion[#Headers],0),TRUE)</f>
        <v>0.15</v>
      </c>
      <c r="H432" s="15" t="str">
        <f ca="1">TEXT(Categorias_Registro[[#This Row],[Mínimo]],Formato_Rango_Categorias)&amp;" - "&amp;TEXT(Categorias_Registro[[#This Row],[Máximo]],Formato_Rango_Categorias)</f>
        <v>2.164 - 2.487</v>
      </c>
    </row>
    <row r="433" spans="2:8">
      <c r="B433" s="15">
        <f>Techo - ROW() + ROW(Categorias_Registro[])</f>
        <v>2196</v>
      </c>
      <c r="C433" s="15">
        <f>IF(Categorias_Registro[[#This Row],[Puntos]]&lt;=ROUND(Piso,0),Piso,IF(Categorias_Registro[[#This Row],[Puntos]]&lt;D434,C434,D434+1))</f>
        <v>2164</v>
      </c>
      <c r="D433" s="15">
        <f>IF(Categorias_Registro[[#This Row],[Puntos]]=ROUND(Piso,0),ROUND(Categorias_Registro[[#This Row],[Puntos]]*(1+Categorias_Registro[[#This Row],[Amplitud]]),0),IF(Categorias_Registro[[#This Row],[Puntos]]&lt;D434,D434,ROUND(D434*(1+Categorias_Registro[[#This Row],[Amplitud]]),0)))</f>
        <v>2487</v>
      </c>
      <c r="E433" s="15">
        <f>E434+IF(D434=Categorias_Registro[[#This Row],[Máximo]],0,1)</f>
        <v>24</v>
      </c>
      <c r="F433" s="15">
        <f>ROUND(Categorias_Registro[[#This Row],[Mínimo]]+((Categorias_Registro[[#This Row],[Máximo]]-Categorias_Registro[[#This Row],[Mínimo]])/2),0)</f>
        <v>2326</v>
      </c>
      <c r="G433" s="78">
        <f>VLOOKUP(Categorias_Registro[[#This Row],[Puntos]],Categorias_Configuracion[],MATCH(Categorias_Configuracion[[#Headers],[% Amplitud]],Categorias_Configuracion[#Headers],0),TRUE)</f>
        <v>0.15</v>
      </c>
      <c r="H433" s="15" t="str">
        <f ca="1">TEXT(Categorias_Registro[[#This Row],[Mínimo]],Formato_Rango_Categorias)&amp;" - "&amp;TEXT(Categorias_Registro[[#This Row],[Máximo]],Formato_Rango_Categorias)</f>
        <v>2.164 - 2.487</v>
      </c>
    </row>
    <row r="434" spans="2:8">
      <c r="B434" s="15">
        <f>Techo - ROW() + ROW(Categorias_Registro[])</f>
        <v>2195</v>
      </c>
      <c r="C434" s="15">
        <f>IF(Categorias_Registro[[#This Row],[Puntos]]&lt;=ROUND(Piso,0),Piso,IF(Categorias_Registro[[#This Row],[Puntos]]&lt;D435,C435,D435+1))</f>
        <v>2164</v>
      </c>
      <c r="D434" s="15">
        <f>IF(Categorias_Registro[[#This Row],[Puntos]]=ROUND(Piso,0),ROUND(Categorias_Registro[[#This Row],[Puntos]]*(1+Categorias_Registro[[#This Row],[Amplitud]]),0),IF(Categorias_Registro[[#This Row],[Puntos]]&lt;D435,D435,ROUND(D435*(1+Categorias_Registro[[#This Row],[Amplitud]]),0)))</f>
        <v>2487</v>
      </c>
      <c r="E434" s="15">
        <f>E435+IF(D435=Categorias_Registro[[#This Row],[Máximo]],0,1)</f>
        <v>24</v>
      </c>
      <c r="F434" s="15">
        <f>ROUND(Categorias_Registro[[#This Row],[Mínimo]]+((Categorias_Registro[[#This Row],[Máximo]]-Categorias_Registro[[#This Row],[Mínimo]])/2),0)</f>
        <v>2326</v>
      </c>
      <c r="G434" s="78">
        <f>VLOOKUP(Categorias_Registro[[#This Row],[Puntos]],Categorias_Configuracion[],MATCH(Categorias_Configuracion[[#Headers],[% Amplitud]],Categorias_Configuracion[#Headers],0),TRUE)</f>
        <v>0.15</v>
      </c>
      <c r="H434" s="15" t="str">
        <f ca="1">TEXT(Categorias_Registro[[#This Row],[Mínimo]],Formato_Rango_Categorias)&amp;" - "&amp;TEXT(Categorias_Registro[[#This Row],[Máximo]],Formato_Rango_Categorias)</f>
        <v>2.164 - 2.487</v>
      </c>
    </row>
    <row r="435" spans="2:8">
      <c r="B435" s="15">
        <f>Techo - ROW() + ROW(Categorias_Registro[])</f>
        <v>2194</v>
      </c>
      <c r="C435" s="15">
        <f>IF(Categorias_Registro[[#This Row],[Puntos]]&lt;=ROUND(Piso,0),Piso,IF(Categorias_Registro[[#This Row],[Puntos]]&lt;D436,C436,D436+1))</f>
        <v>2164</v>
      </c>
      <c r="D435" s="15">
        <f>IF(Categorias_Registro[[#This Row],[Puntos]]=ROUND(Piso,0),ROUND(Categorias_Registro[[#This Row],[Puntos]]*(1+Categorias_Registro[[#This Row],[Amplitud]]),0),IF(Categorias_Registro[[#This Row],[Puntos]]&lt;D436,D436,ROUND(D436*(1+Categorias_Registro[[#This Row],[Amplitud]]),0)))</f>
        <v>2487</v>
      </c>
      <c r="E435" s="15">
        <f>E436+IF(D436=Categorias_Registro[[#This Row],[Máximo]],0,1)</f>
        <v>24</v>
      </c>
      <c r="F435" s="15">
        <f>ROUND(Categorias_Registro[[#This Row],[Mínimo]]+((Categorias_Registro[[#This Row],[Máximo]]-Categorias_Registro[[#This Row],[Mínimo]])/2),0)</f>
        <v>2326</v>
      </c>
      <c r="G435" s="78">
        <f>VLOOKUP(Categorias_Registro[[#This Row],[Puntos]],Categorias_Configuracion[],MATCH(Categorias_Configuracion[[#Headers],[% Amplitud]],Categorias_Configuracion[#Headers],0),TRUE)</f>
        <v>0.15</v>
      </c>
      <c r="H435" s="15" t="str">
        <f ca="1">TEXT(Categorias_Registro[[#This Row],[Mínimo]],Formato_Rango_Categorias)&amp;" - "&amp;TEXT(Categorias_Registro[[#This Row],[Máximo]],Formato_Rango_Categorias)</f>
        <v>2.164 - 2.487</v>
      </c>
    </row>
    <row r="436" spans="2:8">
      <c r="B436" s="15">
        <f>Techo - ROW() + ROW(Categorias_Registro[])</f>
        <v>2193</v>
      </c>
      <c r="C436" s="15">
        <f>IF(Categorias_Registro[[#This Row],[Puntos]]&lt;=ROUND(Piso,0),Piso,IF(Categorias_Registro[[#This Row],[Puntos]]&lt;D437,C437,D437+1))</f>
        <v>2164</v>
      </c>
      <c r="D436" s="15">
        <f>IF(Categorias_Registro[[#This Row],[Puntos]]=ROUND(Piso,0),ROUND(Categorias_Registro[[#This Row],[Puntos]]*(1+Categorias_Registro[[#This Row],[Amplitud]]),0),IF(Categorias_Registro[[#This Row],[Puntos]]&lt;D437,D437,ROUND(D437*(1+Categorias_Registro[[#This Row],[Amplitud]]),0)))</f>
        <v>2487</v>
      </c>
      <c r="E436" s="15">
        <f>E437+IF(D437=Categorias_Registro[[#This Row],[Máximo]],0,1)</f>
        <v>24</v>
      </c>
      <c r="F436" s="15">
        <f>ROUND(Categorias_Registro[[#This Row],[Mínimo]]+((Categorias_Registro[[#This Row],[Máximo]]-Categorias_Registro[[#This Row],[Mínimo]])/2),0)</f>
        <v>2326</v>
      </c>
      <c r="G436" s="78">
        <f>VLOOKUP(Categorias_Registro[[#This Row],[Puntos]],Categorias_Configuracion[],MATCH(Categorias_Configuracion[[#Headers],[% Amplitud]],Categorias_Configuracion[#Headers],0),TRUE)</f>
        <v>0.15</v>
      </c>
      <c r="H436" s="15" t="str">
        <f ca="1">TEXT(Categorias_Registro[[#This Row],[Mínimo]],Formato_Rango_Categorias)&amp;" - "&amp;TEXT(Categorias_Registro[[#This Row],[Máximo]],Formato_Rango_Categorias)</f>
        <v>2.164 - 2.487</v>
      </c>
    </row>
    <row r="437" spans="2:8">
      <c r="B437" s="15">
        <f>Techo - ROW() + ROW(Categorias_Registro[])</f>
        <v>2192</v>
      </c>
      <c r="C437" s="15">
        <f>IF(Categorias_Registro[[#This Row],[Puntos]]&lt;=ROUND(Piso,0),Piso,IF(Categorias_Registro[[#This Row],[Puntos]]&lt;D438,C438,D438+1))</f>
        <v>2164</v>
      </c>
      <c r="D437" s="15">
        <f>IF(Categorias_Registro[[#This Row],[Puntos]]=ROUND(Piso,0),ROUND(Categorias_Registro[[#This Row],[Puntos]]*(1+Categorias_Registro[[#This Row],[Amplitud]]),0),IF(Categorias_Registro[[#This Row],[Puntos]]&lt;D438,D438,ROUND(D438*(1+Categorias_Registro[[#This Row],[Amplitud]]),0)))</f>
        <v>2487</v>
      </c>
      <c r="E437" s="15">
        <f>E438+IF(D438=Categorias_Registro[[#This Row],[Máximo]],0,1)</f>
        <v>24</v>
      </c>
      <c r="F437" s="15">
        <f>ROUND(Categorias_Registro[[#This Row],[Mínimo]]+((Categorias_Registro[[#This Row],[Máximo]]-Categorias_Registro[[#This Row],[Mínimo]])/2),0)</f>
        <v>2326</v>
      </c>
      <c r="G437" s="78">
        <f>VLOOKUP(Categorias_Registro[[#This Row],[Puntos]],Categorias_Configuracion[],MATCH(Categorias_Configuracion[[#Headers],[% Amplitud]],Categorias_Configuracion[#Headers],0),TRUE)</f>
        <v>0.15</v>
      </c>
      <c r="H437" s="15" t="str">
        <f ca="1">TEXT(Categorias_Registro[[#This Row],[Mínimo]],Formato_Rango_Categorias)&amp;" - "&amp;TEXT(Categorias_Registro[[#This Row],[Máximo]],Formato_Rango_Categorias)</f>
        <v>2.164 - 2.487</v>
      </c>
    </row>
    <row r="438" spans="2:8">
      <c r="B438" s="15">
        <f>Techo - ROW() + ROW(Categorias_Registro[])</f>
        <v>2191</v>
      </c>
      <c r="C438" s="15">
        <f>IF(Categorias_Registro[[#This Row],[Puntos]]&lt;=ROUND(Piso,0),Piso,IF(Categorias_Registro[[#This Row],[Puntos]]&lt;D439,C439,D439+1))</f>
        <v>2164</v>
      </c>
      <c r="D438" s="15">
        <f>IF(Categorias_Registro[[#This Row],[Puntos]]=ROUND(Piso,0),ROUND(Categorias_Registro[[#This Row],[Puntos]]*(1+Categorias_Registro[[#This Row],[Amplitud]]),0),IF(Categorias_Registro[[#This Row],[Puntos]]&lt;D439,D439,ROUND(D439*(1+Categorias_Registro[[#This Row],[Amplitud]]),0)))</f>
        <v>2487</v>
      </c>
      <c r="E438" s="15">
        <f>E439+IF(D439=Categorias_Registro[[#This Row],[Máximo]],0,1)</f>
        <v>24</v>
      </c>
      <c r="F438" s="15">
        <f>ROUND(Categorias_Registro[[#This Row],[Mínimo]]+((Categorias_Registro[[#This Row],[Máximo]]-Categorias_Registro[[#This Row],[Mínimo]])/2),0)</f>
        <v>2326</v>
      </c>
      <c r="G438" s="78">
        <f>VLOOKUP(Categorias_Registro[[#This Row],[Puntos]],Categorias_Configuracion[],MATCH(Categorias_Configuracion[[#Headers],[% Amplitud]],Categorias_Configuracion[#Headers],0),TRUE)</f>
        <v>0.15</v>
      </c>
      <c r="H438" s="15" t="str">
        <f ca="1">TEXT(Categorias_Registro[[#This Row],[Mínimo]],Formato_Rango_Categorias)&amp;" - "&amp;TEXT(Categorias_Registro[[#This Row],[Máximo]],Formato_Rango_Categorias)</f>
        <v>2.164 - 2.487</v>
      </c>
    </row>
    <row r="439" spans="2:8">
      <c r="B439" s="15">
        <f>Techo - ROW() + ROW(Categorias_Registro[])</f>
        <v>2190</v>
      </c>
      <c r="C439" s="15">
        <f>IF(Categorias_Registro[[#This Row],[Puntos]]&lt;=ROUND(Piso,0),Piso,IF(Categorias_Registro[[#This Row],[Puntos]]&lt;D440,C440,D440+1))</f>
        <v>2164</v>
      </c>
      <c r="D439" s="15">
        <f>IF(Categorias_Registro[[#This Row],[Puntos]]=ROUND(Piso,0),ROUND(Categorias_Registro[[#This Row],[Puntos]]*(1+Categorias_Registro[[#This Row],[Amplitud]]),0),IF(Categorias_Registro[[#This Row],[Puntos]]&lt;D440,D440,ROUND(D440*(1+Categorias_Registro[[#This Row],[Amplitud]]),0)))</f>
        <v>2487</v>
      </c>
      <c r="E439" s="15">
        <f>E440+IF(D440=Categorias_Registro[[#This Row],[Máximo]],0,1)</f>
        <v>24</v>
      </c>
      <c r="F439" s="15">
        <f>ROUND(Categorias_Registro[[#This Row],[Mínimo]]+((Categorias_Registro[[#This Row],[Máximo]]-Categorias_Registro[[#This Row],[Mínimo]])/2),0)</f>
        <v>2326</v>
      </c>
      <c r="G439" s="78">
        <f>VLOOKUP(Categorias_Registro[[#This Row],[Puntos]],Categorias_Configuracion[],MATCH(Categorias_Configuracion[[#Headers],[% Amplitud]],Categorias_Configuracion[#Headers],0),TRUE)</f>
        <v>0.15</v>
      </c>
      <c r="H439" s="15" t="str">
        <f ca="1">TEXT(Categorias_Registro[[#This Row],[Mínimo]],Formato_Rango_Categorias)&amp;" - "&amp;TEXT(Categorias_Registro[[#This Row],[Máximo]],Formato_Rango_Categorias)</f>
        <v>2.164 - 2.487</v>
      </c>
    </row>
    <row r="440" spans="2:8">
      <c r="B440" s="15">
        <f>Techo - ROW() + ROW(Categorias_Registro[])</f>
        <v>2189</v>
      </c>
      <c r="C440" s="15">
        <f>IF(Categorias_Registro[[#This Row],[Puntos]]&lt;=ROUND(Piso,0),Piso,IF(Categorias_Registro[[#This Row],[Puntos]]&lt;D441,C441,D441+1))</f>
        <v>2164</v>
      </c>
      <c r="D440" s="15">
        <f>IF(Categorias_Registro[[#This Row],[Puntos]]=ROUND(Piso,0),ROUND(Categorias_Registro[[#This Row],[Puntos]]*(1+Categorias_Registro[[#This Row],[Amplitud]]),0),IF(Categorias_Registro[[#This Row],[Puntos]]&lt;D441,D441,ROUND(D441*(1+Categorias_Registro[[#This Row],[Amplitud]]),0)))</f>
        <v>2487</v>
      </c>
      <c r="E440" s="15">
        <f>E441+IF(D441=Categorias_Registro[[#This Row],[Máximo]],0,1)</f>
        <v>24</v>
      </c>
      <c r="F440" s="15">
        <f>ROUND(Categorias_Registro[[#This Row],[Mínimo]]+((Categorias_Registro[[#This Row],[Máximo]]-Categorias_Registro[[#This Row],[Mínimo]])/2),0)</f>
        <v>2326</v>
      </c>
      <c r="G440" s="78">
        <f>VLOOKUP(Categorias_Registro[[#This Row],[Puntos]],Categorias_Configuracion[],MATCH(Categorias_Configuracion[[#Headers],[% Amplitud]],Categorias_Configuracion[#Headers],0),TRUE)</f>
        <v>0.15</v>
      </c>
      <c r="H440" s="15" t="str">
        <f ca="1">TEXT(Categorias_Registro[[#This Row],[Mínimo]],Formato_Rango_Categorias)&amp;" - "&amp;TEXT(Categorias_Registro[[#This Row],[Máximo]],Formato_Rango_Categorias)</f>
        <v>2.164 - 2.487</v>
      </c>
    </row>
    <row r="441" spans="2:8">
      <c r="B441" s="15">
        <f>Techo - ROW() + ROW(Categorias_Registro[])</f>
        <v>2188</v>
      </c>
      <c r="C441" s="15">
        <f>IF(Categorias_Registro[[#This Row],[Puntos]]&lt;=ROUND(Piso,0),Piso,IF(Categorias_Registro[[#This Row],[Puntos]]&lt;D442,C442,D442+1))</f>
        <v>2164</v>
      </c>
      <c r="D441" s="15">
        <f>IF(Categorias_Registro[[#This Row],[Puntos]]=ROUND(Piso,0),ROUND(Categorias_Registro[[#This Row],[Puntos]]*(1+Categorias_Registro[[#This Row],[Amplitud]]),0),IF(Categorias_Registro[[#This Row],[Puntos]]&lt;D442,D442,ROUND(D442*(1+Categorias_Registro[[#This Row],[Amplitud]]),0)))</f>
        <v>2487</v>
      </c>
      <c r="E441" s="15">
        <f>E442+IF(D442=Categorias_Registro[[#This Row],[Máximo]],0,1)</f>
        <v>24</v>
      </c>
      <c r="F441" s="15">
        <f>ROUND(Categorias_Registro[[#This Row],[Mínimo]]+((Categorias_Registro[[#This Row],[Máximo]]-Categorias_Registro[[#This Row],[Mínimo]])/2),0)</f>
        <v>2326</v>
      </c>
      <c r="G441" s="78">
        <f>VLOOKUP(Categorias_Registro[[#This Row],[Puntos]],Categorias_Configuracion[],MATCH(Categorias_Configuracion[[#Headers],[% Amplitud]],Categorias_Configuracion[#Headers],0),TRUE)</f>
        <v>0.15</v>
      </c>
      <c r="H441" s="15" t="str">
        <f ca="1">TEXT(Categorias_Registro[[#This Row],[Mínimo]],Formato_Rango_Categorias)&amp;" - "&amp;TEXT(Categorias_Registro[[#This Row],[Máximo]],Formato_Rango_Categorias)</f>
        <v>2.164 - 2.487</v>
      </c>
    </row>
    <row r="442" spans="2:8">
      <c r="B442" s="15">
        <f>Techo - ROW() + ROW(Categorias_Registro[])</f>
        <v>2187</v>
      </c>
      <c r="C442" s="15">
        <f>IF(Categorias_Registro[[#This Row],[Puntos]]&lt;=ROUND(Piso,0),Piso,IF(Categorias_Registro[[#This Row],[Puntos]]&lt;D443,C443,D443+1))</f>
        <v>2164</v>
      </c>
      <c r="D442" s="15">
        <f>IF(Categorias_Registro[[#This Row],[Puntos]]=ROUND(Piso,0),ROUND(Categorias_Registro[[#This Row],[Puntos]]*(1+Categorias_Registro[[#This Row],[Amplitud]]),0),IF(Categorias_Registro[[#This Row],[Puntos]]&lt;D443,D443,ROUND(D443*(1+Categorias_Registro[[#This Row],[Amplitud]]),0)))</f>
        <v>2487</v>
      </c>
      <c r="E442" s="15">
        <f>E443+IF(D443=Categorias_Registro[[#This Row],[Máximo]],0,1)</f>
        <v>24</v>
      </c>
      <c r="F442" s="15">
        <f>ROUND(Categorias_Registro[[#This Row],[Mínimo]]+((Categorias_Registro[[#This Row],[Máximo]]-Categorias_Registro[[#This Row],[Mínimo]])/2),0)</f>
        <v>2326</v>
      </c>
      <c r="G442" s="78">
        <f>VLOOKUP(Categorias_Registro[[#This Row],[Puntos]],Categorias_Configuracion[],MATCH(Categorias_Configuracion[[#Headers],[% Amplitud]],Categorias_Configuracion[#Headers],0),TRUE)</f>
        <v>0.15</v>
      </c>
      <c r="H442" s="15" t="str">
        <f ca="1">TEXT(Categorias_Registro[[#This Row],[Mínimo]],Formato_Rango_Categorias)&amp;" - "&amp;TEXT(Categorias_Registro[[#This Row],[Máximo]],Formato_Rango_Categorias)</f>
        <v>2.164 - 2.487</v>
      </c>
    </row>
    <row r="443" spans="2:8">
      <c r="B443" s="15">
        <f>Techo - ROW() + ROW(Categorias_Registro[])</f>
        <v>2186</v>
      </c>
      <c r="C443" s="15">
        <f>IF(Categorias_Registro[[#This Row],[Puntos]]&lt;=ROUND(Piso,0),Piso,IF(Categorias_Registro[[#This Row],[Puntos]]&lt;D444,C444,D444+1))</f>
        <v>2164</v>
      </c>
      <c r="D443" s="15">
        <f>IF(Categorias_Registro[[#This Row],[Puntos]]=ROUND(Piso,0),ROUND(Categorias_Registro[[#This Row],[Puntos]]*(1+Categorias_Registro[[#This Row],[Amplitud]]),0),IF(Categorias_Registro[[#This Row],[Puntos]]&lt;D444,D444,ROUND(D444*(1+Categorias_Registro[[#This Row],[Amplitud]]),0)))</f>
        <v>2487</v>
      </c>
      <c r="E443" s="15">
        <f>E444+IF(D444=Categorias_Registro[[#This Row],[Máximo]],0,1)</f>
        <v>24</v>
      </c>
      <c r="F443" s="15">
        <f>ROUND(Categorias_Registro[[#This Row],[Mínimo]]+((Categorias_Registro[[#This Row],[Máximo]]-Categorias_Registro[[#This Row],[Mínimo]])/2),0)</f>
        <v>2326</v>
      </c>
      <c r="G443" s="78">
        <f>VLOOKUP(Categorias_Registro[[#This Row],[Puntos]],Categorias_Configuracion[],MATCH(Categorias_Configuracion[[#Headers],[% Amplitud]],Categorias_Configuracion[#Headers],0),TRUE)</f>
        <v>0.15</v>
      </c>
      <c r="H443" s="15" t="str">
        <f ca="1">TEXT(Categorias_Registro[[#This Row],[Mínimo]],Formato_Rango_Categorias)&amp;" - "&amp;TEXT(Categorias_Registro[[#This Row],[Máximo]],Formato_Rango_Categorias)</f>
        <v>2.164 - 2.487</v>
      </c>
    </row>
    <row r="444" spans="2:8">
      <c r="B444" s="15">
        <f>Techo - ROW() + ROW(Categorias_Registro[])</f>
        <v>2185</v>
      </c>
      <c r="C444" s="15">
        <f>IF(Categorias_Registro[[#This Row],[Puntos]]&lt;=ROUND(Piso,0),Piso,IF(Categorias_Registro[[#This Row],[Puntos]]&lt;D445,C445,D445+1))</f>
        <v>2164</v>
      </c>
      <c r="D444" s="15">
        <f>IF(Categorias_Registro[[#This Row],[Puntos]]=ROUND(Piso,0),ROUND(Categorias_Registro[[#This Row],[Puntos]]*(1+Categorias_Registro[[#This Row],[Amplitud]]),0),IF(Categorias_Registro[[#This Row],[Puntos]]&lt;D445,D445,ROUND(D445*(1+Categorias_Registro[[#This Row],[Amplitud]]),0)))</f>
        <v>2487</v>
      </c>
      <c r="E444" s="15">
        <f>E445+IF(D445=Categorias_Registro[[#This Row],[Máximo]],0,1)</f>
        <v>24</v>
      </c>
      <c r="F444" s="15">
        <f>ROUND(Categorias_Registro[[#This Row],[Mínimo]]+((Categorias_Registro[[#This Row],[Máximo]]-Categorias_Registro[[#This Row],[Mínimo]])/2),0)</f>
        <v>2326</v>
      </c>
      <c r="G444" s="78">
        <f>VLOOKUP(Categorias_Registro[[#This Row],[Puntos]],Categorias_Configuracion[],MATCH(Categorias_Configuracion[[#Headers],[% Amplitud]],Categorias_Configuracion[#Headers],0),TRUE)</f>
        <v>0.15</v>
      </c>
      <c r="H444" s="15" t="str">
        <f ca="1">TEXT(Categorias_Registro[[#This Row],[Mínimo]],Formato_Rango_Categorias)&amp;" - "&amp;TEXT(Categorias_Registro[[#This Row],[Máximo]],Formato_Rango_Categorias)</f>
        <v>2.164 - 2.487</v>
      </c>
    </row>
    <row r="445" spans="2:8">
      <c r="B445" s="15">
        <f>Techo - ROW() + ROW(Categorias_Registro[])</f>
        <v>2184</v>
      </c>
      <c r="C445" s="15">
        <f>IF(Categorias_Registro[[#This Row],[Puntos]]&lt;=ROUND(Piso,0),Piso,IF(Categorias_Registro[[#This Row],[Puntos]]&lt;D446,C446,D446+1))</f>
        <v>2164</v>
      </c>
      <c r="D445" s="15">
        <f>IF(Categorias_Registro[[#This Row],[Puntos]]=ROUND(Piso,0),ROUND(Categorias_Registro[[#This Row],[Puntos]]*(1+Categorias_Registro[[#This Row],[Amplitud]]),0),IF(Categorias_Registro[[#This Row],[Puntos]]&lt;D446,D446,ROUND(D446*(1+Categorias_Registro[[#This Row],[Amplitud]]),0)))</f>
        <v>2487</v>
      </c>
      <c r="E445" s="15">
        <f>E446+IF(D446=Categorias_Registro[[#This Row],[Máximo]],0,1)</f>
        <v>24</v>
      </c>
      <c r="F445" s="15">
        <f>ROUND(Categorias_Registro[[#This Row],[Mínimo]]+((Categorias_Registro[[#This Row],[Máximo]]-Categorias_Registro[[#This Row],[Mínimo]])/2),0)</f>
        <v>2326</v>
      </c>
      <c r="G445" s="78">
        <f>VLOOKUP(Categorias_Registro[[#This Row],[Puntos]],Categorias_Configuracion[],MATCH(Categorias_Configuracion[[#Headers],[% Amplitud]],Categorias_Configuracion[#Headers],0),TRUE)</f>
        <v>0.15</v>
      </c>
      <c r="H445" s="15" t="str">
        <f ca="1">TEXT(Categorias_Registro[[#This Row],[Mínimo]],Formato_Rango_Categorias)&amp;" - "&amp;TEXT(Categorias_Registro[[#This Row],[Máximo]],Formato_Rango_Categorias)</f>
        <v>2.164 - 2.487</v>
      </c>
    </row>
    <row r="446" spans="2:8">
      <c r="B446" s="15">
        <f>Techo - ROW() + ROW(Categorias_Registro[])</f>
        <v>2183</v>
      </c>
      <c r="C446" s="15">
        <f>IF(Categorias_Registro[[#This Row],[Puntos]]&lt;=ROUND(Piso,0),Piso,IF(Categorias_Registro[[#This Row],[Puntos]]&lt;D447,C447,D447+1))</f>
        <v>2164</v>
      </c>
      <c r="D446" s="15">
        <f>IF(Categorias_Registro[[#This Row],[Puntos]]=ROUND(Piso,0),ROUND(Categorias_Registro[[#This Row],[Puntos]]*(1+Categorias_Registro[[#This Row],[Amplitud]]),0),IF(Categorias_Registro[[#This Row],[Puntos]]&lt;D447,D447,ROUND(D447*(1+Categorias_Registro[[#This Row],[Amplitud]]),0)))</f>
        <v>2487</v>
      </c>
      <c r="E446" s="15">
        <f>E447+IF(D447=Categorias_Registro[[#This Row],[Máximo]],0,1)</f>
        <v>24</v>
      </c>
      <c r="F446" s="15">
        <f>ROUND(Categorias_Registro[[#This Row],[Mínimo]]+((Categorias_Registro[[#This Row],[Máximo]]-Categorias_Registro[[#This Row],[Mínimo]])/2),0)</f>
        <v>2326</v>
      </c>
      <c r="G446" s="78">
        <f>VLOOKUP(Categorias_Registro[[#This Row],[Puntos]],Categorias_Configuracion[],MATCH(Categorias_Configuracion[[#Headers],[% Amplitud]],Categorias_Configuracion[#Headers],0),TRUE)</f>
        <v>0.15</v>
      </c>
      <c r="H446" s="15" t="str">
        <f ca="1">TEXT(Categorias_Registro[[#This Row],[Mínimo]],Formato_Rango_Categorias)&amp;" - "&amp;TEXT(Categorias_Registro[[#This Row],[Máximo]],Formato_Rango_Categorias)</f>
        <v>2.164 - 2.487</v>
      </c>
    </row>
    <row r="447" spans="2:8">
      <c r="B447" s="15">
        <f>Techo - ROW() + ROW(Categorias_Registro[])</f>
        <v>2182</v>
      </c>
      <c r="C447" s="15">
        <f>IF(Categorias_Registro[[#This Row],[Puntos]]&lt;=ROUND(Piso,0),Piso,IF(Categorias_Registro[[#This Row],[Puntos]]&lt;D448,C448,D448+1))</f>
        <v>2164</v>
      </c>
      <c r="D447" s="15">
        <f>IF(Categorias_Registro[[#This Row],[Puntos]]=ROUND(Piso,0),ROUND(Categorias_Registro[[#This Row],[Puntos]]*(1+Categorias_Registro[[#This Row],[Amplitud]]),0),IF(Categorias_Registro[[#This Row],[Puntos]]&lt;D448,D448,ROUND(D448*(1+Categorias_Registro[[#This Row],[Amplitud]]),0)))</f>
        <v>2487</v>
      </c>
      <c r="E447" s="15">
        <f>E448+IF(D448=Categorias_Registro[[#This Row],[Máximo]],0,1)</f>
        <v>24</v>
      </c>
      <c r="F447" s="15">
        <f>ROUND(Categorias_Registro[[#This Row],[Mínimo]]+((Categorias_Registro[[#This Row],[Máximo]]-Categorias_Registro[[#This Row],[Mínimo]])/2),0)</f>
        <v>2326</v>
      </c>
      <c r="G447" s="78">
        <f>VLOOKUP(Categorias_Registro[[#This Row],[Puntos]],Categorias_Configuracion[],MATCH(Categorias_Configuracion[[#Headers],[% Amplitud]],Categorias_Configuracion[#Headers],0),TRUE)</f>
        <v>0.15</v>
      </c>
      <c r="H447" s="15" t="str">
        <f ca="1">TEXT(Categorias_Registro[[#This Row],[Mínimo]],Formato_Rango_Categorias)&amp;" - "&amp;TEXT(Categorias_Registro[[#This Row],[Máximo]],Formato_Rango_Categorias)</f>
        <v>2.164 - 2.487</v>
      </c>
    </row>
    <row r="448" spans="2:8">
      <c r="B448" s="15">
        <f>Techo - ROW() + ROW(Categorias_Registro[])</f>
        <v>2181</v>
      </c>
      <c r="C448" s="15">
        <f>IF(Categorias_Registro[[#This Row],[Puntos]]&lt;=ROUND(Piso,0),Piso,IF(Categorias_Registro[[#This Row],[Puntos]]&lt;D449,C449,D449+1))</f>
        <v>2164</v>
      </c>
      <c r="D448" s="15">
        <f>IF(Categorias_Registro[[#This Row],[Puntos]]=ROUND(Piso,0),ROUND(Categorias_Registro[[#This Row],[Puntos]]*(1+Categorias_Registro[[#This Row],[Amplitud]]),0),IF(Categorias_Registro[[#This Row],[Puntos]]&lt;D449,D449,ROUND(D449*(1+Categorias_Registro[[#This Row],[Amplitud]]),0)))</f>
        <v>2487</v>
      </c>
      <c r="E448" s="15">
        <f>E449+IF(D449=Categorias_Registro[[#This Row],[Máximo]],0,1)</f>
        <v>24</v>
      </c>
      <c r="F448" s="15">
        <f>ROUND(Categorias_Registro[[#This Row],[Mínimo]]+((Categorias_Registro[[#This Row],[Máximo]]-Categorias_Registro[[#This Row],[Mínimo]])/2),0)</f>
        <v>2326</v>
      </c>
      <c r="G448" s="78">
        <f>VLOOKUP(Categorias_Registro[[#This Row],[Puntos]],Categorias_Configuracion[],MATCH(Categorias_Configuracion[[#Headers],[% Amplitud]],Categorias_Configuracion[#Headers],0),TRUE)</f>
        <v>0.15</v>
      </c>
      <c r="H448" s="15" t="str">
        <f ca="1">TEXT(Categorias_Registro[[#This Row],[Mínimo]],Formato_Rango_Categorias)&amp;" - "&amp;TEXT(Categorias_Registro[[#This Row],[Máximo]],Formato_Rango_Categorias)</f>
        <v>2.164 - 2.487</v>
      </c>
    </row>
    <row r="449" spans="2:8">
      <c r="B449" s="15">
        <f>Techo - ROW() + ROW(Categorias_Registro[])</f>
        <v>2180</v>
      </c>
      <c r="C449" s="15">
        <f>IF(Categorias_Registro[[#This Row],[Puntos]]&lt;=ROUND(Piso,0),Piso,IF(Categorias_Registro[[#This Row],[Puntos]]&lt;D450,C450,D450+1))</f>
        <v>2164</v>
      </c>
      <c r="D449" s="15">
        <f>IF(Categorias_Registro[[#This Row],[Puntos]]=ROUND(Piso,0),ROUND(Categorias_Registro[[#This Row],[Puntos]]*(1+Categorias_Registro[[#This Row],[Amplitud]]),0),IF(Categorias_Registro[[#This Row],[Puntos]]&lt;D450,D450,ROUND(D450*(1+Categorias_Registro[[#This Row],[Amplitud]]),0)))</f>
        <v>2487</v>
      </c>
      <c r="E449" s="15">
        <f>E450+IF(D450=Categorias_Registro[[#This Row],[Máximo]],0,1)</f>
        <v>24</v>
      </c>
      <c r="F449" s="15">
        <f>ROUND(Categorias_Registro[[#This Row],[Mínimo]]+((Categorias_Registro[[#This Row],[Máximo]]-Categorias_Registro[[#This Row],[Mínimo]])/2),0)</f>
        <v>2326</v>
      </c>
      <c r="G449" s="78">
        <f>VLOOKUP(Categorias_Registro[[#This Row],[Puntos]],Categorias_Configuracion[],MATCH(Categorias_Configuracion[[#Headers],[% Amplitud]],Categorias_Configuracion[#Headers],0),TRUE)</f>
        <v>0.15</v>
      </c>
      <c r="H449" s="15" t="str">
        <f ca="1">TEXT(Categorias_Registro[[#This Row],[Mínimo]],Formato_Rango_Categorias)&amp;" - "&amp;TEXT(Categorias_Registro[[#This Row],[Máximo]],Formato_Rango_Categorias)</f>
        <v>2.164 - 2.487</v>
      </c>
    </row>
    <row r="450" spans="2:8">
      <c r="B450" s="15">
        <f>Techo - ROW() + ROW(Categorias_Registro[])</f>
        <v>2179</v>
      </c>
      <c r="C450" s="15">
        <f>IF(Categorias_Registro[[#This Row],[Puntos]]&lt;=ROUND(Piso,0),Piso,IF(Categorias_Registro[[#This Row],[Puntos]]&lt;D451,C451,D451+1))</f>
        <v>2164</v>
      </c>
      <c r="D450" s="15">
        <f>IF(Categorias_Registro[[#This Row],[Puntos]]=ROUND(Piso,0),ROUND(Categorias_Registro[[#This Row],[Puntos]]*(1+Categorias_Registro[[#This Row],[Amplitud]]),0),IF(Categorias_Registro[[#This Row],[Puntos]]&lt;D451,D451,ROUND(D451*(1+Categorias_Registro[[#This Row],[Amplitud]]),0)))</f>
        <v>2487</v>
      </c>
      <c r="E450" s="15">
        <f>E451+IF(D451=Categorias_Registro[[#This Row],[Máximo]],0,1)</f>
        <v>24</v>
      </c>
      <c r="F450" s="15">
        <f>ROUND(Categorias_Registro[[#This Row],[Mínimo]]+((Categorias_Registro[[#This Row],[Máximo]]-Categorias_Registro[[#This Row],[Mínimo]])/2),0)</f>
        <v>2326</v>
      </c>
      <c r="G450" s="78">
        <f>VLOOKUP(Categorias_Registro[[#This Row],[Puntos]],Categorias_Configuracion[],MATCH(Categorias_Configuracion[[#Headers],[% Amplitud]],Categorias_Configuracion[#Headers],0),TRUE)</f>
        <v>0.15</v>
      </c>
      <c r="H450" s="15" t="str">
        <f ca="1">TEXT(Categorias_Registro[[#This Row],[Mínimo]],Formato_Rango_Categorias)&amp;" - "&amp;TEXT(Categorias_Registro[[#This Row],[Máximo]],Formato_Rango_Categorias)</f>
        <v>2.164 - 2.487</v>
      </c>
    </row>
    <row r="451" spans="2:8">
      <c r="B451" s="15">
        <f>Techo - ROW() + ROW(Categorias_Registro[])</f>
        <v>2178</v>
      </c>
      <c r="C451" s="15">
        <f>IF(Categorias_Registro[[#This Row],[Puntos]]&lt;=ROUND(Piso,0),Piso,IF(Categorias_Registro[[#This Row],[Puntos]]&lt;D452,C452,D452+1))</f>
        <v>2164</v>
      </c>
      <c r="D451" s="15">
        <f>IF(Categorias_Registro[[#This Row],[Puntos]]=ROUND(Piso,0),ROUND(Categorias_Registro[[#This Row],[Puntos]]*(1+Categorias_Registro[[#This Row],[Amplitud]]),0),IF(Categorias_Registro[[#This Row],[Puntos]]&lt;D452,D452,ROUND(D452*(1+Categorias_Registro[[#This Row],[Amplitud]]),0)))</f>
        <v>2487</v>
      </c>
      <c r="E451" s="15">
        <f>E452+IF(D452=Categorias_Registro[[#This Row],[Máximo]],0,1)</f>
        <v>24</v>
      </c>
      <c r="F451" s="15">
        <f>ROUND(Categorias_Registro[[#This Row],[Mínimo]]+((Categorias_Registro[[#This Row],[Máximo]]-Categorias_Registro[[#This Row],[Mínimo]])/2),0)</f>
        <v>2326</v>
      </c>
      <c r="G451" s="78">
        <f>VLOOKUP(Categorias_Registro[[#This Row],[Puntos]],Categorias_Configuracion[],MATCH(Categorias_Configuracion[[#Headers],[% Amplitud]],Categorias_Configuracion[#Headers],0),TRUE)</f>
        <v>0.15</v>
      </c>
      <c r="H451" s="15" t="str">
        <f ca="1">TEXT(Categorias_Registro[[#This Row],[Mínimo]],Formato_Rango_Categorias)&amp;" - "&amp;TEXT(Categorias_Registro[[#This Row],[Máximo]],Formato_Rango_Categorias)</f>
        <v>2.164 - 2.487</v>
      </c>
    </row>
    <row r="452" spans="2:8">
      <c r="B452" s="15">
        <f>Techo - ROW() + ROW(Categorias_Registro[])</f>
        <v>2177</v>
      </c>
      <c r="C452" s="15">
        <f>IF(Categorias_Registro[[#This Row],[Puntos]]&lt;=ROUND(Piso,0),Piso,IF(Categorias_Registro[[#This Row],[Puntos]]&lt;D453,C453,D453+1))</f>
        <v>2164</v>
      </c>
      <c r="D452" s="15">
        <f>IF(Categorias_Registro[[#This Row],[Puntos]]=ROUND(Piso,0),ROUND(Categorias_Registro[[#This Row],[Puntos]]*(1+Categorias_Registro[[#This Row],[Amplitud]]),0),IF(Categorias_Registro[[#This Row],[Puntos]]&lt;D453,D453,ROUND(D453*(1+Categorias_Registro[[#This Row],[Amplitud]]),0)))</f>
        <v>2487</v>
      </c>
      <c r="E452" s="15">
        <f>E453+IF(D453=Categorias_Registro[[#This Row],[Máximo]],0,1)</f>
        <v>24</v>
      </c>
      <c r="F452" s="15">
        <f>ROUND(Categorias_Registro[[#This Row],[Mínimo]]+((Categorias_Registro[[#This Row],[Máximo]]-Categorias_Registro[[#This Row],[Mínimo]])/2),0)</f>
        <v>2326</v>
      </c>
      <c r="G452" s="78">
        <f>VLOOKUP(Categorias_Registro[[#This Row],[Puntos]],Categorias_Configuracion[],MATCH(Categorias_Configuracion[[#Headers],[% Amplitud]],Categorias_Configuracion[#Headers],0),TRUE)</f>
        <v>0.15</v>
      </c>
      <c r="H452" s="15" t="str">
        <f ca="1">TEXT(Categorias_Registro[[#This Row],[Mínimo]],Formato_Rango_Categorias)&amp;" - "&amp;TEXT(Categorias_Registro[[#This Row],[Máximo]],Formato_Rango_Categorias)</f>
        <v>2.164 - 2.487</v>
      </c>
    </row>
    <row r="453" spans="2:8">
      <c r="B453" s="15">
        <f>Techo - ROW() + ROW(Categorias_Registro[])</f>
        <v>2176</v>
      </c>
      <c r="C453" s="15">
        <f>IF(Categorias_Registro[[#This Row],[Puntos]]&lt;=ROUND(Piso,0),Piso,IF(Categorias_Registro[[#This Row],[Puntos]]&lt;D454,C454,D454+1))</f>
        <v>2164</v>
      </c>
      <c r="D453" s="15">
        <f>IF(Categorias_Registro[[#This Row],[Puntos]]=ROUND(Piso,0),ROUND(Categorias_Registro[[#This Row],[Puntos]]*(1+Categorias_Registro[[#This Row],[Amplitud]]),0),IF(Categorias_Registro[[#This Row],[Puntos]]&lt;D454,D454,ROUND(D454*(1+Categorias_Registro[[#This Row],[Amplitud]]),0)))</f>
        <v>2487</v>
      </c>
      <c r="E453" s="15">
        <f>E454+IF(D454=Categorias_Registro[[#This Row],[Máximo]],0,1)</f>
        <v>24</v>
      </c>
      <c r="F453" s="15">
        <f>ROUND(Categorias_Registro[[#This Row],[Mínimo]]+((Categorias_Registro[[#This Row],[Máximo]]-Categorias_Registro[[#This Row],[Mínimo]])/2),0)</f>
        <v>2326</v>
      </c>
      <c r="G453" s="78">
        <f>VLOOKUP(Categorias_Registro[[#This Row],[Puntos]],Categorias_Configuracion[],MATCH(Categorias_Configuracion[[#Headers],[% Amplitud]],Categorias_Configuracion[#Headers],0),TRUE)</f>
        <v>0.15</v>
      </c>
      <c r="H453" s="15" t="str">
        <f ca="1">TEXT(Categorias_Registro[[#This Row],[Mínimo]],Formato_Rango_Categorias)&amp;" - "&amp;TEXT(Categorias_Registro[[#This Row],[Máximo]],Formato_Rango_Categorias)</f>
        <v>2.164 - 2.487</v>
      </c>
    </row>
    <row r="454" spans="2:8">
      <c r="B454" s="15">
        <f>Techo - ROW() + ROW(Categorias_Registro[])</f>
        <v>2175</v>
      </c>
      <c r="C454" s="15">
        <f>IF(Categorias_Registro[[#This Row],[Puntos]]&lt;=ROUND(Piso,0),Piso,IF(Categorias_Registro[[#This Row],[Puntos]]&lt;D455,C455,D455+1))</f>
        <v>2164</v>
      </c>
      <c r="D454" s="15">
        <f>IF(Categorias_Registro[[#This Row],[Puntos]]=ROUND(Piso,0),ROUND(Categorias_Registro[[#This Row],[Puntos]]*(1+Categorias_Registro[[#This Row],[Amplitud]]),0),IF(Categorias_Registro[[#This Row],[Puntos]]&lt;D455,D455,ROUND(D455*(1+Categorias_Registro[[#This Row],[Amplitud]]),0)))</f>
        <v>2487</v>
      </c>
      <c r="E454" s="15">
        <f>E455+IF(D455=Categorias_Registro[[#This Row],[Máximo]],0,1)</f>
        <v>24</v>
      </c>
      <c r="F454" s="15">
        <f>ROUND(Categorias_Registro[[#This Row],[Mínimo]]+((Categorias_Registro[[#This Row],[Máximo]]-Categorias_Registro[[#This Row],[Mínimo]])/2),0)</f>
        <v>2326</v>
      </c>
      <c r="G454" s="78">
        <f>VLOOKUP(Categorias_Registro[[#This Row],[Puntos]],Categorias_Configuracion[],MATCH(Categorias_Configuracion[[#Headers],[% Amplitud]],Categorias_Configuracion[#Headers],0),TRUE)</f>
        <v>0.15</v>
      </c>
      <c r="H454" s="15" t="str">
        <f ca="1">TEXT(Categorias_Registro[[#This Row],[Mínimo]],Formato_Rango_Categorias)&amp;" - "&amp;TEXT(Categorias_Registro[[#This Row],[Máximo]],Formato_Rango_Categorias)</f>
        <v>2.164 - 2.487</v>
      </c>
    </row>
    <row r="455" spans="2:8">
      <c r="B455" s="15">
        <f>Techo - ROW() + ROW(Categorias_Registro[])</f>
        <v>2174</v>
      </c>
      <c r="C455" s="15">
        <f>IF(Categorias_Registro[[#This Row],[Puntos]]&lt;=ROUND(Piso,0),Piso,IF(Categorias_Registro[[#This Row],[Puntos]]&lt;D456,C456,D456+1))</f>
        <v>2164</v>
      </c>
      <c r="D455" s="15">
        <f>IF(Categorias_Registro[[#This Row],[Puntos]]=ROUND(Piso,0),ROUND(Categorias_Registro[[#This Row],[Puntos]]*(1+Categorias_Registro[[#This Row],[Amplitud]]),0),IF(Categorias_Registro[[#This Row],[Puntos]]&lt;D456,D456,ROUND(D456*(1+Categorias_Registro[[#This Row],[Amplitud]]),0)))</f>
        <v>2487</v>
      </c>
      <c r="E455" s="15">
        <f>E456+IF(D456=Categorias_Registro[[#This Row],[Máximo]],0,1)</f>
        <v>24</v>
      </c>
      <c r="F455" s="15">
        <f>ROUND(Categorias_Registro[[#This Row],[Mínimo]]+((Categorias_Registro[[#This Row],[Máximo]]-Categorias_Registro[[#This Row],[Mínimo]])/2),0)</f>
        <v>2326</v>
      </c>
      <c r="G455" s="78">
        <f>VLOOKUP(Categorias_Registro[[#This Row],[Puntos]],Categorias_Configuracion[],MATCH(Categorias_Configuracion[[#Headers],[% Amplitud]],Categorias_Configuracion[#Headers],0),TRUE)</f>
        <v>0.15</v>
      </c>
      <c r="H455" s="15" t="str">
        <f ca="1">TEXT(Categorias_Registro[[#This Row],[Mínimo]],Formato_Rango_Categorias)&amp;" - "&amp;TEXT(Categorias_Registro[[#This Row],[Máximo]],Formato_Rango_Categorias)</f>
        <v>2.164 - 2.487</v>
      </c>
    </row>
    <row r="456" spans="2:8">
      <c r="B456" s="15">
        <f>Techo - ROW() + ROW(Categorias_Registro[])</f>
        <v>2173</v>
      </c>
      <c r="C456" s="15">
        <f>IF(Categorias_Registro[[#This Row],[Puntos]]&lt;=ROUND(Piso,0),Piso,IF(Categorias_Registro[[#This Row],[Puntos]]&lt;D457,C457,D457+1))</f>
        <v>2164</v>
      </c>
      <c r="D456" s="15">
        <f>IF(Categorias_Registro[[#This Row],[Puntos]]=ROUND(Piso,0),ROUND(Categorias_Registro[[#This Row],[Puntos]]*(1+Categorias_Registro[[#This Row],[Amplitud]]),0),IF(Categorias_Registro[[#This Row],[Puntos]]&lt;D457,D457,ROUND(D457*(1+Categorias_Registro[[#This Row],[Amplitud]]),0)))</f>
        <v>2487</v>
      </c>
      <c r="E456" s="15">
        <f>E457+IF(D457=Categorias_Registro[[#This Row],[Máximo]],0,1)</f>
        <v>24</v>
      </c>
      <c r="F456" s="15">
        <f>ROUND(Categorias_Registro[[#This Row],[Mínimo]]+((Categorias_Registro[[#This Row],[Máximo]]-Categorias_Registro[[#This Row],[Mínimo]])/2),0)</f>
        <v>2326</v>
      </c>
      <c r="G456" s="78">
        <f>VLOOKUP(Categorias_Registro[[#This Row],[Puntos]],Categorias_Configuracion[],MATCH(Categorias_Configuracion[[#Headers],[% Amplitud]],Categorias_Configuracion[#Headers],0),TRUE)</f>
        <v>0.15</v>
      </c>
      <c r="H456" s="15" t="str">
        <f ca="1">TEXT(Categorias_Registro[[#This Row],[Mínimo]],Formato_Rango_Categorias)&amp;" - "&amp;TEXT(Categorias_Registro[[#This Row],[Máximo]],Formato_Rango_Categorias)</f>
        <v>2.164 - 2.487</v>
      </c>
    </row>
    <row r="457" spans="2:8">
      <c r="B457" s="15">
        <f>Techo - ROW() + ROW(Categorias_Registro[])</f>
        <v>2172</v>
      </c>
      <c r="C457" s="15">
        <f>IF(Categorias_Registro[[#This Row],[Puntos]]&lt;=ROUND(Piso,0),Piso,IF(Categorias_Registro[[#This Row],[Puntos]]&lt;D458,C458,D458+1))</f>
        <v>2164</v>
      </c>
      <c r="D457" s="15">
        <f>IF(Categorias_Registro[[#This Row],[Puntos]]=ROUND(Piso,0),ROUND(Categorias_Registro[[#This Row],[Puntos]]*(1+Categorias_Registro[[#This Row],[Amplitud]]),0),IF(Categorias_Registro[[#This Row],[Puntos]]&lt;D458,D458,ROUND(D458*(1+Categorias_Registro[[#This Row],[Amplitud]]),0)))</f>
        <v>2487</v>
      </c>
      <c r="E457" s="15">
        <f>E458+IF(D458=Categorias_Registro[[#This Row],[Máximo]],0,1)</f>
        <v>24</v>
      </c>
      <c r="F457" s="15">
        <f>ROUND(Categorias_Registro[[#This Row],[Mínimo]]+((Categorias_Registro[[#This Row],[Máximo]]-Categorias_Registro[[#This Row],[Mínimo]])/2),0)</f>
        <v>2326</v>
      </c>
      <c r="G457" s="78">
        <f>VLOOKUP(Categorias_Registro[[#This Row],[Puntos]],Categorias_Configuracion[],MATCH(Categorias_Configuracion[[#Headers],[% Amplitud]],Categorias_Configuracion[#Headers],0),TRUE)</f>
        <v>0.15</v>
      </c>
      <c r="H457" s="15" t="str">
        <f ca="1">TEXT(Categorias_Registro[[#This Row],[Mínimo]],Formato_Rango_Categorias)&amp;" - "&amp;TEXT(Categorias_Registro[[#This Row],[Máximo]],Formato_Rango_Categorias)</f>
        <v>2.164 - 2.487</v>
      </c>
    </row>
    <row r="458" spans="2:8">
      <c r="B458" s="15">
        <f>Techo - ROW() + ROW(Categorias_Registro[])</f>
        <v>2171</v>
      </c>
      <c r="C458" s="15">
        <f>IF(Categorias_Registro[[#This Row],[Puntos]]&lt;=ROUND(Piso,0),Piso,IF(Categorias_Registro[[#This Row],[Puntos]]&lt;D459,C459,D459+1))</f>
        <v>2164</v>
      </c>
      <c r="D458" s="15">
        <f>IF(Categorias_Registro[[#This Row],[Puntos]]=ROUND(Piso,0),ROUND(Categorias_Registro[[#This Row],[Puntos]]*(1+Categorias_Registro[[#This Row],[Amplitud]]),0),IF(Categorias_Registro[[#This Row],[Puntos]]&lt;D459,D459,ROUND(D459*(1+Categorias_Registro[[#This Row],[Amplitud]]),0)))</f>
        <v>2487</v>
      </c>
      <c r="E458" s="15">
        <f>E459+IF(D459=Categorias_Registro[[#This Row],[Máximo]],0,1)</f>
        <v>24</v>
      </c>
      <c r="F458" s="15">
        <f>ROUND(Categorias_Registro[[#This Row],[Mínimo]]+((Categorias_Registro[[#This Row],[Máximo]]-Categorias_Registro[[#This Row],[Mínimo]])/2),0)</f>
        <v>2326</v>
      </c>
      <c r="G458" s="78">
        <f>VLOOKUP(Categorias_Registro[[#This Row],[Puntos]],Categorias_Configuracion[],MATCH(Categorias_Configuracion[[#Headers],[% Amplitud]],Categorias_Configuracion[#Headers],0),TRUE)</f>
        <v>0.15</v>
      </c>
      <c r="H458" s="15" t="str">
        <f ca="1">TEXT(Categorias_Registro[[#This Row],[Mínimo]],Formato_Rango_Categorias)&amp;" - "&amp;TEXT(Categorias_Registro[[#This Row],[Máximo]],Formato_Rango_Categorias)</f>
        <v>2.164 - 2.487</v>
      </c>
    </row>
    <row r="459" spans="2:8">
      <c r="B459" s="15">
        <f>Techo - ROW() + ROW(Categorias_Registro[])</f>
        <v>2170</v>
      </c>
      <c r="C459" s="15">
        <f>IF(Categorias_Registro[[#This Row],[Puntos]]&lt;=ROUND(Piso,0),Piso,IF(Categorias_Registro[[#This Row],[Puntos]]&lt;D460,C460,D460+1))</f>
        <v>2164</v>
      </c>
      <c r="D459" s="15">
        <f>IF(Categorias_Registro[[#This Row],[Puntos]]=ROUND(Piso,0),ROUND(Categorias_Registro[[#This Row],[Puntos]]*(1+Categorias_Registro[[#This Row],[Amplitud]]),0),IF(Categorias_Registro[[#This Row],[Puntos]]&lt;D460,D460,ROUND(D460*(1+Categorias_Registro[[#This Row],[Amplitud]]),0)))</f>
        <v>2487</v>
      </c>
      <c r="E459" s="15">
        <f>E460+IF(D460=Categorias_Registro[[#This Row],[Máximo]],0,1)</f>
        <v>24</v>
      </c>
      <c r="F459" s="15">
        <f>ROUND(Categorias_Registro[[#This Row],[Mínimo]]+((Categorias_Registro[[#This Row],[Máximo]]-Categorias_Registro[[#This Row],[Mínimo]])/2),0)</f>
        <v>2326</v>
      </c>
      <c r="G459" s="78">
        <f>VLOOKUP(Categorias_Registro[[#This Row],[Puntos]],Categorias_Configuracion[],MATCH(Categorias_Configuracion[[#Headers],[% Amplitud]],Categorias_Configuracion[#Headers],0),TRUE)</f>
        <v>0.15</v>
      </c>
      <c r="H459" s="15" t="str">
        <f ca="1">TEXT(Categorias_Registro[[#This Row],[Mínimo]],Formato_Rango_Categorias)&amp;" - "&amp;TEXT(Categorias_Registro[[#This Row],[Máximo]],Formato_Rango_Categorias)</f>
        <v>2.164 - 2.487</v>
      </c>
    </row>
    <row r="460" spans="2:8">
      <c r="B460" s="15">
        <f>Techo - ROW() + ROW(Categorias_Registro[])</f>
        <v>2169</v>
      </c>
      <c r="C460" s="15">
        <f>IF(Categorias_Registro[[#This Row],[Puntos]]&lt;=ROUND(Piso,0),Piso,IF(Categorias_Registro[[#This Row],[Puntos]]&lt;D461,C461,D461+1))</f>
        <v>2164</v>
      </c>
      <c r="D460" s="15">
        <f>IF(Categorias_Registro[[#This Row],[Puntos]]=ROUND(Piso,0),ROUND(Categorias_Registro[[#This Row],[Puntos]]*(1+Categorias_Registro[[#This Row],[Amplitud]]),0),IF(Categorias_Registro[[#This Row],[Puntos]]&lt;D461,D461,ROUND(D461*(1+Categorias_Registro[[#This Row],[Amplitud]]),0)))</f>
        <v>2487</v>
      </c>
      <c r="E460" s="15">
        <f>E461+IF(D461=Categorias_Registro[[#This Row],[Máximo]],0,1)</f>
        <v>24</v>
      </c>
      <c r="F460" s="15">
        <f>ROUND(Categorias_Registro[[#This Row],[Mínimo]]+((Categorias_Registro[[#This Row],[Máximo]]-Categorias_Registro[[#This Row],[Mínimo]])/2),0)</f>
        <v>2326</v>
      </c>
      <c r="G460" s="78">
        <f>VLOOKUP(Categorias_Registro[[#This Row],[Puntos]],Categorias_Configuracion[],MATCH(Categorias_Configuracion[[#Headers],[% Amplitud]],Categorias_Configuracion[#Headers],0),TRUE)</f>
        <v>0.15</v>
      </c>
      <c r="H460" s="15" t="str">
        <f ca="1">TEXT(Categorias_Registro[[#This Row],[Mínimo]],Formato_Rango_Categorias)&amp;" - "&amp;TEXT(Categorias_Registro[[#This Row],[Máximo]],Formato_Rango_Categorias)</f>
        <v>2.164 - 2.487</v>
      </c>
    </row>
    <row r="461" spans="2:8">
      <c r="B461" s="15">
        <f>Techo - ROW() + ROW(Categorias_Registro[])</f>
        <v>2168</v>
      </c>
      <c r="C461" s="15">
        <f>IF(Categorias_Registro[[#This Row],[Puntos]]&lt;=ROUND(Piso,0),Piso,IF(Categorias_Registro[[#This Row],[Puntos]]&lt;D462,C462,D462+1))</f>
        <v>2164</v>
      </c>
      <c r="D461" s="15">
        <f>IF(Categorias_Registro[[#This Row],[Puntos]]=ROUND(Piso,0),ROUND(Categorias_Registro[[#This Row],[Puntos]]*(1+Categorias_Registro[[#This Row],[Amplitud]]),0),IF(Categorias_Registro[[#This Row],[Puntos]]&lt;D462,D462,ROUND(D462*(1+Categorias_Registro[[#This Row],[Amplitud]]),0)))</f>
        <v>2487</v>
      </c>
      <c r="E461" s="15">
        <f>E462+IF(D462=Categorias_Registro[[#This Row],[Máximo]],0,1)</f>
        <v>24</v>
      </c>
      <c r="F461" s="15">
        <f>ROUND(Categorias_Registro[[#This Row],[Mínimo]]+((Categorias_Registro[[#This Row],[Máximo]]-Categorias_Registro[[#This Row],[Mínimo]])/2),0)</f>
        <v>2326</v>
      </c>
      <c r="G461" s="78">
        <f>VLOOKUP(Categorias_Registro[[#This Row],[Puntos]],Categorias_Configuracion[],MATCH(Categorias_Configuracion[[#Headers],[% Amplitud]],Categorias_Configuracion[#Headers],0),TRUE)</f>
        <v>0.15</v>
      </c>
      <c r="H461" s="15" t="str">
        <f ca="1">TEXT(Categorias_Registro[[#This Row],[Mínimo]],Formato_Rango_Categorias)&amp;" - "&amp;TEXT(Categorias_Registro[[#This Row],[Máximo]],Formato_Rango_Categorias)</f>
        <v>2.164 - 2.487</v>
      </c>
    </row>
    <row r="462" spans="2:8">
      <c r="B462" s="15">
        <f>Techo - ROW() + ROW(Categorias_Registro[])</f>
        <v>2167</v>
      </c>
      <c r="C462" s="15">
        <f>IF(Categorias_Registro[[#This Row],[Puntos]]&lt;=ROUND(Piso,0),Piso,IF(Categorias_Registro[[#This Row],[Puntos]]&lt;D463,C463,D463+1))</f>
        <v>2164</v>
      </c>
      <c r="D462" s="15">
        <f>IF(Categorias_Registro[[#This Row],[Puntos]]=ROUND(Piso,0),ROUND(Categorias_Registro[[#This Row],[Puntos]]*(1+Categorias_Registro[[#This Row],[Amplitud]]),0),IF(Categorias_Registro[[#This Row],[Puntos]]&lt;D463,D463,ROUND(D463*(1+Categorias_Registro[[#This Row],[Amplitud]]),0)))</f>
        <v>2487</v>
      </c>
      <c r="E462" s="15">
        <f>E463+IF(D463=Categorias_Registro[[#This Row],[Máximo]],0,1)</f>
        <v>24</v>
      </c>
      <c r="F462" s="15">
        <f>ROUND(Categorias_Registro[[#This Row],[Mínimo]]+((Categorias_Registro[[#This Row],[Máximo]]-Categorias_Registro[[#This Row],[Mínimo]])/2),0)</f>
        <v>2326</v>
      </c>
      <c r="G462" s="78">
        <f>VLOOKUP(Categorias_Registro[[#This Row],[Puntos]],Categorias_Configuracion[],MATCH(Categorias_Configuracion[[#Headers],[% Amplitud]],Categorias_Configuracion[#Headers],0),TRUE)</f>
        <v>0.15</v>
      </c>
      <c r="H462" s="15" t="str">
        <f ca="1">TEXT(Categorias_Registro[[#This Row],[Mínimo]],Formato_Rango_Categorias)&amp;" - "&amp;TEXT(Categorias_Registro[[#This Row],[Máximo]],Formato_Rango_Categorias)</f>
        <v>2.164 - 2.487</v>
      </c>
    </row>
    <row r="463" spans="2:8">
      <c r="B463" s="15">
        <f>Techo - ROW() + ROW(Categorias_Registro[])</f>
        <v>2166</v>
      </c>
      <c r="C463" s="15">
        <f>IF(Categorias_Registro[[#This Row],[Puntos]]&lt;=ROUND(Piso,0),Piso,IF(Categorias_Registro[[#This Row],[Puntos]]&lt;D464,C464,D464+1))</f>
        <v>2164</v>
      </c>
      <c r="D463" s="15">
        <f>IF(Categorias_Registro[[#This Row],[Puntos]]=ROUND(Piso,0),ROUND(Categorias_Registro[[#This Row],[Puntos]]*(1+Categorias_Registro[[#This Row],[Amplitud]]),0),IF(Categorias_Registro[[#This Row],[Puntos]]&lt;D464,D464,ROUND(D464*(1+Categorias_Registro[[#This Row],[Amplitud]]),0)))</f>
        <v>2487</v>
      </c>
      <c r="E463" s="15">
        <f>E464+IF(D464=Categorias_Registro[[#This Row],[Máximo]],0,1)</f>
        <v>24</v>
      </c>
      <c r="F463" s="15">
        <f>ROUND(Categorias_Registro[[#This Row],[Mínimo]]+((Categorias_Registro[[#This Row],[Máximo]]-Categorias_Registro[[#This Row],[Mínimo]])/2),0)</f>
        <v>2326</v>
      </c>
      <c r="G463" s="78">
        <f>VLOOKUP(Categorias_Registro[[#This Row],[Puntos]],Categorias_Configuracion[],MATCH(Categorias_Configuracion[[#Headers],[% Amplitud]],Categorias_Configuracion[#Headers],0),TRUE)</f>
        <v>0.15</v>
      </c>
      <c r="H463" s="15" t="str">
        <f ca="1">TEXT(Categorias_Registro[[#This Row],[Mínimo]],Formato_Rango_Categorias)&amp;" - "&amp;TEXT(Categorias_Registro[[#This Row],[Máximo]],Formato_Rango_Categorias)</f>
        <v>2.164 - 2.487</v>
      </c>
    </row>
    <row r="464" spans="2:8">
      <c r="B464" s="15">
        <f>Techo - ROW() + ROW(Categorias_Registro[])</f>
        <v>2165</v>
      </c>
      <c r="C464" s="15">
        <f>IF(Categorias_Registro[[#This Row],[Puntos]]&lt;=ROUND(Piso,0),Piso,IF(Categorias_Registro[[#This Row],[Puntos]]&lt;D465,C465,D465+1))</f>
        <v>2164</v>
      </c>
      <c r="D464" s="15">
        <f>IF(Categorias_Registro[[#This Row],[Puntos]]=ROUND(Piso,0),ROUND(Categorias_Registro[[#This Row],[Puntos]]*(1+Categorias_Registro[[#This Row],[Amplitud]]),0),IF(Categorias_Registro[[#This Row],[Puntos]]&lt;D465,D465,ROUND(D465*(1+Categorias_Registro[[#This Row],[Amplitud]]),0)))</f>
        <v>2487</v>
      </c>
      <c r="E464" s="15">
        <f>E465+IF(D465=Categorias_Registro[[#This Row],[Máximo]],0,1)</f>
        <v>24</v>
      </c>
      <c r="F464" s="15">
        <f>ROUND(Categorias_Registro[[#This Row],[Mínimo]]+((Categorias_Registro[[#This Row],[Máximo]]-Categorias_Registro[[#This Row],[Mínimo]])/2),0)</f>
        <v>2326</v>
      </c>
      <c r="G464" s="78">
        <f>VLOOKUP(Categorias_Registro[[#This Row],[Puntos]],Categorias_Configuracion[],MATCH(Categorias_Configuracion[[#Headers],[% Amplitud]],Categorias_Configuracion[#Headers],0),TRUE)</f>
        <v>0.15</v>
      </c>
      <c r="H464" s="15" t="str">
        <f ca="1">TEXT(Categorias_Registro[[#This Row],[Mínimo]],Formato_Rango_Categorias)&amp;" - "&amp;TEXT(Categorias_Registro[[#This Row],[Máximo]],Formato_Rango_Categorias)</f>
        <v>2.164 - 2.487</v>
      </c>
    </row>
    <row r="465" spans="2:8">
      <c r="B465" s="15">
        <f>Techo - ROW() + ROW(Categorias_Registro[])</f>
        <v>2164</v>
      </c>
      <c r="C465" s="15">
        <f>IF(Categorias_Registro[[#This Row],[Puntos]]&lt;=ROUND(Piso,0),Piso,IF(Categorias_Registro[[#This Row],[Puntos]]&lt;D466,C466,D466+1))</f>
        <v>2164</v>
      </c>
      <c r="D465" s="15">
        <f>IF(Categorias_Registro[[#This Row],[Puntos]]=ROUND(Piso,0),ROUND(Categorias_Registro[[#This Row],[Puntos]]*(1+Categorias_Registro[[#This Row],[Amplitud]]),0),IF(Categorias_Registro[[#This Row],[Puntos]]&lt;D466,D466,ROUND(D466*(1+Categorias_Registro[[#This Row],[Amplitud]]),0)))</f>
        <v>2487</v>
      </c>
      <c r="E465" s="15">
        <f>E466+IF(D466=Categorias_Registro[[#This Row],[Máximo]],0,1)</f>
        <v>24</v>
      </c>
      <c r="F465" s="15">
        <f>ROUND(Categorias_Registro[[#This Row],[Mínimo]]+((Categorias_Registro[[#This Row],[Máximo]]-Categorias_Registro[[#This Row],[Mínimo]])/2),0)</f>
        <v>2326</v>
      </c>
      <c r="G465" s="78">
        <f>VLOOKUP(Categorias_Registro[[#This Row],[Puntos]],Categorias_Configuracion[],MATCH(Categorias_Configuracion[[#Headers],[% Amplitud]],Categorias_Configuracion[#Headers],0),TRUE)</f>
        <v>0.15</v>
      </c>
      <c r="H465" s="15" t="str">
        <f ca="1">TEXT(Categorias_Registro[[#This Row],[Mínimo]],Formato_Rango_Categorias)&amp;" - "&amp;TEXT(Categorias_Registro[[#This Row],[Máximo]],Formato_Rango_Categorias)</f>
        <v>2.164 - 2.487</v>
      </c>
    </row>
    <row r="466" spans="2:8">
      <c r="B466" s="15">
        <f>Techo - ROW() + ROW(Categorias_Registro[])</f>
        <v>2163</v>
      </c>
      <c r="C466" s="15">
        <f>IF(Categorias_Registro[[#This Row],[Puntos]]&lt;=ROUND(Piso,0),Piso,IF(Categorias_Registro[[#This Row],[Puntos]]&lt;D467,C467,D467+1))</f>
        <v>2164</v>
      </c>
      <c r="D466" s="15">
        <f>IF(Categorias_Registro[[#This Row],[Puntos]]=ROUND(Piso,0),ROUND(Categorias_Registro[[#This Row],[Puntos]]*(1+Categorias_Registro[[#This Row],[Amplitud]]),0),IF(Categorias_Registro[[#This Row],[Puntos]]&lt;D467,D467,ROUND(D467*(1+Categorias_Registro[[#This Row],[Amplitud]]),0)))</f>
        <v>2487</v>
      </c>
      <c r="E466" s="15">
        <f>E467+IF(D467=Categorias_Registro[[#This Row],[Máximo]],0,1)</f>
        <v>24</v>
      </c>
      <c r="F466" s="15">
        <f>ROUND(Categorias_Registro[[#This Row],[Mínimo]]+((Categorias_Registro[[#This Row],[Máximo]]-Categorias_Registro[[#This Row],[Mínimo]])/2),0)</f>
        <v>2326</v>
      </c>
      <c r="G466" s="78">
        <f>VLOOKUP(Categorias_Registro[[#This Row],[Puntos]],Categorias_Configuracion[],MATCH(Categorias_Configuracion[[#Headers],[% Amplitud]],Categorias_Configuracion[#Headers],0),TRUE)</f>
        <v>0.15</v>
      </c>
      <c r="H466" s="15" t="str">
        <f ca="1">TEXT(Categorias_Registro[[#This Row],[Mínimo]],Formato_Rango_Categorias)&amp;" - "&amp;TEXT(Categorias_Registro[[#This Row],[Máximo]],Formato_Rango_Categorias)</f>
        <v>2.164 - 2.487</v>
      </c>
    </row>
    <row r="467" spans="2:8">
      <c r="B467" s="15">
        <f>Techo - ROW() + ROW(Categorias_Registro[])</f>
        <v>2162</v>
      </c>
      <c r="C467" s="15">
        <f>IF(Categorias_Registro[[#This Row],[Puntos]]&lt;=ROUND(Piso,0),Piso,IF(Categorias_Registro[[#This Row],[Puntos]]&lt;D468,C468,D468+1))</f>
        <v>1882</v>
      </c>
      <c r="D467" s="15">
        <f>IF(Categorias_Registro[[#This Row],[Puntos]]=ROUND(Piso,0),ROUND(Categorias_Registro[[#This Row],[Puntos]]*(1+Categorias_Registro[[#This Row],[Amplitud]]),0),IF(Categorias_Registro[[#This Row],[Puntos]]&lt;D468,D468,ROUND(D468*(1+Categorias_Registro[[#This Row],[Amplitud]]),0)))</f>
        <v>2163</v>
      </c>
      <c r="E467" s="15">
        <f>E468+IF(D468=Categorias_Registro[[#This Row],[Máximo]],0,1)</f>
        <v>23</v>
      </c>
      <c r="F467" s="15">
        <f>ROUND(Categorias_Registro[[#This Row],[Mínimo]]+((Categorias_Registro[[#This Row],[Máximo]]-Categorias_Registro[[#This Row],[Mínimo]])/2),0)</f>
        <v>2023</v>
      </c>
      <c r="G467" s="78">
        <f>VLOOKUP(Categorias_Registro[[#This Row],[Puntos]],Categorias_Configuracion[],MATCH(Categorias_Configuracion[[#Headers],[% Amplitud]],Categorias_Configuracion[#Headers],0),TRUE)</f>
        <v>0.15</v>
      </c>
      <c r="H467" s="15" t="str">
        <f ca="1">TEXT(Categorias_Registro[[#This Row],[Mínimo]],Formato_Rango_Categorias)&amp;" - "&amp;TEXT(Categorias_Registro[[#This Row],[Máximo]],Formato_Rango_Categorias)</f>
        <v>1.882 - 2.163</v>
      </c>
    </row>
    <row r="468" spans="2:8">
      <c r="B468" s="15">
        <f>Techo - ROW() + ROW(Categorias_Registro[])</f>
        <v>2161</v>
      </c>
      <c r="C468" s="15">
        <f>IF(Categorias_Registro[[#This Row],[Puntos]]&lt;=ROUND(Piso,0),Piso,IF(Categorias_Registro[[#This Row],[Puntos]]&lt;D469,C469,D469+1))</f>
        <v>1882</v>
      </c>
      <c r="D468" s="15">
        <f>IF(Categorias_Registro[[#This Row],[Puntos]]=ROUND(Piso,0),ROUND(Categorias_Registro[[#This Row],[Puntos]]*(1+Categorias_Registro[[#This Row],[Amplitud]]),0),IF(Categorias_Registro[[#This Row],[Puntos]]&lt;D469,D469,ROUND(D469*(1+Categorias_Registro[[#This Row],[Amplitud]]),0)))</f>
        <v>2163</v>
      </c>
      <c r="E468" s="15">
        <f>E469+IF(D469=Categorias_Registro[[#This Row],[Máximo]],0,1)</f>
        <v>23</v>
      </c>
      <c r="F468" s="15">
        <f>ROUND(Categorias_Registro[[#This Row],[Mínimo]]+((Categorias_Registro[[#This Row],[Máximo]]-Categorias_Registro[[#This Row],[Mínimo]])/2),0)</f>
        <v>2023</v>
      </c>
      <c r="G468" s="78">
        <f>VLOOKUP(Categorias_Registro[[#This Row],[Puntos]],Categorias_Configuracion[],MATCH(Categorias_Configuracion[[#Headers],[% Amplitud]],Categorias_Configuracion[#Headers],0),TRUE)</f>
        <v>0.15</v>
      </c>
      <c r="H468" s="15" t="str">
        <f ca="1">TEXT(Categorias_Registro[[#This Row],[Mínimo]],Formato_Rango_Categorias)&amp;" - "&amp;TEXT(Categorias_Registro[[#This Row],[Máximo]],Formato_Rango_Categorias)</f>
        <v>1.882 - 2.163</v>
      </c>
    </row>
    <row r="469" spans="2:8">
      <c r="B469" s="15">
        <f>Techo - ROW() + ROW(Categorias_Registro[])</f>
        <v>2160</v>
      </c>
      <c r="C469" s="15">
        <f>IF(Categorias_Registro[[#This Row],[Puntos]]&lt;=ROUND(Piso,0),Piso,IF(Categorias_Registro[[#This Row],[Puntos]]&lt;D470,C470,D470+1))</f>
        <v>1882</v>
      </c>
      <c r="D469" s="15">
        <f>IF(Categorias_Registro[[#This Row],[Puntos]]=ROUND(Piso,0),ROUND(Categorias_Registro[[#This Row],[Puntos]]*(1+Categorias_Registro[[#This Row],[Amplitud]]),0),IF(Categorias_Registro[[#This Row],[Puntos]]&lt;D470,D470,ROUND(D470*(1+Categorias_Registro[[#This Row],[Amplitud]]),0)))</f>
        <v>2163</v>
      </c>
      <c r="E469" s="15">
        <f>E470+IF(D470=Categorias_Registro[[#This Row],[Máximo]],0,1)</f>
        <v>23</v>
      </c>
      <c r="F469" s="15">
        <f>ROUND(Categorias_Registro[[#This Row],[Mínimo]]+((Categorias_Registro[[#This Row],[Máximo]]-Categorias_Registro[[#This Row],[Mínimo]])/2),0)</f>
        <v>2023</v>
      </c>
      <c r="G469" s="78">
        <f>VLOOKUP(Categorias_Registro[[#This Row],[Puntos]],Categorias_Configuracion[],MATCH(Categorias_Configuracion[[#Headers],[% Amplitud]],Categorias_Configuracion[#Headers],0),TRUE)</f>
        <v>0.15</v>
      </c>
      <c r="H469" s="15" t="str">
        <f ca="1">TEXT(Categorias_Registro[[#This Row],[Mínimo]],Formato_Rango_Categorias)&amp;" - "&amp;TEXT(Categorias_Registro[[#This Row],[Máximo]],Formato_Rango_Categorias)</f>
        <v>1.882 - 2.163</v>
      </c>
    </row>
    <row r="470" spans="2:8">
      <c r="B470" s="15">
        <f>Techo - ROW() + ROW(Categorias_Registro[])</f>
        <v>2159</v>
      </c>
      <c r="C470" s="15">
        <f>IF(Categorias_Registro[[#This Row],[Puntos]]&lt;=ROUND(Piso,0),Piso,IF(Categorias_Registro[[#This Row],[Puntos]]&lt;D471,C471,D471+1))</f>
        <v>1882</v>
      </c>
      <c r="D470" s="15">
        <f>IF(Categorias_Registro[[#This Row],[Puntos]]=ROUND(Piso,0),ROUND(Categorias_Registro[[#This Row],[Puntos]]*(1+Categorias_Registro[[#This Row],[Amplitud]]),0),IF(Categorias_Registro[[#This Row],[Puntos]]&lt;D471,D471,ROUND(D471*(1+Categorias_Registro[[#This Row],[Amplitud]]),0)))</f>
        <v>2163</v>
      </c>
      <c r="E470" s="15">
        <f>E471+IF(D471=Categorias_Registro[[#This Row],[Máximo]],0,1)</f>
        <v>23</v>
      </c>
      <c r="F470" s="15">
        <f>ROUND(Categorias_Registro[[#This Row],[Mínimo]]+((Categorias_Registro[[#This Row],[Máximo]]-Categorias_Registro[[#This Row],[Mínimo]])/2),0)</f>
        <v>2023</v>
      </c>
      <c r="G470" s="78">
        <f>VLOOKUP(Categorias_Registro[[#This Row],[Puntos]],Categorias_Configuracion[],MATCH(Categorias_Configuracion[[#Headers],[% Amplitud]],Categorias_Configuracion[#Headers],0),TRUE)</f>
        <v>0.15</v>
      </c>
      <c r="H470" s="15" t="str">
        <f ca="1">TEXT(Categorias_Registro[[#This Row],[Mínimo]],Formato_Rango_Categorias)&amp;" - "&amp;TEXT(Categorias_Registro[[#This Row],[Máximo]],Formato_Rango_Categorias)</f>
        <v>1.882 - 2.163</v>
      </c>
    </row>
    <row r="471" spans="2:8">
      <c r="B471" s="15">
        <f>Techo - ROW() + ROW(Categorias_Registro[])</f>
        <v>2158</v>
      </c>
      <c r="C471" s="15">
        <f>IF(Categorias_Registro[[#This Row],[Puntos]]&lt;=ROUND(Piso,0),Piso,IF(Categorias_Registro[[#This Row],[Puntos]]&lt;D472,C472,D472+1))</f>
        <v>1882</v>
      </c>
      <c r="D471" s="15">
        <f>IF(Categorias_Registro[[#This Row],[Puntos]]=ROUND(Piso,0),ROUND(Categorias_Registro[[#This Row],[Puntos]]*(1+Categorias_Registro[[#This Row],[Amplitud]]),0),IF(Categorias_Registro[[#This Row],[Puntos]]&lt;D472,D472,ROUND(D472*(1+Categorias_Registro[[#This Row],[Amplitud]]),0)))</f>
        <v>2163</v>
      </c>
      <c r="E471" s="15">
        <f>E472+IF(D472=Categorias_Registro[[#This Row],[Máximo]],0,1)</f>
        <v>23</v>
      </c>
      <c r="F471" s="15">
        <f>ROUND(Categorias_Registro[[#This Row],[Mínimo]]+((Categorias_Registro[[#This Row],[Máximo]]-Categorias_Registro[[#This Row],[Mínimo]])/2),0)</f>
        <v>2023</v>
      </c>
      <c r="G471" s="78">
        <f>VLOOKUP(Categorias_Registro[[#This Row],[Puntos]],Categorias_Configuracion[],MATCH(Categorias_Configuracion[[#Headers],[% Amplitud]],Categorias_Configuracion[#Headers],0),TRUE)</f>
        <v>0.15</v>
      </c>
      <c r="H471" s="15" t="str">
        <f ca="1">TEXT(Categorias_Registro[[#This Row],[Mínimo]],Formato_Rango_Categorias)&amp;" - "&amp;TEXT(Categorias_Registro[[#This Row],[Máximo]],Formato_Rango_Categorias)</f>
        <v>1.882 - 2.163</v>
      </c>
    </row>
    <row r="472" spans="2:8">
      <c r="B472" s="15">
        <f>Techo - ROW() + ROW(Categorias_Registro[])</f>
        <v>2157</v>
      </c>
      <c r="C472" s="15">
        <f>IF(Categorias_Registro[[#This Row],[Puntos]]&lt;=ROUND(Piso,0),Piso,IF(Categorias_Registro[[#This Row],[Puntos]]&lt;D473,C473,D473+1))</f>
        <v>1882</v>
      </c>
      <c r="D472" s="15">
        <f>IF(Categorias_Registro[[#This Row],[Puntos]]=ROUND(Piso,0),ROUND(Categorias_Registro[[#This Row],[Puntos]]*(1+Categorias_Registro[[#This Row],[Amplitud]]),0),IF(Categorias_Registro[[#This Row],[Puntos]]&lt;D473,D473,ROUND(D473*(1+Categorias_Registro[[#This Row],[Amplitud]]),0)))</f>
        <v>2163</v>
      </c>
      <c r="E472" s="15">
        <f>E473+IF(D473=Categorias_Registro[[#This Row],[Máximo]],0,1)</f>
        <v>23</v>
      </c>
      <c r="F472" s="15">
        <f>ROUND(Categorias_Registro[[#This Row],[Mínimo]]+((Categorias_Registro[[#This Row],[Máximo]]-Categorias_Registro[[#This Row],[Mínimo]])/2),0)</f>
        <v>2023</v>
      </c>
      <c r="G472" s="78">
        <f>VLOOKUP(Categorias_Registro[[#This Row],[Puntos]],Categorias_Configuracion[],MATCH(Categorias_Configuracion[[#Headers],[% Amplitud]],Categorias_Configuracion[#Headers],0),TRUE)</f>
        <v>0.15</v>
      </c>
      <c r="H472" s="15" t="str">
        <f ca="1">TEXT(Categorias_Registro[[#This Row],[Mínimo]],Formato_Rango_Categorias)&amp;" - "&amp;TEXT(Categorias_Registro[[#This Row],[Máximo]],Formato_Rango_Categorias)</f>
        <v>1.882 - 2.163</v>
      </c>
    </row>
    <row r="473" spans="2:8">
      <c r="B473" s="15">
        <f>Techo - ROW() + ROW(Categorias_Registro[])</f>
        <v>2156</v>
      </c>
      <c r="C473" s="15">
        <f>IF(Categorias_Registro[[#This Row],[Puntos]]&lt;=ROUND(Piso,0),Piso,IF(Categorias_Registro[[#This Row],[Puntos]]&lt;D474,C474,D474+1))</f>
        <v>1882</v>
      </c>
      <c r="D473" s="15">
        <f>IF(Categorias_Registro[[#This Row],[Puntos]]=ROUND(Piso,0),ROUND(Categorias_Registro[[#This Row],[Puntos]]*(1+Categorias_Registro[[#This Row],[Amplitud]]),0),IF(Categorias_Registro[[#This Row],[Puntos]]&lt;D474,D474,ROUND(D474*(1+Categorias_Registro[[#This Row],[Amplitud]]),0)))</f>
        <v>2163</v>
      </c>
      <c r="E473" s="15">
        <f>E474+IF(D474=Categorias_Registro[[#This Row],[Máximo]],0,1)</f>
        <v>23</v>
      </c>
      <c r="F473" s="15">
        <f>ROUND(Categorias_Registro[[#This Row],[Mínimo]]+((Categorias_Registro[[#This Row],[Máximo]]-Categorias_Registro[[#This Row],[Mínimo]])/2),0)</f>
        <v>2023</v>
      </c>
      <c r="G473" s="78">
        <f>VLOOKUP(Categorias_Registro[[#This Row],[Puntos]],Categorias_Configuracion[],MATCH(Categorias_Configuracion[[#Headers],[% Amplitud]],Categorias_Configuracion[#Headers],0),TRUE)</f>
        <v>0.15</v>
      </c>
      <c r="H473" s="15" t="str">
        <f ca="1">TEXT(Categorias_Registro[[#This Row],[Mínimo]],Formato_Rango_Categorias)&amp;" - "&amp;TEXT(Categorias_Registro[[#This Row],[Máximo]],Formato_Rango_Categorias)</f>
        <v>1.882 - 2.163</v>
      </c>
    </row>
    <row r="474" spans="2:8">
      <c r="B474" s="15">
        <f>Techo - ROW() + ROW(Categorias_Registro[])</f>
        <v>2155</v>
      </c>
      <c r="C474" s="15">
        <f>IF(Categorias_Registro[[#This Row],[Puntos]]&lt;=ROUND(Piso,0),Piso,IF(Categorias_Registro[[#This Row],[Puntos]]&lt;D475,C475,D475+1))</f>
        <v>1882</v>
      </c>
      <c r="D474" s="15">
        <f>IF(Categorias_Registro[[#This Row],[Puntos]]=ROUND(Piso,0),ROUND(Categorias_Registro[[#This Row],[Puntos]]*(1+Categorias_Registro[[#This Row],[Amplitud]]),0),IF(Categorias_Registro[[#This Row],[Puntos]]&lt;D475,D475,ROUND(D475*(1+Categorias_Registro[[#This Row],[Amplitud]]),0)))</f>
        <v>2163</v>
      </c>
      <c r="E474" s="15">
        <f>E475+IF(D475=Categorias_Registro[[#This Row],[Máximo]],0,1)</f>
        <v>23</v>
      </c>
      <c r="F474" s="15">
        <f>ROUND(Categorias_Registro[[#This Row],[Mínimo]]+((Categorias_Registro[[#This Row],[Máximo]]-Categorias_Registro[[#This Row],[Mínimo]])/2),0)</f>
        <v>2023</v>
      </c>
      <c r="G474" s="78">
        <f>VLOOKUP(Categorias_Registro[[#This Row],[Puntos]],Categorias_Configuracion[],MATCH(Categorias_Configuracion[[#Headers],[% Amplitud]],Categorias_Configuracion[#Headers],0),TRUE)</f>
        <v>0.15</v>
      </c>
      <c r="H474" s="15" t="str">
        <f ca="1">TEXT(Categorias_Registro[[#This Row],[Mínimo]],Formato_Rango_Categorias)&amp;" - "&amp;TEXT(Categorias_Registro[[#This Row],[Máximo]],Formato_Rango_Categorias)</f>
        <v>1.882 - 2.163</v>
      </c>
    </row>
    <row r="475" spans="2:8">
      <c r="B475" s="15">
        <f>Techo - ROW() + ROW(Categorias_Registro[])</f>
        <v>2154</v>
      </c>
      <c r="C475" s="15">
        <f>IF(Categorias_Registro[[#This Row],[Puntos]]&lt;=ROUND(Piso,0),Piso,IF(Categorias_Registro[[#This Row],[Puntos]]&lt;D476,C476,D476+1))</f>
        <v>1882</v>
      </c>
      <c r="D475" s="15">
        <f>IF(Categorias_Registro[[#This Row],[Puntos]]=ROUND(Piso,0),ROUND(Categorias_Registro[[#This Row],[Puntos]]*(1+Categorias_Registro[[#This Row],[Amplitud]]),0),IF(Categorias_Registro[[#This Row],[Puntos]]&lt;D476,D476,ROUND(D476*(1+Categorias_Registro[[#This Row],[Amplitud]]),0)))</f>
        <v>2163</v>
      </c>
      <c r="E475" s="15">
        <f>E476+IF(D476=Categorias_Registro[[#This Row],[Máximo]],0,1)</f>
        <v>23</v>
      </c>
      <c r="F475" s="15">
        <f>ROUND(Categorias_Registro[[#This Row],[Mínimo]]+((Categorias_Registro[[#This Row],[Máximo]]-Categorias_Registro[[#This Row],[Mínimo]])/2),0)</f>
        <v>2023</v>
      </c>
      <c r="G475" s="78">
        <f>VLOOKUP(Categorias_Registro[[#This Row],[Puntos]],Categorias_Configuracion[],MATCH(Categorias_Configuracion[[#Headers],[% Amplitud]],Categorias_Configuracion[#Headers],0),TRUE)</f>
        <v>0.15</v>
      </c>
      <c r="H475" s="15" t="str">
        <f ca="1">TEXT(Categorias_Registro[[#This Row],[Mínimo]],Formato_Rango_Categorias)&amp;" - "&amp;TEXT(Categorias_Registro[[#This Row],[Máximo]],Formato_Rango_Categorias)</f>
        <v>1.882 - 2.163</v>
      </c>
    </row>
    <row r="476" spans="2:8">
      <c r="B476" s="15">
        <f>Techo - ROW() + ROW(Categorias_Registro[])</f>
        <v>2153</v>
      </c>
      <c r="C476" s="15">
        <f>IF(Categorias_Registro[[#This Row],[Puntos]]&lt;=ROUND(Piso,0),Piso,IF(Categorias_Registro[[#This Row],[Puntos]]&lt;D477,C477,D477+1))</f>
        <v>1882</v>
      </c>
      <c r="D476" s="15">
        <f>IF(Categorias_Registro[[#This Row],[Puntos]]=ROUND(Piso,0),ROUND(Categorias_Registro[[#This Row],[Puntos]]*(1+Categorias_Registro[[#This Row],[Amplitud]]),0),IF(Categorias_Registro[[#This Row],[Puntos]]&lt;D477,D477,ROUND(D477*(1+Categorias_Registro[[#This Row],[Amplitud]]),0)))</f>
        <v>2163</v>
      </c>
      <c r="E476" s="15">
        <f>E477+IF(D477=Categorias_Registro[[#This Row],[Máximo]],0,1)</f>
        <v>23</v>
      </c>
      <c r="F476" s="15">
        <f>ROUND(Categorias_Registro[[#This Row],[Mínimo]]+((Categorias_Registro[[#This Row],[Máximo]]-Categorias_Registro[[#This Row],[Mínimo]])/2),0)</f>
        <v>2023</v>
      </c>
      <c r="G476" s="78">
        <f>VLOOKUP(Categorias_Registro[[#This Row],[Puntos]],Categorias_Configuracion[],MATCH(Categorias_Configuracion[[#Headers],[% Amplitud]],Categorias_Configuracion[#Headers],0),TRUE)</f>
        <v>0.15</v>
      </c>
      <c r="H476" s="15" t="str">
        <f ca="1">TEXT(Categorias_Registro[[#This Row],[Mínimo]],Formato_Rango_Categorias)&amp;" - "&amp;TEXT(Categorias_Registro[[#This Row],[Máximo]],Formato_Rango_Categorias)</f>
        <v>1.882 - 2.163</v>
      </c>
    </row>
    <row r="477" spans="2:8">
      <c r="B477" s="15">
        <f>Techo - ROW() + ROW(Categorias_Registro[])</f>
        <v>2152</v>
      </c>
      <c r="C477" s="15">
        <f>IF(Categorias_Registro[[#This Row],[Puntos]]&lt;=ROUND(Piso,0),Piso,IF(Categorias_Registro[[#This Row],[Puntos]]&lt;D478,C478,D478+1))</f>
        <v>1882</v>
      </c>
      <c r="D477" s="15">
        <f>IF(Categorias_Registro[[#This Row],[Puntos]]=ROUND(Piso,0),ROUND(Categorias_Registro[[#This Row],[Puntos]]*(1+Categorias_Registro[[#This Row],[Amplitud]]),0),IF(Categorias_Registro[[#This Row],[Puntos]]&lt;D478,D478,ROUND(D478*(1+Categorias_Registro[[#This Row],[Amplitud]]),0)))</f>
        <v>2163</v>
      </c>
      <c r="E477" s="15">
        <f>E478+IF(D478=Categorias_Registro[[#This Row],[Máximo]],0,1)</f>
        <v>23</v>
      </c>
      <c r="F477" s="15">
        <f>ROUND(Categorias_Registro[[#This Row],[Mínimo]]+((Categorias_Registro[[#This Row],[Máximo]]-Categorias_Registro[[#This Row],[Mínimo]])/2),0)</f>
        <v>2023</v>
      </c>
      <c r="G477" s="78">
        <f>VLOOKUP(Categorias_Registro[[#This Row],[Puntos]],Categorias_Configuracion[],MATCH(Categorias_Configuracion[[#Headers],[% Amplitud]],Categorias_Configuracion[#Headers],0),TRUE)</f>
        <v>0.15</v>
      </c>
      <c r="H477" s="15" t="str">
        <f ca="1">TEXT(Categorias_Registro[[#This Row],[Mínimo]],Formato_Rango_Categorias)&amp;" - "&amp;TEXT(Categorias_Registro[[#This Row],[Máximo]],Formato_Rango_Categorias)</f>
        <v>1.882 - 2.163</v>
      </c>
    </row>
    <row r="478" spans="2:8">
      <c r="B478" s="15">
        <f>Techo - ROW() + ROW(Categorias_Registro[])</f>
        <v>2151</v>
      </c>
      <c r="C478" s="15">
        <f>IF(Categorias_Registro[[#This Row],[Puntos]]&lt;=ROUND(Piso,0),Piso,IF(Categorias_Registro[[#This Row],[Puntos]]&lt;D479,C479,D479+1))</f>
        <v>1882</v>
      </c>
      <c r="D478" s="15">
        <f>IF(Categorias_Registro[[#This Row],[Puntos]]=ROUND(Piso,0),ROUND(Categorias_Registro[[#This Row],[Puntos]]*(1+Categorias_Registro[[#This Row],[Amplitud]]),0),IF(Categorias_Registro[[#This Row],[Puntos]]&lt;D479,D479,ROUND(D479*(1+Categorias_Registro[[#This Row],[Amplitud]]),0)))</f>
        <v>2163</v>
      </c>
      <c r="E478" s="15">
        <f>E479+IF(D479=Categorias_Registro[[#This Row],[Máximo]],0,1)</f>
        <v>23</v>
      </c>
      <c r="F478" s="15">
        <f>ROUND(Categorias_Registro[[#This Row],[Mínimo]]+((Categorias_Registro[[#This Row],[Máximo]]-Categorias_Registro[[#This Row],[Mínimo]])/2),0)</f>
        <v>2023</v>
      </c>
      <c r="G478" s="78">
        <f>VLOOKUP(Categorias_Registro[[#This Row],[Puntos]],Categorias_Configuracion[],MATCH(Categorias_Configuracion[[#Headers],[% Amplitud]],Categorias_Configuracion[#Headers],0),TRUE)</f>
        <v>0.15</v>
      </c>
      <c r="H478" s="15" t="str">
        <f ca="1">TEXT(Categorias_Registro[[#This Row],[Mínimo]],Formato_Rango_Categorias)&amp;" - "&amp;TEXT(Categorias_Registro[[#This Row],[Máximo]],Formato_Rango_Categorias)</f>
        <v>1.882 - 2.163</v>
      </c>
    </row>
    <row r="479" spans="2:8">
      <c r="B479" s="15">
        <f>Techo - ROW() + ROW(Categorias_Registro[])</f>
        <v>2150</v>
      </c>
      <c r="C479" s="15">
        <f>IF(Categorias_Registro[[#This Row],[Puntos]]&lt;=ROUND(Piso,0),Piso,IF(Categorias_Registro[[#This Row],[Puntos]]&lt;D480,C480,D480+1))</f>
        <v>1882</v>
      </c>
      <c r="D479" s="15">
        <f>IF(Categorias_Registro[[#This Row],[Puntos]]=ROUND(Piso,0),ROUND(Categorias_Registro[[#This Row],[Puntos]]*(1+Categorias_Registro[[#This Row],[Amplitud]]),0),IF(Categorias_Registro[[#This Row],[Puntos]]&lt;D480,D480,ROUND(D480*(1+Categorias_Registro[[#This Row],[Amplitud]]),0)))</f>
        <v>2163</v>
      </c>
      <c r="E479" s="15">
        <f>E480+IF(D480=Categorias_Registro[[#This Row],[Máximo]],0,1)</f>
        <v>23</v>
      </c>
      <c r="F479" s="15">
        <f>ROUND(Categorias_Registro[[#This Row],[Mínimo]]+((Categorias_Registro[[#This Row],[Máximo]]-Categorias_Registro[[#This Row],[Mínimo]])/2),0)</f>
        <v>2023</v>
      </c>
      <c r="G479" s="78">
        <f>VLOOKUP(Categorias_Registro[[#This Row],[Puntos]],Categorias_Configuracion[],MATCH(Categorias_Configuracion[[#Headers],[% Amplitud]],Categorias_Configuracion[#Headers],0),TRUE)</f>
        <v>0.15</v>
      </c>
      <c r="H479" s="15" t="str">
        <f ca="1">TEXT(Categorias_Registro[[#This Row],[Mínimo]],Formato_Rango_Categorias)&amp;" - "&amp;TEXT(Categorias_Registro[[#This Row],[Máximo]],Formato_Rango_Categorias)</f>
        <v>1.882 - 2.163</v>
      </c>
    </row>
    <row r="480" spans="2:8">
      <c r="B480" s="15">
        <f>Techo - ROW() + ROW(Categorias_Registro[])</f>
        <v>2149</v>
      </c>
      <c r="C480" s="15">
        <f>IF(Categorias_Registro[[#This Row],[Puntos]]&lt;=ROUND(Piso,0),Piso,IF(Categorias_Registro[[#This Row],[Puntos]]&lt;D481,C481,D481+1))</f>
        <v>1882</v>
      </c>
      <c r="D480" s="15">
        <f>IF(Categorias_Registro[[#This Row],[Puntos]]=ROUND(Piso,0),ROUND(Categorias_Registro[[#This Row],[Puntos]]*(1+Categorias_Registro[[#This Row],[Amplitud]]),0),IF(Categorias_Registro[[#This Row],[Puntos]]&lt;D481,D481,ROUND(D481*(1+Categorias_Registro[[#This Row],[Amplitud]]),0)))</f>
        <v>2163</v>
      </c>
      <c r="E480" s="15">
        <f>E481+IF(D481=Categorias_Registro[[#This Row],[Máximo]],0,1)</f>
        <v>23</v>
      </c>
      <c r="F480" s="15">
        <f>ROUND(Categorias_Registro[[#This Row],[Mínimo]]+((Categorias_Registro[[#This Row],[Máximo]]-Categorias_Registro[[#This Row],[Mínimo]])/2),0)</f>
        <v>2023</v>
      </c>
      <c r="G480" s="78">
        <f>VLOOKUP(Categorias_Registro[[#This Row],[Puntos]],Categorias_Configuracion[],MATCH(Categorias_Configuracion[[#Headers],[% Amplitud]],Categorias_Configuracion[#Headers],0),TRUE)</f>
        <v>0.15</v>
      </c>
      <c r="H480" s="15" t="str">
        <f ca="1">TEXT(Categorias_Registro[[#This Row],[Mínimo]],Formato_Rango_Categorias)&amp;" - "&amp;TEXT(Categorias_Registro[[#This Row],[Máximo]],Formato_Rango_Categorias)</f>
        <v>1.882 - 2.163</v>
      </c>
    </row>
    <row r="481" spans="2:8">
      <c r="B481" s="15">
        <f>Techo - ROW() + ROW(Categorias_Registro[])</f>
        <v>2148</v>
      </c>
      <c r="C481" s="15">
        <f>IF(Categorias_Registro[[#This Row],[Puntos]]&lt;=ROUND(Piso,0),Piso,IF(Categorias_Registro[[#This Row],[Puntos]]&lt;D482,C482,D482+1))</f>
        <v>1882</v>
      </c>
      <c r="D481" s="15">
        <f>IF(Categorias_Registro[[#This Row],[Puntos]]=ROUND(Piso,0),ROUND(Categorias_Registro[[#This Row],[Puntos]]*(1+Categorias_Registro[[#This Row],[Amplitud]]),0),IF(Categorias_Registro[[#This Row],[Puntos]]&lt;D482,D482,ROUND(D482*(1+Categorias_Registro[[#This Row],[Amplitud]]),0)))</f>
        <v>2163</v>
      </c>
      <c r="E481" s="15">
        <f>E482+IF(D482=Categorias_Registro[[#This Row],[Máximo]],0,1)</f>
        <v>23</v>
      </c>
      <c r="F481" s="15">
        <f>ROUND(Categorias_Registro[[#This Row],[Mínimo]]+((Categorias_Registro[[#This Row],[Máximo]]-Categorias_Registro[[#This Row],[Mínimo]])/2),0)</f>
        <v>2023</v>
      </c>
      <c r="G481" s="78">
        <f>VLOOKUP(Categorias_Registro[[#This Row],[Puntos]],Categorias_Configuracion[],MATCH(Categorias_Configuracion[[#Headers],[% Amplitud]],Categorias_Configuracion[#Headers],0),TRUE)</f>
        <v>0.15</v>
      </c>
      <c r="H481" s="15" t="str">
        <f ca="1">TEXT(Categorias_Registro[[#This Row],[Mínimo]],Formato_Rango_Categorias)&amp;" - "&amp;TEXT(Categorias_Registro[[#This Row],[Máximo]],Formato_Rango_Categorias)</f>
        <v>1.882 - 2.163</v>
      </c>
    </row>
    <row r="482" spans="2:8">
      <c r="B482" s="15">
        <f>Techo - ROW() + ROW(Categorias_Registro[])</f>
        <v>2147</v>
      </c>
      <c r="C482" s="15">
        <f>IF(Categorias_Registro[[#This Row],[Puntos]]&lt;=ROUND(Piso,0),Piso,IF(Categorias_Registro[[#This Row],[Puntos]]&lt;D483,C483,D483+1))</f>
        <v>1882</v>
      </c>
      <c r="D482" s="15">
        <f>IF(Categorias_Registro[[#This Row],[Puntos]]=ROUND(Piso,0),ROUND(Categorias_Registro[[#This Row],[Puntos]]*(1+Categorias_Registro[[#This Row],[Amplitud]]),0),IF(Categorias_Registro[[#This Row],[Puntos]]&lt;D483,D483,ROUND(D483*(1+Categorias_Registro[[#This Row],[Amplitud]]),0)))</f>
        <v>2163</v>
      </c>
      <c r="E482" s="15">
        <f>E483+IF(D483=Categorias_Registro[[#This Row],[Máximo]],0,1)</f>
        <v>23</v>
      </c>
      <c r="F482" s="15">
        <f>ROUND(Categorias_Registro[[#This Row],[Mínimo]]+((Categorias_Registro[[#This Row],[Máximo]]-Categorias_Registro[[#This Row],[Mínimo]])/2),0)</f>
        <v>2023</v>
      </c>
      <c r="G482" s="78">
        <f>VLOOKUP(Categorias_Registro[[#This Row],[Puntos]],Categorias_Configuracion[],MATCH(Categorias_Configuracion[[#Headers],[% Amplitud]],Categorias_Configuracion[#Headers],0),TRUE)</f>
        <v>0.15</v>
      </c>
      <c r="H482" s="15" t="str">
        <f ca="1">TEXT(Categorias_Registro[[#This Row],[Mínimo]],Formato_Rango_Categorias)&amp;" - "&amp;TEXT(Categorias_Registro[[#This Row],[Máximo]],Formato_Rango_Categorias)</f>
        <v>1.882 - 2.163</v>
      </c>
    </row>
    <row r="483" spans="2:8">
      <c r="B483" s="15">
        <f>Techo - ROW() + ROW(Categorias_Registro[])</f>
        <v>2146</v>
      </c>
      <c r="C483" s="15">
        <f>IF(Categorias_Registro[[#This Row],[Puntos]]&lt;=ROUND(Piso,0),Piso,IF(Categorias_Registro[[#This Row],[Puntos]]&lt;D484,C484,D484+1))</f>
        <v>1882</v>
      </c>
      <c r="D483" s="15">
        <f>IF(Categorias_Registro[[#This Row],[Puntos]]=ROUND(Piso,0),ROUND(Categorias_Registro[[#This Row],[Puntos]]*(1+Categorias_Registro[[#This Row],[Amplitud]]),0),IF(Categorias_Registro[[#This Row],[Puntos]]&lt;D484,D484,ROUND(D484*(1+Categorias_Registro[[#This Row],[Amplitud]]),0)))</f>
        <v>2163</v>
      </c>
      <c r="E483" s="15">
        <f>E484+IF(D484=Categorias_Registro[[#This Row],[Máximo]],0,1)</f>
        <v>23</v>
      </c>
      <c r="F483" s="15">
        <f>ROUND(Categorias_Registro[[#This Row],[Mínimo]]+((Categorias_Registro[[#This Row],[Máximo]]-Categorias_Registro[[#This Row],[Mínimo]])/2),0)</f>
        <v>2023</v>
      </c>
      <c r="G483" s="78">
        <f>VLOOKUP(Categorias_Registro[[#This Row],[Puntos]],Categorias_Configuracion[],MATCH(Categorias_Configuracion[[#Headers],[% Amplitud]],Categorias_Configuracion[#Headers],0),TRUE)</f>
        <v>0.15</v>
      </c>
      <c r="H483" s="15" t="str">
        <f ca="1">TEXT(Categorias_Registro[[#This Row],[Mínimo]],Formato_Rango_Categorias)&amp;" - "&amp;TEXT(Categorias_Registro[[#This Row],[Máximo]],Formato_Rango_Categorias)</f>
        <v>1.882 - 2.163</v>
      </c>
    </row>
    <row r="484" spans="2:8">
      <c r="B484" s="15">
        <f>Techo - ROW() + ROW(Categorias_Registro[])</f>
        <v>2145</v>
      </c>
      <c r="C484" s="15">
        <f>IF(Categorias_Registro[[#This Row],[Puntos]]&lt;=ROUND(Piso,0),Piso,IF(Categorias_Registro[[#This Row],[Puntos]]&lt;D485,C485,D485+1))</f>
        <v>1882</v>
      </c>
      <c r="D484" s="15">
        <f>IF(Categorias_Registro[[#This Row],[Puntos]]=ROUND(Piso,0),ROUND(Categorias_Registro[[#This Row],[Puntos]]*(1+Categorias_Registro[[#This Row],[Amplitud]]),0),IF(Categorias_Registro[[#This Row],[Puntos]]&lt;D485,D485,ROUND(D485*(1+Categorias_Registro[[#This Row],[Amplitud]]),0)))</f>
        <v>2163</v>
      </c>
      <c r="E484" s="15">
        <f>E485+IF(D485=Categorias_Registro[[#This Row],[Máximo]],0,1)</f>
        <v>23</v>
      </c>
      <c r="F484" s="15">
        <f>ROUND(Categorias_Registro[[#This Row],[Mínimo]]+((Categorias_Registro[[#This Row],[Máximo]]-Categorias_Registro[[#This Row],[Mínimo]])/2),0)</f>
        <v>2023</v>
      </c>
      <c r="G484" s="78">
        <f>VLOOKUP(Categorias_Registro[[#This Row],[Puntos]],Categorias_Configuracion[],MATCH(Categorias_Configuracion[[#Headers],[% Amplitud]],Categorias_Configuracion[#Headers],0),TRUE)</f>
        <v>0.15</v>
      </c>
      <c r="H484" s="15" t="str">
        <f ca="1">TEXT(Categorias_Registro[[#This Row],[Mínimo]],Formato_Rango_Categorias)&amp;" - "&amp;TEXT(Categorias_Registro[[#This Row],[Máximo]],Formato_Rango_Categorias)</f>
        <v>1.882 - 2.163</v>
      </c>
    </row>
    <row r="485" spans="2:8">
      <c r="B485" s="15">
        <f>Techo - ROW() + ROW(Categorias_Registro[])</f>
        <v>2144</v>
      </c>
      <c r="C485" s="15">
        <f>IF(Categorias_Registro[[#This Row],[Puntos]]&lt;=ROUND(Piso,0),Piso,IF(Categorias_Registro[[#This Row],[Puntos]]&lt;D486,C486,D486+1))</f>
        <v>1882</v>
      </c>
      <c r="D485" s="15">
        <f>IF(Categorias_Registro[[#This Row],[Puntos]]=ROUND(Piso,0),ROUND(Categorias_Registro[[#This Row],[Puntos]]*(1+Categorias_Registro[[#This Row],[Amplitud]]),0),IF(Categorias_Registro[[#This Row],[Puntos]]&lt;D486,D486,ROUND(D486*(1+Categorias_Registro[[#This Row],[Amplitud]]),0)))</f>
        <v>2163</v>
      </c>
      <c r="E485" s="15">
        <f>E486+IF(D486=Categorias_Registro[[#This Row],[Máximo]],0,1)</f>
        <v>23</v>
      </c>
      <c r="F485" s="15">
        <f>ROUND(Categorias_Registro[[#This Row],[Mínimo]]+((Categorias_Registro[[#This Row],[Máximo]]-Categorias_Registro[[#This Row],[Mínimo]])/2),0)</f>
        <v>2023</v>
      </c>
      <c r="G485" s="78">
        <f>VLOOKUP(Categorias_Registro[[#This Row],[Puntos]],Categorias_Configuracion[],MATCH(Categorias_Configuracion[[#Headers],[% Amplitud]],Categorias_Configuracion[#Headers],0),TRUE)</f>
        <v>0.15</v>
      </c>
      <c r="H485" s="15" t="str">
        <f ca="1">TEXT(Categorias_Registro[[#This Row],[Mínimo]],Formato_Rango_Categorias)&amp;" - "&amp;TEXT(Categorias_Registro[[#This Row],[Máximo]],Formato_Rango_Categorias)</f>
        <v>1.882 - 2.163</v>
      </c>
    </row>
    <row r="486" spans="2:8">
      <c r="B486" s="15">
        <f>Techo - ROW() + ROW(Categorias_Registro[])</f>
        <v>2143</v>
      </c>
      <c r="C486" s="15">
        <f>IF(Categorias_Registro[[#This Row],[Puntos]]&lt;=ROUND(Piso,0),Piso,IF(Categorias_Registro[[#This Row],[Puntos]]&lt;D487,C487,D487+1))</f>
        <v>1882</v>
      </c>
      <c r="D486" s="15">
        <f>IF(Categorias_Registro[[#This Row],[Puntos]]=ROUND(Piso,0),ROUND(Categorias_Registro[[#This Row],[Puntos]]*(1+Categorias_Registro[[#This Row],[Amplitud]]),0),IF(Categorias_Registro[[#This Row],[Puntos]]&lt;D487,D487,ROUND(D487*(1+Categorias_Registro[[#This Row],[Amplitud]]),0)))</f>
        <v>2163</v>
      </c>
      <c r="E486" s="15">
        <f>E487+IF(D487=Categorias_Registro[[#This Row],[Máximo]],0,1)</f>
        <v>23</v>
      </c>
      <c r="F486" s="15">
        <f>ROUND(Categorias_Registro[[#This Row],[Mínimo]]+((Categorias_Registro[[#This Row],[Máximo]]-Categorias_Registro[[#This Row],[Mínimo]])/2),0)</f>
        <v>2023</v>
      </c>
      <c r="G486" s="78">
        <f>VLOOKUP(Categorias_Registro[[#This Row],[Puntos]],Categorias_Configuracion[],MATCH(Categorias_Configuracion[[#Headers],[% Amplitud]],Categorias_Configuracion[#Headers],0),TRUE)</f>
        <v>0.15</v>
      </c>
      <c r="H486" s="15" t="str">
        <f ca="1">TEXT(Categorias_Registro[[#This Row],[Mínimo]],Formato_Rango_Categorias)&amp;" - "&amp;TEXT(Categorias_Registro[[#This Row],[Máximo]],Formato_Rango_Categorias)</f>
        <v>1.882 - 2.163</v>
      </c>
    </row>
    <row r="487" spans="2:8">
      <c r="B487" s="15">
        <f>Techo - ROW() + ROW(Categorias_Registro[])</f>
        <v>2142</v>
      </c>
      <c r="C487" s="15">
        <f>IF(Categorias_Registro[[#This Row],[Puntos]]&lt;=ROUND(Piso,0),Piso,IF(Categorias_Registro[[#This Row],[Puntos]]&lt;D488,C488,D488+1))</f>
        <v>1882</v>
      </c>
      <c r="D487" s="15">
        <f>IF(Categorias_Registro[[#This Row],[Puntos]]=ROUND(Piso,0),ROUND(Categorias_Registro[[#This Row],[Puntos]]*(1+Categorias_Registro[[#This Row],[Amplitud]]),0),IF(Categorias_Registro[[#This Row],[Puntos]]&lt;D488,D488,ROUND(D488*(1+Categorias_Registro[[#This Row],[Amplitud]]),0)))</f>
        <v>2163</v>
      </c>
      <c r="E487" s="15">
        <f>E488+IF(D488=Categorias_Registro[[#This Row],[Máximo]],0,1)</f>
        <v>23</v>
      </c>
      <c r="F487" s="15">
        <f>ROUND(Categorias_Registro[[#This Row],[Mínimo]]+((Categorias_Registro[[#This Row],[Máximo]]-Categorias_Registro[[#This Row],[Mínimo]])/2),0)</f>
        <v>2023</v>
      </c>
      <c r="G487" s="78">
        <f>VLOOKUP(Categorias_Registro[[#This Row],[Puntos]],Categorias_Configuracion[],MATCH(Categorias_Configuracion[[#Headers],[% Amplitud]],Categorias_Configuracion[#Headers],0),TRUE)</f>
        <v>0.15</v>
      </c>
      <c r="H487" s="15" t="str">
        <f ca="1">TEXT(Categorias_Registro[[#This Row],[Mínimo]],Formato_Rango_Categorias)&amp;" - "&amp;TEXT(Categorias_Registro[[#This Row],[Máximo]],Formato_Rango_Categorias)</f>
        <v>1.882 - 2.163</v>
      </c>
    </row>
    <row r="488" spans="2:8">
      <c r="B488" s="15">
        <f>Techo - ROW() + ROW(Categorias_Registro[])</f>
        <v>2141</v>
      </c>
      <c r="C488" s="15">
        <f>IF(Categorias_Registro[[#This Row],[Puntos]]&lt;=ROUND(Piso,0),Piso,IF(Categorias_Registro[[#This Row],[Puntos]]&lt;D489,C489,D489+1))</f>
        <v>1882</v>
      </c>
      <c r="D488" s="15">
        <f>IF(Categorias_Registro[[#This Row],[Puntos]]=ROUND(Piso,0),ROUND(Categorias_Registro[[#This Row],[Puntos]]*(1+Categorias_Registro[[#This Row],[Amplitud]]),0),IF(Categorias_Registro[[#This Row],[Puntos]]&lt;D489,D489,ROUND(D489*(1+Categorias_Registro[[#This Row],[Amplitud]]),0)))</f>
        <v>2163</v>
      </c>
      <c r="E488" s="15">
        <f>E489+IF(D489=Categorias_Registro[[#This Row],[Máximo]],0,1)</f>
        <v>23</v>
      </c>
      <c r="F488" s="15">
        <f>ROUND(Categorias_Registro[[#This Row],[Mínimo]]+((Categorias_Registro[[#This Row],[Máximo]]-Categorias_Registro[[#This Row],[Mínimo]])/2),0)</f>
        <v>2023</v>
      </c>
      <c r="G488" s="78">
        <f>VLOOKUP(Categorias_Registro[[#This Row],[Puntos]],Categorias_Configuracion[],MATCH(Categorias_Configuracion[[#Headers],[% Amplitud]],Categorias_Configuracion[#Headers],0),TRUE)</f>
        <v>0.15</v>
      </c>
      <c r="H488" s="15" t="str">
        <f ca="1">TEXT(Categorias_Registro[[#This Row],[Mínimo]],Formato_Rango_Categorias)&amp;" - "&amp;TEXT(Categorias_Registro[[#This Row],[Máximo]],Formato_Rango_Categorias)</f>
        <v>1.882 - 2.163</v>
      </c>
    </row>
    <row r="489" spans="2:8">
      <c r="B489" s="15">
        <f>Techo - ROW() + ROW(Categorias_Registro[])</f>
        <v>2140</v>
      </c>
      <c r="C489" s="15">
        <f>IF(Categorias_Registro[[#This Row],[Puntos]]&lt;=ROUND(Piso,0),Piso,IF(Categorias_Registro[[#This Row],[Puntos]]&lt;D490,C490,D490+1))</f>
        <v>1882</v>
      </c>
      <c r="D489" s="15">
        <f>IF(Categorias_Registro[[#This Row],[Puntos]]=ROUND(Piso,0),ROUND(Categorias_Registro[[#This Row],[Puntos]]*(1+Categorias_Registro[[#This Row],[Amplitud]]),0),IF(Categorias_Registro[[#This Row],[Puntos]]&lt;D490,D490,ROUND(D490*(1+Categorias_Registro[[#This Row],[Amplitud]]),0)))</f>
        <v>2163</v>
      </c>
      <c r="E489" s="15">
        <f>E490+IF(D490=Categorias_Registro[[#This Row],[Máximo]],0,1)</f>
        <v>23</v>
      </c>
      <c r="F489" s="15">
        <f>ROUND(Categorias_Registro[[#This Row],[Mínimo]]+((Categorias_Registro[[#This Row],[Máximo]]-Categorias_Registro[[#This Row],[Mínimo]])/2),0)</f>
        <v>2023</v>
      </c>
      <c r="G489" s="78">
        <f>VLOOKUP(Categorias_Registro[[#This Row],[Puntos]],Categorias_Configuracion[],MATCH(Categorias_Configuracion[[#Headers],[% Amplitud]],Categorias_Configuracion[#Headers],0),TRUE)</f>
        <v>0.15</v>
      </c>
      <c r="H489" s="15" t="str">
        <f ca="1">TEXT(Categorias_Registro[[#This Row],[Mínimo]],Formato_Rango_Categorias)&amp;" - "&amp;TEXT(Categorias_Registro[[#This Row],[Máximo]],Formato_Rango_Categorias)</f>
        <v>1.882 - 2.163</v>
      </c>
    </row>
    <row r="490" spans="2:8">
      <c r="B490" s="15">
        <f>Techo - ROW() + ROW(Categorias_Registro[])</f>
        <v>2139</v>
      </c>
      <c r="C490" s="15">
        <f>IF(Categorias_Registro[[#This Row],[Puntos]]&lt;=ROUND(Piso,0),Piso,IF(Categorias_Registro[[#This Row],[Puntos]]&lt;D491,C491,D491+1))</f>
        <v>1882</v>
      </c>
      <c r="D490" s="15">
        <f>IF(Categorias_Registro[[#This Row],[Puntos]]=ROUND(Piso,0),ROUND(Categorias_Registro[[#This Row],[Puntos]]*(1+Categorias_Registro[[#This Row],[Amplitud]]),0),IF(Categorias_Registro[[#This Row],[Puntos]]&lt;D491,D491,ROUND(D491*(1+Categorias_Registro[[#This Row],[Amplitud]]),0)))</f>
        <v>2163</v>
      </c>
      <c r="E490" s="15">
        <f>E491+IF(D491=Categorias_Registro[[#This Row],[Máximo]],0,1)</f>
        <v>23</v>
      </c>
      <c r="F490" s="15">
        <f>ROUND(Categorias_Registro[[#This Row],[Mínimo]]+((Categorias_Registro[[#This Row],[Máximo]]-Categorias_Registro[[#This Row],[Mínimo]])/2),0)</f>
        <v>2023</v>
      </c>
      <c r="G490" s="78">
        <f>VLOOKUP(Categorias_Registro[[#This Row],[Puntos]],Categorias_Configuracion[],MATCH(Categorias_Configuracion[[#Headers],[% Amplitud]],Categorias_Configuracion[#Headers],0),TRUE)</f>
        <v>0.15</v>
      </c>
      <c r="H490" s="15" t="str">
        <f ca="1">TEXT(Categorias_Registro[[#This Row],[Mínimo]],Formato_Rango_Categorias)&amp;" - "&amp;TEXT(Categorias_Registro[[#This Row],[Máximo]],Formato_Rango_Categorias)</f>
        <v>1.882 - 2.163</v>
      </c>
    </row>
    <row r="491" spans="2:8">
      <c r="B491" s="15">
        <f>Techo - ROW() + ROW(Categorias_Registro[])</f>
        <v>2138</v>
      </c>
      <c r="C491" s="15">
        <f>IF(Categorias_Registro[[#This Row],[Puntos]]&lt;=ROUND(Piso,0),Piso,IF(Categorias_Registro[[#This Row],[Puntos]]&lt;D492,C492,D492+1))</f>
        <v>1882</v>
      </c>
      <c r="D491" s="15">
        <f>IF(Categorias_Registro[[#This Row],[Puntos]]=ROUND(Piso,0),ROUND(Categorias_Registro[[#This Row],[Puntos]]*(1+Categorias_Registro[[#This Row],[Amplitud]]),0),IF(Categorias_Registro[[#This Row],[Puntos]]&lt;D492,D492,ROUND(D492*(1+Categorias_Registro[[#This Row],[Amplitud]]),0)))</f>
        <v>2163</v>
      </c>
      <c r="E491" s="15">
        <f>E492+IF(D492=Categorias_Registro[[#This Row],[Máximo]],0,1)</f>
        <v>23</v>
      </c>
      <c r="F491" s="15">
        <f>ROUND(Categorias_Registro[[#This Row],[Mínimo]]+((Categorias_Registro[[#This Row],[Máximo]]-Categorias_Registro[[#This Row],[Mínimo]])/2),0)</f>
        <v>2023</v>
      </c>
      <c r="G491" s="78">
        <f>VLOOKUP(Categorias_Registro[[#This Row],[Puntos]],Categorias_Configuracion[],MATCH(Categorias_Configuracion[[#Headers],[% Amplitud]],Categorias_Configuracion[#Headers],0),TRUE)</f>
        <v>0.15</v>
      </c>
      <c r="H491" s="15" t="str">
        <f ca="1">TEXT(Categorias_Registro[[#This Row],[Mínimo]],Formato_Rango_Categorias)&amp;" - "&amp;TEXT(Categorias_Registro[[#This Row],[Máximo]],Formato_Rango_Categorias)</f>
        <v>1.882 - 2.163</v>
      </c>
    </row>
    <row r="492" spans="2:8">
      <c r="B492" s="15">
        <f>Techo - ROW() + ROW(Categorias_Registro[])</f>
        <v>2137</v>
      </c>
      <c r="C492" s="15">
        <f>IF(Categorias_Registro[[#This Row],[Puntos]]&lt;=ROUND(Piso,0),Piso,IF(Categorias_Registro[[#This Row],[Puntos]]&lt;D493,C493,D493+1))</f>
        <v>1882</v>
      </c>
      <c r="D492" s="15">
        <f>IF(Categorias_Registro[[#This Row],[Puntos]]=ROUND(Piso,0),ROUND(Categorias_Registro[[#This Row],[Puntos]]*(1+Categorias_Registro[[#This Row],[Amplitud]]),0),IF(Categorias_Registro[[#This Row],[Puntos]]&lt;D493,D493,ROUND(D493*(1+Categorias_Registro[[#This Row],[Amplitud]]),0)))</f>
        <v>2163</v>
      </c>
      <c r="E492" s="15">
        <f>E493+IF(D493=Categorias_Registro[[#This Row],[Máximo]],0,1)</f>
        <v>23</v>
      </c>
      <c r="F492" s="15">
        <f>ROUND(Categorias_Registro[[#This Row],[Mínimo]]+((Categorias_Registro[[#This Row],[Máximo]]-Categorias_Registro[[#This Row],[Mínimo]])/2),0)</f>
        <v>2023</v>
      </c>
      <c r="G492" s="78">
        <f>VLOOKUP(Categorias_Registro[[#This Row],[Puntos]],Categorias_Configuracion[],MATCH(Categorias_Configuracion[[#Headers],[% Amplitud]],Categorias_Configuracion[#Headers],0),TRUE)</f>
        <v>0.15</v>
      </c>
      <c r="H492" s="15" t="str">
        <f ca="1">TEXT(Categorias_Registro[[#This Row],[Mínimo]],Formato_Rango_Categorias)&amp;" - "&amp;TEXT(Categorias_Registro[[#This Row],[Máximo]],Formato_Rango_Categorias)</f>
        <v>1.882 - 2.163</v>
      </c>
    </row>
    <row r="493" spans="2:8">
      <c r="B493" s="15">
        <f>Techo - ROW() + ROW(Categorias_Registro[])</f>
        <v>2136</v>
      </c>
      <c r="C493" s="15">
        <f>IF(Categorias_Registro[[#This Row],[Puntos]]&lt;=ROUND(Piso,0),Piso,IF(Categorias_Registro[[#This Row],[Puntos]]&lt;D494,C494,D494+1))</f>
        <v>1882</v>
      </c>
      <c r="D493" s="15">
        <f>IF(Categorias_Registro[[#This Row],[Puntos]]=ROUND(Piso,0),ROUND(Categorias_Registro[[#This Row],[Puntos]]*(1+Categorias_Registro[[#This Row],[Amplitud]]),0),IF(Categorias_Registro[[#This Row],[Puntos]]&lt;D494,D494,ROUND(D494*(1+Categorias_Registro[[#This Row],[Amplitud]]),0)))</f>
        <v>2163</v>
      </c>
      <c r="E493" s="15">
        <f>E494+IF(D494=Categorias_Registro[[#This Row],[Máximo]],0,1)</f>
        <v>23</v>
      </c>
      <c r="F493" s="15">
        <f>ROUND(Categorias_Registro[[#This Row],[Mínimo]]+((Categorias_Registro[[#This Row],[Máximo]]-Categorias_Registro[[#This Row],[Mínimo]])/2),0)</f>
        <v>2023</v>
      </c>
      <c r="G493" s="78">
        <f>VLOOKUP(Categorias_Registro[[#This Row],[Puntos]],Categorias_Configuracion[],MATCH(Categorias_Configuracion[[#Headers],[% Amplitud]],Categorias_Configuracion[#Headers],0),TRUE)</f>
        <v>0.15</v>
      </c>
      <c r="H493" s="15" t="str">
        <f ca="1">TEXT(Categorias_Registro[[#This Row],[Mínimo]],Formato_Rango_Categorias)&amp;" - "&amp;TEXT(Categorias_Registro[[#This Row],[Máximo]],Formato_Rango_Categorias)</f>
        <v>1.882 - 2.163</v>
      </c>
    </row>
    <row r="494" spans="2:8">
      <c r="B494" s="15">
        <f>Techo - ROW() + ROW(Categorias_Registro[])</f>
        <v>2135</v>
      </c>
      <c r="C494" s="15">
        <f>IF(Categorias_Registro[[#This Row],[Puntos]]&lt;=ROUND(Piso,0),Piso,IF(Categorias_Registro[[#This Row],[Puntos]]&lt;D495,C495,D495+1))</f>
        <v>1882</v>
      </c>
      <c r="D494" s="15">
        <f>IF(Categorias_Registro[[#This Row],[Puntos]]=ROUND(Piso,0),ROUND(Categorias_Registro[[#This Row],[Puntos]]*(1+Categorias_Registro[[#This Row],[Amplitud]]),0),IF(Categorias_Registro[[#This Row],[Puntos]]&lt;D495,D495,ROUND(D495*(1+Categorias_Registro[[#This Row],[Amplitud]]),0)))</f>
        <v>2163</v>
      </c>
      <c r="E494" s="15">
        <f>E495+IF(D495=Categorias_Registro[[#This Row],[Máximo]],0,1)</f>
        <v>23</v>
      </c>
      <c r="F494" s="15">
        <f>ROUND(Categorias_Registro[[#This Row],[Mínimo]]+((Categorias_Registro[[#This Row],[Máximo]]-Categorias_Registro[[#This Row],[Mínimo]])/2),0)</f>
        <v>2023</v>
      </c>
      <c r="G494" s="78">
        <f>VLOOKUP(Categorias_Registro[[#This Row],[Puntos]],Categorias_Configuracion[],MATCH(Categorias_Configuracion[[#Headers],[% Amplitud]],Categorias_Configuracion[#Headers],0),TRUE)</f>
        <v>0.15</v>
      </c>
      <c r="H494" s="15" t="str">
        <f ca="1">TEXT(Categorias_Registro[[#This Row],[Mínimo]],Formato_Rango_Categorias)&amp;" - "&amp;TEXT(Categorias_Registro[[#This Row],[Máximo]],Formato_Rango_Categorias)</f>
        <v>1.882 - 2.163</v>
      </c>
    </row>
    <row r="495" spans="2:8">
      <c r="B495" s="15">
        <f>Techo - ROW() + ROW(Categorias_Registro[])</f>
        <v>2134</v>
      </c>
      <c r="C495" s="15">
        <f>IF(Categorias_Registro[[#This Row],[Puntos]]&lt;=ROUND(Piso,0),Piso,IF(Categorias_Registro[[#This Row],[Puntos]]&lt;D496,C496,D496+1))</f>
        <v>1882</v>
      </c>
      <c r="D495" s="15">
        <f>IF(Categorias_Registro[[#This Row],[Puntos]]=ROUND(Piso,0),ROUND(Categorias_Registro[[#This Row],[Puntos]]*(1+Categorias_Registro[[#This Row],[Amplitud]]),0),IF(Categorias_Registro[[#This Row],[Puntos]]&lt;D496,D496,ROUND(D496*(1+Categorias_Registro[[#This Row],[Amplitud]]),0)))</f>
        <v>2163</v>
      </c>
      <c r="E495" s="15">
        <f>E496+IF(D496=Categorias_Registro[[#This Row],[Máximo]],0,1)</f>
        <v>23</v>
      </c>
      <c r="F495" s="15">
        <f>ROUND(Categorias_Registro[[#This Row],[Mínimo]]+((Categorias_Registro[[#This Row],[Máximo]]-Categorias_Registro[[#This Row],[Mínimo]])/2),0)</f>
        <v>2023</v>
      </c>
      <c r="G495" s="78">
        <f>VLOOKUP(Categorias_Registro[[#This Row],[Puntos]],Categorias_Configuracion[],MATCH(Categorias_Configuracion[[#Headers],[% Amplitud]],Categorias_Configuracion[#Headers],0),TRUE)</f>
        <v>0.15</v>
      </c>
      <c r="H495" s="15" t="str">
        <f ca="1">TEXT(Categorias_Registro[[#This Row],[Mínimo]],Formato_Rango_Categorias)&amp;" - "&amp;TEXT(Categorias_Registro[[#This Row],[Máximo]],Formato_Rango_Categorias)</f>
        <v>1.882 - 2.163</v>
      </c>
    </row>
    <row r="496" spans="2:8">
      <c r="B496" s="15">
        <f>Techo - ROW() + ROW(Categorias_Registro[])</f>
        <v>2133</v>
      </c>
      <c r="C496" s="15">
        <f>IF(Categorias_Registro[[#This Row],[Puntos]]&lt;=ROUND(Piso,0),Piso,IF(Categorias_Registro[[#This Row],[Puntos]]&lt;D497,C497,D497+1))</f>
        <v>1882</v>
      </c>
      <c r="D496" s="15">
        <f>IF(Categorias_Registro[[#This Row],[Puntos]]=ROUND(Piso,0),ROUND(Categorias_Registro[[#This Row],[Puntos]]*(1+Categorias_Registro[[#This Row],[Amplitud]]),0),IF(Categorias_Registro[[#This Row],[Puntos]]&lt;D497,D497,ROUND(D497*(1+Categorias_Registro[[#This Row],[Amplitud]]),0)))</f>
        <v>2163</v>
      </c>
      <c r="E496" s="15">
        <f>E497+IF(D497=Categorias_Registro[[#This Row],[Máximo]],0,1)</f>
        <v>23</v>
      </c>
      <c r="F496" s="15">
        <f>ROUND(Categorias_Registro[[#This Row],[Mínimo]]+((Categorias_Registro[[#This Row],[Máximo]]-Categorias_Registro[[#This Row],[Mínimo]])/2),0)</f>
        <v>2023</v>
      </c>
      <c r="G496" s="78">
        <f>VLOOKUP(Categorias_Registro[[#This Row],[Puntos]],Categorias_Configuracion[],MATCH(Categorias_Configuracion[[#Headers],[% Amplitud]],Categorias_Configuracion[#Headers],0),TRUE)</f>
        <v>0.15</v>
      </c>
      <c r="H496" s="15" t="str">
        <f ca="1">TEXT(Categorias_Registro[[#This Row],[Mínimo]],Formato_Rango_Categorias)&amp;" - "&amp;TEXT(Categorias_Registro[[#This Row],[Máximo]],Formato_Rango_Categorias)</f>
        <v>1.882 - 2.163</v>
      </c>
    </row>
    <row r="497" spans="2:8">
      <c r="B497" s="15">
        <f>Techo - ROW() + ROW(Categorias_Registro[])</f>
        <v>2132</v>
      </c>
      <c r="C497" s="15">
        <f>IF(Categorias_Registro[[#This Row],[Puntos]]&lt;=ROUND(Piso,0),Piso,IF(Categorias_Registro[[#This Row],[Puntos]]&lt;D498,C498,D498+1))</f>
        <v>1882</v>
      </c>
      <c r="D497" s="15">
        <f>IF(Categorias_Registro[[#This Row],[Puntos]]=ROUND(Piso,0),ROUND(Categorias_Registro[[#This Row],[Puntos]]*(1+Categorias_Registro[[#This Row],[Amplitud]]),0),IF(Categorias_Registro[[#This Row],[Puntos]]&lt;D498,D498,ROUND(D498*(1+Categorias_Registro[[#This Row],[Amplitud]]),0)))</f>
        <v>2163</v>
      </c>
      <c r="E497" s="15">
        <f>E498+IF(D498=Categorias_Registro[[#This Row],[Máximo]],0,1)</f>
        <v>23</v>
      </c>
      <c r="F497" s="15">
        <f>ROUND(Categorias_Registro[[#This Row],[Mínimo]]+((Categorias_Registro[[#This Row],[Máximo]]-Categorias_Registro[[#This Row],[Mínimo]])/2),0)</f>
        <v>2023</v>
      </c>
      <c r="G497" s="78">
        <f>VLOOKUP(Categorias_Registro[[#This Row],[Puntos]],Categorias_Configuracion[],MATCH(Categorias_Configuracion[[#Headers],[% Amplitud]],Categorias_Configuracion[#Headers],0),TRUE)</f>
        <v>0.15</v>
      </c>
      <c r="H497" s="15" t="str">
        <f ca="1">TEXT(Categorias_Registro[[#This Row],[Mínimo]],Formato_Rango_Categorias)&amp;" - "&amp;TEXT(Categorias_Registro[[#This Row],[Máximo]],Formato_Rango_Categorias)</f>
        <v>1.882 - 2.163</v>
      </c>
    </row>
    <row r="498" spans="2:8">
      <c r="B498" s="15">
        <f>Techo - ROW() + ROW(Categorias_Registro[])</f>
        <v>2131</v>
      </c>
      <c r="C498" s="15">
        <f>IF(Categorias_Registro[[#This Row],[Puntos]]&lt;=ROUND(Piso,0),Piso,IF(Categorias_Registro[[#This Row],[Puntos]]&lt;D499,C499,D499+1))</f>
        <v>1882</v>
      </c>
      <c r="D498" s="15">
        <f>IF(Categorias_Registro[[#This Row],[Puntos]]=ROUND(Piso,0),ROUND(Categorias_Registro[[#This Row],[Puntos]]*(1+Categorias_Registro[[#This Row],[Amplitud]]),0),IF(Categorias_Registro[[#This Row],[Puntos]]&lt;D499,D499,ROUND(D499*(1+Categorias_Registro[[#This Row],[Amplitud]]),0)))</f>
        <v>2163</v>
      </c>
      <c r="E498" s="15">
        <f>E499+IF(D499=Categorias_Registro[[#This Row],[Máximo]],0,1)</f>
        <v>23</v>
      </c>
      <c r="F498" s="15">
        <f>ROUND(Categorias_Registro[[#This Row],[Mínimo]]+((Categorias_Registro[[#This Row],[Máximo]]-Categorias_Registro[[#This Row],[Mínimo]])/2),0)</f>
        <v>2023</v>
      </c>
      <c r="G498" s="78">
        <f>VLOOKUP(Categorias_Registro[[#This Row],[Puntos]],Categorias_Configuracion[],MATCH(Categorias_Configuracion[[#Headers],[% Amplitud]],Categorias_Configuracion[#Headers],0),TRUE)</f>
        <v>0.15</v>
      </c>
      <c r="H498" s="15" t="str">
        <f ca="1">TEXT(Categorias_Registro[[#This Row],[Mínimo]],Formato_Rango_Categorias)&amp;" - "&amp;TEXT(Categorias_Registro[[#This Row],[Máximo]],Formato_Rango_Categorias)</f>
        <v>1.882 - 2.163</v>
      </c>
    </row>
    <row r="499" spans="2:8">
      <c r="B499" s="15">
        <f>Techo - ROW() + ROW(Categorias_Registro[])</f>
        <v>2130</v>
      </c>
      <c r="C499" s="15">
        <f>IF(Categorias_Registro[[#This Row],[Puntos]]&lt;=ROUND(Piso,0),Piso,IF(Categorias_Registro[[#This Row],[Puntos]]&lt;D500,C500,D500+1))</f>
        <v>1882</v>
      </c>
      <c r="D499" s="15">
        <f>IF(Categorias_Registro[[#This Row],[Puntos]]=ROUND(Piso,0),ROUND(Categorias_Registro[[#This Row],[Puntos]]*(1+Categorias_Registro[[#This Row],[Amplitud]]),0),IF(Categorias_Registro[[#This Row],[Puntos]]&lt;D500,D500,ROUND(D500*(1+Categorias_Registro[[#This Row],[Amplitud]]),0)))</f>
        <v>2163</v>
      </c>
      <c r="E499" s="15">
        <f>E500+IF(D500=Categorias_Registro[[#This Row],[Máximo]],0,1)</f>
        <v>23</v>
      </c>
      <c r="F499" s="15">
        <f>ROUND(Categorias_Registro[[#This Row],[Mínimo]]+((Categorias_Registro[[#This Row],[Máximo]]-Categorias_Registro[[#This Row],[Mínimo]])/2),0)</f>
        <v>2023</v>
      </c>
      <c r="G499" s="78">
        <f>VLOOKUP(Categorias_Registro[[#This Row],[Puntos]],Categorias_Configuracion[],MATCH(Categorias_Configuracion[[#Headers],[% Amplitud]],Categorias_Configuracion[#Headers],0),TRUE)</f>
        <v>0.15</v>
      </c>
      <c r="H499" s="15" t="str">
        <f ca="1">TEXT(Categorias_Registro[[#This Row],[Mínimo]],Formato_Rango_Categorias)&amp;" - "&amp;TEXT(Categorias_Registro[[#This Row],[Máximo]],Formato_Rango_Categorias)</f>
        <v>1.882 - 2.163</v>
      </c>
    </row>
    <row r="500" spans="2:8">
      <c r="B500" s="15">
        <f>Techo - ROW() + ROW(Categorias_Registro[])</f>
        <v>2129</v>
      </c>
      <c r="C500" s="15">
        <f>IF(Categorias_Registro[[#This Row],[Puntos]]&lt;=ROUND(Piso,0),Piso,IF(Categorias_Registro[[#This Row],[Puntos]]&lt;D501,C501,D501+1))</f>
        <v>1882</v>
      </c>
      <c r="D500" s="15">
        <f>IF(Categorias_Registro[[#This Row],[Puntos]]=ROUND(Piso,0),ROUND(Categorias_Registro[[#This Row],[Puntos]]*(1+Categorias_Registro[[#This Row],[Amplitud]]),0),IF(Categorias_Registro[[#This Row],[Puntos]]&lt;D501,D501,ROUND(D501*(1+Categorias_Registro[[#This Row],[Amplitud]]),0)))</f>
        <v>2163</v>
      </c>
      <c r="E500" s="15">
        <f>E501+IF(D501=Categorias_Registro[[#This Row],[Máximo]],0,1)</f>
        <v>23</v>
      </c>
      <c r="F500" s="15">
        <f>ROUND(Categorias_Registro[[#This Row],[Mínimo]]+((Categorias_Registro[[#This Row],[Máximo]]-Categorias_Registro[[#This Row],[Mínimo]])/2),0)</f>
        <v>2023</v>
      </c>
      <c r="G500" s="78">
        <f>VLOOKUP(Categorias_Registro[[#This Row],[Puntos]],Categorias_Configuracion[],MATCH(Categorias_Configuracion[[#Headers],[% Amplitud]],Categorias_Configuracion[#Headers],0),TRUE)</f>
        <v>0.15</v>
      </c>
      <c r="H500" s="15" t="str">
        <f ca="1">TEXT(Categorias_Registro[[#This Row],[Mínimo]],Formato_Rango_Categorias)&amp;" - "&amp;TEXT(Categorias_Registro[[#This Row],[Máximo]],Formato_Rango_Categorias)</f>
        <v>1.882 - 2.163</v>
      </c>
    </row>
    <row r="501" spans="2:8">
      <c r="B501" s="15">
        <f>Techo - ROW() + ROW(Categorias_Registro[])</f>
        <v>2128</v>
      </c>
      <c r="C501" s="15">
        <f>IF(Categorias_Registro[[#This Row],[Puntos]]&lt;=ROUND(Piso,0),Piso,IF(Categorias_Registro[[#This Row],[Puntos]]&lt;D502,C502,D502+1))</f>
        <v>1882</v>
      </c>
      <c r="D501" s="15">
        <f>IF(Categorias_Registro[[#This Row],[Puntos]]=ROUND(Piso,0),ROUND(Categorias_Registro[[#This Row],[Puntos]]*(1+Categorias_Registro[[#This Row],[Amplitud]]),0),IF(Categorias_Registro[[#This Row],[Puntos]]&lt;D502,D502,ROUND(D502*(1+Categorias_Registro[[#This Row],[Amplitud]]),0)))</f>
        <v>2163</v>
      </c>
      <c r="E501" s="15">
        <f>E502+IF(D502=Categorias_Registro[[#This Row],[Máximo]],0,1)</f>
        <v>23</v>
      </c>
      <c r="F501" s="15">
        <f>ROUND(Categorias_Registro[[#This Row],[Mínimo]]+((Categorias_Registro[[#This Row],[Máximo]]-Categorias_Registro[[#This Row],[Mínimo]])/2),0)</f>
        <v>2023</v>
      </c>
      <c r="G501" s="78">
        <f>VLOOKUP(Categorias_Registro[[#This Row],[Puntos]],Categorias_Configuracion[],MATCH(Categorias_Configuracion[[#Headers],[% Amplitud]],Categorias_Configuracion[#Headers],0),TRUE)</f>
        <v>0.15</v>
      </c>
      <c r="H501" s="15" t="str">
        <f ca="1">TEXT(Categorias_Registro[[#This Row],[Mínimo]],Formato_Rango_Categorias)&amp;" - "&amp;TEXT(Categorias_Registro[[#This Row],[Máximo]],Formato_Rango_Categorias)</f>
        <v>1.882 - 2.163</v>
      </c>
    </row>
    <row r="502" spans="2:8">
      <c r="B502" s="15">
        <f>Techo - ROW() + ROW(Categorias_Registro[])</f>
        <v>2127</v>
      </c>
      <c r="C502" s="15">
        <f>IF(Categorias_Registro[[#This Row],[Puntos]]&lt;=ROUND(Piso,0),Piso,IF(Categorias_Registro[[#This Row],[Puntos]]&lt;D503,C503,D503+1))</f>
        <v>1882</v>
      </c>
      <c r="D502" s="15">
        <f>IF(Categorias_Registro[[#This Row],[Puntos]]=ROUND(Piso,0),ROUND(Categorias_Registro[[#This Row],[Puntos]]*(1+Categorias_Registro[[#This Row],[Amplitud]]),0),IF(Categorias_Registro[[#This Row],[Puntos]]&lt;D503,D503,ROUND(D503*(1+Categorias_Registro[[#This Row],[Amplitud]]),0)))</f>
        <v>2163</v>
      </c>
      <c r="E502" s="15">
        <f>E503+IF(D503=Categorias_Registro[[#This Row],[Máximo]],0,1)</f>
        <v>23</v>
      </c>
      <c r="F502" s="15">
        <f>ROUND(Categorias_Registro[[#This Row],[Mínimo]]+((Categorias_Registro[[#This Row],[Máximo]]-Categorias_Registro[[#This Row],[Mínimo]])/2),0)</f>
        <v>2023</v>
      </c>
      <c r="G502" s="78">
        <f>VLOOKUP(Categorias_Registro[[#This Row],[Puntos]],Categorias_Configuracion[],MATCH(Categorias_Configuracion[[#Headers],[% Amplitud]],Categorias_Configuracion[#Headers],0),TRUE)</f>
        <v>0.15</v>
      </c>
      <c r="H502" s="15" t="str">
        <f ca="1">TEXT(Categorias_Registro[[#This Row],[Mínimo]],Formato_Rango_Categorias)&amp;" - "&amp;TEXT(Categorias_Registro[[#This Row],[Máximo]],Formato_Rango_Categorias)</f>
        <v>1.882 - 2.163</v>
      </c>
    </row>
    <row r="503" spans="2:8">
      <c r="B503" s="15">
        <f>Techo - ROW() + ROW(Categorias_Registro[])</f>
        <v>2126</v>
      </c>
      <c r="C503" s="15">
        <f>IF(Categorias_Registro[[#This Row],[Puntos]]&lt;=ROUND(Piso,0),Piso,IF(Categorias_Registro[[#This Row],[Puntos]]&lt;D504,C504,D504+1))</f>
        <v>1882</v>
      </c>
      <c r="D503" s="15">
        <f>IF(Categorias_Registro[[#This Row],[Puntos]]=ROUND(Piso,0),ROUND(Categorias_Registro[[#This Row],[Puntos]]*(1+Categorias_Registro[[#This Row],[Amplitud]]),0),IF(Categorias_Registro[[#This Row],[Puntos]]&lt;D504,D504,ROUND(D504*(1+Categorias_Registro[[#This Row],[Amplitud]]),0)))</f>
        <v>2163</v>
      </c>
      <c r="E503" s="15">
        <f>E504+IF(D504=Categorias_Registro[[#This Row],[Máximo]],0,1)</f>
        <v>23</v>
      </c>
      <c r="F503" s="15">
        <f>ROUND(Categorias_Registro[[#This Row],[Mínimo]]+((Categorias_Registro[[#This Row],[Máximo]]-Categorias_Registro[[#This Row],[Mínimo]])/2),0)</f>
        <v>2023</v>
      </c>
      <c r="G503" s="78">
        <f>VLOOKUP(Categorias_Registro[[#This Row],[Puntos]],Categorias_Configuracion[],MATCH(Categorias_Configuracion[[#Headers],[% Amplitud]],Categorias_Configuracion[#Headers],0),TRUE)</f>
        <v>0.15</v>
      </c>
      <c r="H503" s="15" t="str">
        <f ca="1">TEXT(Categorias_Registro[[#This Row],[Mínimo]],Formato_Rango_Categorias)&amp;" - "&amp;TEXT(Categorias_Registro[[#This Row],[Máximo]],Formato_Rango_Categorias)</f>
        <v>1.882 - 2.163</v>
      </c>
    </row>
    <row r="504" spans="2:8">
      <c r="B504" s="15">
        <f>Techo - ROW() + ROW(Categorias_Registro[])</f>
        <v>2125</v>
      </c>
      <c r="C504" s="15">
        <f>IF(Categorias_Registro[[#This Row],[Puntos]]&lt;=ROUND(Piso,0),Piso,IF(Categorias_Registro[[#This Row],[Puntos]]&lt;D505,C505,D505+1))</f>
        <v>1882</v>
      </c>
      <c r="D504" s="15">
        <f>IF(Categorias_Registro[[#This Row],[Puntos]]=ROUND(Piso,0),ROUND(Categorias_Registro[[#This Row],[Puntos]]*(1+Categorias_Registro[[#This Row],[Amplitud]]),0),IF(Categorias_Registro[[#This Row],[Puntos]]&lt;D505,D505,ROUND(D505*(1+Categorias_Registro[[#This Row],[Amplitud]]),0)))</f>
        <v>2163</v>
      </c>
      <c r="E504" s="15">
        <f>E505+IF(D505=Categorias_Registro[[#This Row],[Máximo]],0,1)</f>
        <v>23</v>
      </c>
      <c r="F504" s="15">
        <f>ROUND(Categorias_Registro[[#This Row],[Mínimo]]+((Categorias_Registro[[#This Row],[Máximo]]-Categorias_Registro[[#This Row],[Mínimo]])/2),0)</f>
        <v>2023</v>
      </c>
      <c r="G504" s="78">
        <f>VLOOKUP(Categorias_Registro[[#This Row],[Puntos]],Categorias_Configuracion[],MATCH(Categorias_Configuracion[[#Headers],[% Amplitud]],Categorias_Configuracion[#Headers],0),TRUE)</f>
        <v>0.15</v>
      </c>
      <c r="H504" s="15" t="str">
        <f ca="1">TEXT(Categorias_Registro[[#This Row],[Mínimo]],Formato_Rango_Categorias)&amp;" - "&amp;TEXT(Categorias_Registro[[#This Row],[Máximo]],Formato_Rango_Categorias)</f>
        <v>1.882 - 2.163</v>
      </c>
    </row>
    <row r="505" spans="2:8">
      <c r="B505" s="15">
        <f>Techo - ROW() + ROW(Categorias_Registro[])</f>
        <v>2124</v>
      </c>
      <c r="C505" s="15">
        <f>IF(Categorias_Registro[[#This Row],[Puntos]]&lt;=ROUND(Piso,0),Piso,IF(Categorias_Registro[[#This Row],[Puntos]]&lt;D506,C506,D506+1))</f>
        <v>1882</v>
      </c>
      <c r="D505" s="15">
        <f>IF(Categorias_Registro[[#This Row],[Puntos]]=ROUND(Piso,0),ROUND(Categorias_Registro[[#This Row],[Puntos]]*(1+Categorias_Registro[[#This Row],[Amplitud]]),0),IF(Categorias_Registro[[#This Row],[Puntos]]&lt;D506,D506,ROUND(D506*(1+Categorias_Registro[[#This Row],[Amplitud]]),0)))</f>
        <v>2163</v>
      </c>
      <c r="E505" s="15">
        <f>E506+IF(D506=Categorias_Registro[[#This Row],[Máximo]],0,1)</f>
        <v>23</v>
      </c>
      <c r="F505" s="15">
        <f>ROUND(Categorias_Registro[[#This Row],[Mínimo]]+((Categorias_Registro[[#This Row],[Máximo]]-Categorias_Registro[[#This Row],[Mínimo]])/2),0)</f>
        <v>2023</v>
      </c>
      <c r="G505" s="78">
        <f>VLOOKUP(Categorias_Registro[[#This Row],[Puntos]],Categorias_Configuracion[],MATCH(Categorias_Configuracion[[#Headers],[% Amplitud]],Categorias_Configuracion[#Headers],0),TRUE)</f>
        <v>0.15</v>
      </c>
      <c r="H505" s="15" t="str">
        <f ca="1">TEXT(Categorias_Registro[[#This Row],[Mínimo]],Formato_Rango_Categorias)&amp;" - "&amp;TEXT(Categorias_Registro[[#This Row],[Máximo]],Formato_Rango_Categorias)</f>
        <v>1.882 - 2.163</v>
      </c>
    </row>
    <row r="506" spans="2:8">
      <c r="B506" s="15">
        <f>Techo - ROW() + ROW(Categorias_Registro[])</f>
        <v>2123</v>
      </c>
      <c r="C506" s="15">
        <f>IF(Categorias_Registro[[#This Row],[Puntos]]&lt;=ROUND(Piso,0),Piso,IF(Categorias_Registro[[#This Row],[Puntos]]&lt;D507,C507,D507+1))</f>
        <v>1882</v>
      </c>
      <c r="D506" s="15">
        <f>IF(Categorias_Registro[[#This Row],[Puntos]]=ROUND(Piso,0),ROUND(Categorias_Registro[[#This Row],[Puntos]]*(1+Categorias_Registro[[#This Row],[Amplitud]]),0),IF(Categorias_Registro[[#This Row],[Puntos]]&lt;D507,D507,ROUND(D507*(1+Categorias_Registro[[#This Row],[Amplitud]]),0)))</f>
        <v>2163</v>
      </c>
      <c r="E506" s="15">
        <f>E507+IF(D507=Categorias_Registro[[#This Row],[Máximo]],0,1)</f>
        <v>23</v>
      </c>
      <c r="F506" s="15">
        <f>ROUND(Categorias_Registro[[#This Row],[Mínimo]]+((Categorias_Registro[[#This Row],[Máximo]]-Categorias_Registro[[#This Row],[Mínimo]])/2),0)</f>
        <v>2023</v>
      </c>
      <c r="G506" s="78">
        <f>VLOOKUP(Categorias_Registro[[#This Row],[Puntos]],Categorias_Configuracion[],MATCH(Categorias_Configuracion[[#Headers],[% Amplitud]],Categorias_Configuracion[#Headers],0),TRUE)</f>
        <v>0.15</v>
      </c>
      <c r="H506" s="15" t="str">
        <f ca="1">TEXT(Categorias_Registro[[#This Row],[Mínimo]],Formato_Rango_Categorias)&amp;" - "&amp;TEXT(Categorias_Registro[[#This Row],[Máximo]],Formato_Rango_Categorias)</f>
        <v>1.882 - 2.163</v>
      </c>
    </row>
    <row r="507" spans="2:8">
      <c r="B507" s="15">
        <f>Techo - ROW() + ROW(Categorias_Registro[])</f>
        <v>2122</v>
      </c>
      <c r="C507" s="15">
        <f>IF(Categorias_Registro[[#This Row],[Puntos]]&lt;=ROUND(Piso,0),Piso,IF(Categorias_Registro[[#This Row],[Puntos]]&lt;D508,C508,D508+1))</f>
        <v>1882</v>
      </c>
      <c r="D507" s="15">
        <f>IF(Categorias_Registro[[#This Row],[Puntos]]=ROUND(Piso,0),ROUND(Categorias_Registro[[#This Row],[Puntos]]*(1+Categorias_Registro[[#This Row],[Amplitud]]),0),IF(Categorias_Registro[[#This Row],[Puntos]]&lt;D508,D508,ROUND(D508*(1+Categorias_Registro[[#This Row],[Amplitud]]),0)))</f>
        <v>2163</v>
      </c>
      <c r="E507" s="15">
        <f>E508+IF(D508=Categorias_Registro[[#This Row],[Máximo]],0,1)</f>
        <v>23</v>
      </c>
      <c r="F507" s="15">
        <f>ROUND(Categorias_Registro[[#This Row],[Mínimo]]+((Categorias_Registro[[#This Row],[Máximo]]-Categorias_Registro[[#This Row],[Mínimo]])/2),0)</f>
        <v>2023</v>
      </c>
      <c r="G507" s="78">
        <f>VLOOKUP(Categorias_Registro[[#This Row],[Puntos]],Categorias_Configuracion[],MATCH(Categorias_Configuracion[[#Headers],[% Amplitud]],Categorias_Configuracion[#Headers],0),TRUE)</f>
        <v>0.15</v>
      </c>
      <c r="H507" s="15" t="str">
        <f ca="1">TEXT(Categorias_Registro[[#This Row],[Mínimo]],Formato_Rango_Categorias)&amp;" - "&amp;TEXT(Categorias_Registro[[#This Row],[Máximo]],Formato_Rango_Categorias)</f>
        <v>1.882 - 2.163</v>
      </c>
    </row>
    <row r="508" spans="2:8">
      <c r="B508" s="15">
        <f>Techo - ROW() + ROW(Categorias_Registro[])</f>
        <v>2121</v>
      </c>
      <c r="C508" s="15">
        <f>IF(Categorias_Registro[[#This Row],[Puntos]]&lt;=ROUND(Piso,0),Piso,IF(Categorias_Registro[[#This Row],[Puntos]]&lt;D509,C509,D509+1))</f>
        <v>1882</v>
      </c>
      <c r="D508" s="15">
        <f>IF(Categorias_Registro[[#This Row],[Puntos]]=ROUND(Piso,0),ROUND(Categorias_Registro[[#This Row],[Puntos]]*(1+Categorias_Registro[[#This Row],[Amplitud]]),0),IF(Categorias_Registro[[#This Row],[Puntos]]&lt;D509,D509,ROUND(D509*(1+Categorias_Registro[[#This Row],[Amplitud]]),0)))</f>
        <v>2163</v>
      </c>
      <c r="E508" s="15">
        <f>E509+IF(D509=Categorias_Registro[[#This Row],[Máximo]],0,1)</f>
        <v>23</v>
      </c>
      <c r="F508" s="15">
        <f>ROUND(Categorias_Registro[[#This Row],[Mínimo]]+((Categorias_Registro[[#This Row],[Máximo]]-Categorias_Registro[[#This Row],[Mínimo]])/2),0)</f>
        <v>2023</v>
      </c>
      <c r="G508" s="78">
        <f>VLOOKUP(Categorias_Registro[[#This Row],[Puntos]],Categorias_Configuracion[],MATCH(Categorias_Configuracion[[#Headers],[% Amplitud]],Categorias_Configuracion[#Headers],0),TRUE)</f>
        <v>0.15</v>
      </c>
      <c r="H508" s="15" t="str">
        <f ca="1">TEXT(Categorias_Registro[[#This Row],[Mínimo]],Formato_Rango_Categorias)&amp;" - "&amp;TEXT(Categorias_Registro[[#This Row],[Máximo]],Formato_Rango_Categorias)</f>
        <v>1.882 - 2.163</v>
      </c>
    </row>
    <row r="509" spans="2:8">
      <c r="B509" s="15">
        <f>Techo - ROW() + ROW(Categorias_Registro[])</f>
        <v>2120</v>
      </c>
      <c r="C509" s="15">
        <f>IF(Categorias_Registro[[#This Row],[Puntos]]&lt;=ROUND(Piso,0),Piso,IF(Categorias_Registro[[#This Row],[Puntos]]&lt;D510,C510,D510+1))</f>
        <v>1882</v>
      </c>
      <c r="D509" s="15">
        <f>IF(Categorias_Registro[[#This Row],[Puntos]]=ROUND(Piso,0),ROUND(Categorias_Registro[[#This Row],[Puntos]]*(1+Categorias_Registro[[#This Row],[Amplitud]]),0),IF(Categorias_Registro[[#This Row],[Puntos]]&lt;D510,D510,ROUND(D510*(1+Categorias_Registro[[#This Row],[Amplitud]]),0)))</f>
        <v>2163</v>
      </c>
      <c r="E509" s="15">
        <f>E510+IF(D510=Categorias_Registro[[#This Row],[Máximo]],0,1)</f>
        <v>23</v>
      </c>
      <c r="F509" s="15">
        <f>ROUND(Categorias_Registro[[#This Row],[Mínimo]]+((Categorias_Registro[[#This Row],[Máximo]]-Categorias_Registro[[#This Row],[Mínimo]])/2),0)</f>
        <v>2023</v>
      </c>
      <c r="G509" s="78">
        <f>VLOOKUP(Categorias_Registro[[#This Row],[Puntos]],Categorias_Configuracion[],MATCH(Categorias_Configuracion[[#Headers],[% Amplitud]],Categorias_Configuracion[#Headers],0),TRUE)</f>
        <v>0.15</v>
      </c>
      <c r="H509" s="15" t="str">
        <f ca="1">TEXT(Categorias_Registro[[#This Row],[Mínimo]],Formato_Rango_Categorias)&amp;" - "&amp;TEXT(Categorias_Registro[[#This Row],[Máximo]],Formato_Rango_Categorias)</f>
        <v>1.882 - 2.163</v>
      </c>
    </row>
    <row r="510" spans="2:8">
      <c r="B510" s="15">
        <f>Techo - ROW() + ROW(Categorias_Registro[])</f>
        <v>2119</v>
      </c>
      <c r="C510" s="15">
        <f>IF(Categorias_Registro[[#This Row],[Puntos]]&lt;=ROUND(Piso,0),Piso,IF(Categorias_Registro[[#This Row],[Puntos]]&lt;D511,C511,D511+1))</f>
        <v>1882</v>
      </c>
      <c r="D510" s="15">
        <f>IF(Categorias_Registro[[#This Row],[Puntos]]=ROUND(Piso,0),ROUND(Categorias_Registro[[#This Row],[Puntos]]*(1+Categorias_Registro[[#This Row],[Amplitud]]),0),IF(Categorias_Registro[[#This Row],[Puntos]]&lt;D511,D511,ROUND(D511*(1+Categorias_Registro[[#This Row],[Amplitud]]),0)))</f>
        <v>2163</v>
      </c>
      <c r="E510" s="15">
        <f>E511+IF(D511=Categorias_Registro[[#This Row],[Máximo]],0,1)</f>
        <v>23</v>
      </c>
      <c r="F510" s="15">
        <f>ROUND(Categorias_Registro[[#This Row],[Mínimo]]+((Categorias_Registro[[#This Row],[Máximo]]-Categorias_Registro[[#This Row],[Mínimo]])/2),0)</f>
        <v>2023</v>
      </c>
      <c r="G510" s="78">
        <f>VLOOKUP(Categorias_Registro[[#This Row],[Puntos]],Categorias_Configuracion[],MATCH(Categorias_Configuracion[[#Headers],[% Amplitud]],Categorias_Configuracion[#Headers],0),TRUE)</f>
        <v>0.15</v>
      </c>
      <c r="H510" s="15" t="str">
        <f ca="1">TEXT(Categorias_Registro[[#This Row],[Mínimo]],Formato_Rango_Categorias)&amp;" - "&amp;TEXT(Categorias_Registro[[#This Row],[Máximo]],Formato_Rango_Categorias)</f>
        <v>1.882 - 2.163</v>
      </c>
    </row>
    <row r="511" spans="2:8">
      <c r="B511" s="15">
        <f>Techo - ROW() + ROW(Categorias_Registro[])</f>
        <v>2118</v>
      </c>
      <c r="C511" s="15">
        <f>IF(Categorias_Registro[[#This Row],[Puntos]]&lt;=ROUND(Piso,0),Piso,IF(Categorias_Registro[[#This Row],[Puntos]]&lt;D512,C512,D512+1))</f>
        <v>1882</v>
      </c>
      <c r="D511" s="15">
        <f>IF(Categorias_Registro[[#This Row],[Puntos]]=ROUND(Piso,0),ROUND(Categorias_Registro[[#This Row],[Puntos]]*(1+Categorias_Registro[[#This Row],[Amplitud]]),0),IF(Categorias_Registro[[#This Row],[Puntos]]&lt;D512,D512,ROUND(D512*(1+Categorias_Registro[[#This Row],[Amplitud]]),0)))</f>
        <v>2163</v>
      </c>
      <c r="E511" s="15">
        <f>E512+IF(D512=Categorias_Registro[[#This Row],[Máximo]],0,1)</f>
        <v>23</v>
      </c>
      <c r="F511" s="15">
        <f>ROUND(Categorias_Registro[[#This Row],[Mínimo]]+((Categorias_Registro[[#This Row],[Máximo]]-Categorias_Registro[[#This Row],[Mínimo]])/2),0)</f>
        <v>2023</v>
      </c>
      <c r="G511" s="78">
        <f>VLOOKUP(Categorias_Registro[[#This Row],[Puntos]],Categorias_Configuracion[],MATCH(Categorias_Configuracion[[#Headers],[% Amplitud]],Categorias_Configuracion[#Headers],0),TRUE)</f>
        <v>0.15</v>
      </c>
      <c r="H511" s="15" t="str">
        <f ca="1">TEXT(Categorias_Registro[[#This Row],[Mínimo]],Formato_Rango_Categorias)&amp;" - "&amp;TEXT(Categorias_Registro[[#This Row],[Máximo]],Formato_Rango_Categorias)</f>
        <v>1.882 - 2.163</v>
      </c>
    </row>
    <row r="512" spans="2:8">
      <c r="B512" s="15">
        <f>Techo - ROW() + ROW(Categorias_Registro[])</f>
        <v>2117</v>
      </c>
      <c r="C512" s="15">
        <f>IF(Categorias_Registro[[#This Row],[Puntos]]&lt;=ROUND(Piso,0),Piso,IF(Categorias_Registro[[#This Row],[Puntos]]&lt;D513,C513,D513+1))</f>
        <v>1882</v>
      </c>
      <c r="D512" s="15">
        <f>IF(Categorias_Registro[[#This Row],[Puntos]]=ROUND(Piso,0),ROUND(Categorias_Registro[[#This Row],[Puntos]]*(1+Categorias_Registro[[#This Row],[Amplitud]]),0),IF(Categorias_Registro[[#This Row],[Puntos]]&lt;D513,D513,ROUND(D513*(1+Categorias_Registro[[#This Row],[Amplitud]]),0)))</f>
        <v>2163</v>
      </c>
      <c r="E512" s="15">
        <f>E513+IF(D513=Categorias_Registro[[#This Row],[Máximo]],0,1)</f>
        <v>23</v>
      </c>
      <c r="F512" s="15">
        <f>ROUND(Categorias_Registro[[#This Row],[Mínimo]]+((Categorias_Registro[[#This Row],[Máximo]]-Categorias_Registro[[#This Row],[Mínimo]])/2),0)</f>
        <v>2023</v>
      </c>
      <c r="G512" s="78">
        <f>VLOOKUP(Categorias_Registro[[#This Row],[Puntos]],Categorias_Configuracion[],MATCH(Categorias_Configuracion[[#Headers],[% Amplitud]],Categorias_Configuracion[#Headers],0),TRUE)</f>
        <v>0.15</v>
      </c>
      <c r="H512" s="15" t="str">
        <f ca="1">TEXT(Categorias_Registro[[#This Row],[Mínimo]],Formato_Rango_Categorias)&amp;" - "&amp;TEXT(Categorias_Registro[[#This Row],[Máximo]],Formato_Rango_Categorias)</f>
        <v>1.882 - 2.163</v>
      </c>
    </row>
    <row r="513" spans="2:8">
      <c r="B513" s="15">
        <f>Techo - ROW() + ROW(Categorias_Registro[])</f>
        <v>2116</v>
      </c>
      <c r="C513" s="15">
        <f>IF(Categorias_Registro[[#This Row],[Puntos]]&lt;=ROUND(Piso,0),Piso,IF(Categorias_Registro[[#This Row],[Puntos]]&lt;D514,C514,D514+1))</f>
        <v>1882</v>
      </c>
      <c r="D513" s="15">
        <f>IF(Categorias_Registro[[#This Row],[Puntos]]=ROUND(Piso,0),ROUND(Categorias_Registro[[#This Row],[Puntos]]*(1+Categorias_Registro[[#This Row],[Amplitud]]),0),IF(Categorias_Registro[[#This Row],[Puntos]]&lt;D514,D514,ROUND(D514*(1+Categorias_Registro[[#This Row],[Amplitud]]),0)))</f>
        <v>2163</v>
      </c>
      <c r="E513" s="15">
        <f>E514+IF(D514=Categorias_Registro[[#This Row],[Máximo]],0,1)</f>
        <v>23</v>
      </c>
      <c r="F513" s="15">
        <f>ROUND(Categorias_Registro[[#This Row],[Mínimo]]+((Categorias_Registro[[#This Row],[Máximo]]-Categorias_Registro[[#This Row],[Mínimo]])/2),0)</f>
        <v>2023</v>
      </c>
      <c r="G513" s="78">
        <f>VLOOKUP(Categorias_Registro[[#This Row],[Puntos]],Categorias_Configuracion[],MATCH(Categorias_Configuracion[[#Headers],[% Amplitud]],Categorias_Configuracion[#Headers],0),TRUE)</f>
        <v>0.15</v>
      </c>
      <c r="H513" s="15" t="str">
        <f ca="1">TEXT(Categorias_Registro[[#This Row],[Mínimo]],Formato_Rango_Categorias)&amp;" - "&amp;TEXT(Categorias_Registro[[#This Row],[Máximo]],Formato_Rango_Categorias)</f>
        <v>1.882 - 2.163</v>
      </c>
    </row>
    <row r="514" spans="2:8">
      <c r="B514" s="15">
        <f>Techo - ROW() + ROW(Categorias_Registro[])</f>
        <v>2115</v>
      </c>
      <c r="C514" s="15">
        <f>IF(Categorias_Registro[[#This Row],[Puntos]]&lt;=ROUND(Piso,0),Piso,IF(Categorias_Registro[[#This Row],[Puntos]]&lt;D515,C515,D515+1))</f>
        <v>1882</v>
      </c>
      <c r="D514" s="15">
        <f>IF(Categorias_Registro[[#This Row],[Puntos]]=ROUND(Piso,0),ROUND(Categorias_Registro[[#This Row],[Puntos]]*(1+Categorias_Registro[[#This Row],[Amplitud]]),0),IF(Categorias_Registro[[#This Row],[Puntos]]&lt;D515,D515,ROUND(D515*(1+Categorias_Registro[[#This Row],[Amplitud]]),0)))</f>
        <v>2163</v>
      </c>
      <c r="E514" s="15">
        <f>E515+IF(D515=Categorias_Registro[[#This Row],[Máximo]],0,1)</f>
        <v>23</v>
      </c>
      <c r="F514" s="15">
        <f>ROUND(Categorias_Registro[[#This Row],[Mínimo]]+((Categorias_Registro[[#This Row],[Máximo]]-Categorias_Registro[[#This Row],[Mínimo]])/2),0)</f>
        <v>2023</v>
      </c>
      <c r="G514" s="78">
        <f>VLOOKUP(Categorias_Registro[[#This Row],[Puntos]],Categorias_Configuracion[],MATCH(Categorias_Configuracion[[#Headers],[% Amplitud]],Categorias_Configuracion[#Headers],0),TRUE)</f>
        <v>0.15</v>
      </c>
      <c r="H514" s="15" t="str">
        <f ca="1">TEXT(Categorias_Registro[[#This Row],[Mínimo]],Formato_Rango_Categorias)&amp;" - "&amp;TEXT(Categorias_Registro[[#This Row],[Máximo]],Formato_Rango_Categorias)</f>
        <v>1.882 - 2.163</v>
      </c>
    </row>
    <row r="515" spans="2:8">
      <c r="B515" s="15">
        <f>Techo - ROW() + ROW(Categorias_Registro[])</f>
        <v>2114</v>
      </c>
      <c r="C515" s="15">
        <f>IF(Categorias_Registro[[#This Row],[Puntos]]&lt;=ROUND(Piso,0),Piso,IF(Categorias_Registro[[#This Row],[Puntos]]&lt;D516,C516,D516+1))</f>
        <v>1882</v>
      </c>
      <c r="D515" s="15">
        <f>IF(Categorias_Registro[[#This Row],[Puntos]]=ROUND(Piso,0),ROUND(Categorias_Registro[[#This Row],[Puntos]]*(1+Categorias_Registro[[#This Row],[Amplitud]]),0),IF(Categorias_Registro[[#This Row],[Puntos]]&lt;D516,D516,ROUND(D516*(1+Categorias_Registro[[#This Row],[Amplitud]]),0)))</f>
        <v>2163</v>
      </c>
      <c r="E515" s="15">
        <f>E516+IF(D516=Categorias_Registro[[#This Row],[Máximo]],0,1)</f>
        <v>23</v>
      </c>
      <c r="F515" s="15">
        <f>ROUND(Categorias_Registro[[#This Row],[Mínimo]]+((Categorias_Registro[[#This Row],[Máximo]]-Categorias_Registro[[#This Row],[Mínimo]])/2),0)</f>
        <v>2023</v>
      </c>
      <c r="G515" s="78">
        <f>VLOOKUP(Categorias_Registro[[#This Row],[Puntos]],Categorias_Configuracion[],MATCH(Categorias_Configuracion[[#Headers],[% Amplitud]],Categorias_Configuracion[#Headers],0),TRUE)</f>
        <v>0.15</v>
      </c>
      <c r="H515" s="15" t="str">
        <f ca="1">TEXT(Categorias_Registro[[#This Row],[Mínimo]],Formato_Rango_Categorias)&amp;" - "&amp;TEXT(Categorias_Registro[[#This Row],[Máximo]],Formato_Rango_Categorias)</f>
        <v>1.882 - 2.163</v>
      </c>
    </row>
    <row r="516" spans="2:8">
      <c r="B516" s="15">
        <f>Techo - ROW() + ROW(Categorias_Registro[])</f>
        <v>2113</v>
      </c>
      <c r="C516" s="15">
        <f>IF(Categorias_Registro[[#This Row],[Puntos]]&lt;=ROUND(Piso,0),Piso,IF(Categorias_Registro[[#This Row],[Puntos]]&lt;D517,C517,D517+1))</f>
        <v>1882</v>
      </c>
      <c r="D516" s="15">
        <f>IF(Categorias_Registro[[#This Row],[Puntos]]=ROUND(Piso,0),ROUND(Categorias_Registro[[#This Row],[Puntos]]*(1+Categorias_Registro[[#This Row],[Amplitud]]),0),IF(Categorias_Registro[[#This Row],[Puntos]]&lt;D517,D517,ROUND(D517*(1+Categorias_Registro[[#This Row],[Amplitud]]),0)))</f>
        <v>2163</v>
      </c>
      <c r="E516" s="15">
        <f>E517+IF(D517=Categorias_Registro[[#This Row],[Máximo]],0,1)</f>
        <v>23</v>
      </c>
      <c r="F516" s="15">
        <f>ROUND(Categorias_Registro[[#This Row],[Mínimo]]+((Categorias_Registro[[#This Row],[Máximo]]-Categorias_Registro[[#This Row],[Mínimo]])/2),0)</f>
        <v>2023</v>
      </c>
      <c r="G516" s="78">
        <f>VLOOKUP(Categorias_Registro[[#This Row],[Puntos]],Categorias_Configuracion[],MATCH(Categorias_Configuracion[[#Headers],[% Amplitud]],Categorias_Configuracion[#Headers],0),TRUE)</f>
        <v>0.15</v>
      </c>
      <c r="H516" s="15" t="str">
        <f ca="1">TEXT(Categorias_Registro[[#This Row],[Mínimo]],Formato_Rango_Categorias)&amp;" - "&amp;TEXT(Categorias_Registro[[#This Row],[Máximo]],Formato_Rango_Categorias)</f>
        <v>1.882 - 2.163</v>
      </c>
    </row>
    <row r="517" spans="2:8">
      <c r="B517" s="15">
        <f>Techo - ROW() + ROW(Categorias_Registro[])</f>
        <v>2112</v>
      </c>
      <c r="C517" s="15">
        <f>IF(Categorias_Registro[[#This Row],[Puntos]]&lt;=ROUND(Piso,0),Piso,IF(Categorias_Registro[[#This Row],[Puntos]]&lt;D518,C518,D518+1))</f>
        <v>1882</v>
      </c>
      <c r="D517" s="15">
        <f>IF(Categorias_Registro[[#This Row],[Puntos]]=ROUND(Piso,0),ROUND(Categorias_Registro[[#This Row],[Puntos]]*(1+Categorias_Registro[[#This Row],[Amplitud]]),0),IF(Categorias_Registro[[#This Row],[Puntos]]&lt;D518,D518,ROUND(D518*(1+Categorias_Registro[[#This Row],[Amplitud]]),0)))</f>
        <v>2163</v>
      </c>
      <c r="E517" s="15">
        <f>E518+IF(D518=Categorias_Registro[[#This Row],[Máximo]],0,1)</f>
        <v>23</v>
      </c>
      <c r="F517" s="15">
        <f>ROUND(Categorias_Registro[[#This Row],[Mínimo]]+((Categorias_Registro[[#This Row],[Máximo]]-Categorias_Registro[[#This Row],[Mínimo]])/2),0)</f>
        <v>2023</v>
      </c>
      <c r="G517" s="78">
        <f>VLOOKUP(Categorias_Registro[[#This Row],[Puntos]],Categorias_Configuracion[],MATCH(Categorias_Configuracion[[#Headers],[% Amplitud]],Categorias_Configuracion[#Headers],0),TRUE)</f>
        <v>0.15</v>
      </c>
      <c r="H517" s="15" t="str">
        <f ca="1">TEXT(Categorias_Registro[[#This Row],[Mínimo]],Formato_Rango_Categorias)&amp;" - "&amp;TEXT(Categorias_Registro[[#This Row],[Máximo]],Formato_Rango_Categorias)</f>
        <v>1.882 - 2.163</v>
      </c>
    </row>
    <row r="518" spans="2:8">
      <c r="B518" s="15">
        <f>Techo - ROW() + ROW(Categorias_Registro[])</f>
        <v>2111</v>
      </c>
      <c r="C518" s="15">
        <f>IF(Categorias_Registro[[#This Row],[Puntos]]&lt;=ROUND(Piso,0),Piso,IF(Categorias_Registro[[#This Row],[Puntos]]&lt;D519,C519,D519+1))</f>
        <v>1882</v>
      </c>
      <c r="D518" s="15">
        <f>IF(Categorias_Registro[[#This Row],[Puntos]]=ROUND(Piso,0),ROUND(Categorias_Registro[[#This Row],[Puntos]]*(1+Categorias_Registro[[#This Row],[Amplitud]]),0),IF(Categorias_Registro[[#This Row],[Puntos]]&lt;D519,D519,ROUND(D519*(1+Categorias_Registro[[#This Row],[Amplitud]]),0)))</f>
        <v>2163</v>
      </c>
      <c r="E518" s="15">
        <f>E519+IF(D519=Categorias_Registro[[#This Row],[Máximo]],0,1)</f>
        <v>23</v>
      </c>
      <c r="F518" s="15">
        <f>ROUND(Categorias_Registro[[#This Row],[Mínimo]]+((Categorias_Registro[[#This Row],[Máximo]]-Categorias_Registro[[#This Row],[Mínimo]])/2),0)</f>
        <v>2023</v>
      </c>
      <c r="G518" s="78">
        <f>VLOOKUP(Categorias_Registro[[#This Row],[Puntos]],Categorias_Configuracion[],MATCH(Categorias_Configuracion[[#Headers],[% Amplitud]],Categorias_Configuracion[#Headers],0),TRUE)</f>
        <v>0.15</v>
      </c>
      <c r="H518" s="15" t="str">
        <f ca="1">TEXT(Categorias_Registro[[#This Row],[Mínimo]],Formato_Rango_Categorias)&amp;" - "&amp;TEXT(Categorias_Registro[[#This Row],[Máximo]],Formato_Rango_Categorias)</f>
        <v>1.882 - 2.163</v>
      </c>
    </row>
    <row r="519" spans="2:8">
      <c r="B519" s="15">
        <f>Techo - ROW() + ROW(Categorias_Registro[])</f>
        <v>2110</v>
      </c>
      <c r="C519" s="15">
        <f>IF(Categorias_Registro[[#This Row],[Puntos]]&lt;=ROUND(Piso,0),Piso,IF(Categorias_Registro[[#This Row],[Puntos]]&lt;D520,C520,D520+1))</f>
        <v>1882</v>
      </c>
      <c r="D519" s="15">
        <f>IF(Categorias_Registro[[#This Row],[Puntos]]=ROUND(Piso,0),ROUND(Categorias_Registro[[#This Row],[Puntos]]*(1+Categorias_Registro[[#This Row],[Amplitud]]),0),IF(Categorias_Registro[[#This Row],[Puntos]]&lt;D520,D520,ROUND(D520*(1+Categorias_Registro[[#This Row],[Amplitud]]),0)))</f>
        <v>2163</v>
      </c>
      <c r="E519" s="15">
        <f>E520+IF(D520=Categorias_Registro[[#This Row],[Máximo]],0,1)</f>
        <v>23</v>
      </c>
      <c r="F519" s="15">
        <f>ROUND(Categorias_Registro[[#This Row],[Mínimo]]+((Categorias_Registro[[#This Row],[Máximo]]-Categorias_Registro[[#This Row],[Mínimo]])/2),0)</f>
        <v>2023</v>
      </c>
      <c r="G519" s="78">
        <f>VLOOKUP(Categorias_Registro[[#This Row],[Puntos]],Categorias_Configuracion[],MATCH(Categorias_Configuracion[[#Headers],[% Amplitud]],Categorias_Configuracion[#Headers],0),TRUE)</f>
        <v>0.15</v>
      </c>
      <c r="H519" s="15" t="str">
        <f ca="1">TEXT(Categorias_Registro[[#This Row],[Mínimo]],Formato_Rango_Categorias)&amp;" - "&amp;TEXT(Categorias_Registro[[#This Row],[Máximo]],Formato_Rango_Categorias)</f>
        <v>1.882 - 2.163</v>
      </c>
    </row>
    <row r="520" spans="2:8">
      <c r="B520" s="15">
        <f>Techo - ROW() + ROW(Categorias_Registro[])</f>
        <v>2109</v>
      </c>
      <c r="C520" s="15">
        <f>IF(Categorias_Registro[[#This Row],[Puntos]]&lt;=ROUND(Piso,0),Piso,IF(Categorias_Registro[[#This Row],[Puntos]]&lt;D521,C521,D521+1))</f>
        <v>1882</v>
      </c>
      <c r="D520" s="15">
        <f>IF(Categorias_Registro[[#This Row],[Puntos]]=ROUND(Piso,0),ROUND(Categorias_Registro[[#This Row],[Puntos]]*(1+Categorias_Registro[[#This Row],[Amplitud]]),0),IF(Categorias_Registro[[#This Row],[Puntos]]&lt;D521,D521,ROUND(D521*(1+Categorias_Registro[[#This Row],[Amplitud]]),0)))</f>
        <v>2163</v>
      </c>
      <c r="E520" s="15">
        <f>E521+IF(D521=Categorias_Registro[[#This Row],[Máximo]],0,1)</f>
        <v>23</v>
      </c>
      <c r="F520" s="15">
        <f>ROUND(Categorias_Registro[[#This Row],[Mínimo]]+((Categorias_Registro[[#This Row],[Máximo]]-Categorias_Registro[[#This Row],[Mínimo]])/2),0)</f>
        <v>2023</v>
      </c>
      <c r="G520" s="78">
        <f>VLOOKUP(Categorias_Registro[[#This Row],[Puntos]],Categorias_Configuracion[],MATCH(Categorias_Configuracion[[#Headers],[% Amplitud]],Categorias_Configuracion[#Headers],0),TRUE)</f>
        <v>0.15</v>
      </c>
      <c r="H520" s="15" t="str">
        <f ca="1">TEXT(Categorias_Registro[[#This Row],[Mínimo]],Formato_Rango_Categorias)&amp;" - "&amp;TEXT(Categorias_Registro[[#This Row],[Máximo]],Formato_Rango_Categorias)</f>
        <v>1.882 - 2.163</v>
      </c>
    </row>
    <row r="521" spans="2:8">
      <c r="B521" s="15">
        <f>Techo - ROW() + ROW(Categorias_Registro[])</f>
        <v>2108</v>
      </c>
      <c r="C521" s="15">
        <f>IF(Categorias_Registro[[#This Row],[Puntos]]&lt;=ROUND(Piso,0),Piso,IF(Categorias_Registro[[#This Row],[Puntos]]&lt;D522,C522,D522+1))</f>
        <v>1882</v>
      </c>
      <c r="D521" s="15">
        <f>IF(Categorias_Registro[[#This Row],[Puntos]]=ROUND(Piso,0),ROUND(Categorias_Registro[[#This Row],[Puntos]]*(1+Categorias_Registro[[#This Row],[Amplitud]]),0),IF(Categorias_Registro[[#This Row],[Puntos]]&lt;D522,D522,ROUND(D522*(1+Categorias_Registro[[#This Row],[Amplitud]]),0)))</f>
        <v>2163</v>
      </c>
      <c r="E521" s="15">
        <f>E522+IF(D522=Categorias_Registro[[#This Row],[Máximo]],0,1)</f>
        <v>23</v>
      </c>
      <c r="F521" s="15">
        <f>ROUND(Categorias_Registro[[#This Row],[Mínimo]]+((Categorias_Registro[[#This Row],[Máximo]]-Categorias_Registro[[#This Row],[Mínimo]])/2),0)</f>
        <v>2023</v>
      </c>
      <c r="G521" s="78">
        <f>VLOOKUP(Categorias_Registro[[#This Row],[Puntos]],Categorias_Configuracion[],MATCH(Categorias_Configuracion[[#Headers],[% Amplitud]],Categorias_Configuracion[#Headers],0),TRUE)</f>
        <v>0.15</v>
      </c>
      <c r="H521" s="15" t="str">
        <f ca="1">TEXT(Categorias_Registro[[#This Row],[Mínimo]],Formato_Rango_Categorias)&amp;" - "&amp;TEXT(Categorias_Registro[[#This Row],[Máximo]],Formato_Rango_Categorias)</f>
        <v>1.882 - 2.163</v>
      </c>
    </row>
    <row r="522" spans="2:8">
      <c r="B522" s="15">
        <f>Techo - ROW() + ROW(Categorias_Registro[])</f>
        <v>2107</v>
      </c>
      <c r="C522" s="15">
        <f>IF(Categorias_Registro[[#This Row],[Puntos]]&lt;=ROUND(Piso,0),Piso,IF(Categorias_Registro[[#This Row],[Puntos]]&lt;D523,C523,D523+1))</f>
        <v>1882</v>
      </c>
      <c r="D522" s="15">
        <f>IF(Categorias_Registro[[#This Row],[Puntos]]=ROUND(Piso,0),ROUND(Categorias_Registro[[#This Row],[Puntos]]*(1+Categorias_Registro[[#This Row],[Amplitud]]),0),IF(Categorias_Registro[[#This Row],[Puntos]]&lt;D523,D523,ROUND(D523*(1+Categorias_Registro[[#This Row],[Amplitud]]),0)))</f>
        <v>2163</v>
      </c>
      <c r="E522" s="15">
        <f>E523+IF(D523=Categorias_Registro[[#This Row],[Máximo]],0,1)</f>
        <v>23</v>
      </c>
      <c r="F522" s="15">
        <f>ROUND(Categorias_Registro[[#This Row],[Mínimo]]+((Categorias_Registro[[#This Row],[Máximo]]-Categorias_Registro[[#This Row],[Mínimo]])/2),0)</f>
        <v>2023</v>
      </c>
      <c r="G522" s="78">
        <f>VLOOKUP(Categorias_Registro[[#This Row],[Puntos]],Categorias_Configuracion[],MATCH(Categorias_Configuracion[[#Headers],[% Amplitud]],Categorias_Configuracion[#Headers],0),TRUE)</f>
        <v>0.15</v>
      </c>
      <c r="H522" s="15" t="str">
        <f ca="1">TEXT(Categorias_Registro[[#This Row],[Mínimo]],Formato_Rango_Categorias)&amp;" - "&amp;TEXT(Categorias_Registro[[#This Row],[Máximo]],Formato_Rango_Categorias)</f>
        <v>1.882 - 2.163</v>
      </c>
    </row>
    <row r="523" spans="2:8">
      <c r="B523" s="15">
        <f>Techo - ROW() + ROW(Categorias_Registro[])</f>
        <v>2106</v>
      </c>
      <c r="C523" s="15">
        <f>IF(Categorias_Registro[[#This Row],[Puntos]]&lt;=ROUND(Piso,0),Piso,IF(Categorias_Registro[[#This Row],[Puntos]]&lt;D524,C524,D524+1))</f>
        <v>1882</v>
      </c>
      <c r="D523" s="15">
        <f>IF(Categorias_Registro[[#This Row],[Puntos]]=ROUND(Piso,0),ROUND(Categorias_Registro[[#This Row],[Puntos]]*(1+Categorias_Registro[[#This Row],[Amplitud]]),0),IF(Categorias_Registro[[#This Row],[Puntos]]&lt;D524,D524,ROUND(D524*(1+Categorias_Registro[[#This Row],[Amplitud]]),0)))</f>
        <v>2163</v>
      </c>
      <c r="E523" s="15">
        <f>E524+IF(D524=Categorias_Registro[[#This Row],[Máximo]],0,1)</f>
        <v>23</v>
      </c>
      <c r="F523" s="15">
        <f>ROUND(Categorias_Registro[[#This Row],[Mínimo]]+((Categorias_Registro[[#This Row],[Máximo]]-Categorias_Registro[[#This Row],[Mínimo]])/2),0)</f>
        <v>2023</v>
      </c>
      <c r="G523" s="78">
        <f>VLOOKUP(Categorias_Registro[[#This Row],[Puntos]],Categorias_Configuracion[],MATCH(Categorias_Configuracion[[#Headers],[% Amplitud]],Categorias_Configuracion[#Headers],0),TRUE)</f>
        <v>0.15</v>
      </c>
      <c r="H523" s="15" t="str">
        <f ca="1">TEXT(Categorias_Registro[[#This Row],[Mínimo]],Formato_Rango_Categorias)&amp;" - "&amp;TEXT(Categorias_Registro[[#This Row],[Máximo]],Formato_Rango_Categorias)</f>
        <v>1.882 - 2.163</v>
      </c>
    </row>
    <row r="524" spans="2:8">
      <c r="B524" s="15">
        <f>Techo - ROW() + ROW(Categorias_Registro[])</f>
        <v>2105</v>
      </c>
      <c r="C524" s="15">
        <f>IF(Categorias_Registro[[#This Row],[Puntos]]&lt;=ROUND(Piso,0),Piso,IF(Categorias_Registro[[#This Row],[Puntos]]&lt;D525,C525,D525+1))</f>
        <v>1882</v>
      </c>
      <c r="D524" s="15">
        <f>IF(Categorias_Registro[[#This Row],[Puntos]]=ROUND(Piso,0),ROUND(Categorias_Registro[[#This Row],[Puntos]]*(1+Categorias_Registro[[#This Row],[Amplitud]]),0),IF(Categorias_Registro[[#This Row],[Puntos]]&lt;D525,D525,ROUND(D525*(1+Categorias_Registro[[#This Row],[Amplitud]]),0)))</f>
        <v>2163</v>
      </c>
      <c r="E524" s="15">
        <f>E525+IF(D525=Categorias_Registro[[#This Row],[Máximo]],0,1)</f>
        <v>23</v>
      </c>
      <c r="F524" s="15">
        <f>ROUND(Categorias_Registro[[#This Row],[Mínimo]]+((Categorias_Registro[[#This Row],[Máximo]]-Categorias_Registro[[#This Row],[Mínimo]])/2),0)</f>
        <v>2023</v>
      </c>
      <c r="G524" s="78">
        <f>VLOOKUP(Categorias_Registro[[#This Row],[Puntos]],Categorias_Configuracion[],MATCH(Categorias_Configuracion[[#Headers],[% Amplitud]],Categorias_Configuracion[#Headers],0),TRUE)</f>
        <v>0.15</v>
      </c>
      <c r="H524" s="15" t="str">
        <f ca="1">TEXT(Categorias_Registro[[#This Row],[Mínimo]],Formato_Rango_Categorias)&amp;" - "&amp;TEXT(Categorias_Registro[[#This Row],[Máximo]],Formato_Rango_Categorias)</f>
        <v>1.882 - 2.163</v>
      </c>
    </row>
    <row r="525" spans="2:8">
      <c r="B525" s="15">
        <f>Techo - ROW() + ROW(Categorias_Registro[])</f>
        <v>2104</v>
      </c>
      <c r="C525" s="15">
        <f>IF(Categorias_Registro[[#This Row],[Puntos]]&lt;=ROUND(Piso,0),Piso,IF(Categorias_Registro[[#This Row],[Puntos]]&lt;D526,C526,D526+1))</f>
        <v>1882</v>
      </c>
      <c r="D525" s="15">
        <f>IF(Categorias_Registro[[#This Row],[Puntos]]=ROUND(Piso,0),ROUND(Categorias_Registro[[#This Row],[Puntos]]*(1+Categorias_Registro[[#This Row],[Amplitud]]),0),IF(Categorias_Registro[[#This Row],[Puntos]]&lt;D526,D526,ROUND(D526*(1+Categorias_Registro[[#This Row],[Amplitud]]),0)))</f>
        <v>2163</v>
      </c>
      <c r="E525" s="15">
        <f>E526+IF(D526=Categorias_Registro[[#This Row],[Máximo]],0,1)</f>
        <v>23</v>
      </c>
      <c r="F525" s="15">
        <f>ROUND(Categorias_Registro[[#This Row],[Mínimo]]+((Categorias_Registro[[#This Row],[Máximo]]-Categorias_Registro[[#This Row],[Mínimo]])/2),0)</f>
        <v>2023</v>
      </c>
      <c r="G525" s="78">
        <f>VLOOKUP(Categorias_Registro[[#This Row],[Puntos]],Categorias_Configuracion[],MATCH(Categorias_Configuracion[[#Headers],[% Amplitud]],Categorias_Configuracion[#Headers],0),TRUE)</f>
        <v>0.15</v>
      </c>
      <c r="H525" s="15" t="str">
        <f ca="1">TEXT(Categorias_Registro[[#This Row],[Mínimo]],Formato_Rango_Categorias)&amp;" - "&amp;TEXT(Categorias_Registro[[#This Row],[Máximo]],Formato_Rango_Categorias)</f>
        <v>1.882 - 2.163</v>
      </c>
    </row>
    <row r="526" spans="2:8">
      <c r="B526" s="15">
        <f>Techo - ROW() + ROW(Categorias_Registro[])</f>
        <v>2103</v>
      </c>
      <c r="C526" s="15">
        <f>IF(Categorias_Registro[[#This Row],[Puntos]]&lt;=ROUND(Piso,0),Piso,IF(Categorias_Registro[[#This Row],[Puntos]]&lt;D527,C527,D527+1))</f>
        <v>1882</v>
      </c>
      <c r="D526" s="15">
        <f>IF(Categorias_Registro[[#This Row],[Puntos]]=ROUND(Piso,0),ROUND(Categorias_Registro[[#This Row],[Puntos]]*(1+Categorias_Registro[[#This Row],[Amplitud]]),0),IF(Categorias_Registro[[#This Row],[Puntos]]&lt;D527,D527,ROUND(D527*(1+Categorias_Registro[[#This Row],[Amplitud]]),0)))</f>
        <v>2163</v>
      </c>
      <c r="E526" s="15">
        <f>E527+IF(D527=Categorias_Registro[[#This Row],[Máximo]],0,1)</f>
        <v>23</v>
      </c>
      <c r="F526" s="15">
        <f>ROUND(Categorias_Registro[[#This Row],[Mínimo]]+((Categorias_Registro[[#This Row],[Máximo]]-Categorias_Registro[[#This Row],[Mínimo]])/2),0)</f>
        <v>2023</v>
      </c>
      <c r="G526" s="78">
        <f>VLOOKUP(Categorias_Registro[[#This Row],[Puntos]],Categorias_Configuracion[],MATCH(Categorias_Configuracion[[#Headers],[% Amplitud]],Categorias_Configuracion[#Headers],0),TRUE)</f>
        <v>0.15</v>
      </c>
      <c r="H526" s="15" t="str">
        <f ca="1">TEXT(Categorias_Registro[[#This Row],[Mínimo]],Formato_Rango_Categorias)&amp;" - "&amp;TEXT(Categorias_Registro[[#This Row],[Máximo]],Formato_Rango_Categorias)</f>
        <v>1.882 - 2.163</v>
      </c>
    </row>
    <row r="527" spans="2:8">
      <c r="B527" s="15">
        <f>Techo - ROW() + ROW(Categorias_Registro[])</f>
        <v>2102</v>
      </c>
      <c r="C527" s="15">
        <f>IF(Categorias_Registro[[#This Row],[Puntos]]&lt;=ROUND(Piso,0),Piso,IF(Categorias_Registro[[#This Row],[Puntos]]&lt;D528,C528,D528+1))</f>
        <v>1882</v>
      </c>
      <c r="D527" s="15">
        <f>IF(Categorias_Registro[[#This Row],[Puntos]]=ROUND(Piso,0),ROUND(Categorias_Registro[[#This Row],[Puntos]]*(1+Categorias_Registro[[#This Row],[Amplitud]]),0),IF(Categorias_Registro[[#This Row],[Puntos]]&lt;D528,D528,ROUND(D528*(1+Categorias_Registro[[#This Row],[Amplitud]]),0)))</f>
        <v>2163</v>
      </c>
      <c r="E527" s="15">
        <f>E528+IF(D528=Categorias_Registro[[#This Row],[Máximo]],0,1)</f>
        <v>23</v>
      </c>
      <c r="F527" s="15">
        <f>ROUND(Categorias_Registro[[#This Row],[Mínimo]]+((Categorias_Registro[[#This Row],[Máximo]]-Categorias_Registro[[#This Row],[Mínimo]])/2),0)</f>
        <v>2023</v>
      </c>
      <c r="G527" s="78">
        <f>VLOOKUP(Categorias_Registro[[#This Row],[Puntos]],Categorias_Configuracion[],MATCH(Categorias_Configuracion[[#Headers],[% Amplitud]],Categorias_Configuracion[#Headers],0),TRUE)</f>
        <v>0.15</v>
      </c>
      <c r="H527" s="15" t="str">
        <f ca="1">TEXT(Categorias_Registro[[#This Row],[Mínimo]],Formato_Rango_Categorias)&amp;" - "&amp;TEXT(Categorias_Registro[[#This Row],[Máximo]],Formato_Rango_Categorias)</f>
        <v>1.882 - 2.163</v>
      </c>
    </row>
    <row r="528" spans="2:8">
      <c r="B528" s="15">
        <f>Techo - ROW() + ROW(Categorias_Registro[])</f>
        <v>2101</v>
      </c>
      <c r="C528" s="15">
        <f>IF(Categorias_Registro[[#This Row],[Puntos]]&lt;=ROUND(Piso,0),Piso,IF(Categorias_Registro[[#This Row],[Puntos]]&lt;D529,C529,D529+1))</f>
        <v>1882</v>
      </c>
      <c r="D528" s="15">
        <f>IF(Categorias_Registro[[#This Row],[Puntos]]=ROUND(Piso,0),ROUND(Categorias_Registro[[#This Row],[Puntos]]*(1+Categorias_Registro[[#This Row],[Amplitud]]),0),IF(Categorias_Registro[[#This Row],[Puntos]]&lt;D529,D529,ROUND(D529*(1+Categorias_Registro[[#This Row],[Amplitud]]),0)))</f>
        <v>2163</v>
      </c>
      <c r="E528" s="15">
        <f>E529+IF(D529=Categorias_Registro[[#This Row],[Máximo]],0,1)</f>
        <v>23</v>
      </c>
      <c r="F528" s="15">
        <f>ROUND(Categorias_Registro[[#This Row],[Mínimo]]+((Categorias_Registro[[#This Row],[Máximo]]-Categorias_Registro[[#This Row],[Mínimo]])/2),0)</f>
        <v>2023</v>
      </c>
      <c r="G528" s="78">
        <f>VLOOKUP(Categorias_Registro[[#This Row],[Puntos]],Categorias_Configuracion[],MATCH(Categorias_Configuracion[[#Headers],[% Amplitud]],Categorias_Configuracion[#Headers],0),TRUE)</f>
        <v>0.15</v>
      </c>
      <c r="H528" s="15" t="str">
        <f ca="1">TEXT(Categorias_Registro[[#This Row],[Mínimo]],Formato_Rango_Categorias)&amp;" - "&amp;TEXT(Categorias_Registro[[#This Row],[Máximo]],Formato_Rango_Categorias)</f>
        <v>1.882 - 2.163</v>
      </c>
    </row>
    <row r="529" spans="2:8">
      <c r="B529" s="15">
        <f>Techo - ROW() + ROW(Categorias_Registro[])</f>
        <v>2100</v>
      </c>
      <c r="C529" s="15">
        <f>IF(Categorias_Registro[[#This Row],[Puntos]]&lt;=ROUND(Piso,0),Piso,IF(Categorias_Registro[[#This Row],[Puntos]]&lt;D530,C530,D530+1))</f>
        <v>1882</v>
      </c>
      <c r="D529" s="15">
        <f>IF(Categorias_Registro[[#This Row],[Puntos]]=ROUND(Piso,0),ROUND(Categorias_Registro[[#This Row],[Puntos]]*(1+Categorias_Registro[[#This Row],[Amplitud]]),0),IF(Categorias_Registro[[#This Row],[Puntos]]&lt;D530,D530,ROUND(D530*(1+Categorias_Registro[[#This Row],[Amplitud]]),0)))</f>
        <v>2163</v>
      </c>
      <c r="E529" s="15">
        <f>E530+IF(D530=Categorias_Registro[[#This Row],[Máximo]],0,1)</f>
        <v>23</v>
      </c>
      <c r="F529" s="15">
        <f>ROUND(Categorias_Registro[[#This Row],[Mínimo]]+((Categorias_Registro[[#This Row],[Máximo]]-Categorias_Registro[[#This Row],[Mínimo]])/2),0)</f>
        <v>2023</v>
      </c>
      <c r="G529" s="78">
        <f>VLOOKUP(Categorias_Registro[[#This Row],[Puntos]],Categorias_Configuracion[],MATCH(Categorias_Configuracion[[#Headers],[% Amplitud]],Categorias_Configuracion[#Headers],0),TRUE)</f>
        <v>0.15</v>
      </c>
      <c r="H529" s="15" t="str">
        <f ca="1">TEXT(Categorias_Registro[[#This Row],[Mínimo]],Formato_Rango_Categorias)&amp;" - "&amp;TEXT(Categorias_Registro[[#This Row],[Máximo]],Formato_Rango_Categorias)</f>
        <v>1.882 - 2.163</v>
      </c>
    </row>
    <row r="530" spans="2:8">
      <c r="B530" s="15">
        <f>Techo - ROW() + ROW(Categorias_Registro[])</f>
        <v>2099</v>
      </c>
      <c r="C530" s="15">
        <f>IF(Categorias_Registro[[#This Row],[Puntos]]&lt;=ROUND(Piso,0),Piso,IF(Categorias_Registro[[#This Row],[Puntos]]&lt;D531,C531,D531+1))</f>
        <v>1882</v>
      </c>
      <c r="D530" s="15">
        <f>IF(Categorias_Registro[[#This Row],[Puntos]]=ROUND(Piso,0),ROUND(Categorias_Registro[[#This Row],[Puntos]]*(1+Categorias_Registro[[#This Row],[Amplitud]]),0),IF(Categorias_Registro[[#This Row],[Puntos]]&lt;D531,D531,ROUND(D531*(1+Categorias_Registro[[#This Row],[Amplitud]]),0)))</f>
        <v>2163</v>
      </c>
      <c r="E530" s="15">
        <f>E531+IF(D531=Categorias_Registro[[#This Row],[Máximo]],0,1)</f>
        <v>23</v>
      </c>
      <c r="F530" s="15">
        <f>ROUND(Categorias_Registro[[#This Row],[Mínimo]]+((Categorias_Registro[[#This Row],[Máximo]]-Categorias_Registro[[#This Row],[Mínimo]])/2),0)</f>
        <v>2023</v>
      </c>
      <c r="G530" s="78">
        <f>VLOOKUP(Categorias_Registro[[#This Row],[Puntos]],Categorias_Configuracion[],MATCH(Categorias_Configuracion[[#Headers],[% Amplitud]],Categorias_Configuracion[#Headers],0),TRUE)</f>
        <v>0.15</v>
      </c>
      <c r="H530" s="15" t="str">
        <f ca="1">TEXT(Categorias_Registro[[#This Row],[Mínimo]],Formato_Rango_Categorias)&amp;" - "&amp;TEXT(Categorias_Registro[[#This Row],[Máximo]],Formato_Rango_Categorias)</f>
        <v>1.882 - 2.163</v>
      </c>
    </row>
    <row r="531" spans="2:8">
      <c r="B531" s="15">
        <f>Techo - ROW() + ROW(Categorias_Registro[])</f>
        <v>2098</v>
      </c>
      <c r="C531" s="15">
        <f>IF(Categorias_Registro[[#This Row],[Puntos]]&lt;=ROUND(Piso,0),Piso,IF(Categorias_Registro[[#This Row],[Puntos]]&lt;D532,C532,D532+1))</f>
        <v>1882</v>
      </c>
      <c r="D531" s="15">
        <f>IF(Categorias_Registro[[#This Row],[Puntos]]=ROUND(Piso,0),ROUND(Categorias_Registro[[#This Row],[Puntos]]*(1+Categorias_Registro[[#This Row],[Amplitud]]),0),IF(Categorias_Registro[[#This Row],[Puntos]]&lt;D532,D532,ROUND(D532*(1+Categorias_Registro[[#This Row],[Amplitud]]),0)))</f>
        <v>2163</v>
      </c>
      <c r="E531" s="15">
        <f>E532+IF(D532=Categorias_Registro[[#This Row],[Máximo]],0,1)</f>
        <v>23</v>
      </c>
      <c r="F531" s="15">
        <f>ROUND(Categorias_Registro[[#This Row],[Mínimo]]+((Categorias_Registro[[#This Row],[Máximo]]-Categorias_Registro[[#This Row],[Mínimo]])/2),0)</f>
        <v>2023</v>
      </c>
      <c r="G531" s="78">
        <f>VLOOKUP(Categorias_Registro[[#This Row],[Puntos]],Categorias_Configuracion[],MATCH(Categorias_Configuracion[[#Headers],[% Amplitud]],Categorias_Configuracion[#Headers],0),TRUE)</f>
        <v>0.15</v>
      </c>
      <c r="H531" s="15" t="str">
        <f ca="1">TEXT(Categorias_Registro[[#This Row],[Mínimo]],Formato_Rango_Categorias)&amp;" - "&amp;TEXT(Categorias_Registro[[#This Row],[Máximo]],Formato_Rango_Categorias)</f>
        <v>1.882 - 2.163</v>
      </c>
    </row>
    <row r="532" spans="2:8">
      <c r="B532" s="15">
        <f>Techo - ROW() + ROW(Categorias_Registro[])</f>
        <v>2097</v>
      </c>
      <c r="C532" s="15">
        <f>IF(Categorias_Registro[[#This Row],[Puntos]]&lt;=ROUND(Piso,0),Piso,IF(Categorias_Registro[[#This Row],[Puntos]]&lt;D533,C533,D533+1))</f>
        <v>1882</v>
      </c>
      <c r="D532" s="15">
        <f>IF(Categorias_Registro[[#This Row],[Puntos]]=ROUND(Piso,0),ROUND(Categorias_Registro[[#This Row],[Puntos]]*(1+Categorias_Registro[[#This Row],[Amplitud]]),0),IF(Categorias_Registro[[#This Row],[Puntos]]&lt;D533,D533,ROUND(D533*(1+Categorias_Registro[[#This Row],[Amplitud]]),0)))</f>
        <v>2163</v>
      </c>
      <c r="E532" s="15">
        <f>E533+IF(D533=Categorias_Registro[[#This Row],[Máximo]],0,1)</f>
        <v>23</v>
      </c>
      <c r="F532" s="15">
        <f>ROUND(Categorias_Registro[[#This Row],[Mínimo]]+((Categorias_Registro[[#This Row],[Máximo]]-Categorias_Registro[[#This Row],[Mínimo]])/2),0)</f>
        <v>2023</v>
      </c>
      <c r="G532" s="78">
        <f>VLOOKUP(Categorias_Registro[[#This Row],[Puntos]],Categorias_Configuracion[],MATCH(Categorias_Configuracion[[#Headers],[% Amplitud]],Categorias_Configuracion[#Headers],0),TRUE)</f>
        <v>0.15</v>
      </c>
      <c r="H532" s="15" t="str">
        <f ca="1">TEXT(Categorias_Registro[[#This Row],[Mínimo]],Formato_Rango_Categorias)&amp;" - "&amp;TEXT(Categorias_Registro[[#This Row],[Máximo]],Formato_Rango_Categorias)</f>
        <v>1.882 - 2.163</v>
      </c>
    </row>
    <row r="533" spans="2:8">
      <c r="B533" s="15">
        <f>Techo - ROW() + ROW(Categorias_Registro[])</f>
        <v>2096</v>
      </c>
      <c r="C533" s="15">
        <f>IF(Categorias_Registro[[#This Row],[Puntos]]&lt;=ROUND(Piso,0),Piso,IF(Categorias_Registro[[#This Row],[Puntos]]&lt;D534,C534,D534+1))</f>
        <v>1882</v>
      </c>
      <c r="D533" s="15">
        <f>IF(Categorias_Registro[[#This Row],[Puntos]]=ROUND(Piso,0),ROUND(Categorias_Registro[[#This Row],[Puntos]]*(1+Categorias_Registro[[#This Row],[Amplitud]]),0),IF(Categorias_Registro[[#This Row],[Puntos]]&lt;D534,D534,ROUND(D534*(1+Categorias_Registro[[#This Row],[Amplitud]]),0)))</f>
        <v>2163</v>
      </c>
      <c r="E533" s="15">
        <f>E534+IF(D534=Categorias_Registro[[#This Row],[Máximo]],0,1)</f>
        <v>23</v>
      </c>
      <c r="F533" s="15">
        <f>ROUND(Categorias_Registro[[#This Row],[Mínimo]]+((Categorias_Registro[[#This Row],[Máximo]]-Categorias_Registro[[#This Row],[Mínimo]])/2),0)</f>
        <v>2023</v>
      </c>
      <c r="G533" s="78">
        <f>VLOOKUP(Categorias_Registro[[#This Row],[Puntos]],Categorias_Configuracion[],MATCH(Categorias_Configuracion[[#Headers],[% Amplitud]],Categorias_Configuracion[#Headers],0),TRUE)</f>
        <v>0.15</v>
      </c>
      <c r="H533" s="15" t="str">
        <f ca="1">TEXT(Categorias_Registro[[#This Row],[Mínimo]],Formato_Rango_Categorias)&amp;" - "&amp;TEXT(Categorias_Registro[[#This Row],[Máximo]],Formato_Rango_Categorias)</f>
        <v>1.882 - 2.163</v>
      </c>
    </row>
    <row r="534" spans="2:8">
      <c r="B534" s="15">
        <f>Techo - ROW() + ROW(Categorias_Registro[])</f>
        <v>2095</v>
      </c>
      <c r="C534" s="15">
        <f>IF(Categorias_Registro[[#This Row],[Puntos]]&lt;=ROUND(Piso,0),Piso,IF(Categorias_Registro[[#This Row],[Puntos]]&lt;D535,C535,D535+1))</f>
        <v>1882</v>
      </c>
      <c r="D534" s="15">
        <f>IF(Categorias_Registro[[#This Row],[Puntos]]=ROUND(Piso,0),ROUND(Categorias_Registro[[#This Row],[Puntos]]*(1+Categorias_Registro[[#This Row],[Amplitud]]),0),IF(Categorias_Registro[[#This Row],[Puntos]]&lt;D535,D535,ROUND(D535*(1+Categorias_Registro[[#This Row],[Amplitud]]),0)))</f>
        <v>2163</v>
      </c>
      <c r="E534" s="15">
        <f>E535+IF(D535=Categorias_Registro[[#This Row],[Máximo]],0,1)</f>
        <v>23</v>
      </c>
      <c r="F534" s="15">
        <f>ROUND(Categorias_Registro[[#This Row],[Mínimo]]+((Categorias_Registro[[#This Row],[Máximo]]-Categorias_Registro[[#This Row],[Mínimo]])/2),0)</f>
        <v>2023</v>
      </c>
      <c r="G534" s="78">
        <f>VLOOKUP(Categorias_Registro[[#This Row],[Puntos]],Categorias_Configuracion[],MATCH(Categorias_Configuracion[[#Headers],[% Amplitud]],Categorias_Configuracion[#Headers],0),TRUE)</f>
        <v>0.15</v>
      </c>
      <c r="H534" s="15" t="str">
        <f ca="1">TEXT(Categorias_Registro[[#This Row],[Mínimo]],Formato_Rango_Categorias)&amp;" - "&amp;TEXT(Categorias_Registro[[#This Row],[Máximo]],Formato_Rango_Categorias)</f>
        <v>1.882 - 2.163</v>
      </c>
    </row>
    <row r="535" spans="2:8">
      <c r="B535" s="15">
        <f>Techo - ROW() + ROW(Categorias_Registro[])</f>
        <v>2094</v>
      </c>
      <c r="C535" s="15">
        <f>IF(Categorias_Registro[[#This Row],[Puntos]]&lt;=ROUND(Piso,0),Piso,IF(Categorias_Registro[[#This Row],[Puntos]]&lt;D536,C536,D536+1))</f>
        <v>1882</v>
      </c>
      <c r="D535" s="15">
        <f>IF(Categorias_Registro[[#This Row],[Puntos]]=ROUND(Piso,0),ROUND(Categorias_Registro[[#This Row],[Puntos]]*(1+Categorias_Registro[[#This Row],[Amplitud]]),0),IF(Categorias_Registro[[#This Row],[Puntos]]&lt;D536,D536,ROUND(D536*(1+Categorias_Registro[[#This Row],[Amplitud]]),0)))</f>
        <v>2163</v>
      </c>
      <c r="E535" s="15">
        <f>E536+IF(D536=Categorias_Registro[[#This Row],[Máximo]],0,1)</f>
        <v>23</v>
      </c>
      <c r="F535" s="15">
        <f>ROUND(Categorias_Registro[[#This Row],[Mínimo]]+((Categorias_Registro[[#This Row],[Máximo]]-Categorias_Registro[[#This Row],[Mínimo]])/2),0)</f>
        <v>2023</v>
      </c>
      <c r="G535" s="78">
        <f>VLOOKUP(Categorias_Registro[[#This Row],[Puntos]],Categorias_Configuracion[],MATCH(Categorias_Configuracion[[#Headers],[% Amplitud]],Categorias_Configuracion[#Headers],0),TRUE)</f>
        <v>0.15</v>
      </c>
      <c r="H535" s="15" t="str">
        <f ca="1">TEXT(Categorias_Registro[[#This Row],[Mínimo]],Formato_Rango_Categorias)&amp;" - "&amp;TEXT(Categorias_Registro[[#This Row],[Máximo]],Formato_Rango_Categorias)</f>
        <v>1.882 - 2.163</v>
      </c>
    </row>
    <row r="536" spans="2:8">
      <c r="B536" s="15">
        <f>Techo - ROW() + ROW(Categorias_Registro[])</f>
        <v>2093</v>
      </c>
      <c r="C536" s="15">
        <f>IF(Categorias_Registro[[#This Row],[Puntos]]&lt;=ROUND(Piso,0),Piso,IF(Categorias_Registro[[#This Row],[Puntos]]&lt;D537,C537,D537+1))</f>
        <v>1882</v>
      </c>
      <c r="D536" s="15">
        <f>IF(Categorias_Registro[[#This Row],[Puntos]]=ROUND(Piso,0),ROUND(Categorias_Registro[[#This Row],[Puntos]]*(1+Categorias_Registro[[#This Row],[Amplitud]]),0),IF(Categorias_Registro[[#This Row],[Puntos]]&lt;D537,D537,ROUND(D537*(1+Categorias_Registro[[#This Row],[Amplitud]]),0)))</f>
        <v>2163</v>
      </c>
      <c r="E536" s="15">
        <f>E537+IF(D537=Categorias_Registro[[#This Row],[Máximo]],0,1)</f>
        <v>23</v>
      </c>
      <c r="F536" s="15">
        <f>ROUND(Categorias_Registro[[#This Row],[Mínimo]]+((Categorias_Registro[[#This Row],[Máximo]]-Categorias_Registro[[#This Row],[Mínimo]])/2),0)</f>
        <v>2023</v>
      </c>
      <c r="G536" s="78">
        <f>VLOOKUP(Categorias_Registro[[#This Row],[Puntos]],Categorias_Configuracion[],MATCH(Categorias_Configuracion[[#Headers],[% Amplitud]],Categorias_Configuracion[#Headers],0),TRUE)</f>
        <v>0.15</v>
      </c>
      <c r="H536" s="15" t="str">
        <f ca="1">TEXT(Categorias_Registro[[#This Row],[Mínimo]],Formato_Rango_Categorias)&amp;" - "&amp;TEXT(Categorias_Registro[[#This Row],[Máximo]],Formato_Rango_Categorias)</f>
        <v>1.882 - 2.163</v>
      </c>
    </row>
    <row r="537" spans="2:8">
      <c r="B537" s="15">
        <f>Techo - ROW() + ROW(Categorias_Registro[])</f>
        <v>2092</v>
      </c>
      <c r="C537" s="15">
        <f>IF(Categorias_Registro[[#This Row],[Puntos]]&lt;=ROUND(Piso,0),Piso,IF(Categorias_Registro[[#This Row],[Puntos]]&lt;D538,C538,D538+1))</f>
        <v>1882</v>
      </c>
      <c r="D537" s="15">
        <f>IF(Categorias_Registro[[#This Row],[Puntos]]=ROUND(Piso,0),ROUND(Categorias_Registro[[#This Row],[Puntos]]*(1+Categorias_Registro[[#This Row],[Amplitud]]),0),IF(Categorias_Registro[[#This Row],[Puntos]]&lt;D538,D538,ROUND(D538*(1+Categorias_Registro[[#This Row],[Amplitud]]),0)))</f>
        <v>2163</v>
      </c>
      <c r="E537" s="15">
        <f>E538+IF(D538=Categorias_Registro[[#This Row],[Máximo]],0,1)</f>
        <v>23</v>
      </c>
      <c r="F537" s="15">
        <f>ROUND(Categorias_Registro[[#This Row],[Mínimo]]+((Categorias_Registro[[#This Row],[Máximo]]-Categorias_Registro[[#This Row],[Mínimo]])/2),0)</f>
        <v>2023</v>
      </c>
      <c r="G537" s="78">
        <f>VLOOKUP(Categorias_Registro[[#This Row],[Puntos]],Categorias_Configuracion[],MATCH(Categorias_Configuracion[[#Headers],[% Amplitud]],Categorias_Configuracion[#Headers],0),TRUE)</f>
        <v>0.15</v>
      </c>
      <c r="H537" s="15" t="str">
        <f ca="1">TEXT(Categorias_Registro[[#This Row],[Mínimo]],Formato_Rango_Categorias)&amp;" - "&amp;TEXT(Categorias_Registro[[#This Row],[Máximo]],Formato_Rango_Categorias)</f>
        <v>1.882 - 2.163</v>
      </c>
    </row>
    <row r="538" spans="2:8">
      <c r="B538" s="15">
        <f>Techo - ROW() + ROW(Categorias_Registro[])</f>
        <v>2091</v>
      </c>
      <c r="C538" s="15">
        <f>IF(Categorias_Registro[[#This Row],[Puntos]]&lt;=ROUND(Piso,0),Piso,IF(Categorias_Registro[[#This Row],[Puntos]]&lt;D539,C539,D539+1))</f>
        <v>1882</v>
      </c>
      <c r="D538" s="15">
        <f>IF(Categorias_Registro[[#This Row],[Puntos]]=ROUND(Piso,0),ROUND(Categorias_Registro[[#This Row],[Puntos]]*(1+Categorias_Registro[[#This Row],[Amplitud]]),0),IF(Categorias_Registro[[#This Row],[Puntos]]&lt;D539,D539,ROUND(D539*(1+Categorias_Registro[[#This Row],[Amplitud]]),0)))</f>
        <v>2163</v>
      </c>
      <c r="E538" s="15">
        <f>E539+IF(D539=Categorias_Registro[[#This Row],[Máximo]],0,1)</f>
        <v>23</v>
      </c>
      <c r="F538" s="15">
        <f>ROUND(Categorias_Registro[[#This Row],[Mínimo]]+((Categorias_Registro[[#This Row],[Máximo]]-Categorias_Registro[[#This Row],[Mínimo]])/2),0)</f>
        <v>2023</v>
      </c>
      <c r="G538" s="78">
        <f>VLOOKUP(Categorias_Registro[[#This Row],[Puntos]],Categorias_Configuracion[],MATCH(Categorias_Configuracion[[#Headers],[% Amplitud]],Categorias_Configuracion[#Headers],0),TRUE)</f>
        <v>0.15</v>
      </c>
      <c r="H538" s="15" t="str">
        <f ca="1">TEXT(Categorias_Registro[[#This Row],[Mínimo]],Formato_Rango_Categorias)&amp;" - "&amp;TEXT(Categorias_Registro[[#This Row],[Máximo]],Formato_Rango_Categorias)</f>
        <v>1.882 - 2.163</v>
      </c>
    </row>
    <row r="539" spans="2:8">
      <c r="B539" s="15">
        <f>Techo - ROW() + ROW(Categorias_Registro[])</f>
        <v>2090</v>
      </c>
      <c r="C539" s="15">
        <f>IF(Categorias_Registro[[#This Row],[Puntos]]&lt;=ROUND(Piso,0),Piso,IF(Categorias_Registro[[#This Row],[Puntos]]&lt;D540,C540,D540+1))</f>
        <v>1882</v>
      </c>
      <c r="D539" s="15">
        <f>IF(Categorias_Registro[[#This Row],[Puntos]]=ROUND(Piso,0),ROUND(Categorias_Registro[[#This Row],[Puntos]]*(1+Categorias_Registro[[#This Row],[Amplitud]]),0),IF(Categorias_Registro[[#This Row],[Puntos]]&lt;D540,D540,ROUND(D540*(1+Categorias_Registro[[#This Row],[Amplitud]]),0)))</f>
        <v>2163</v>
      </c>
      <c r="E539" s="15">
        <f>E540+IF(D540=Categorias_Registro[[#This Row],[Máximo]],0,1)</f>
        <v>23</v>
      </c>
      <c r="F539" s="15">
        <f>ROUND(Categorias_Registro[[#This Row],[Mínimo]]+((Categorias_Registro[[#This Row],[Máximo]]-Categorias_Registro[[#This Row],[Mínimo]])/2),0)</f>
        <v>2023</v>
      </c>
      <c r="G539" s="78">
        <f>VLOOKUP(Categorias_Registro[[#This Row],[Puntos]],Categorias_Configuracion[],MATCH(Categorias_Configuracion[[#Headers],[% Amplitud]],Categorias_Configuracion[#Headers],0),TRUE)</f>
        <v>0.15</v>
      </c>
      <c r="H539" s="15" t="str">
        <f ca="1">TEXT(Categorias_Registro[[#This Row],[Mínimo]],Formato_Rango_Categorias)&amp;" - "&amp;TEXT(Categorias_Registro[[#This Row],[Máximo]],Formato_Rango_Categorias)</f>
        <v>1.882 - 2.163</v>
      </c>
    </row>
    <row r="540" spans="2:8">
      <c r="B540" s="15">
        <f>Techo - ROW() + ROW(Categorias_Registro[])</f>
        <v>2089</v>
      </c>
      <c r="C540" s="15">
        <f>IF(Categorias_Registro[[#This Row],[Puntos]]&lt;=ROUND(Piso,0),Piso,IF(Categorias_Registro[[#This Row],[Puntos]]&lt;D541,C541,D541+1))</f>
        <v>1882</v>
      </c>
      <c r="D540" s="15">
        <f>IF(Categorias_Registro[[#This Row],[Puntos]]=ROUND(Piso,0),ROUND(Categorias_Registro[[#This Row],[Puntos]]*(1+Categorias_Registro[[#This Row],[Amplitud]]),0),IF(Categorias_Registro[[#This Row],[Puntos]]&lt;D541,D541,ROUND(D541*(1+Categorias_Registro[[#This Row],[Amplitud]]),0)))</f>
        <v>2163</v>
      </c>
      <c r="E540" s="15">
        <f>E541+IF(D541=Categorias_Registro[[#This Row],[Máximo]],0,1)</f>
        <v>23</v>
      </c>
      <c r="F540" s="15">
        <f>ROUND(Categorias_Registro[[#This Row],[Mínimo]]+((Categorias_Registro[[#This Row],[Máximo]]-Categorias_Registro[[#This Row],[Mínimo]])/2),0)</f>
        <v>2023</v>
      </c>
      <c r="G540" s="78">
        <f>VLOOKUP(Categorias_Registro[[#This Row],[Puntos]],Categorias_Configuracion[],MATCH(Categorias_Configuracion[[#Headers],[% Amplitud]],Categorias_Configuracion[#Headers],0),TRUE)</f>
        <v>0.15</v>
      </c>
      <c r="H540" s="15" t="str">
        <f ca="1">TEXT(Categorias_Registro[[#This Row],[Mínimo]],Formato_Rango_Categorias)&amp;" - "&amp;TEXT(Categorias_Registro[[#This Row],[Máximo]],Formato_Rango_Categorias)</f>
        <v>1.882 - 2.163</v>
      </c>
    </row>
    <row r="541" spans="2:8">
      <c r="B541" s="15">
        <f>Techo - ROW() + ROW(Categorias_Registro[])</f>
        <v>2088</v>
      </c>
      <c r="C541" s="15">
        <f>IF(Categorias_Registro[[#This Row],[Puntos]]&lt;=ROUND(Piso,0),Piso,IF(Categorias_Registro[[#This Row],[Puntos]]&lt;D542,C542,D542+1))</f>
        <v>1882</v>
      </c>
      <c r="D541" s="15">
        <f>IF(Categorias_Registro[[#This Row],[Puntos]]=ROUND(Piso,0),ROUND(Categorias_Registro[[#This Row],[Puntos]]*(1+Categorias_Registro[[#This Row],[Amplitud]]),0),IF(Categorias_Registro[[#This Row],[Puntos]]&lt;D542,D542,ROUND(D542*(1+Categorias_Registro[[#This Row],[Amplitud]]),0)))</f>
        <v>2163</v>
      </c>
      <c r="E541" s="15">
        <f>E542+IF(D542=Categorias_Registro[[#This Row],[Máximo]],0,1)</f>
        <v>23</v>
      </c>
      <c r="F541" s="15">
        <f>ROUND(Categorias_Registro[[#This Row],[Mínimo]]+((Categorias_Registro[[#This Row],[Máximo]]-Categorias_Registro[[#This Row],[Mínimo]])/2),0)</f>
        <v>2023</v>
      </c>
      <c r="G541" s="78">
        <f>VLOOKUP(Categorias_Registro[[#This Row],[Puntos]],Categorias_Configuracion[],MATCH(Categorias_Configuracion[[#Headers],[% Amplitud]],Categorias_Configuracion[#Headers],0),TRUE)</f>
        <v>0.15</v>
      </c>
      <c r="H541" s="15" t="str">
        <f ca="1">TEXT(Categorias_Registro[[#This Row],[Mínimo]],Formato_Rango_Categorias)&amp;" - "&amp;TEXT(Categorias_Registro[[#This Row],[Máximo]],Formato_Rango_Categorias)</f>
        <v>1.882 - 2.163</v>
      </c>
    </row>
    <row r="542" spans="2:8">
      <c r="B542" s="15">
        <f>Techo - ROW() + ROW(Categorias_Registro[])</f>
        <v>2087</v>
      </c>
      <c r="C542" s="15">
        <f>IF(Categorias_Registro[[#This Row],[Puntos]]&lt;=ROUND(Piso,0),Piso,IF(Categorias_Registro[[#This Row],[Puntos]]&lt;D543,C543,D543+1))</f>
        <v>1882</v>
      </c>
      <c r="D542" s="15">
        <f>IF(Categorias_Registro[[#This Row],[Puntos]]=ROUND(Piso,0),ROUND(Categorias_Registro[[#This Row],[Puntos]]*(1+Categorias_Registro[[#This Row],[Amplitud]]),0),IF(Categorias_Registro[[#This Row],[Puntos]]&lt;D543,D543,ROUND(D543*(1+Categorias_Registro[[#This Row],[Amplitud]]),0)))</f>
        <v>2163</v>
      </c>
      <c r="E542" s="15">
        <f>E543+IF(D543=Categorias_Registro[[#This Row],[Máximo]],0,1)</f>
        <v>23</v>
      </c>
      <c r="F542" s="15">
        <f>ROUND(Categorias_Registro[[#This Row],[Mínimo]]+((Categorias_Registro[[#This Row],[Máximo]]-Categorias_Registro[[#This Row],[Mínimo]])/2),0)</f>
        <v>2023</v>
      </c>
      <c r="G542" s="78">
        <f>VLOOKUP(Categorias_Registro[[#This Row],[Puntos]],Categorias_Configuracion[],MATCH(Categorias_Configuracion[[#Headers],[% Amplitud]],Categorias_Configuracion[#Headers],0),TRUE)</f>
        <v>0.15</v>
      </c>
      <c r="H542" s="15" t="str">
        <f ca="1">TEXT(Categorias_Registro[[#This Row],[Mínimo]],Formato_Rango_Categorias)&amp;" - "&amp;TEXT(Categorias_Registro[[#This Row],[Máximo]],Formato_Rango_Categorias)</f>
        <v>1.882 - 2.163</v>
      </c>
    </row>
    <row r="543" spans="2:8">
      <c r="B543" s="15">
        <f>Techo - ROW() + ROW(Categorias_Registro[])</f>
        <v>2086</v>
      </c>
      <c r="C543" s="15">
        <f>IF(Categorias_Registro[[#This Row],[Puntos]]&lt;=ROUND(Piso,0),Piso,IF(Categorias_Registro[[#This Row],[Puntos]]&lt;D544,C544,D544+1))</f>
        <v>1882</v>
      </c>
      <c r="D543" s="15">
        <f>IF(Categorias_Registro[[#This Row],[Puntos]]=ROUND(Piso,0),ROUND(Categorias_Registro[[#This Row],[Puntos]]*(1+Categorias_Registro[[#This Row],[Amplitud]]),0),IF(Categorias_Registro[[#This Row],[Puntos]]&lt;D544,D544,ROUND(D544*(1+Categorias_Registro[[#This Row],[Amplitud]]),0)))</f>
        <v>2163</v>
      </c>
      <c r="E543" s="15">
        <f>E544+IF(D544=Categorias_Registro[[#This Row],[Máximo]],0,1)</f>
        <v>23</v>
      </c>
      <c r="F543" s="15">
        <f>ROUND(Categorias_Registro[[#This Row],[Mínimo]]+((Categorias_Registro[[#This Row],[Máximo]]-Categorias_Registro[[#This Row],[Mínimo]])/2),0)</f>
        <v>2023</v>
      </c>
      <c r="G543" s="78">
        <f>VLOOKUP(Categorias_Registro[[#This Row],[Puntos]],Categorias_Configuracion[],MATCH(Categorias_Configuracion[[#Headers],[% Amplitud]],Categorias_Configuracion[#Headers],0),TRUE)</f>
        <v>0.15</v>
      </c>
      <c r="H543" s="15" t="str">
        <f ca="1">TEXT(Categorias_Registro[[#This Row],[Mínimo]],Formato_Rango_Categorias)&amp;" - "&amp;TEXT(Categorias_Registro[[#This Row],[Máximo]],Formato_Rango_Categorias)</f>
        <v>1.882 - 2.163</v>
      </c>
    </row>
    <row r="544" spans="2:8">
      <c r="B544" s="15">
        <f>Techo - ROW() + ROW(Categorias_Registro[])</f>
        <v>2085</v>
      </c>
      <c r="C544" s="15">
        <f>IF(Categorias_Registro[[#This Row],[Puntos]]&lt;=ROUND(Piso,0),Piso,IF(Categorias_Registro[[#This Row],[Puntos]]&lt;D545,C545,D545+1))</f>
        <v>1882</v>
      </c>
      <c r="D544" s="15">
        <f>IF(Categorias_Registro[[#This Row],[Puntos]]=ROUND(Piso,0),ROUND(Categorias_Registro[[#This Row],[Puntos]]*(1+Categorias_Registro[[#This Row],[Amplitud]]),0),IF(Categorias_Registro[[#This Row],[Puntos]]&lt;D545,D545,ROUND(D545*(1+Categorias_Registro[[#This Row],[Amplitud]]),0)))</f>
        <v>2163</v>
      </c>
      <c r="E544" s="15">
        <f>E545+IF(D545=Categorias_Registro[[#This Row],[Máximo]],0,1)</f>
        <v>23</v>
      </c>
      <c r="F544" s="15">
        <f>ROUND(Categorias_Registro[[#This Row],[Mínimo]]+((Categorias_Registro[[#This Row],[Máximo]]-Categorias_Registro[[#This Row],[Mínimo]])/2),0)</f>
        <v>2023</v>
      </c>
      <c r="G544" s="78">
        <f>VLOOKUP(Categorias_Registro[[#This Row],[Puntos]],Categorias_Configuracion[],MATCH(Categorias_Configuracion[[#Headers],[% Amplitud]],Categorias_Configuracion[#Headers],0),TRUE)</f>
        <v>0.15</v>
      </c>
      <c r="H544" s="15" t="str">
        <f ca="1">TEXT(Categorias_Registro[[#This Row],[Mínimo]],Formato_Rango_Categorias)&amp;" - "&amp;TEXT(Categorias_Registro[[#This Row],[Máximo]],Formato_Rango_Categorias)</f>
        <v>1.882 - 2.163</v>
      </c>
    </row>
    <row r="545" spans="2:8">
      <c r="B545" s="15">
        <f>Techo - ROW() + ROW(Categorias_Registro[])</f>
        <v>2084</v>
      </c>
      <c r="C545" s="15">
        <f>IF(Categorias_Registro[[#This Row],[Puntos]]&lt;=ROUND(Piso,0),Piso,IF(Categorias_Registro[[#This Row],[Puntos]]&lt;D546,C546,D546+1))</f>
        <v>1882</v>
      </c>
      <c r="D545" s="15">
        <f>IF(Categorias_Registro[[#This Row],[Puntos]]=ROUND(Piso,0),ROUND(Categorias_Registro[[#This Row],[Puntos]]*(1+Categorias_Registro[[#This Row],[Amplitud]]),0),IF(Categorias_Registro[[#This Row],[Puntos]]&lt;D546,D546,ROUND(D546*(1+Categorias_Registro[[#This Row],[Amplitud]]),0)))</f>
        <v>2163</v>
      </c>
      <c r="E545" s="15">
        <f>E546+IF(D546=Categorias_Registro[[#This Row],[Máximo]],0,1)</f>
        <v>23</v>
      </c>
      <c r="F545" s="15">
        <f>ROUND(Categorias_Registro[[#This Row],[Mínimo]]+((Categorias_Registro[[#This Row],[Máximo]]-Categorias_Registro[[#This Row],[Mínimo]])/2),0)</f>
        <v>2023</v>
      </c>
      <c r="G545" s="78">
        <f>VLOOKUP(Categorias_Registro[[#This Row],[Puntos]],Categorias_Configuracion[],MATCH(Categorias_Configuracion[[#Headers],[% Amplitud]],Categorias_Configuracion[#Headers],0),TRUE)</f>
        <v>0.15</v>
      </c>
      <c r="H545" s="15" t="str">
        <f ca="1">TEXT(Categorias_Registro[[#This Row],[Mínimo]],Formato_Rango_Categorias)&amp;" - "&amp;TEXT(Categorias_Registro[[#This Row],[Máximo]],Formato_Rango_Categorias)</f>
        <v>1.882 - 2.163</v>
      </c>
    </row>
    <row r="546" spans="2:8">
      <c r="B546" s="15">
        <f>Techo - ROW() + ROW(Categorias_Registro[])</f>
        <v>2083</v>
      </c>
      <c r="C546" s="15">
        <f>IF(Categorias_Registro[[#This Row],[Puntos]]&lt;=ROUND(Piso,0),Piso,IF(Categorias_Registro[[#This Row],[Puntos]]&lt;D547,C547,D547+1))</f>
        <v>1882</v>
      </c>
      <c r="D546" s="15">
        <f>IF(Categorias_Registro[[#This Row],[Puntos]]=ROUND(Piso,0),ROUND(Categorias_Registro[[#This Row],[Puntos]]*(1+Categorias_Registro[[#This Row],[Amplitud]]),0),IF(Categorias_Registro[[#This Row],[Puntos]]&lt;D547,D547,ROUND(D547*(1+Categorias_Registro[[#This Row],[Amplitud]]),0)))</f>
        <v>2163</v>
      </c>
      <c r="E546" s="15">
        <f>E547+IF(D547=Categorias_Registro[[#This Row],[Máximo]],0,1)</f>
        <v>23</v>
      </c>
      <c r="F546" s="15">
        <f>ROUND(Categorias_Registro[[#This Row],[Mínimo]]+((Categorias_Registro[[#This Row],[Máximo]]-Categorias_Registro[[#This Row],[Mínimo]])/2),0)</f>
        <v>2023</v>
      </c>
      <c r="G546" s="78">
        <f>VLOOKUP(Categorias_Registro[[#This Row],[Puntos]],Categorias_Configuracion[],MATCH(Categorias_Configuracion[[#Headers],[% Amplitud]],Categorias_Configuracion[#Headers],0),TRUE)</f>
        <v>0.15</v>
      </c>
      <c r="H546" s="15" t="str">
        <f ca="1">TEXT(Categorias_Registro[[#This Row],[Mínimo]],Formato_Rango_Categorias)&amp;" - "&amp;TEXT(Categorias_Registro[[#This Row],[Máximo]],Formato_Rango_Categorias)</f>
        <v>1.882 - 2.163</v>
      </c>
    </row>
    <row r="547" spans="2:8">
      <c r="B547" s="15">
        <f>Techo - ROW() + ROW(Categorias_Registro[])</f>
        <v>2082</v>
      </c>
      <c r="C547" s="15">
        <f>IF(Categorias_Registro[[#This Row],[Puntos]]&lt;=ROUND(Piso,0),Piso,IF(Categorias_Registro[[#This Row],[Puntos]]&lt;D548,C548,D548+1))</f>
        <v>1882</v>
      </c>
      <c r="D547" s="15">
        <f>IF(Categorias_Registro[[#This Row],[Puntos]]=ROUND(Piso,0),ROUND(Categorias_Registro[[#This Row],[Puntos]]*(1+Categorias_Registro[[#This Row],[Amplitud]]),0),IF(Categorias_Registro[[#This Row],[Puntos]]&lt;D548,D548,ROUND(D548*(1+Categorias_Registro[[#This Row],[Amplitud]]),0)))</f>
        <v>2163</v>
      </c>
      <c r="E547" s="15">
        <f>E548+IF(D548=Categorias_Registro[[#This Row],[Máximo]],0,1)</f>
        <v>23</v>
      </c>
      <c r="F547" s="15">
        <f>ROUND(Categorias_Registro[[#This Row],[Mínimo]]+((Categorias_Registro[[#This Row],[Máximo]]-Categorias_Registro[[#This Row],[Mínimo]])/2),0)</f>
        <v>2023</v>
      </c>
      <c r="G547" s="78">
        <f>VLOOKUP(Categorias_Registro[[#This Row],[Puntos]],Categorias_Configuracion[],MATCH(Categorias_Configuracion[[#Headers],[% Amplitud]],Categorias_Configuracion[#Headers],0),TRUE)</f>
        <v>0.15</v>
      </c>
      <c r="H547" s="15" t="str">
        <f ca="1">TEXT(Categorias_Registro[[#This Row],[Mínimo]],Formato_Rango_Categorias)&amp;" - "&amp;TEXT(Categorias_Registro[[#This Row],[Máximo]],Formato_Rango_Categorias)</f>
        <v>1.882 - 2.163</v>
      </c>
    </row>
    <row r="548" spans="2:8">
      <c r="B548" s="15">
        <f>Techo - ROW() + ROW(Categorias_Registro[])</f>
        <v>2081</v>
      </c>
      <c r="C548" s="15">
        <f>IF(Categorias_Registro[[#This Row],[Puntos]]&lt;=ROUND(Piso,0),Piso,IF(Categorias_Registro[[#This Row],[Puntos]]&lt;D549,C549,D549+1))</f>
        <v>1882</v>
      </c>
      <c r="D548" s="15">
        <f>IF(Categorias_Registro[[#This Row],[Puntos]]=ROUND(Piso,0),ROUND(Categorias_Registro[[#This Row],[Puntos]]*(1+Categorias_Registro[[#This Row],[Amplitud]]),0),IF(Categorias_Registro[[#This Row],[Puntos]]&lt;D549,D549,ROUND(D549*(1+Categorias_Registro[[#This Row],[Amplitud]]),0)))</f>
        <v>2163</v>
      </c>
      <c r="E548" s="15">
        <f>E549+IF(D549=Categorias_Registro[[#This Row],[Máximo]],0,1)</f>
        <v>23</v>
      </c>
      <c r="F548" s="15">
        <f>ROUND(Categorias_Registro[[#This Row],[Mínimo]]+((Categorias_Registro[[#This Row],[Máximo]]-Categorias_Registro[[#This Row],[Mínimo]])/2),0)</f>
        <v>2023</v>
      </c>
      <c r="G548" s="78">
        <f>VLOOKUP(Categorias_Registro[[#This Row],[Puntos]],Categorias_Configuracion[],MATCH(Categorias_Configuracion[[#Headers],[% Amplitud]],Categorias_Configuracion[#Headers],0),TRUE)</f>
        <v>0.15</v>
      </c>
      <c r="H548" s="15" t="str">
        <f ca="1">TEXT(Categorias_Registro[[#This Row],[Mínimo]],Formato_Rango_Categorias)&amp;" - "&amp;TEXT(Categorias_Registro[[#This Row],[Máximo]],Formato_Rango_Categorias)</f>
        <v>1.882 - 2.163</v>
      </c>
    </row>
    <row r="549" spans="2:8">
      <c r="B549" s="15">
        <f>Techo - ROW() + ROW(Categorias_Registro[])</f>
        <v>2080</v>
      </c>
      <c r="C549" s="15">
        <f>IF(Categorias_Registro[[#This Row],[Puntos]]&lt;=ROUND(Piso,0),Piso,IF(Categorias_Registro[[#This Row],[Puntos]]&lt;D550,C550,D550+1))</f>
        <v>1882</v>
      </c>
      <c r="D549" s="15">
        <f>IF(Categorias_Registro[[#This Row],[Puntos]]=ROUND(Piso,0),ROUND(Categorias_Registro[[#This Row],[Puntos]]*(1+Categorias_Registro[[#This Row],[Amplitud]]),0),IF(Categorias_Registro[[#This Row],[Puntos]]&lt;D550,D550,ROUND(D550*(1+Categorias_Registro[[#This Row],[Amplitud]]),0)))</f>
        <v>2163</v>
      </c>
      <c r="E549" s="15">
        <f>E550+IF(D550=Categorias_Registro[[#This Row],[Máximo]],0,1)</f>
        <v>23</v>
      </c>
      <c r="F549" s="15">
        <f>ROUND(Categorias_Registro[[#This Row],[Mínimo]]+((Categorias_Registro[[#This Row],[Máximo]]-Categorias_Registro[[#This Row],[Mínimo]])/2),0)</f>
        <v>2023</v>
      </c>
      <c r="G549" s="78">
        <f>VLOOKUP(Categorias_Registro[[#This Row],[Puntos]],Categorias_Configuracion[],MATCH(Categorias_Configuracion[[#Headers],[% Amplitud]],Categorias_Configuracion[#Headers],0),TRUE)</f>
        <v>0.15</v>
      </c>
      <c r="H549" s="15" t="str">
        <f ca="1">TEXT(Categorias_Registro[[#This Row],[Mínimo]],Formato_Rango_Categorias)&amp;" - "&amp;TEXT(Categorias_Registro[[#This Row],[Máximo]],Formato_Rango_Categorias)</f>
        <v>1.882 - 2.163</v>
      </c>
    </row>
    <row r="550" spans="2:8">
      <c r="B550" s="15">
        <f>Techo - ROW() + ROW(Categorias_Registro[])</f>
        <v>2079</v>
      </c>
      <c r="C550" s="15">
        <f>IF(Categorias_Registro[[#This Row],[Puntos]]&lt;=ROUND(Piso,0),Piso,IF(Categorias_Registro[[#This Row],[Puntos]]&lt;D551,C551,D551+1))</f>
        <v>1882</v>
      </c>
      <c r="D550" s="15">
        <f>IF(Categorias_Registro[[#This Row],[Puntos]]=ROUND(Piso,0),ROUND(Categorias_Registro[[#This Row],[Puntos]]*(1+Categorias_Registro[[#This Row],[Amplitud]]),0),IF(Categorias_Registro[[#This Row],[Puntos]]&lt;D551,D551,ROUND(D551*(1+Categorias_Registro[[#This Row],[Amplitud]]),0)))</f>
        <v>2163</v>
      </c>
      <c r="E550" s="15">
        <f>E551+IF(D551=Categorias_Registro[[#This Row],[Máximo]],0,1)</f>
        <v>23</v>
      </c>
      <c r="F550" s="15">
        <f>ROUND(Categorias_Registro[[#This Row],[Mínimo]]+((Categorias_Registro[[#This Row],[Máximo]]-Categorias_Registro[[#This Row],[Mínimo]])/2),0)</f>
        <v>2023</v>
      </c>
      <c r="G550" s="78">
        <f>VLOOKUP(Categorias_Registro[[#This Row],[Puntos]],Categorias_Configuracion[],MATCH(Categorias_Configuracion[[#Headers],[% Amplitud]],Categorias_Configuracion[#Headers],0),TRUE)</f>
        <v>0.15</v>
      </c>
      <c r="H550" s="15" t="str">
        <f ca="1">TEXT(Categorias_Registro[[#This Row],[Mínimo]],Formato_Rango_Categorias)&amp;" - "&amp;TEXT(Categorias_Registro[[#This Row],[Máximo]],Formato_Rango_Categorias)</f>
        <v>1.882 - 2.163</v>
      </c>
    </row>
    <row r="551" spans="2:8">
      <c r="B551" s="15">
        <f>Techo - ROW() + ROW(Categorias_Registro[])</f>
        <v>2078</v>
      </c>
      <c r="C551" s="15">
        <f>IF(Categorias_Registro[[#This Row],[Puntos]]&lt;=ROUND(Piso,0),Piso,IF(Categorias_Registro[[#This Row],[Puntos]]&lt;D552,C552,D552+1))</f>
        <v>1882</v>
      </c>
      <c r="D551" s="15">
        <f>IF(Categorias_Registro[[#This Row],[Puntos]]=ROUND(Piso,0),ROUND(Categorias_Registro[[#This Row],[Puntos]]*(1+Categorias_Registro[[#This Row],[Amplitud]]),0),IF(Categorias_Registro[[#This Row],[Puntos]]&lt;D552,D552,ROUND(D552*(1+Categorias_Registro[[#This Row],[Amplitud]]),0)))</f>
        <v>2163</v>
      </c>
      <c r="E551" s="15">
        <f>E552+IF(D552=Categorias_Registro[[#This Row],[Máximo]],0,1)</f>
        <v>23</v>
      </c>
      <c r="F551" s="15">
        <f>ROUND(Categorias_Registro[[#This Row],[Mínimo]]+((Categorias_Registro[[#This Row],[Máximo]]-Categorias_Registro[[#This Row],[Mínimo]])/2),0)</f>
        <v>2023</v>
      </c>
      <c r="G551" s="78">
        <f>VLOOKUP(Categorias_Registro[[#This Row],[Puntos]],Categorias_Configuracion[],MATCH(Categorias_Configuracion[[#Headers],[% Amplitud]],Categorias_Configuracion[#Headers],0),TRUE)</f>
        <v>0.15</v>
      </c>
      <c r="H551" s="15" t="str">
        <f ca="1">TEXT(Categorias_Registro[[#This Row],[Mínimo]],Formato_Rango_Categorias)&amp;" - "&amp;TEXT(Categorias_Registro[[#This Row],[Máximo]],Formato_Rango_Categorias)</f>
        <v>1.882 - 2.163</v>
      </c>
    </row>
    <row r="552" spans="2:8">
      <c r="B552" s="15">
        <f>Techo - ROW() + ROW(Categorias_Registro[])</f>
        <v>2077</v>
      </c>
      <c r="C552" s="15">
        <f>IF(Categorias_Registro[[#This Row],[Puntos]]&lt;=ROUND(Piso,0),Piso,IF(Categorias_Registro[[#This Row],[Puntos]]&lt;D553,C553,D553+1))</f>
        <v>1882</v>
      </c>
      <c r="D552" s="15">
        <f>IF(Categorias_Registro[[#This Row],[Puntos]]=ROUND(Piso,0),ROUND(Categorias_Registro[[#This Row],[Puntos]]*(1+Categorias_Registro[[#This Row],[Amplitud]]),0),IF(Categorias_Registro[[#This Row],[Puntos]]&lt;D553,D553,ROUND(D553*(1+Categorias_Registro[[#This Row],[Amplitud]]),0)))</f>
        <v>2163</v>
      </c>
      <c r="E552" s="15">
        <f>E553+IF(D553=Categorias_Registro[[#This Row],[Máximo]],0,1)</f>
        <v>23</v>
      </c>
      <c r="F552" s="15">
        <f>ROUND(Categorias_Registro[[#This Row],[Mínimo]]+((Categorias_Registro[[#This Row],[Máximo]]-Categorias_Registro[[#This Row],[Mínimo]])/2),0)</f>
        <v>2023</v>
      </c>
      <c r="G552" s="78">
        <f>VLOOKUP(Categorias_Registro[[#This Row],[Puntos]],Categorias_Configuracion[],MATCH(Categorias_Configuracion[[#Headers],[% Amplitud]],Categorias_Configuracion[#Headers],0),TRUE)</f>
        <v>0.15</v>
      </c>
      <c r="H552" s="15" t="str">
        <f ca="1">TEXT(Categorias_Registro[[#This Row],[Mínimo]],Formato_Rango_Categorias)&amp;" - "&amp;TEXT(Categorias_Registro[[#This Row],[Máximo]],Formato_Rango_Categorias)</f>
        <v>1.882 - 2.163</v>
      </c>
    </row>
    <row r="553" spans="2:8">
      <c r="B553" s="15">
        <f>Techo - ROW() + ROW(Categorias_Registro[])</f>
        <v>2076</v>
      </c>
      <c r="C553" s="15">
        <f>IF(Categorias_Registro[[#This Row],[Puntos]]&lt;=ROUND(Piso,0),Piso,IF(Categorias_Registro[[#This Row],[Puntos]]&lt;D554,C554,D554+1))</f>
        <v>1882</v>
      </c>
      <c r="D553" s="15">
        <f>IF(Categorias_Registro[[#This Row],[Puntos]]=ROUND(Piso,0),ROUND(Categorias_Registro[[#This Row],[Puntos]]*(1+Categorias_Registro[[#This Row],[Amplitud]]),0),IF(Categorias_Registro[[#This Row],[Puntos]]&lt;D554,D554,ROUND(D554*(1+Categorias_Registro[[#This Row],[Amplitud]]),0)))</f>
        <v>2163</v>
      </c>
      <c r="E553" s="15">
        <f>E554+IF(D554=Categorias_Registro[[#This Row],[Máximo]],0,1)</f>
        <v>23</v>
      </c>
      <c r="F553" s="15">
        <f>ROUND(Categorias_Registro[[#This Row],[Mínimo]]+((Categorias_Registro[[#This Row],[Máximo]]-Categorias_Registro[[#This Row],[Mínimo]])/2),0)</f>
        <v>2023</v>
      </c>
      <c r="G553" s="78">
        <f>VLOOKUP(Categorias_Registro[[#This Row],[Puntos]],Categorias_Configuracion[],MATCH(Categorias_Configuracion[[#Headers],[% Amplitud]],Categorias_Configuracion[#Headers],0),TRUE)</f>
        <v>0.15</v>
      </c>
      <c r="H553" s="15" t="str">
        <f ca="1">TEXT(Categorias_Registro[[#This Row],[Mínimo]],Formato_Rango_Categorias)&amp;" - "&amp;TEXT(Categorias_Registro[[#This Row],[Máximo]],Formato_Rango_Categorias)</f>
        <v>1.882 - 2.163</v>
      </c>
    </row>
    <row r="554" spans="2:8">
      <c r="B554" s="15">
        <f>Techo - ROW() + ROW(Categorias_Registro[])</f>
        <v>2075</v>
      </c>
      <c r="C554" s="15">
        <f>IF(Categorias_Registro[[#This Row],[Puntos]]&lt;=ROUND(Piso,0),Piso,IF(Categorias_Registro[[#This Row],[Puntos]]&lt;D555,C555,D555+1))</f>
        <v>1882</v>
      </c>
      <c r="D554" s="15">
        <f>IF(Categorias_Registro[[#This Row],[Puntos]]=ROUND(Piso,0),ROUND(Categorias_Registro[[#This Row],[Puntos]]*(1+Categorias_Registro[[#This Row],[Amplitud]]),0),IF(Categorias_Registro[[#This Row],[Puntos]]&lt;D555,D555,ROUND(D555*(1+Categorias_Registro[[#This Row],[Amplitud]]),0)))</f>
        <v>2163</v>
      </c>
      <c r="E554" s="15">
        <f>E555+IF(D555=Categorias_Registro[[#This Row],[Máximo]],0,1)</f>
        <v>23</v>
      </c>
      <c r="F554" s="15">
        <f>ROUND(Categorias_Registro[[#This Row],[Mínimo]]+((Categorias_Registro[[#This Row],[Máximo]]-Categorias_Registro[[#This Row],[Mínimo]])/2),0)</f>
        <v>2023</v>
      </c>
      <c r="G554" s="78">
        <f>VLOOKUP(Categorias_Registro[[#This Row],[Puntos]],Categorias_Configuracion[],MATCH(Categorias_Configuracion[[#Headers],[% Amplitud]],Categorias_Configuracion[#Headers],0),TRUE)</f>
        <v>0.15</v>
      </c>
      <c r="H554" s="15" t="str">
        <f ca="1">TEXT(Categorias_Registro[[#This Row],[Mínimo]],Formato_Rango_Categorias)&amp;" - "&amp;TEXT(Categorias_Registro[[#This Row],[Máximo]],Formato_Rango_Categorias)</f>
        <v>1.882 - 2.163</v>
      </c>
    </row>
    <row r="555" spans="2:8">
      <c r="B555" s="15">
        <f>Techo - ROW() + ROW(Categorias_Registro[])</f>
        <v>2074</v>
      </c>
      <c r="C555" s="15">
        <f>IF(Categorias_Registro[[#This Row],[Puntos]]&lt;=ROUND(Piso,0),Piso,IF(Categorias_Registro[[#This Row],[Puntos]]&lt;D556,C556,D556+1))</f>
        <v>1882</v>
      </c>
      <c r="D555" s="15">
        <f>IF(Categorias_Registro[[#This Row],[Puntos]]=ROUND(Piso,0),ROUND(Categorias_Registro[[#This Row],[Puntos]]*(1+Categorias_Registro[[#This Row],[Amplitud]]),0),IF(Categorias_Registro[[#This Row],[Puntos]]&lt;D556,D556,ROUND(D556*(1+Categorias_Registro[[#This Row],[Amplitud]]),0)))</f>
        <v>2163</v>
      </c>
      <c r="E555" s="15">
        <f>E556+IF(D556=Categorias_Registro[[#This Row],[Máximo]],0,1)</f>
        <v>23</v>
      </c>
      <c r="F555" s="15">
        <f>ROUND(Categorias_Registro[[#This Row],[Mínimo]]+((Categorias_Registro[[#This Row],[Máximo]]-Categorias_Registro[[#This Row],[Mínimo]])/2),0)</f>
        <v>2023</v>
      </c>
      <c r="G555" s="78">
        <f>VLOOKUP(Categorias_Registro[[#This Row],[Puntos]],Categorias_Configuracion[],MATCH(Categorias_Configuracion[[#Headers],[% Amplitud]],Categorias_Configuracion[#Headers],0),TRUE)</f>
        <v>0.15</v>
      </c>
      <c r="H555" s="15" t="str">
        <f ca="1">TEXT(Categorias_Registro[[#This Row],[Mínimo]],Formato_Rango_Categorias)&amp;" - "&amp;TEXT(Categorias_Registro[[#This Row],[Máximo]],Formato_Rango_Categorias)</f>
        <v>1.882 - 2.163</v>
      </c>
    </row>
    <row r="556" spans="2:8">
      <c r="B556" s="15">
        <f>Techo - ROW() + ROW(Categorias_Registro[])</f>
        <v>2073</v>
      </c>
      <c r="C556" s="15">
        <f>IF(Categorias_Registro[[#This Row],[Puntos]]&lt;=ROUND(Piso,0),Piso,IF(Categorias_Registro[[#This Row],[Puntos]]&lt;D557,C557,D557+1))</f>
        <v>1882</v>
      </c>
      <c r="D556" s="15">
        <f>IF(Categorias_Registro[[#This Row],[Puntos]]=ROUND(Piso,0),ROUND(Categorias_Registro[[#This Row],[Puntos]]*(1+Categorias_Registro[[#This Row],[Amplitud]]),0),IF(Categorias_Registro[[#This Row],[Puntos]]&lt;D557,D557,ROUND(D557*(1+Categorias_Registro[[#This Row],[Amplitud]]),0)))</f>
        <v>2163</v>
      </c>
      <c r="E556" s="15">
        <f>E557+IF(D557=Categorias_Registro[[#This Row],[Máximo]],0,1)</f>
        <v>23</v>
      </c>
      <c r="F556" s="15">
        <f>ROUND(Categorias_Registro[[#This Row],[Mínimo]]+((Categorias_Registro[[#This Row],[Máximo]]-Categorias_Registro[[#This Row],[Mínimo]])/2),0)</f>
        <v>2023</v>
      </c>
      <c r="G556" s="78">
        <f>VLOOKUP(Categorias_Registro[[#This Row],[Puntos]],Categorias_Configuracion[],MATCH(Categorias_Configuracion[[#Headers],[% Amplitud]],Categorias_Configuracion[#Headers],0),TRUE)</f>
        <v>0.15</v>
      </c>
      <c r="H556" s="15" t="str">
        <f ca="1">TEXT(Categorias_Registro[[#This Row],[Mínimo]],Formato_Rango_Categorias)&amp;" - "&amp;TEXT(Categorias_Registro[[#This Row],[Máximo]],Formato_Rango_Categorias)</f>
        <v>1.882 - 2.163</v>
      </c>
    </row>
    <row r="557" spans="2:8">
      <c r="B557" s="15">
        <f>Techo - ROW() + ROW(Categorias_Registro[])</f>
        <v>2072</v>
      </c>
      <c r="C557" s="15">
        <f>IF(Categorias_Registro[[#This Row],[Puntos]]&lt;=ROUND(Piso,0),Piso,IF(Categorias_Registro[[#This Row],[Puntos]]&lt;D558,C558,D558+1))</f>
        <v>1882</v>
      </c>
      <c r="D557" s="15">
        <f>IF(Categorias_Registro[[#This Row],[Puntos]]=ROUND(Piso,0),ROUND(Categorias_Registro[[#This Row],[Puntos]]*(1+Categorias_Registro[[#This Row],[Amplitud]]),0),IF(Categorias_Registro[[#This Row],[Puntos]]&lt;D558,D558,ROUND(D558*(1+Categorias_Registro[[#This Row],[Amplitud]]),0)))</f>
        <v>2163</v>
      </c>
      <c r="E557" s="15">
        <f>E558+IF(D558=Categorias_Registro[[#This Row],[Máximo]],0,1)</f>
        <v>23</v>
      </c>
      <c r="F557" s="15">
        <f>ROUND(Categorias_Registro[[#This Row],[Mínimo]]+((Categorias_Registro[[#This Row],[Máximo]]-Categorias_Registro[[#This Row],[Mínimo]])/2),0)</f>
        <v>2023</v>
      </c>
      <c r="G557" s="78">
        <f>VLOOKUP(Categorias_Registro[[#This Row],[Puntos]],Categorias_Configuracion[],MATCH(Categorias_Configuracion[[#Headers],[% Amplitud]],Categorias_Configuracion[#Headers],0),TRUE)</f>
        <v>0.15</v>
      </c>
      <c r="H557" s="15" t="str">
        <f ca="1">TEXT(Categorias_Registro[[#This Row],[Mínimo]],Formato_Rango_Categorias)&amp;" - "&amp;TEXT(Categorias_Registro[[#This Row],[Máximo]],Formato_Rango_Categorias)</f>
        <v>1.882 - 2.163</v>
      </c>
    </row>
    <row r="558" spans="2:8">
      <c r="B558" s="15">
        <f>Techo - ROW() + ROW(Categorias_Registro[])</f>
        <v>2071</v>
      </c>
      <c r="C558" s="15">
        <f>IF(Categorias_Registro[[#This Row],[Puntos]]&lt;=ROUND(Piso,0),Piso,IF(Categorias_Registro[[#This Row],[Puntos]]&lt;D559,C559,D559+1))</f>
        <v>1882</v>
      </c>
      <c r="D558" s="15">
        <f>IF(Categorias_Registro[[#This Row],[Puntos]]=ROUND(Piso,0),ROUND(Categorias_Registro[[#This Row],[Puntos]]*(1+Categorias_Registro[[#This Row],[Amplitud]]),0),IF(Categorias_Registro[[#This Row],[Puntos]]&lt;D559,D559,ROUND(D559*(1+Categorias_Registro[[#This Row],[Amplitud]]),0)))</f>
        <v>2163</v>
      </c>
      <c r="E558" s="15">
        <f>E559+IF(D559=Categorias_Registro[[#This Row],[Máximo]],0,1)</f>
        <v>23</v>
      </c>
      <c r="F558" s="15">
        <f>ROUND(Categorias_Registro[[#This Row],[Mínimo]]+((Categorias_Registro[[#This Row],[Máximo]]-Categorias_Registro[[#This Row],[Mínimo]])/2),0)</f>
        <v>2023</v>
      </c>
      <c r="G558" s="78">
        <f>VLOOKUP(Categorias_Registro[[#This Row],[Puntos]],Categorias_Configuracion[],MATCH(Categorias_Configuracion[[#Headers],[% Amplitud]],Categorias_Configuracion[#Headers],0),TRUE)</f>
        <v>0.15</v>
      </c>
      <c r="H558" s="15" t="str">
        <f ca="1">TEXT(Categorias_Registro[[#This Row],[Mínimo]],Formato_Rango_Categorias)&amp;" - "&amp;TEXT(Categorias_Registro[[#This Row],[Máximo]],Formato_Rango_Categorias)</f>
        <v>1.882 - 2.163</v>
      </c>
    </row>
    <row r="559" spans="2:8">
      <c r="B559" s="15">
        <f>Techo - ROW() + ROW(Categorias_Registro[])</f>
        <v>2070</v>
      </c>
      <c r="C559" s="15">
        <f>IF(Categorias_Registro[[#This Row],[Puntos]]&lt;=ROUND(Piso,0),Piso,IF(Categorias_Registro[[#This Row],[Puntos]]&lt;D560,C560,D560+1))</f>
        <v>1882</v>
      </c>
      <c r="D559" s="15">
        <f>IF(Categorias_Registro[[#This Row],[Puntos]]=ROUND(Piso,0),ROUND(Categorias_Registro[[#This Row],[Puntos]]*(1+Categorias_Registro[[#This Row],[Amplitud]]),0),IF(Categorias_Registro[[#This Row],[Puntos]]&lt;D560,D560,ROUND(D560*(1+Categorias_Registro[[#This Row],[Amplitud]]),0)))</f>
        <v>2163</v>
      </c>
      <c r="E559" s="15">
        <f>E560+IF(D560=Categorias_Registro[[#This Row],[Máximo]],0,1)</f>
        <v>23</v>
      </c>
      <c r="F559" s="15">
        <f>ROUND(Categorias_Registro[[#This Row],[Mínimo]]+((Categorias_Registro[[#This Row],[Máximo]]-Categorias_Registro[[#This Row],[Mínimo]])/2),0)</f>
        <v>2023</v>
      </c>
      <c r="G559" s="78">
        <f>VLOOKUP(Categorias_Registro[[#This Row],[Puntos]],Categorias_Configuracion[],MATCH(Categorias_Configuracion[[#Headers],[% Amplitud]],Categorias_Configuracion[#Headers],0),TRUE)</f>
        <v>0.15</v>
      </c>
      <c r="H559" s="15" t="str">
        <f ca="1">TEXT(Categorias_Registro[[#This Row],[Mínimo]],Formato_Rango_Categorias)&amp;" - "&amp;TEXT(Categorias_Registro[[#This Row],[Máximo]],Formato_Rango_Categorias)</f>
        <v>1.882 - 2.163</v>
      </c>
    </row>
    <row r="560" spans="2:8">
      <c r="B560" s="15">
        <f>Techo - ROW() + ROW(Categorias_Registro[])</f>
        <v>2069</v>
      </c>
      <c r="C560" s="15">
        <f>IF(Categorias_Registro[[#This Row],[Puntos]]&lt;=ROUND(Piso,0),Piso,IF(Categorias_Registro[[#This Row],[Puntos]]&lt;D561,C561,D561+1))</f>
        <v>1882</v>
      </c>
      <c r="D560" s="15">
        <f>IF(Categorias_Registro[[#This Row],[Puntos]]=ROUND(Piso,0),ROUND(Categorias_Registro[[#This Row],[Puntos]]*(1+Categorias_Registro[[#This Row],[Amplitud]]),0),IF(Categorias_Registro[[#This Row],[Puntos]]&lt;D561,D561,ROUND(D561*(1+Categorias_Registro[[#This Row],[Amplitud]]),0)))</f>
        <v>2163</v>
      </c>
      <c r="E560" s="15">
        <f>E561+IF(D561=Categorias_Registro[[#This Row],[Máximo]],0,1)</f>
        <v>23</v>
      </c>
      <c r="F560" s="15">
        <f>ROUND(Categorias_Registro[[#This Row],[Mínimo]]+((Categorias_Registro[[#This Row],[Máximo]]-Categorias_Registro[[#This Row],[Mínimo]])/2),0)</f>
        <v>2023</v>
      </c>
      <c r="G560" s="78">
        <f>VLOOKUP(Categorias_Registro[[#This Row],[Puntos]],Categorias_Configuracion[],MATCH(Categorias_Configuracion[[#Headers],[% Amplitud]],Categorias_Configuracion[#Headers],0),TRUE)</f>
        <v>0.15</v>
      </c>
      <c r="H560" s="15" t="str">
        <f ca="1">TEXT(Categorias_Registro[[#This Row],[Mínimo]],Formato_Rango_Categorias)&amp;" - "&amp;TEXT(Categorias_Registro[[#This Row],[Máximo]],Formato_Rango_Categorias)</f>
        <v>1.882 - 2.163</v>
      </c>
    </row>
    <row r="561" spans="2:8">
      <c r="B561" s="15">
        <f>Techo - ROW() + ROW(Categorias_Registro[])</f>
        <v>2068</v>
      </c>
      <c r="C561" s="15">
        <f>IF(Categorias_Registro[[#This Row],[Puntos]]&lt;=ROUND(Piso,0),Piso,IF(Categorias_Registro[[#This Row],[Puntos]]&lt;D562,C562,D562+1))</f>
        <v>1882</v>
      </c>
      <c r="D561" s="15">
        <f>IF(Categorias_Registro[[#This Row],[Puntos]]=ROUND(Piso,0),ROUND(Categorias_Registro[[#This Row],[Puntos]]*(1+Categorias_Registro[[#This Row],[Amplitud]]),0),IF(Categorias_Registro[[#This Row],[Puntos]]&lt;D562,D562,ROUND(D562*(1+Categorias_Registro[[#This Row],[Amplitud]]),0)))</f>
        <v>2163</v>
      </c>
      <c r="E561" s="15">
        <f>E562+IF(D562=Categorias_Registro[[#This Row],[Máximo]],0,1)</f>
        <v>23</v>
      </c>
      <c r="F561" s="15">
        <f>ROUND(Categorias_Registro[[#This Row],[Mínimo]]+((Categorias_Registro[[#This Row],[Máximo]]-Categorias_Registro[[#This Row],[Mínimo]])/2),0)</f>
        <v>2023</v>
      </c>
      <c r="G561" s="78">
        <f>VLOOKUP(Categorias_Registro[[#This Row],[Puntos]],Categorias_Configuracion[],MATCH(Categorias_Configuracion[[#Headers],[% Amplitud]],Categorias_Configuracion[#Headers],0),TRUE)</f>
        <v>0.15</v>
      </c>
      <c r="H561" s="15" t="str">
        <f ca="1">TEXT(Categorias_Registro[[#This Row],[Mínimo]],Formato_Rango_Categorias)&amp;" - "&amp;TEXT(Categorias_Registro[[#This Row],[Máximo]],Formato_Rango_Categorias)</f>
        <v>1.882 - 2.163</v>
      </c>
    </row>
    <row r="562" spans="2:8">
      <c r="B562" s="15">
        <f>Techo - ROW() + ROW(Categorias_Registro[])</f>
        <v>2067</v>
      </c>
      <c r="C562" s="15">
        <f>IF(Categorias_Registro[[#This Row],[Puntos]]&lt;=ROUND(Piso,0),Piso,IF(Categorias_Registro[[#This Row],[Puntos]]&lt;D563,C563,D563+1))</f>
        <v>1882</v>
      </c>
      <c r="D562" s="15">
        <f>IF(Categorias_Registro[[#This Row],[Puntos]]=ROUND(Piso,0),ROUND(Categorias_Registro[[#This Row],[Puntos]]*(1+Categorias_Registro[[#This Row],[Amplitud]]),0),IF(Categorias_Registro[[#This Row],[Puntos]]&lt;D563,D563,ROUND(D563*(1+Categorias_Registro[[#This Row],[Amplitud]]),0)))</f>
        <v>2163</v>
      </c>
      <c r="E562" s="15">
        <f>E563+IF(D563=Categorias_Registro[[#This Row],[Máximo]],0,1)</f>
        <v>23</v>
      </c>
      <c r="F562" s="15">
        <f>ROUND(Categorias_Registro[[#This Row],[Mínimo]]+((Categorias_Registro[[#This Row],[Máximo]]-Categorias_Registro[[#This Row],[Mínimo]])/2),0)</f>
        <v>2023</v>
      </c>
      <c r="G562" s="78">
        <f>VLOOKUP(Categorias_Registro[[#This Row],[Puntos]],Categorias_Configuracion[],MATCH(Categorias_Configuracion[[#Headers],[% Amplitud]],Categorias_Configuracion[#Headers],0),TRUE)</f>
        <v>0.15</v>
      </c>
      <c r="H562" s="15" t="str">
        <f ca="1">TEXT(Categorias_Registro[[#This Row],[Mínimo]],Formato_Rango_Categorias)&amp;" - "&amp;TEXT(Categorias_Registro[[#This Row],[Máximo]],Formato_Rango_Categorias)</f>
        <v>1.882 - 2.163</v>
      </c>
    </row>
    <row r="563" spans="2:8">
      <c r="B563" s="15">
        <f>Techo - ROW() + ROW(Categorias_Registro[])</f>
        <v>2066</v>
      </c>
      <c r="C563" s="15">
        <f>IF(Categorias_Registro[[#This Row],[Puntos]]&lt;=ROUND(Piso,0),Piso,IF(Categorias_Registro[[#This Row],[Puntos]]&lt;D564,C564,D564+1))</f>
        <v>1882</v>
      </c>
      <c r="D563" s="15">
        <f>IF(Categorias_Registro[[#This Row],[Puntos]]=ROUND(Piso,0),ROUND(Categorias_Registro[[#This Row],[Puntos]]*(1+Categorias_Registro[[#This Row],[Amplitud]]),0),IF(Categorias_Registro[[#This Row],[Puntos]]&lt;D564,D564,ROUND(D564*(1+Categorias_Registro[[#This Row],[Amplitud]]),0)))</f>
        <v>2163</v>
      </c>
      <c r="E563" s="15">
        <f>E564+IF(D564=Categorias_Registro[[#This Row],[Máximo]],0,1)</f>
        <v>23</v>
      </c>
      <c r="F563" s="15">
        <f>ROUND(Categorias_Registro[[#This Row],[Mínimo]]+((Categorias_Registro[[#This Row],[Máximo]]-Categorias_Registro[[#This Row],[Mínimo]])/2),0)</f>
        <v>2023</v>
      </c>
      <c r="G563" s="78">
        <f>VLOOKUP(Categorias_Registro[[#This Row],[Puntos]],Categorias_Configuracion[],MATCH(Categorias_Configuracion[[#Headers],[% Amplitud]],Categorias_Configuracion[#Headers],0),TRUE)</f>
        <v>0.15</v>
      </c>
      <c r="H563" s="15" t="str">
        <f ca="1">TEXT(Categorias_Registro[[#This Row],[Mínimo]],Formato_Rango_Categorias)&amp;" - "&amp;TEXT(Categorias_Registro[[#This Row],[Máximo]],Formato_Rango_Categorias)</f>
        <v>1.882 - 2.163</v>
      </c>
    </row>
    <row r="564" spans="2:8">
      <c r="B564" s="15">
        <f>Techo - ROW() + ROW(Categorias_Registro[])</f>
        <v>2065</v>
      </c>
      <c r="C564" s="15">
        <f>IF(Categorias_Registro[[#This Row],[Puntos]]&lt;=ROUND(Piso,0),Piso,IF(Categorias_Registro[[#This Row],[Puntos]]&lt;D565,C565,D565+1))</f>
        <v>1882</v>
      </c>
      <c r="D564" s="15">
        <f>IF(Categorias_Registro[[#This Row],[Puntos]]=ROUND(Piso,0),ROUND(Categorias_Registro[[#This Row],[Puntos]]*(1+Categorias_Registro[[#This Row],[Amplitud]]),0),IF(Categorias_Registro[[#This Row],[Puntos]]&lt;D565,D565,ROUND(D565*(1+Categorias_Registro[[#This Row],[Amplitud]]),0)))</f>
        <v>2163</v>
      </c>
      <c r="E564" s="15">
        <f>E565+IF(D565=Categorias_Registro[[#This Row],[Máximo]],0,1)</f>
        <v>23</v>
      </c>
      <c r="F564" s="15">
        <f>ROUND(Categorias_Registro[[#This Row],[Mínimo]]+((Categorias_Registro[[#This Row],[Máximo]]-Categorias_Registro[[#This Row],[Mínimo]])/2),0)</f>
        <v>2023</v>
      </c>
      <c r="G564" s="78">
        <f>VLOOKUP(Categorias_Registro[[#This Row],[Puntos]],Categorias_Configuracion[],MATCH(Categorias_Configuracion[[#Headers],[% Amplitud]],Categorias_Configuracion[#Headers],0),TRUE)</f>
        <v>0.15</v>
      </c>
      <c r="H564" s="15" t="str">
        <f ca="1">TEXT(Categorias_Registro[[#This Row],[Mínimo]],Formato_Rango_Categorias)&amp;" - "&amp;TEXT(Categorias_Registro[[#This Row],[Máximo]],Formato_Rango_Categorias)</f>
        <v>1.882 - 2.163</v>
      </c>
    </row>
    <row r="565" spans="2:8">
      <c r="B565" s="15">
        <f>Techo - ROW() + ROW(Categorias_Registro[])</f>
        <v>2064</v>
      </c>
      <c r="C565" s="15">
        <f>IF(Categorias_Registro[[#This Row],[Puntos]]&lt;=ROUND(Piso,0),Piso,IF(Categorias_Registro[[#This Row],[Puntos]]&lt;D566,C566,D566+1))</f>
        <v>1882</v>
      </c>
      <c r="D565" s="15">
        <f>IF(Categorias_Registro[[#This Row],[Puntos]]=ROUND(Piso,0),ROUND(Categorias_Registro[[#This Row],[Puntos]]*(1+Categorias_Registro[[#This Row],[Amplitud]]),0),IF(Categorias_Registro[[#This Row],[Puntos]]&lt;D566,D566,ROUND(D566*(1+Categorias_Registro[[#This Row],[Amplitud]]),0)))</f>
        <v>2163</v>
      </c>
      <c r="E565" s="15">
        <f>E566+IF(D566=Categorias_Registro[[#This Row],[Máximo]],0,1)</f>
        <v>23</v>
      </c>
      <c r="F565" s="15">
        <f>ROUND(Categorias_Registro[[#This Row],[Mínimo]]+((Categorias_Registro[[#This Row],[Máximo]]-Categorias_Registro[[#This Row],[Mínimo]])/2),0)</f>
        <v>2023</v>
      </c>
      <c r="G565" s="78">
        <f>VLOOKUP(Categorias_Registro[[#This Row],[Puntos]],Categorias_Configuracion[],MATCH(Categorias_Configuracion[[#Headers],[% Amplitud]],Categorias_Configuracion[#Headers],0),TRUE)</f>
        <v>0.15</v>
      </c>
      <c r="H565" s="15" t="str">
        <f ca="1">TEXT(Categorias_Registro[[#This Row],[Mínimo]],Formato_Rango_Categorias)&amp;" - "&amp;TEXT(Categorias_Registro[[#This Row],[Máximo]],Formato_Rango_Categorias)</f>
        <v>1.882 - 2.163</v>
      </c>
    </row>
    <row r="566" spans="2:8">
      <c r="B566" s="15">
        <f>Techo - ROW() + ROW(Categorias_Registro[])</f>
        <v>2063</v>
      </c>
      <c r="C566" s="15">
        <f>IF(Categorias_Registro[[#This Row],[Puntos]]&lt;=ROUND(Piso,0),Piso,IF(Categorias_Registro[[#This Row],[Puntos]]&lt;D567,C567,D567+1))</f>
        <v>1882</v>
      </c>
      <c r="D566" s="15">
        <f>IF(Categorias_Registro[[#This Row],[Puntos]]=ROUND(Piso,0),ROUND(Categorias_Registro[[#This Row],[Puntos]]*(1+Categorias_Registro[[#This Row],[Amplitud]]),0),IF(Categorias_Registro[[#This Row],[Puntos]]&lt;D567,D567,ROUND(D567*(1+Categorias_Registro[[#This Row],[Amplitud]]),0)))</f>
        <v>2163</v>
      </c>
      <c r="E566" s="15">
        <f>E567+IF(D567=Categorias_Registro[[#This Row],[Máximo]],0,1)</f>
        <v>23</v>
      </c>
      <c r="F566" s="15">
        <f>ROUND(Categorias_Registro[[#This Row],[Mínimo]]+((Categorias_Registro[[#This Row],[Máximo]]-Categorias_Registro[[#This Row],[Mínimo]])/2),0)</f>
        <v>2023</v>
      </c>
      <c r="G566" s="78">
        <f>VLOOKUP(Categorias_Registro[[#This Row],[Puntos]],Categorias_Configuracion[],MATCH(Categorias_Configuracion[[#Headers],[% Amplitud]],Categorias_Configuracion[#Headers],0),TRUE)</f>
        <v>0.15</v>
      </c>
      <c r="H566" s="15" t="str">
        <f ca="1">TEXT(Categorias_Registro[[#This Row],[Mínimo]],Formato_Rango_Categorias)&amp;" - "&amp;TEXT(Categorias_Registro[[#This Row],[Máximo]],Formato_Rango_Categorias)</f>
        <v>1.882 - 2.163</v>
      </c>
    </row>
    <row r="567" spans="2:8">
      <c r="B567" s="15">
        <f>Techo - ROW() + ROW(Categorias_Registro[])</f>
        <v>2062</v>
      </c>
      <c r="C567" s="15">
        <f>IF(Categorias_Registro[[#This Row],[Puntos]]&lt;=ROUND(Piso,0),Piso,IF(Categorias_Registro[[#This Row],[Puntos]]&lt;D568,C568,D568+1))</f>
        <v>1882</v>
      </c>
      <c r="D567" s="15">
        <f>IF(Categorias_Registro[[#This Row],[Puntos]]=ROUND(Piso,0),ROUND(Categorias_Registro[[#This Row],[Puntos]]*(1+Categorias_Registro[[#This Row],[Amplitud]]),0),IF(Categorias_Registro[[#This Row],[Puntos]]&lt;D568,D568,ROUND(D568*(1+Categorias_Registro[[#This Row],[Amplitud]]),0)))</f>
        <v>2163</v>
      </c>
      <c r="E567" s="15">
        <f>E568+IF(D568=Categorias_Registro[[#This Row],[Máximo]],0,1)</f>
        <v>23</v>
      </c>
      <c r="F567" s="15">
        <f>ROUND(Categorias_Registro[[#This Row],[Mínimo]]+((Categorias_Registro[[#This Row],[Máximo]]-Categorias_Registro[[#This Row],[Mínimo]])/2),0)</f>
        <v>2023</v>
      </c>
      <c r="G567" s="78">
        <f>VLOOKUP(Categorias_Registro[[#This Row],[Puntos]],Categorias_Configuracion[],MATCH(Categorias_Configuracion[[#Headers],[% Amplitud]],Categorias_Configuracion[#Headers],0),TRUE)</f>
        <v>0.15</v>
      </c>
      <c r="H567" s="15" t="str">
        <f ca="1">TEXT(Categorias_Registro[[#This Row],[Mínimo]],Formato_Rango_Categorias)&amp;" - "&amp;TEXT(Categorias_Registro[[#This Row],[Máximo]],Formato_Rango_Categorias)</f>
        <v>1.882 - 2.163</v>
      </c>
    </row>
    <row r="568" spans="2:8">
      <c r="B568" s="15">
        <f>Techo - ROW() + ROW(Categorias_Registro[])</f>
        <v>2061</v>
      </c>
      <c r="C568" s="15">
        <f>IF(Categorias_Registro[[#This Row],[Puntos]]&lt;=ROUND(Piso,0),Piso,IF(Categorias_Registro[[#This Row],[Puntos]]&lt;D569,C569,D569+1))</f>
        <v>1882</v>
      </c>
      <c r="D568" s="15">
        <f>IF(Categorias_Registro[[#This Row],[Puntos]]=ROUND(Piso,0),ROUND(Categorias_Registro[[#This Row],[Puntos]]*(1+Categorias_Registro[[#This Row],[Amplitud]]),0),IF(Categorias_Registro[[#This Row],[Puntos]]&lt;D569,D569,ROUND(D569*(1+Categorias_Registro[[#This Row],[Amplitud]]),0)))</f>
        <v>2163</v>
      </c>
      <c r="E568" s="15">
        <f>E569+IF(D569=Categorias_Registro[[#This Row],[Máximo]],0,1)</f>
        <v>23</v>
      </c>
      <c r="F568" s="15">
        <f>ROUND(Categorias_Registro[[#This Row],[Mínimo]]+((Categorias_Registro[[#This Row],[Máximo]]-Categorias_Registro[[#This Row],[Mínimo]])/2),0)</f>
        <v>2023</v>
      </c>
      <c r="G568" s="78">
        <f>VLOOKUP(Categorias_Registro[[#This Row],[Puntos]],Categorias_Configuracion[],MATCH(Categorias_Configuracion[[#Headers],[% Amplitud]],Categorias_Configuracion[#Headers],0),TRUE)</f>
        <v>0.15</v>
      </c>
      <c r="H568" s="15" t="str">
        <f ca="1">TEXT(Categorias_Registro[[#This Row],[Mínimo]],Formato_Rango_Categorias)&amp;" - "&amp;TEXT(Categorias_Registro[[#This Row],[Máximo]],Formato_Rango_Categorias)</f>
        <v>1.882 - 2.163</v>
      </c>
    </row>
    <row r="569" spans="2:8">
      <c r="B569" s="15">
        <f>Techo - ROW() + ROW(Categorias_Registro[])</f>
        <v>2060</v>
      </c>
      <c r="C569" s="15">
        <f>IF(Categorias_Registro[[#This Row],[Puntos]]&lt;=ROUND(Piso,0),Piso,IF(Categorias_Registro[[#This Row],[Puntos]]&lt;D570,C570,D570+1))</f>
        <v>1882</v>
      </c>
      <c r="D569" s="15">
        <f>IF(Categorias_Registro[[#This Row],[Puntos]]=ROUND(Piso,0),ROUND(Categorias_Registro[[#This Row],[Puntos]]*(1+Categorias_Registro[[#This Row],[Amplitud]]),0),IF(Categorias_Registro[[#This Row],[Puntos]]&lt;D570,D570,ROUND(D570*(1+Categorias_Registro[[#This Row],[Amplitud]]),0)))</f>
        <v>2163</v>
      </c>
      <c r="E569" s="15">
        <f>E570+IF(D570=Categorias_Registro[[#This Row],[Máximo]],0,1)</f>
        <v>23</v>
      </c>
      <c r="F569" s="15">
        <f>ROUND(Categorias_Registro[[#This Row],[Mínimo]]+((Categorias_Registro[[#This Row],[Máximo]]-Categorias_Registro[[#This Row],[Mínimo]])/2),0)</f>
        <v>2023</v>
      </c>
      <c r="G569" s="78">
        <f>VLOOKUP(Categorias_Registro[[#This Row],[Puntos]],Categorias_Configuracion[],MATCH(Categorias_Configuracion[[#Headers],[% Amplitud]],Categorias_Configuracion[#Headers],0),TRUE)</f>
        <v>0.15</v>
      </c>
      <c r="H569" s="15" t="str">
        <f ca="1">TEXT(Categorias_Registro[[#This Row],[Mínimo]],Formato_Rango_Categorias)&amp;" - "&amp;TEXT(Categorias_Registro[[#This Row],[Máximo]],Formato_Rango_Categorias)</f>
        <v>1.882 - 2.163</v>
      </c>
    </row>
    <row r="570" spans="2:8">
      <c r="B570" s="15">
        <f>Techo - ROW() + ROW(Categorias_Registro[])</f>
        <v>2059</v>
      </c>
      <c r="C570" s="15">
        <f>IF(Categorias_Registro[[#This Row],[Puntos]]&lt;=ROUND(Piso,0),Piso,IF(Categorias_Registro[[#This Row],[Puntos]]&lt;D571,C571,D571+1))</f>
        <v>1882</v>
      </c>
      <c r="D570" s="15">
        <f>IF(Categorias_Registro[[#This Row],[Puntos]]=ROUND(Piso,0),ROUND(Categorias_Registro[[#This Row],[Puntos]]*(1+Categorias_Registro[[#This Row],[Amplitud]]),0),IF(Categorias_Registro[[#This Row],[Puntos]]&lt;D571,D571,ROUND(D571*(1+Categorias_Registro[[#This Row],[Amplitud]]),0)))</f>
        <v>2163</v>
      </c>
      <c r="E570" s="15">
        <f>E571+IF(D571=Categorias_Registro[[#This Row],[Máximo]],0,1)</f>
        <v>23</v>
      </c>
      <c r="F570" s="15">
        <f>ROUND(Categorias_Registro[[#This Row],[Mínimo]]+((Categorias_Registro[[#This Row],[Máximo]]-Categorias_Registro[[#This Row],[Mínimo]])/2),0)</f>
        <v>2023</v>
      </c>
      <c r="G570" s="78">
        <f>VLOOKUP(Categorias_Registro[[#This Row],[Puntos]],Categorias_Configuracion[],MATCH(Categorias_Configuracion[[#Headers],[% Amplitud]],Categorias_Configuracion[#Headers],0),TRUE)</f>
        <v>0.15</v>
      </c>
      <c r="H570" s="15" t="str">
        <f ca="1">TEXT(Categorias_Registro[[#This Row],[Mínimo]],Formato_Rango_Categorias)&amp;" - "&amp;TEXT(Categorias_Registro[[#This Row],[Máximo]],Formato_Rango_Categorias)</f>
        <v>1.882 - 2.163</v>
      </c>
    </row>
    <row r="571" spans="2:8">
      <c r="B571" s="15">
        <f>Techo - ROW() + ROW(Categorias_Registro[])</f>
        <v>2058</v>
      </c>
      <c r="C571" s="15">
        <f>IF(Categorias_Registro[[#This Row],[Puntos]]&lt;=ROUND(Piso,0),Piso,IF(Categorias_Registro[[#This Row],[Puntos]]&lt;D572,C572,D572+1))</f>
        <v>1882</v>
      </c>
      <c r="D571" s="15">
        <f>IF(Categorias_Registro[[#This Row],[Puntos]]=ROUND(Piso,0),ROUND(Categorias_Registro[[#This Row],[Puntos]]*(1+Categorias_Registro[[#This Row],[Amplitud]]),0),IF(Categorias_Registro[[#This Row],[Puntos]]&lt;D572,D572,ROUND(D572*(1+Categorias_Registro[[#This Row],[Amplitud]]),0)))</f>
        <v>2163</v>
      </c>
      <c r="E571" s="15">
        <f>E572+IF(D572=Categorias_Registro[[#This Row],[Máximo]],0,1)</f>
        <v>23</v>
      </c>
      <c r="F571" s="15">
        <f>ROUND(Categorias_Registro[[#This Row],[Mínimo]]+((Categorias_Registro[[#This Row],[Máximo]]-Categorias_Registro[[#This Row],[Mínimo]])/2),0)</f>
        <v>2023</v>
      </c>
      <c r="G571" s="78">
        <f>VLOOKUP(Categorias_Registro[[#This Row],[Puntos]],Categorias_Configuracion[],MATCH(Categorias_Configuracion[[#Headers],[% Amplitud]],Categorias_Configuracion[#Headers],0),TRUE)</f>
        <v>0.15</v>
      </c>
      <c r="H571" s="15" t="str">
        <f ca="1">TEXT(Categorias_Registro[[#This Row],[Mínimo]],Formato_Rango_Categorias)&amp;" - "&amp;TEXT(Categorias_Registro[[#This Row],[Máximo]],Formato_Rango_Categorias)</f>
        <v>1.882 - 2.163</v>
      </c>
    </row>
    <row r="572" spans="2:8">
      <c r="B572" s="15">
        <f>Techo - ROW() + ROW(Categorias_Registro[])</f>
        <v>2057</v>
      </c>
      <c r="C572" s="15">
        <f>IF(Categorias_Registro[[#This Row],[Puntos]]&lt;=ROUND(Piso,0),Piso,IF(Categorias_Registro[[#This Row],[Puntos]]&lt;D573,C573,D573+1))</f>
        <v>1882</v>
      </c>
      <c r="D572" s="15">
        <f>IF(Categorias_Registro[[#This Row],[Puntos]]=ROUND(Piso,0),ROUND(Categorias_Registro[[#This Row],[Puntos]]*(1+Categorias_Registro[[#This Row],[Amplitud]]),0),IF(Categorias_Registro[[#This Row],[Puntos]]&lt;D573,D573,ROUND(D573*(1+Categorias_Registro[[#This Row],[Amplitud]]),0)))</f>
        <v>2163</v>
      </c>
      <c r="E572" s="15">
        <f>E573+IF(D573=Categorias_Registro[[#This Row],[Máximo]],0,1)</f>
        <v>23</v>
      </c>
      <c r="F572" s="15">
        <f>ROUND(Categorias_Registro[[#This Row],[Mínimo]]+((Categorias_Registro[[#This Row],[Máximo]]-Categorias_Registro[[#This Row],[Mínimo]])/2),0)</f>
        <v>2023</v>
      </c>
      <c r="G572" s="78">
        <f>VLOOKUP(Categorias_Registro[[#This Row],[Puntos]],Categorias_Configuracion[],MATCH(Categorias_Configuracion[[#Headers],[% Amplitud]],Categorias_Configuracion[#Headers],0),TRUE)</f>
        <v>0.15</v>
      </c>
      <c r="H572" s="15" t="str">
        <f ca="1">TEXT(Categorias_Registro[[#This Row],[Mínimo]],Formato_Rango_Categorias)&amp;" - "&amp;TEXT(Categorias_Registro[[#This Row],[Máximo]],Formato_Rango_Categorias)</f>
        <v>1.882 - 2.163</v>
      </c>
    </row>
    <row r="573" spans="2:8">
      <c r="B573" s="15">
        <f>Techo - ROW() + ROW(Categorias_Registro[])</f>
        <v>2056</v>
      </c>
      <c r="C573" s="15">
        <f>IF(Categorias_Registro[[#This Row],[Puntos]]&lt;=ROUND(Piso,0),Piso,IF(Categorias_Registro[[#This Row],[Puntos]]&lt;D574,C574,D574+1))</f>
        <v>1882</v>
      </c>
      <c r="D573" s="15">
        <f>IF(Categorias_Registro[[#This Row],[Puntos]]=ROUND(Piso,0),ROUND(Categorias_Registro[[#This Row],[Puntos]]*(1+Categorias_Registro[[#This Row],[Amplitud]]),0),IF(Categorias_Registro[[#This Row],[Puntos]]&lt;D574,D574,ROUND(D574*(1+Categorias_Registro[[#This Row],[Amplitud]]),0)))</f>
        <v>2163</v>
      </c>
      <c r="E573" s="15">
        <f>E574+IF(D574=Categorias_Registro[[#This Row],[Máximo]],0,1)</f>
        <v>23</v>
      </c>
      <c r="F573" s="15">
        <f>ROUND(Categorias_Registro[[#This Row],[Mínimo]]+((Categorias_Registro[[#This Row],[Máximo]]-Categorias_Registro[[#This Row],[Mínimo]])/2),0)</f>
        <v>2023</v>
      </c>
      <c r="G573" s="78">
        <f>VLOOKUP(Categorias_Registro[[#This Row],[Puntos]],Categorias_Configuracion[],MATCH(Categorias_Configuracion[[#Headers],[% Amplitud]],Categorias_Configuracion[#Headers],0),TRUE)</f>
        <v>0.15</v>
      </c>
      <c r="H573" s="15" t="str">
        <f ca="1">TEXT(Categorias_Registro[[#This Row],[Mínimo]],Formato_Rango_Categorias)&amp;" - "&amp;TEXT(Categorias_Registro[[#This Row],[Máximo]],Formato_Rango_Categorias)</f>
        <v>1.882 - 2.163</v>
      </c>
    </row>
    <row r="574" spans="2:8">
      <c r="B574" s="15">
        <f>Techo - ROW() + ROW(Categorias_Registro[])</f>
        <v>2055</v>
      </c>
      <c r="C574" s="15">
        <f>IF(Categorias_Registro[[#This Row],[Puntos]]&lt;=ROUND(Piso,0),Piso,IF(Categorias_Registro[[#This Row],[Puntos]]&lt;D575,C575,D575+1))</f>
        <v>1882</v>
      </c>
      <c r="D574" s="15">
        <f>IF(Categorias_Registro[[#This Row],[Puntos]]=ROUND(Piso,0),ROUND(Categorias_Registro[[#This Row],[Puntos]]*(1+Categorias_Registro[[#This Row],[Amplitud]]),0),IF(Categorias_Registro[[#This Row],[Puntos]]&lt;D575,D575,ROUND(D575*(1+Categorias_Registro[[#This Row],[Amplitud]]),0)))</f>
        <v>2163</v>
      </c>
      <c r="E574" s="15">
        <f>E575+IF(D575=Categorias_Registro[[#This Row],[Máximo]],0,1)</f>
        <v>23</v>
      </c>
      <c r="F574" s="15">
        <f>ROUND(Categorias_Registro[[#This Row],[Mínimo]]+((Categorias_Registro[[#This Row],[Máximo]]-Categorias_Registro[[#This Row],[Mínimo]])/2),0)</f>
        <v>2023</v>
      </c>
      <c r="G574" s="78">
        <f>VLOOKUP(Categorias_Registro[[#This Row],[Puntos]],Categorias_Configuracion[],MATCH(Categorias_Configuracion[[#Headers],[% Amplitud]],Categorias_Configuracion[#Headers],0),TRUE)</f>
        <v>0.15</v>
      </c>
      <c r="H574" s="15" t="str">
        <f ca="1">TEXT(Categorias_Registro[[#This Row],[Mínimo]],Formato_Rango_Categorias)&amp;" - "&amp;TEXT(Categorias_Registro[[#This Row],[Máximo]],Formato_Rango_Categorias)</f>
        <v>1.882 - 2.163</v>
      </c>
    </row>
    <row r="575" spans="2:8">
      <c r="B575" s="15">
        <f>Techo - ROW() + ROW(Categorias_Registro[])</f>
        <v>2054</v>
      </c>
      <c r="C575" s="15">
        <f>IF(Categorias_Registro[[#This Row],[Puntos]]&lt;=ROUND(Piso,0),Piso,IF(Categorias_Registro[[#This Row],[Puntos]]&lt;D576,C576,D576+1))</f>
        <v>1882</v>
      </c>
      <c r="D575" s="15">
        <f>IF(Categorias_Registro[[#This Row],[Puntos]]=ROUND(Piso,0),ROUND(Categorias_Registro[[#This Row],[Puntos]]*(1+Categorias_Registro[[#This Row],[Amplitud]]),0),IF(Categorias_Registro[[#This Row],[Puntos]]&lt;D576,D576,ROUND(D576*(1+Categorias_Registro[[#This Row],[Amplitud]]),0)))</f>
        <v>2163</v>
      </c>
      <c r="E575" s="15">
        <f>E576+IF(D576=Categorias_Registro[[#This Row],[Máximo]],0,1)</f>
        <v>23</v>
      </c>
      <c r="F575" s="15">
        <f>ROUND(Categorias_Registro[[#This Row],[Mínimo]]+((Categorias_Registro[[#This Row],[Máximo]]-Categorias_Registro[[#This Row],[Mínimo]])/2),0)</f>
        <v>2023</v>
      </c>
      <c r="G575" s="78">
        <f>VLOOKUP(Categorias_Registro[[#This Row],[Puntos]],Categorias_Configuracion[],MATCH(Categorias_Configuracion[[#Headers],[% Amplitud]],Categorias_Configuracion[#Headers],0),TRUE)</f>
        <v>0.15</v>
      </c>
      <c r="H575" s="15" t="str">
        <f ca="1">TEXT(Categorias_Registro[[#This Row],[Mínimo]],Formato_Rango_Categorias)&amp;" - "&amp;TEXT(Categorias_Registro[[#This Row],[Máximo]],Formato_Rango_Categorias)</f>
        <v>1.882 - 2.163</v>
      </c>
    </row>
    <row r="576" spans="2:8">
      <c r="B576" s="15">
        <f>Techo - ROW() + ROW(Categorias_Registro[])</f>
        <v>2053</v>
      </c>
      <c r="C576" s="15">
        <f>IF(Categorias_Registro[[#This Row],[Puntos]]&lt;=ROUND(Piso,0),Piso,IF(Categorias_Registro[[#This Row],[Puntos]]&lt;D577,C577,D577+1))</f>
        <v>1882</v>
      </c>
      <c r="D576" s="15">
        <f>IF(Categorias_Registro[[#This Row],[Puntos]]=ROUND(Piso,0),ROUND(Categorias_Registro[[#This Row],[Puntos]]*(1+Categorias_Registro[[#This Row],[Amplitud]]),0),IF(Categorias_Registro[[#This Row],[Puntos]]&lt;D577,D577,ROUND(D577*(1+Categorias_Registro[[#This Row],[Amplitud]]),0)))</f>
        <v>2163</v>
      </c>
      <c r="E576" s="15">
        <f>E577+IF(D577=Categorias_Registro[[#This Row],[Máximo]],0,1)</f>
        <v>23</v>
      </c>
      <c r="F576" s="15">
        <f>ROUND(Categorias_Registro[[#This Row],[Mínimo]]+((Categorias_Registro[[#This Row],[Máximo]]-Categorias_Registro[[#This Row],[Mínimo]])/2),0)</f>
        <v>2023</v>
      </c>
      <c r="G576" s="78">
        <f>VLOOKUP(Categorias_Registro[[#This Row],[Puntos]],Categorias_Configuracion[],MATCH(Categorias_Configuracion[[#Headers],[% Amplitud]],Categorias_Configuracion[#Headers],0),TRUE)</f>
        <v>0.15</v>
      </c>
      <c r="H576" s="15" t="str">
        <f ca="1">TEXT(Categorias_Registro[[#This Row],[Mínimo]],Formato_Rango_Categorias)&amp;" - "&amp;TEXT(Categorias_Registro[[#This Row],[Máximo]],Formato_Rango_Categorias)</f>
        <v>1.882 - 2.163</v>
      </c>
    </row>
    <row r="577" spans="2:8">
      <c r="B577" s="15">
        <f>Techo - ROW() + ROW(Categorias_Registro[])</f>
        <v>2052</v>
      </c>
      <c r="C577" s="15">
        <f>IF(Categorias_Registro[[#This Row],[Puntos]]&lt;=ROUND(Piso,0),Piso,IF(Categorias_Registro[[#This Row],[Puntos]]&lt;D578,C578,D578+1))</f>
        <v>1882</v>
      </c>
      <c r="D577" s="15">
        <f>IF(Categorias_Registro[[#This Row],[Puntos]]=ROUND(Piso,0),ROUND(Categorias_Registro[[#This Row],[Puntos]]*(1+Categorias_Registro[[#This Row],[Amplitud]]),0),IF(Categorias_Registro[[#This Row],[Puntos]]&lt;D578,D578,ROUND(D578*(1+Categorias_Registro[[#This Row],[Amplitud]]),0)))</f>
        <v>2163</v>
      </c>
      <c r="E577" s="15">
        <f>E578+IF(D578=Categorias_Registro[[#This Row],[Máximo]],0,1)</f>
        <v>23</v>
      </c>
      <c r="F577" s="15">
        <f>ROUND(Categorias_Registro[[#This Row],[Mínimo]]+((Categorias_Registro[[#This Row],[Máximo]]-Categorias_Registro[[#This Row],[Mínimo]])/2),0)</f>
        <v>2023</v>
      </c>
      <c r="G577" s="78">
        <f>VLOOKUP(Categorias_Registro[[#This Row],[Puntos]],Categorias_Configuracion[],MATCH(Categorias_Configuracion[[#Headers],[% Amplitud]],Categorias_Configuracion[#Headers],0),TRUE)</f>
        <v>0.15</v>
      </c>
      <c r="H577" s="15" t="str">
        <f ca="1">TEXT(Categorias_Registro[[#This Row],[Mínimo]],Formato_Rango_Categorias)&amp;" - "&amp;TEXT(Categorias_Registro[[#This Row],[Máximo]],Formato_Rango_Categorias)</f>
        <v>1.882 - 2.163</v>
      </c>
    </row>
    <row r="578" spans="2:8">
      <c r="B578" s="15">
        <f>Techo - ROW() + ROW(Categorias_Registro[])</f>
        <v>2051</v>
      </c>
      <c r="C578" s="15">
        <f>IF(Categorias_Registro[[#This Row],[Puntos]]&lt;=ROUND(Piso,0),Piso,IF(Categorias_Registro[[#This Row],[Puntos]]&lt;D579,C579,D579+1))</f>
        <v>1882</v>
      </c>
      <c r="D578" s="15">
        <f>IF(Categorias_Registro[[#This Row],[Puntos]]=ROUND(Piso,0),ROUND(Categorias_Registro[[#This Row],[Puntos]]*(1+Categorias_Registro[[#This Row],[Amplitud]]),0),IF(Categorias_Registro[[#This Row],[Puntos]]&lt;D579,D579,ROUND(D579*(1+Categorias_Registro[[#This Row],[Amplitud]]),0)))</f>
        <v>2163</v>
      </c>
      <c r="E578" s="15">
        <f>E579+IF(D579=Categorias_Registro[[#This Row],[Máximo]],0,1)</f>
        <v>23</v>
      </c>
      <c r="F578" s="15">
        <f>ROUND(Categorias_Registro[[#This Row],[Mínimo]]+((Categorias_Registro[[#This Row],[Máximo]]-Categorias_Registro[[#This Row],[Mínimo]])/2),0)</f>
        <v>2023</v>
      </c>
      <c r="G578" s="78">
        <f>VLOOKUP(Categorias_Registro[[#This Row],[Puntos]],Categorias_Configuracion[],MATCH(Categorias_Configuracion[[#Headers],[% Amplitud]],Categorias_Configuracion[#Headers],0),TRUE)</f>
        <v>0.15</v>
      </c>
      <c r="H578" s="15" t="str">
        <f ca="1">TEXT(Categorias_Registro[[#This Row],[Mínimo]],Formato_Rango_Categorias)&amp;" - "&amp;TEXT(Categorias_Registro[[#This Row],[Máximo]],Formato_Rango_Categorias)</f>
        <v>1.882 - 2.163</v>
      </c>
    </row>
    <row r="579" spans="2:8">
      <c r="B579" s="15">
        <f>Techo - ROW() + ROW(Categorias_Registro[])</f>
        <v>2050</v>
      </c>
      <c r="C579" s="15">
        <f>IF(Categorias_Registro[[#This Row],[Puntos]]&lt;=ROUND(Piso,0),Piso,IF(Categorias_Registro[[#This Row],[Puntos]]&lt;D580,C580,D580+1))</f>
        <v>1882</v>
      </c>
      <c r="D579" s="15">
        <f>IF(Categorias_Registro[[#This Row],[Puntos]]=ROUND(Piso,0),ROUND(Categorias_Registro[[#This Row],[Puntos]]*(1+Categorias_Registro[[#This Row],[Amplitud]]),0),IF(Categorias_Registro[[#This Row],[Puntos]]&lt;D580,D580,ROUND(D580*(1+Categorias_Registro[[#This Row],[Amplitud]]),0)))</f>
        <v>2163</v>
      </c>
      <c r="E579" s="15">
        <f>E580+IF(D580=Categorias_Registro[[#This Row],[Máximo]],0,1)</f>
        <v>23</v>
      </c>
      <c r="F579" s="15">
        <f>ROUND(Categorias_Registro[[#This Row],[Mínimo]]+((Categorias_Registro[[#This Row],[Máximo]]-Categorias_Registro[[#This Row],[Mínimo]])/2),0)</f>
        <v>2023</v>
      </c>
      <c r="G579" s="78">
        <f>VLOOKUP(Categorias_Registro[[#This Row],[Puntos]],Categorias_Configuracion[],MATCH(Categorias_Configuracion[[#Headers],[% Amplitud]],Categorias_Configuracion[#Headers],0),TRUE)</f>
        <v>0.15</v>
      </c>
      <c r="H579" s="15" t="str">
        <f ca="1">TEXT(Categorias_Registro[[#This Row],[Mínimo]],Formato_Rango_Categorias)&amp;" - "&amp;TEXT(Categorias_Registro[[#This Row],[Máximo]],Formato_Rango_Categorias)</f>
        <v>1.882 - 2.163</v>
      </c>
    </row>
    <row r="580" spans="2:8">
      <c r="B580" s="15">
        <f>Techo - ROW() + ROW(Categorias_Registro[])</f>
        <v>2049</v>
      </c>
      <c r="C580" s="15">
        <f>IF(Categorias_Registro[[#This Row],[Puntos]]&lt;=ROUND(Piso,0),Piso,IF(Categorias_Registro[[#This Row],[Puntos]]&lt;D581,C581,D581+1))</f>
        <v>1882</v>
      </c>
      <c r="D580" s="15">
        <f>IF(Categorias_Registro[[#This Row],[Puntos]]=ROUND(Piso,0),ROUND(Categorias_Registro[[#This Row],[Puntos]]*(1+Categorias_Registro[[#This Row],[Amplitud]]),0),IF(Categorias_Registro[[#This Row],[Puntos]]&lt;D581,D581,ROUND(D581*(1+Categorias_Registro[[#This Row],[Amplitud]]),0)))</f>
        <v>2163</v>
      </c>
      <c r="E580" s="15">
        <f>E581+IF(D581=Categorias_Registro[[#This Row],[Máximo]],0,1)</f>
        <v>23</v>
      </c>
      <c r="F580" s="15">
        <f>ROUND(Categorias_Registro[[#This Row],[Mínimo]]+((Categorias_Registro[[#This Row],[Máximo]]-Categorias_Registro[[#This Row],[Mínimo]])/2),0)</f>
        <v>2023</v>
      </c>
      <c r="G580" s="78">
        <f>VLOOKUP(Categorias_Registro[[#This Row],[Puntos]],Categorias_Configuracion[],MATCH(Categorias_Configuracion[[#Headers],[% Amplitud]],Categorias_Configuracion[#Headers],0),TRUE)</f>
        <v>0.15</v>
      </c>
      <c r="H580" s="15" t="str">
        <f ca="1">TEXT(Categorias_Registro[[#This Row],[Mínimo]],Formato_Rango_Categorias)&amp;" - "&amp;TEXT(Categorias_Registro[[#This Row],[Máximo]],Formato_Rango_Categorias)</f>
        <v>1.882 - 2.163</v>
      </c>
    </row>
    <row r="581" spans="2:8">
      <c r="B581" s="15">
        <f>Techo - ROW() + ROW(Categorias_Registro[])</f>
        <v>2048</v>
      </c>
      <c r="C581" s="15">
        <f>IF(Categorias_Registro[[#This Row],[Puntos]]&lt;=ROUND(Piso,0),Piso,IF(Categorias_Registro[[#This Row],[Puntos]]&lt;D582,C582,D582+1))</f>
        <v>1882</v>
      </c>
      <c r="D581" s="15">
        <f>IF(Categorias_Registro[[#This Row],[Puntos]]=ROUND(Piso,0),ROUND(Categorias_Registro[[#This Row],[Puntos]]*(1+Categorias_Registro[[#This Row],[Amplitud]]),0),IF(Categorias_Registro[[#This Row],[Puntos]]&lt;D582,D582,ROUND(D582*(1+Categorias_Registro[[#This Row],[Amplitud]]),0)))</f>
        <v>2163</v>
      </c>
      <c r="E581" s="15">
        <f>E582+IF(D582=Categorias_Registro[[#This Row],[Máximo]],0,1)</f>
        <v>23</v>
      </c>
      <c r="F581" s="15">
        <f>ROUND(Categorias_Registro[[#This Row],[Mínimo]]+((Categorias_Registro[[#This Row],[Máximo]]-Categorias_Registro[[#This Row],[Mínimo]])/2),0)</f>
        <v>2023</v>
      </c>
      <c r="G581" s="78">
        <f>VLOOKUP(Categorias_Registro[[#This Row],[Puntos]],Categorias_Configuracion[],MATCH(Categorias_Configuracion[[#Headers],[% Amplitud]],Categorias_Configuracion[#Headers],0),TRUE)</f>
        <v>0.15</v>
      </c>
      <c r="H581" s="15" t="str">
        <f ca="1">TEXT(Categorias_Registro[[#This Row],[Mínimo]],Formato_Rango_Categorias)&amp;" - "&amp;TEXT(Categorias_Registro[[#This Row],[Máximo]],Formato_Rango_Categorias)</f>
        <v>1.882 - 2.163</v>
      </c>
    </row>
    <row r="582" spans="2:8">
      <c r="B582" s="15">
        <f>Techo - ROW() + ROW(Categorias_Registro[])</f>
        <v>2047</v>
      </c>
      <c r="C582" s="15">
        <f>IF(Categorias_Registro[[#This Row],[Puntos]]&lt;=ROUND(Piso,0),Piso,IF(Categorias_Registro[[#This Row],[Puntos]]&lt;D583,C583,D583+1))</f>
        <v>1882</v>
      </c>
      <c r="D582" s="15">
        <f>IF(Categorias_Registro[[#This Row],[Puntos]]=ROUND(Piso,0),ROUND(Categorias_Registro[[#This Row],[Puntos]]*(1+Categorias_Registro[[#This Row],[Amplitud]]),0),IF(Categorias_Registro[[#This Row],[Puntos]]&lt;D583,D583,ROUND(D583*(1+Categorias_Registro[[#This Row],[Amplitud]]),0)))</f>
        <v>2163</v>
      </c>
      <c r="E582" s="15">
        <f>E583+IF(D583=Categorias_Registro[[#This Row],[Máximo]],0,1)</f>
        <v>23</v>
      </c>
      <c r="F582" s="15">
        <f>ROUND(Categorias_Registro[[#This Row],[Mínimo]]+((Categorias_Registro[[#This Row],[Máximo]]-Categorias_Registro[[#This Row],[Mínimo]])/2),0)</f>
        <v>2023</v>
      </c>
      <c r="G582" s="78">
        <f>VLOOKUP(Categorias_Registro[[#This Row],[Puntos]],Categorias_Configuracion[],MATCH(Categorias_Configuracion[[#Headers],[% Amplitud]],Categorias_Configuracion[#Headers],0),TRUE)</f>
        <v>0.15</v>
      </c>
      <c r="H582" s="15" t="str">
        <f ca="1">TEXT(Categorias_Registro[[#This Row],[Mínimo]],Formato_Rango_Categorias)&amp;" - "&amp;TEXT(Categorias_Registro[[#This Row],[Máximo]],Formato_Rango_Categorias)</f>
        <v>1.882 - 2.163</v>
      </c>
    </row>
    <row r="583" spans="2:8">
      <c r="B583" s="15">
        <f>Techo - ROW() + ROW(Categorias_Registro[])</f>
        <v>2046</v>
      </c>
      <c r="C583" s="15">
        <f>IF(Categorias_Registro[[#This Row],[Puntos]]&lt;=ROUND(Piso,0),Piso,IF(Categorias_Registro[[#This Row],[Puntos]]&lt;D584,C584,D584+1))</f>
        <v>1882</v>
      </c>
      <c r="D583" s="15">
        <f>IF(Categorias_Registro[[#This Row],[Puntos]]=ROUND(Piso,0),ROUND(Categorias_Registro[[#This Row],[Puntos]]*(1+Categorias_Registro[[#This Row],[Amplitud]]),0),IF(Categorias_Registro[[#This Row],[Puntos]]&lt;D584,D584,ROUND(D584*(1+Categorias_Registro[[#This Row],[Amplitud]]),0)))</f>
        <v>2163</v>
      </c>
      <c r="E583" s="15">
        <f>E584+IF(D584=Categorias_Registro[[#This Row],[Máximo]],0,1)</f>
        <v>23</v>
      </c>
      <c r="F583" s="15">
        <f>ROUND(Categorias_Registro[[#This Row],[Mínimo]]+((Categorias_Registro[[#This Row],[Máximo]]-Categorias_Registro[[#This Row],[Mínimo]])/2),0)</f>
        <v>2023</v>
      </c>
      <c r="G583" s="78">
        <f>VLOOKUP(Categorias_Registro[[#This Row],[Puntos]],Categorias_Configuracion[],MATCH(Categorias_Configuracion[[#Headers],[% Amplitud]],Categorias_Configuracion[#Headers],0),TRUE)</f>
        <v>0.15</v>
      </c>
      <c r="H583" s="15" t="str">
        <f ca="1">TEXT(Categorias_Registro[[#This Row],[Mínimo]],Formato_Rango_Categorias)&amp;" - "&amp;TEXT(Categorias_Registro[[#This Row],[Máximo]],Formato_Rango_Categorias)</f>
        <v>1.882 - 2.163</v>
      </c>
    </row>
    <row r="584" spans="2:8">
      <c r="B584" s="15">
        <f>Techo - ROW() + ROW(Categorias_Registro[])</f>
        <v>2045</v>
      </c>
      <c r="C584" s="15">
        <f>IF(Categorias_Registro[[#This Row],[Puntos]]&lt;=ROUND(Piso,0),Piso,IF(Categorias_Registro[[#This Row],[Puntos]]&lt;D585,C585,D585+1))</f>
        <v>1882</v>
      </c>
      <c r="D584" s="15">
        <f>IF(Categorias_Registro[[#This Row],[Puntos]]=ROUND(Piso,0),ROUND(Categorias_Registro[[#This Row],[Puntos]]*(1+Categorias_Registro[[#This Row],[Amplitud]]),0),IF(Categorias_Registro[[#This Row],[Puntos]]&lt;D585,D585,ROUND(D585*(1+Categorias_Registro[[#This Row],[Amplitud]]),0)))</f>
        <v>2163</v>
      </c>
      <c r="E584" s="15">
        <f>E585+IF(D585=Categorias_Registro[[#This Row],[Máximo]],0,1)</f>
        <v>23</v>
      </c>
      <c r="F584" s="15">
        <f>ROUND(Categorias_Registro[[#This Row],[Mínimo]]+((Categorias_Registro[[#This Row],[Máximo]]-Categorias_Registro[[#This Row],[Mínimo]])/2),0)</f>
        <v>2023</v>
      </c>
      <c r="G584" s="78">
        <f>VLOOKUP(Categorias_Registro[[#This Row],[Puntos]],Categorias_Configuracion[],MATCH(Categorias_Configuracion[[#Headers],[% Amplitud]],Categorias_Configuracion[#Headers],0),TRUE)</f>
        <v>0.15</v>
      </c>
      <c r="H584" s="15" t="str">
        <f ca="1">TEXT(Categorias_Registro[[#This Row],[Mínimo]],Formato_Rango_Categorias)&amp;" - "&amp;TEXT(Categorias_Registro[[#This Row],[Máximo]],Formato_Rango_Categorias)</f>
        <v>1.882 - 2.163</v>
      </c>
    </row>
    <row r="585" spans="2:8">
      <c r="B585" s="15">
        <f>Techo - ROW() + ROW(Categorias_Registro[])</f>
        <v>2044</v>
      </c>
      <c r="C585" s="15">
        <f>IF(Categorias_Registro[[#This Row],[Puntos]]&lt;=ROUND(Piso,0),Piso,IF(Categorias_Registro[[#This Row],[Puntos]]&lt;D586,C586,D586+1))</f>
        <v>1882</v>
      </c>
      <c r="D585" s="15">
        <f>IF(Categorias_Registro[[#This Row],[Puntos]]=ROUND(Piso,0),ROUND(Categorias_Registro[[#This Row],[Puntos]]*(1+Categorias_Registro[[#This Row],[Amplitud]]),0),IF(Categorias_Registro[[#This Row],[Puntos]]&lt;D586,D586,ROUND(D586*(1+Categorias_Registro[[#This Row],[Amplitud]]),0)))</f>
        <v>2163</v>
      </c>
      <c r="E585" s="15">
        <f>E586+IF(D586=Categorias_Registro[[#This Row],[Máximo]],0,1)</f>
        <v>23</v>
      </c>
      <c r="F585" s="15">
        <f>ROUND(Categorias_Registro[[#This Row],[Mínimo]]+((Categorias_Registro[[#This Row],[Máximo]]-Categorias_Registro[[#This Row],[Mínimo]])/2),0)</f>
        <v>2023</v>
      </c>
      <c r="G585" s="78">
        <f>VLOOKUP(Categorias_Registro[[#This Row],[Puntos]],Categorias_Configuracion[],MATCH(Categorias_Configuracion[[#Headers],[% Amplitud]],Categorias_Configuracion[#Headers],0),TRUE)</f>
        <v>0.15</v>
      </c>
      <c r="H585" s="15" t="str">
        <f ca="1">TEXT(Categorias_Registro[[#This Row],[Mínimo]],Formato_Rango_Categorias)&amp;" - "&amp;TEXT(Categorias_Registro[[#This Row],[Máximo]],Formato_Rango_Categorias)</f>
        <v>1.882 - 2.163</v>
      </c>
    </row>
    <row r="586" spans="2:8">
      <c r="B586" s="15">
        <f>Techo - ROW() + ROW(Categorias_Registro[])</f>
        <v>2043</v>
      </c>
      <c r="C586" s="15">
        <f>IF(Categorias_Registro[[#This Row],[Puntos]]&lt;=ROUND(Piso,0),Piso,IF(Categorias_Registro[[#This Row],[Puntos]]&lt;D587,C587,D587+1))</f>
        <v>1882</v>
      </c>
      <c r="D586" s="15">
        <f>IF(Categorias_Registro[[#This Row],[Puntos]]=ROUND(Piso,0),ROUND(Categorias_Registro[[#This Row],[Puntos]]*(1+Categorias_Registro[[#This Row],[Amplitud]]),0),IF(Categorias_Registro[[#This Row],[Puntos]]&lt;D587,D587,ROUND(D587*(1+Categorias_Registro[[#This Row],[Amplitud]]),0)))</f>
        <v>2163</v>
      </c>
      <c r="E586" s="15">
        <f>E587+IF(D587=Categorias_Registro[[#This Row],[Máximo]],0,1)</f>
        <v>23</v>
      </c>
      <c r="F586" s="15">
        <f>ROUND(Categorias_Registro[[#This Row],[Mínimo]]+((Categorias_Registro[[#This Row],[Máximo]]-Categorias_Registro[[#This Row],[Mínimo]])/2),0)</f>
        <v>2023</v>
      </c>
      <c r="G586" s="78">
        <f>VLOOKUP(Categorias_Registro[[#This Row],[Puntos]],Categorias_Configuracion[],MATCH(Categorias_Configuracion[[#Headers],[% Amplitud]],Categorias_Configuracion[#Headers],0),TRUE)</f>
        <v>0.15</v>
      </c>
      <c r="H586" s="15" t="str">
        <f ca="1">TEXT(Categorias_Registro[[#This Row],[Mínimo]],Formato_Rango_Categorias)&amp;" - "&amp;TEXT(Categorias_Registro[[#This Row],[Máximo]],Formato_Rango_Categorias)</f>
        <v>1.882 - 2.163</v>
      </c>
    </row>
    <row r="587" spans="2:8">
      <c r="B587" s="15">
        <f>Techo - ROW() + ROW(Categorias_Registro[])</f>
        <v>2042</v>
      </c>
      <c r="C587" s="15">
        <f>IF(Categorias_Registro[[#This Row],[Puntos]]&lt;=ROUND(Piso,0),Piso,IF(Categorias_Registro[[#This Row],[Puntos]]&lt;D588,C588,D588+1))</f>
        <v>1882</v>
      </c>
      <c r="D587" s="15">
        <f>IF(Categorias_Registro[[#This Row],[Puntos]]=ROUND(Piso,0),ROUND(Categorias_Registro[[#This Row],[Puntos]]*(1+Categorias_Registro[[#This Row],[Amplitud]]),0),IF(Categorias_Registro[[#This Row],[Puntos]]&lt;D588,D588,ROUND(D588*(1+Categorias_Registro[[#This Row],[Amplitud]]),0)))</f>
        <v>2163</v>
      </c>
      <c r="E587" s="15">
        <f>E588+IF(D588=Categorias_Registro[[#This Row],[Máximo]],0,1)</f>
        <v>23</v>
      </c>
      <c r="F587" s="15">
        <f>ROUND(Categorias_Registro[[#This Row],[Mínimo]]+((Categorias_Registro[[#This Row],[Máximo]]-Categorias_Registro[[#This Row],[Mínimo]])/2),0)</f>
        <v>2023</v>
      </c>
      <c r="G587" s="78">
        <f>VLOOKUP(Categorias_Registro[[#This Row],[Puntos]],Categorias_Configuracion[],MATCH(Categorias_Configuracion[[#Headers],[% Amplitud]],Categorias_Configuracion[#Headers],0),TRUE)</f>
        <v>0.15</v>
      </c>
      <c r="H587" s="15" t="str">
        <f ca="1">TEXT(Categorias_Registro[[#This Row],[Mínimo]],Formato_Rango_Categorias)&amp;" - "&amp;TEXT(Categorias_Registro[[#This Row],[Máximo]],Formato_Rango_Categorias)</f>
        <v>1.882 - 2.163</v>
      </c>
    </row>
    <row r="588" spans="2:8">
      <c r="B588" s="15">
        <f>Techo - ROW() + ROW(Categorias_Registro[])</f>
        <v>2041</v>
      </c>
      <c r="C588" s="15">
        <f>IF(Categorias_Registro[[#This Row],[Puntos]]&lt;=ROUND(Piso,0),Piso,IF(Categorias_Registro[[#This Row],[Puntos]]&lt;D589,C589,D589+1))</f>
        <v>1882</v>
      </c>
      <c r="D588" s="15">
        <f>IF(Categorias_Registro[[#This Row],[Puntos]]=ROUND(Piso,0),ROUND(Categorias_Registro[[#This Row],[Puntos]]*(1+Categorias_Registro[[#This Row],[Amplitud]]),0),IF(Categorias_Registro[[#This Row],[Puntos]]&lt;D589,D589,ROUND(D589*(1+Categorias_Registro[[#This Row],[Amplitud]]),0)))</f>
        <v>2163</v>
      </c>
      <c r="E588" s="15">
        <f>E589+IF(D589=Categorias_Registro[[#This Row],[Máximo]],0,1)</f>
        <v>23</v>
      </c>
      <c r="F588" s="15">
        <f>ROUND(Categorias_Registro[[#This Row],[Mínimo]]+((Categorias_Registro[[#This Row],[Máximo]]-Categorias_Registro[[#This Row],[Mínimo]])/2),0)</f>
        <v>2023</v>
      </c>
      <c r="G588" s="78">
        <f>VLOOKUP(Categorias_Registro[[#This Row],[Puntos]],Categorias_Configuracion[],MATCH(Categorias_Configuracion[[#Headers],[% Amplitud]],Categorias_Configuracion[#Headers],0),TRUE)</f>
        <v>0.15</v>
      </c>
      <c r="H588" s="15" t="str">
        <f ca="1">TEXT(Categorias_Registro[[#This Row],[Mínimo]],Formato_Rango_Categorias)&amp;" - "&amp;TEXT(Categorias_Registro[[#This Row],[Máximo]],Formato_Rango_Categorias)</f>
        <v>1.882 - 2.163</v>
      </c>
    </row>
    <row r="589" spans="2:8">
      <c r="B589" s="15">
        <f>Techo - ROW() + ROW(Categorias_Registro[])</f>
        <v>2040</v>
      </c>
      <c r="C589" s="15">
        <f>IF(Categorias_Registro[[#This Row],[Puntos]]&lt;=ROUND(Piso,0),Piso,IF(Categorias_Registro[[#This Row],[Puntos]]&lt;D590,C590,D590+1))</f>
        <v>1882</v>
      </c>
      <c r="D589" s="15">
        <f>IF(Categorias_Registro[[#This Row],[Puntos]]=ROUND(Piso,0),ROUND(Categorias_Registro[[#This Row],[Puntos]]*(1+Categorias_Registro[[#This Row],[Amplitud]]),0),IF(Categorias_Registro[[#This Row],[Puntos]]&lt;D590,D590,ROUND(D590*(1+Categorias_Registro[[#This Row],[Amplitud]]),0)))</f>
        <v>2163</v>
      </c>
      <c r="E589" s="15">
        <f>E590+IF(D590=Categorias_Registro[[#This Row],[Máximo]],0,1)</f>
        <v>23</v>
      </c>
      <c r="F589" s="15">
        <f>ROUND(Categorias_Registro[[#This Row],[Mínimo]]+((Categorias_Registro[[#This Row],[Máximo]]-Categorias_Registro[[#This Row],[Mínimo]])/2),0)</f>
        <v>2023</v>
      </c>
      <c r="G589" s="78">
        <f>VLOOKUP(Categorias_Registro[[#This Row],[Puntos]],Categorias_Configuracion[],MATCH(Categorias_Configuracion[[#Headers],[% Amplitud]],Categorias_Configuracion[#Headers],0),TRUE)</f>
        <v>0.15</v>
      </c>
      <c r="H589" s="15" t="str">
        <f ca="1">TEXT(Categorias_Registro[[#This Row],[Mínimo]],Formato_Rango_Categorias)&amp;" - "&amp;TEXT(Categorias_Registro[[#This Row],[Máximo]],Formato_Rango_Categorias)</f>
        <v>1.882 - 2.163</v>
      </c>
    </row>
    <row r="590" spans="2:8">
      <c r="B590" s="15">
        <f>Techo - ROW() + ROW(Categorias_Registro[])</f>
        <v>2039</v>
      </c>
      <c r="C590" s="15">
        <f>IF(Categorias_Registro[[#This Row],[Puntos]]&lt;=ROUND(Piso,0),Piso,IF(Categorias_Registro[[#This Row],[Puntos]]&lt;D591,C591,D591+1))</f>
        <v>1882</v>
      </c>
      <c r="D590" s="15">
        <f>IF(Categorias_Registro[[#This Row],[Puntos]]=ROUND(Piso,0),ROUND(Categorias_Registro[[#This Row],[Puntos]]*(1+Categorias_Registro[[#This Row],[Amplitud]]),0),IF(Categorias_Registro[[#This Row],[Puntos]]&lt;D591,D591,ROUND(D591*(1+Categorias_Registro[[#This Row],[Amplitud]]),0)))</f>
        <v>2163</v>
      </c>
      <c r="E590" s="15">
        <f>E591+IF(D591=Categorias_Registro[[#This Row],[Máximo]],0,1)</f>
        <v>23</v>
      </c>
      <c r="F590" s="15">
        <f>ROUND(Categorias_Registro[[#This Row],[Mínimo]]+((Categorias_Registro[[#This Row],[Máximo]]-Categorias_Registro[[#This Row],[Mínimo]])/2),0)</f>
        <v>2023</v>
      </c>
      <c r="G590" s="78">
        <f>VLOOKUP(Categorias_Registro[[#This Row],[Puntos]],Categorias_Configuracion[],MATCH(Categorias_Configuracion[[#Headers],[% Amplitud]],Categorias_Configuracion[#Headers],0),TRUE)</f>
        <v>0.15</v>
      </c>
      <c r="H590" s="15" t="str">
        <f ca="1">TEXT(Categorias_Registro[[#This Row],[Mínimo]],Formato_Rango_Categorias)&amp;" - "&amp;TEXT(Categorias_Registro[[#This Row],[Máximo]],Formato_Rango_Categorias)</f>
        <v>1.882 - 2.163</v>
      </c>
    </row>
    <row r="591" spans="2:8">
      <c r="B591" s="15">
        <f>Techo - ROW() + ROW(Categorias_Registro[])</f>
        <v>2038</v>
      </c>
      <c r="C591" s="15">
        <f>IF(Categorias_Registro[[#This Row],[Puntos]]&lt;=ROUND(Piso,0),Piso,IF(Categorias_Registro[[#This Row],[Puntos]]&lt;D592,C592,D592+1))</f>
        <v>1882</v>
      </c>
      <c r="D591" s="15">
        <f>IF(Categorias_Registro[[#This Row],[Puntos]]=ROUND(Piso,0),ROUND(Categorias_Registro[[#This Row],[Puntos]]*(1+Categorias_Registro[[#This Row],[Amplitud]]),0),IF(Categorias_Registro[[#This Row],[Puntos]]&lt;D592,D592,ROUND(D592*(1+Categorias_Registro[[#This Row],[Amplitud]]),0)))</f>
        <v>2163</v>
      </c>
      <c r="E591" s="15">
        <f>E592+IF(D592=Categorias_Registro[[#This Row],[Máximo]],0,1)</f>
        <v>23</v>
      </c>
      <c r="F591" s="15">
        <f>ROUND(Categorias_Registro[[#This Row],[Mínimo]]+((Categorias_Registro[[#This Row],[Máximo]]-Categorias_Registro[[#This Row],[Mínimo]])/2),0)</f>
        <v>2023</v>
      </c>
      <c r="G591" s="78">
        <f>VLOOKUP(Categorias_Registro[[#This Row],[Puntos]],Categorias_Configuracion[],MATCH(Categorias_Configuracion[[#Headers],[% Amplitud]],Categorias_Configuracion[#Headers],0),TRUE)</f>
        <v>0.15</v>
      </c>
      <c r="H591" s="15" t="str">
        <f ca="1">TEXT(Categorias_Registro[[#This Row],[Mínimo]],Formato_Rango_Categorias)&amp;" - "&amp;TEXT(Categorias_Registro[[#This Row],[Máximo]],Formato_Rango_Categorias)</f>
        <v>1.882 - 2.163</v>
      </c>
    </row>
    <row r="592" spans="2:8">
      <c r="B592" s="15">
        <f>Techo - ROW() + ROW(Categorias_Registro[])</f>
        <v>2037</v>
      </c>
      <c r="C592" s="15">
        <f>IF(Categorias_Registro[[#This Row],[Puntos]]&lt;=ROUND(Piso,0),Piso,IF(Categorias_Registro[[#This Row],[Puntos]]&lt;D593,C593,D593+1))</f>
        <v>1882</v>
      </c>
      <c r="D592" s="15">
        <f>IF(Categorias_Registro[[#This Row],[Puntos]]=ROUND(Piso,0),ROUND(Categorias_Registro[[#This Row],[Puntos]]*(1+Categorias_Registro[[#This Row],[Amplitud]]),0),IF(Categorias_Registro[[#This Row],[Puntos]]&lt;D593,D593,ROUND(D593*(1+Categorias_Registro[[#This Row],[Amplitud]]),0)))</f>
        <v>2163</v>
      </c>
      <c r="E592" s="15">
        <f>E593+IF(D593=Categorias_Registro[[#This Row],[Máximo]],0,1)</f>
        <v>23</v>
      </c>
      <c r="F592" s="15">
        <f>ROUND(Categorias_Registro[[#This Row],[Mínimo]]+((Categorias_Registro[[#This Row],[Máximo]]-Categorias_Registro[[#This Row],[Mínimo]])/2),0)</f>
        <v>2023</v>
      </c>
      <c r="G592" s="78">
        <f>VLOOKUP(Categorias_Registro[[#This Row],[Puntos]],Categorias_Configuracion[],MATCH(Categorias_Configuracion[[#Headers],[% Amplitud]],Categorias_Configuracion[#Headers],0),TRUE)</f>
        <v>0.15</v>
      </c>
      <c r="H592" s="15" t="str">
        <f ca="1">TEXT(Categorias_Registro[[#This Row],[Mínimo]],Formato_Rango_Categorias)&amp;" - "&amp;TEXT(Categorias_Registro[[#This Row],[Máximo]],Formato_Rango_Categorias)</f>
        <v>1.882 - 2.163</v>
      </c>
    </row>
    <row r="593" spans="2:8">
      <c r="B593" s="15">
        <f>Techo - ROW() + ROW(Categorias_Registro[])</f>
        <v>2036</v>
      </c>
      <c r="C593" s="15">
        <f>IF(Categorias_Registro[[#This Row],[Puntos]]&lt;=ROUND(Piso,0),Piso,IF(Categorias_Registro[[#This Row],[Puntos]]&lt;D594,C594,D594+1))</f>
        <v>1882</v>
      </c>
      <c r="D593" s="15">
        <f>IF(Categorias_Registro[[#This Row],[Puntos]]=ROUND(Piso,0),ROUND(Categorias_Registro[[#This Row],[Puntos]]*(1+Categorias_Registro[[#This Row],[Amplitud]]),0),IF(Categorias_Registro[[#This Row],[Puntos]]&lt;D594,D594,ROUND(D594*(1+Categorias_Registro[[#This Row],[Amplitud]]),0)))</f>
        <v>2163</v>
      </c>
      <c r="E593" s="15">
        <f>E594+IF(D594=Categorias_Registro[[#This Row],[Máximo]],0,1)</f>
        <v>23</v>
      </c>
      <c r="F593" s="15">
        <f>ROUND(Categorias_Registro[[#This Row],[Mínimo]]+((Categorias_Registro[[#This Row],[Máximo]]-Categorias_Registro[[#This Row],[Mínimo]])/2),0)</f>
        <v>2023</v>
      </c>
      <c r="G593" s="78">
        <f>VLOOKUP(Categorias_Registro[[#This Row],[Puntos]],Categorias_Configuracion[],MATCH(Categorias_Configuracion[[#Headers],[% Amplitud]],Categorias_Configuracion[#Headers],0),TRUE)</f>
        <v>0.15</v>
      </c>
      <c r="H593" s="15" t="str">
        <f ca="1">TEXT(Categorias_Registro[[#This Row],[Mínimo]],Formato_Rango_Categorias)&amp;" - "&amp;TEXT(Categorias_Registro[[#This Row],[Máximo]],Formato_Rango_Categorias)</f>
        <v>1.882 - 2.163</v>
      </c>
    </row>
    <row r="594" spans="2:8">
      <c r="B594" s="15">
        <f>Techo - ROW() + ROW(Categorias_Registro[])</f>
        <v>2035</v>
      </c>
      <c r="C594" s="15">
        <f>IF(Categorias_Registro[[#This Row],[Puntos]]&lt;=ROUND(Piso,0),Piso,IF(Categorias_Registro[[#This Row],[Puntos]]&lt;D595,C595,D595+1))</f>
        <v>1882</v>
      </c>
      <c r="D594" s="15">
        <f>IF(Categorias_Registro[[#This Row],[Puntos]]=ROUND(Piso,0),ROUND(Categorias_Registro[[#This Row],[Puntos]]*(1+Categorias_Registro[[#This Row],[Amplitud]]),0),IF(Categorias_Registro[[#This Row],[Puntos]]&lt;D595,D595,ROUND(D595*(1+Categorias_Registro[[#This Row],[Amplitud]]),0)))</f>
        <v>2163</v>
      </c>
      <c r="E594" s="15">
        <f>E595+IF(D595=Categorias_Registro[[#This Row],[Máximo]],0,1)</f>
        <v>23</v>
      </c>
      <c r="F594" s="15">
        <f>ROUND(Categorias_Registro[[#This Row],[Mínimo]]+((Categorias_Registro[[#This Row],[Máximo]]-Categorias_Registro[[#This Row],[Mínimo]])/2),0)</f>
        <v>2023</v>
      </c>
      <c r="G594" s="78">
        <f>VLOOKUP(Categorias_Registro[[#This Row],[Puntos]],Categorias_Configuracion[],MATCH(Categorias_Configuracion[[#Headers],[% Amplitud]],Categorias_Configuracion[#Headers],0),TRUE)</f>
        <v>0.15</v>
      </c>
      <c r="H594" s="15" t="str">
        <f ca="1">TEXT(Categorias_Registro[[#This Row],[Mínimo]],Formato_Rango_Categorias)&amp;" - "&amp;TEXT(Categorias_Registro[[#This Row],[Máximo]],Formato_Rango_Categorias)</f>
        <v>1.882 - 2.163</v>
      </c>
    </row>
    <row r="595" spans="2:8">
      <c r="B595" s="15">
        <f>Techo - ROW() + ROW(Categorias_Registro[])</f>
        <v>2034</v>
      </c>
      <c r="C595" s="15">
        <f>IF(Categorias_Registro[[#This Row],[Puntos]]&lt;=ROUND(Piso,0),Piso,IF(Categorias_Registro[[#This Row],[Puntos]]&lt;D596,C596,D596+1))</f>
        <v>1882</v>
      </c>
      <c r="D595" s="15">
        <f>IF(Categorias_Registro[[#This Row],[Puntos]]=ROUND(Piso,0),ROUND(Categorias_Registro[[#This Row],[Puntos]]*(1+Categorias_Registro[[#This Row],[Amplitud]]),0),IF(Categorias_Registro[[#This Row],[Puntos]]&lt;D596,D596,ROUND(D596*(1+Categorias_Registro[[#This Row],[Amplitud]]),0)))</f>
        <v>2163</v>
      </c>
      <c r="E595" s="15">
        <f>E596+IF(D596=Categorias_Registro[[#This Row],[Máximo]],0,1)</f>
        <v>23</v>
      </c>
      <c r="F595" s="15">
        <f>ROUND(Categorias_Registro[[#This Row],[Mínimo]]+((Categorias_Registro[[#This Row],[Máximo]]-Categorias_Registro[[#This Row],[Mínimo]])/2),0)</f>
        <v>2023</v>
      </c>
      <c r="G595" s="78">
        <f>VLOOKUP(Categorias_Registro[[#This Row],[Puntos]],Categorias_Configuracion[],MATCH(Categorias_Configuracion[[#Headers],[% Amplitud]],Categorias_Configuracion[#Headers],0),TRUE)</f>
        <v>0.15</v>
      </c>
      <c r="H595" s="15" t="str">
        <f ca="1">TEXT(Categorias_Registro[[#This Row],[Mínimo]],Formato_Rango_Categorias)&amp;" - "&amp;TEXT(Categorias_Registro[[#This Row],[Máximo]],Formato_Rango_Categorias)</f>
        <v>1.882 - 2.163</v>
      </c>
    </row>
    <row r="596" spans="2:8">
      <c r="B596" s="15">
        <f>Techo - ROW() + ROW(Categorias_Registro[])</f>
        <v>2033</v>
      </c>
      <c r="C596" s="15">
        <f>IF(Categorias_Registro[[#This Row],[Puntos]]&lt;=ROUND(Piso,0),Piso,IF(Categorias_Registro[[#This Row],[Puntos]]&lt;D597,C597,D597+1))</f>
        <v>1882</v>
      </c>
      <c r="D596" s="15">
        <f>IF(Categorias_Registro[[#This Row],[Puntos]]=ROUND(Piso,0),ROUND(Categorias_Registro[[#This Row],[Puntos]]*(1+Categorias_Registro[[#This Row],[Amplitud]]),0),IF(Categorias_Registro[[#This Row],[Puntos]]&lt;D597,D597,ROUND(D597*(1+Categorias_Registro[[#This Row],[Amplitud]]),0)))</f>
        <v>2163</v>
      </c>
      <c r="E596" s="15">
        <f>E597+IF(D597=Categorias_Registro[[#This Row],[Máximo]],0,1)</f>
        <v>23</v>
      </c>
      <c r="F596" s="15">
        <f>ROUND(Categorias_Registro[[#This Row],[Mínimo]]+((Categorias_Registro[[#This Row],[Máximo]]-Categorias_Registro[[#This Row],[Mínimo]])/2),0)</f>
        <v>2023</v>
      </c>
      <c r="G596" s="78">
        <f>VLOOKUP(Categorias_Registro[[#This Row],[Puntos]],Categorias_Configuracion[],MATCH(Categorias_Configuracion[[#Headers],[% Amplitud]],Categorias_Configuracion[#Headers],0),TRUE)</f>
        <v>0.15</v>
      </c>
      <c r="H596" s="15" t="str">
        <f ca="1">TEXT(Categorias_Registro[[#This Row],[Mínimo]],Formato_Rango_Categorias)&amp;" - "&amp;TEXT(Categorias_Registro[[#This Row],[Máximo]],Formato_Rango_Categorias)</f>
        <v>1.882 - 2.163</v>
      </c>
    </row>
    <row r="597" spans="2:8">
      <c r="B597" s="15">
        <f>Techo - ROW() + ROW(Categorias_Registro[])</f>
        <v>2032</v>
      </c>
      <c r="C597" s="15">
        <f>IF(Categorias_Registro[[#This Row],[Puntos]]&lt;=ROUND(Piso,0),Piso,IF(Categorias_Registro[[#This Row],[Puntos]]&lt;D598,C598,D598+1))</f>
        <v>1882</v>
      </c>
      <c r="D597" s="15">
        <f>IF(Categorias_Registro[[#This Row],[Puntos]]=ROUND(Piso,0),ROUND(Categorias_Registro[[#This Row],[Puntos]]*(1+Categorias_Registro[[#This Row],[Amplitud]]),0),IF(Categorias_Registro[[#This Row],[Puntos]]&lt;D598,D598,ROUND(D598*(1+Categorias_Registro[[#This Row],[Amplitud]]),0)))</f>
        <v>2163</v>
      </c>
      <c r="E597" s="15">
        <f>E598+IF(D598=Categorias_Registro[[#This Row],[Máximo]],0,1)</f>
        <v>23</v>
      </c>
      <c r="F597" s="15">
        <f>ROUND(Categorias_Registro[[#This Row],[Mínimo]]+((Categorias_Registro[[#This Row],[Máximo]]-Categorias_Registro[[#This Row],[Mínimo]])/2),0)</f>
        <v>2023</v>
      </c>
      <c r="G597" s="78">
        <f>VLOOKUP(Categorias_Registro[[#This Row],[Puntos]],Categorias_Configuracion[],MATCH(Categorias_Configuracion[[#Headers],[% Amplitud]],Categorias_Configuracion[#Headers],0),TRUE)</f>
        <v>0.15</v>
      </c>
      <c r="H597" s="15" t="str">
        <f ca="1">TEXT(Categorias_Registro[[#This Row],[Mínimo]],Formato_Rango_Categorias)&amp;" - "&amp;TEXT(Categorias_Registro[[#This Row],[Máximo]],Formato_Rango_Categorias)</f>
        <v>1.882 - 2.163</v>
      </c>
    </row>
    <row r="598" spans="2:8">
      <c r="B598" s="15">
        <f>Techo - ROW() + ROW(Categorias_Registro[])</f>
        <v>2031</v>
      </c>
      <c r="C598" s="15">
        <f>IF(Categorias_Registro[[#This Row],[Puntos]]&lt;=ROUND(Piso,0),Piso,IF(Categorias_Registro[[#This Row],[Puntos]]&lt;D599,C599,D599+1))</f>
        <v>1882</v>
      </c>
      <c r="D598" s="15">
        <f>IF(Categorias_Registro[[#This Row],[Puntos]]=ROUND(Piso,0),ROUND(Categorias_Registro[[#This Row],[Puntos]]*(1+Categorias_Registro[[#This Row],[Amplitud]]),0),IF(Categorias_Registro[[#This Row],[Puntos]]&lt;D599,D599,ROUND(D599*(1+Categorias_Registro[[#This Row],[Amplitud]]),0)))</f>
        <v>2163</v>
      </c>
      <c r="E598" s="15">
        <f>E599+IF(D599=Categorias_Registro[[#This Row],[Máximo]],0,1)</f>
        <v>23</v>
      </c>
      <c r="F598" s="15">
        <f>ROUND(Categorias_Registro[[#This Row],[Mínimo]]+((Categorias_Registro[[#This Row],[Máximo]]-Categorias_Registro[[#This Row],[Mínimo]])/2),0)</f>
        <v>2023</v>
      </c>
      <c r="G598" s="78">
        <f>VLOOKUP(Categorias_Registro[[#This Row],[Puntos]],Categorias_Configuracion[],MATCH(Categorias_Configuracion[[#Headers],[% Amplitud]],Categorias_Configuracion[#Headers],0),TRUE)</f>
        <v>0.15</v>
      </c>
      <c r="H598" s="15" t="str">
        <f ca="1">TEXT(Categorias_Registro[[#This Row],[Mínimo]],Formato_Rango_Categorias)&amp;" - "&amp;TEXT(Categorias_Registro[[#This Row],[Máximo]],Formato_Rango_Categorias)</f>
        <v>1.882 - 2.163</v>
      </c>
    </row>
    <row r="599" spans="2:8">
      <c r="B599" s="15">
        <f>Techo - ROW() + ROW(Categorias_Registro[])</f>
        <v>2030</v>
      </c>
      <c r="C599" s="15">
        <f>IF(Categorias_Registro[[#This Row],[Puntos]]&lt;=ROUND(Piso,0),Piso,IF(Categorias_Registro[[#This Row],[Puntos]]&lt;D600,C600,D600+1))</f>
        <v>1882</v>
      </c>
      <c r="D599" s="15">
        <f>IF(Categorias_Registro[[#This Row],[Puntos]]=ROUND(Piso,0),ROUND(Categorias_Registro[[#This Row],[Puntos]]*(1+Categorias_Registro[[#This Row],[Amplitud]]),0),IF(Categorias_Registro[[#This Row],[Puntos]]&lt;D600,D600,ROUND(D600*(1+Categorias_Registro[[#This Row],[Amplitud]]),0)))</f>
        <v>2163</v>
      </c>
      <c r="E599" s="15">
        <f>E600+IF(D600=Categorias_Registro[[#This Row],[Máximo]],0,1)</f>
        <v>23</v>
      </c>
      <c r="F599" s="15">
        <f>ROUND(Categorias_Registro[[#This Row],[Mínimo]]+((Categorias_Registro[[#This Row],[Máximo]]-Categorias_Registro[[#This Row],[Mínimo]])/2),0)</f>
        <v>2023</v>
      </c>
      <c r="G599" s="78">
        <f>VLOOKUP(Categorias_Registro[[#This Row],[Puntos]],Categorias_Configuracion[],MATCH(Categorias_Configuracion[[#Headers],[% Amplitud]],Categorias_Configuracion[#Headers],0),TRUE)</f>
        <v>0.15</v>
      </c>
      <c r="H599" s="15" t="str">
        <f ca="1">TEXT(Categorias_Registro[[#This Row],[Mínimo]],Formato_Rango_Categorias)&amp;" - "&amp;TEXT(Categorias_Registro[[#This Row],[Máximo]],Formato_Rango_Categorias)</f>
        <v>1.882 - 2.163</v>
      </c>
    </row>
    <row r="600" spans="2:8">
      <c r="B600" s="15">
        <f>Techo - ROW() + ROW(Categorias_Registro[])</f>
        <v>2029</v>
      </c>
      <c r="C600" s="15">
        <f>IF(Categorias_Registro[[#This Row],[Puntos]]&lt;=ROUND(Piso,0),Piso,IF(Categorias_Registro[[#This Row],[Puntos]]&lt;D601,C601,D601+1))</f>
        <v>1882</v>
      </c>
      <c r="D600" s="15">
        <f>IF(Categorias_Registro[[#This Row],[Puntos]]=ROUND(Piso,0),ROUND(Categorias_Registro[[#This Row],[Puntos]]*(1+Categorias_Registro[[#This Row],[Amplitud]]),0),IF(Categorias_Registro[[#This Row],[Puntos]]&lt;D601,D601,ROUND(D601*(1+Categorias_Registro[[#This Row],[Amplitud]]),0)))</f>
        <v>2163</v>
      </c>
      <c r="E600" s="15">
        <f>E601+IF(D601=Categorias_Registro[[#This Row],[Máximo]],0,1)</f>
        <v>23</v>
      </c>
      <c r="F600" s="15">
        <f>ROUND(Categorias_Registro[[#This Row],[Mínimo]]+((Categorias_Registro[[#This Row],[Máximo]]-Categorias_Registro[[#This Row],[Mínimo]])/2),0)</f>
        <v>2023</v>
      </c>
      <c r="G600" s="78">
        <f>VLOOKUP(Categorias_Registro[[#This Row],[Puntos]],Categorias_Configuracion[],MATCH(Categorias_Configuracion[[#Headers],[% Amplitud]],Categorias_Configuracion[#Headers],0),TRUE)</f>
        <v>0.15</v>
      </c>
      <c r="H600" s="15" t="str">
        <f ca="1">TEXT(Categorias_Registro[[#This Row],[Mínimo]],Formato_Rango_Categorias)&amp;" - "&amp;TEXT(Categorias_Registro[[#This Row],[Máximo]],Formato_Rango_Categorias)</f>
        <v>1.882 - 2.163</v>
      </c>
    </row>
    <row r="601" spans="2:8">
      <c r="B601" s="15">
        <f>Techo - ROW() + ROW(Categorias_Registro[])</f>
        <v>2028</v>
      </c>
      <c r="C601" s="15">
        <f>IF(Categorias_Registro[[#This Row],[Puntos]]&lt;=ROUND(Piso,0),Piso,IF(Categorias_Registro[[#This Row],[Puntos]]&lt;D602,C602,D602+1))</f>
        <v>1882</v>
      </c>
      <c r="D601" s="15">
        <f>IF(Categorias_Registro[[#This Row],[Puntos]]=ROUND(Piso,0),ROUND(Categorias_Registro[[#This Row],[Puntos]]*(1+Categorias_Registro[[#This Row],[Amplitud]]),0),IF(Categorias_Registro[[#This Row],[Puntos]]&lt;D602,D602,ROUND(D602*(1+Categorias_Registro[[#This Row],[Amplitud]]),0)))</f>
        <v>2163</v>
      </c>
      <c r="E601" s="15">
        <f>E602+IF(D602=Categorias_Registro[[#This Row],[Máximo]],0,1)</f>
        <v>23</v>
      </c>
      <c r="F601" s="15">
        <f>ROUND(Categorias_Registro[[#This Row],[Mínimo]]+((Categorias_Registro[[#This Row],[Máximo]]-Categorias_Registro[[#This Row],[Mínimo]])/2),0)</f>
        <v>2023</v>
      </c>
      <c r="G601" s="78">
        <f>VLOOKUP(Categorias_Registro[[#This Row],[Puntos]],Categorias_Configuracion[],MATCH(Categorias_Configuracion[[#Headers],[% Amplitud]],Categorias_Configuracion[#Headers],0),TRUE)</f>
        <v>0.15</v>
      </c>
      <c r="H601" s="15" t="str">
        <f ca="1">TEXT(Categorias_Registro[[#This Row],[Mínimo]],Formato_Rango_Categorias)&amp;" - "&amp;TEXT(Categorias_Registro[[#This Row],[Máximo]],Formato_Rango_Categorias)</f>
        <v>1.882 - 2.163</v>
      </c>
    </row>
    <row r="602" spans="2:8">
      <c r="B602" s="15">
        <f>Techo - ROW() + ROW(Categorias_Registro[])</f>
        <v>2027</v>
      </c>
      <c r="C602" s="15">
        <f>IF(Categorias_Registro[[#This Row],[Puntos]]&lt;=ROUND(Piso,0),Piso,IF(Categorias_Registro[[#This Row],[Puntos]]&lt;D603,C603,D603+1))</f>
        <v>1882</v>
      </c>
      <c r="D602" s="15">
        <f>IF(Categorias_Registro[[#This Row],[Puntos]]=ROUND(Piso,0),ROUND(Categorias_Registro[[#This Row],[Puntos]]*(1+Categorias_Registro[[#This Row],[Amplitud]]),0),IF(Categorias_Registro[[#This Row],[Puntos]]&lt;D603,D603,ROUND(D603*(1+Categorias_Registro[[#This Row],[Amplitud]]),0)))</f>
        <v>2163</v>
      </c>
      <c r="E602" s="15">
        <f>E603+IF(D603=Categorias_Registro[[#This Row],[Máximo]],0,1)</f>
        <v>23</v>
      </c>
      <c r="F602" s="15">
        <f>ROUND(Categorias_Registro[[#This Row],[Mínimo]]+((Categorias_Registro[[#This Row],[Máximo]]-Categorias_Registro[[#This Row],[Mínimo]])/2),0)</f>
        <v>2023</v>
      </c>
      <c r="G602" s="78">
        <f>VLOOKUP(Categorias_Registro[[#This Row],[Puntos]],Categorias_Configuracion[],MATCH(Categorias_Configuracion[[#Headers],[% Amplitud]],Categorias_Configuracion[#Headers],0),TRUE)</f>
        <v>0.15</v>
      </c>
      <c r="H602" s="15" t="str">
        <f ca="1">TEXT(Categorias_Registro[[#This Row],[Mínimo]],Formato_Rango_Categorias)&amp;" - "&amp;TEXT(Categorias_Registro[[#This Row],[Máximo]],Formato_Rango_Categorias)</f>
        <v>1.882 - 2.163</v>
      </c>
    </row>
    <row r="603" spans="2:8">
      <c r="B603" s="15">
        <f>Techo - ROW() + ROW(Categorias_Registro[])</f>
        <v>2026</v>
      </c>
      <c r="C603" s="15">
        <f>IF(Categorias_Registro[[#This Row],[Puntos]]&lt;=ROUND(Piso,0),Piso,IF(Categorias_Registro[[#This Row],[Puntos]]&lt;D604,C604,D604+1))</f>
        <v>1882</v>
      </c>
      <c r="D603" s="15">
        <f>IF(Categorias_Registro[[#This Row],[Puntos]]=ROUND(Piso,0),ROUND(Categorias_Registro[[#This Row],[Puntos]]*(1+Categorias_Registro[[#This Row],[Amplitud]]),0),IF(Categorias_Registro[[#This Row],[Puntos]]&lt;D604,D604,ROUND(D604*(1+Categorias_Registro[[#This Row],[Amplitud]]),0)))</f>
        <v>2163</v>
      </c>
      <c r="E603" s="15">
        <f>E604+IF(D604=Categorias_Registro[[#This Row],[Máximo]],0,1)</f>
        <v>23</v>
      </c>
      <c r="F603" s="15">
        <f>ROUND(Categorias_Registro[[#This Row],[Mínimo]]+((Categorias_Registro[[#This Row],[Máximo]]-Categorias_Registro[[#This Row],[Mínimo]])/2),0)</f>
        <v>2023</v>
      </c>
      <c r="G603" s="78">
        <f>VLOOKUP(Categorias_Registro[[#This Row],[Puntos]],Categorias_Configuracion[],MATCH(Categorias_Configuracion[[#Headers],[% Amplitud]],Categorias_Configuracion[#Headers],0),TRUE)</f>
        <v>0.15</v>
      </c>
      <c r="H603" s="15" t="str">
        <f ca="1">TEXT(Categorias_Registro[[#This Row],[Mínimo]],Formato_Rango_Categorias)&amp;" - "&amp;TEXT(Categorias_Registro[[#This Row],[Máximo]],Formato_Rango_Categorias)</f>
        <v>1.882 - 2.163</v>
      </c>
    </row>
    <row r="604" spans="2:8">
      <c r="B604" s="15">
        <f>Techo - ROW() + ROW(Categorias_Registro[])</f>
        <v>2025</v>
      </c>
      <c r="C604" s="15">
        <f>IF(Categorias_Registro[[#This Row],[Puntos]]&lt;=ROUND(Piso,0),Piso,IF(Categorias_Registro[[#This Row],[Puntos]]&lt;D605,C605,D605+1))</f>
        <v>1882</v>
      </c>
      <c r="D604" s="15">
        <f>IF(Categorias_Registro[[#This Row],[Puntos]]=ROUND(Piso,0),ROUND(Categorias_Registro[[#This Row],[Puntos]]*(1+Categorias_Registro[[#This Row],[Amplitud]]),0),IF(Categorias_Registro[[#This Row],[Puntos]]&lt;D605,D605,ROUND(D605*(1+Categorias_Registro[[#This Row],[Amplitud]]),0)))</f>
        <v>2163</v>
      </c>
      <c r="E604" s="15">
        <f>E605+IF(D605=Categorias_Registro[[#This Row],[Máximo]],0,1)</f>
        <v>23</v>
      </c>
      <c r="F604" s="15">
        <f>ROUND(Categorias_Registro[[#This Row],[Mínimo]]+((Categorias_Registro[[#This Row],[Máximo]]-Categorias_Registro[[#This Row],[Mínimo]])/2),0)</f>
        <v>2023</v>
      </c>
      <c r="G604" s="78">
        <f>VLOOKUP(Categorias_Registro[[#This Row],[Puntos]],Categorias_Configuracion[],MATCH(Categorias_Configuracion[[#Headers],[% Amplitud]],Categorias_Configuracion[#Headers],0),TRUE)</f>
        <v>0.15</v>
      </c>
      <c r="H604" s="15" t="str">
        <f ca="1">TEXT(Categorias_Registro[[#This Row],[Mínimo]],Formato_Rango_Categorias)&amp;" - "&amp;TEXT(Categorias_Registro[[#This Row],[Máximo]],Formato_Rango_Categorias)</f>
        <v>1.882 - 2.163</v>
      </c>
    </row>
    <row r="605" spans="2:8">
      <c r="B605" s="15">
        <f>Techo - ROW() + ROW(Categorias_Registro[])</f>
        <v>2024</v>
      </c>
      <c r="C605" s="15">
        <f>IF(Categorias_Registro[[#This Row],[Puntos]]&lt;=ROUND(Piso,0),Piso,IF(Categorias_Registro[[#This Row],[Puntos]]&lt;D606,C606,D606+1))</f>
        <v>1882</v>
      </c>
      <c r="D605" s="15">
        <f>IF(Categorias_Registro[[#This Row],[Puntos]]=ROUND(Piso,0),ROUND(Categorias_Registro[[#This Row],[Puntos]]*(1+Categorias_Registro[[#This Row],[Amplitud]]),0),IF(Categorias_Registro[[#This Row],[Puntos]]&lt;D606,D606,ROUND(D606*(1+Categorias_Registro[[#This Row],[Amplitud]]),0)))</f>
        <v>2163</v>
      </c>
      <c r="E605" s="15">
        <f>E606+IF(D606=Categorias_Registro[[#This Row],[Máximo]],0,1)</f>
        <v>23</v>
      </c>
      <c r="F605" s="15">
        <f>ROUND(Categorias_Registro[[#This Row],[Mínimo]]+((Categorias_Registro[[#This Row],[Máximo]]-Categorias_Registro[[#This Row],[Mínimo]])/2),0)</f>
        <v>2023</v>
      </c>
      <c r="G605" s="78">
        <f>VLOOKUP(Categorias_Registro[[#This Row],[Puntos]],Categorias_Configuracion[],MATCH(Categorias_Configuracion[[#Headers],[% Amplitud]],Categorias_Configuracion[#Headers],0),TRUE)</f>
        <v>0.15</v>
      </c>
      <c r="H605" s="15" t="str">
        <f ca="1">TEXT(Categorias_Registro[[#This Row],[Mínimo]],Formato_Rango_Categorias)&amp;" - "&amp;TEXT(Categorias_Registro[[#This Row],[Máximo]],Formato_Rango_Categorias)</f>
        <v>1.882 - 2.163</v>
      </c>
    </row>
    <row r="606" spans="2:8">
      <c r="B606" s="15">
        <f>Techo - ROW() + ROW(Categorias_Registro[])</f>
        <v>2023</v>
      </c>
      <c r="C606" s="15">
        <f>IF(Categorias_Registro[[#This Row],[Puntos]]&lt;=ROUND(Piso,0),Piso,IF(Categorias_Registro[[#This Row],[Puntos]]&lt;D607,C607,D607+1))</f>
        <v>1882</v>
      </c>
      <c r="D606" s="15">
        <f>IF(Categorias_Registro[[#This Row],[Puntos]]=ROUND(Piso,0),ROUND(Categorias_Registro[[#This Row],[Puntos]]*(1+Categorias_Registro[[#This Row],[Amplitud]]),0),IF(Categorias_Registro[[#This Row],[Puntos]]&lt;D607,D607,ROUND(D607*(1+Categorias_Registro[[#This Row],[Amplitud]]),0)))</f>
        <v>2163</v>
      </c>
      <c r="E606" s="15">
        <f>E607+IF(D607=Categorias_Registro[[#This Row],[Máximo]],0,1)</f>
        <v>23</v>
      </c>
      <c r="F606" s="15">
        <f>ROUND(Categorias_Registro[[#This Row],[Mínimo]]+((Categorias_Registro[[#This Row],[Máximo]]-Categorias_Registro[[#This Row],[Mínimo]])/2),0)</f>
        <v>2023</v>
      </c>
      <c r="G606" s="78">
        <f>VLOOKUP(Categorias_Registro[[#This Row],[Puntos]],Categorias_Configuracion[],MATCH(Categorias_Configuracion[[#Headers],[% Amplitud]],Categorias_Configuracion[#Headers],0),TRUE)</f>
        <v>0.15</v>
      </c>
      <c r="H606" s="15" t="str">
        <f ca="1">TEXT(Categorias_Registro[[#This Row],[Mínimo]],Formato_Rango_Categorias)&amp;" - "&amp;TEXT(Categorias_Registro[[#This Row],[Máximo]],Formato_Rango_Categorias)</f>
        <v>1.882 - 2.163</v>
      </c>
    </row>
    <row r="607" spans="2:8">
      <c r="B607" s="15">
        <f>Techo - ROW() + ROW(Categorias_Registro[])</f>
        <v>2022</v>
      </c>
      <c r="C607" s="15">
        <f>IF(Categorias_Registro[[#This Row],[Puntos]]&lt;=ROUND(Piso,0),Piso,IF(Categorias_Registro[[#This Row],[Puntos]]&lt;D608,C608,D608+1))</f>
        <v>1882</v>
      </c>
      <c r="D607" s="15">
        <f>IF(Categorias_Registro[[#This Row],[Puntos]]=ROUND(Piso,0),ROUND(Categorias_Registro[[#This Row],[Puntos]]*(1+Categorias_Registro[[#This Row],[Amplitud]]),0),IF(Categorias_Registro[[#This Row],[Puntos]]&lt;D608,D608,ROUND(D608*(1+Categorias_Registro[[#This Row],[Amplitud]]),0)))</f>
        <v>2163</v>
      </c>
      <c r="E607" s="15">
        <f>E608+IF(D608=Categorias_Registro[[#This Row],[Máximo]],0,1)</f>
        <v>23</v>
      </c>
      <c r="F607" s="15">
        <f>ROUND(Categorias_Registro[[#This Row],[Mínimo]]+((Categorias_Registro[[#This Row],[Máximo]]-Categorias_Registro[[#This Row],[Mínimo]])/2),0)</f>
        <v>2023</v>
      </c>
      <c r="G607" s="78">
        <f>VLOOKUP(Categorias_Registro[[#This Row],[Puntos]],Categorias_Configuracion[],MATCH(Categorias_Configuracion[[#Headers],[% Amplitud]],Categorias_Configuracion[#Headers],0),TRUE)</f>
        <v>0.15</v>
      </c>
      <c r="H607" s="15" t="str">
        <f ca="1">TEXT(Categorias_Registro[[#This Row],[Mínimo]],Formato_Rango_Categorias)&amp;" - "&amp;TEXT(Categorias_Registro[[#This Row],[Máximo]],Formato_Rango_Categorias)</f>
        <v>1.882 - 2.163</v>
      </c>
    </row>
    <row r="608" spans="2:8">
      <c r="B608" s="15">
        <f>Techo - ROW() + ROW(Categorias_Registro[])</f>
        <v>2021</v>
      </c>
      <c r="C608" s="15">
        <f>IF(Categorias_Registro[[#This Row],[Puntos]]&lt;=ROUND(Piso,0),Piso,IF(Categorias_Registro[[#This Row],[Puntos]]&lt;D609,C609,D609+1))</f>
        <v>1882</v>
      </c>
      <c r="D608" s="15">
        <f>IF(Categorias_Registro[[#This Row],[Puntos]]=ROUND(Piso,0),ROUND(Categorias_Registro[[#This Row],[Puntos]]*(1+Categorias_Registro[[#This Row],[Amplitud]]),0),IF(Categorias_Registro[[#This Row],[Puntos]]&lt;D609,D609,ROUND(D609*(1+Categorias_Registro[[#This Row],[Amplitud]]),0)))</f>
        <v>2163</v>
      </c>
      <c r="E608" s="15">
        <f>E609+IF(D609=Categorias_Registro[[#This Row],[Máximo]],0,1)</f>
        <v>23</v>
      </c>
      <c r="F608" s="15">
        <f>ROUND(Categorias_Registro[[#This Row],[Mínimo]]+((Categorias_Registro[[#This Row],[Máximo]]-Categorias_Registro[[#This Row],[Mínimo]])/2),0)</f>
        <v>2023</v>
      </c>
      <c r="G608" s="78">
        <f>VLOOKUP(Categorias_Registro[[#This Row],[Puntos]],Categorias_Configuracion[],MATCH(Categorias_Configuracion[[#Headers],[% Amplitud]],Categorias_Configuracion[#Headers],0),TRUE)</f>
        <v>0.15</v>
      </c>
      <c r="H608" s="15" t="str">
        <f ca="1">TEXT(Categorias_Registro[[#This Row],[Mínimo]],Formato_Rango_Categorias)&amp;" - "&amp;TEXT(Categorias_Registro[[#This Row],[Máximo]],Formato_Rango_Categorias)</f>
        <v>1.882 - 2.163</v>
      </c>
    </row>
    <row r="609" spans="2:8">
      <c r="B609" s="15">
        <f>Techo - ROW() + ROW(Categorias_Registro[])</f>
        <v>2020</v>
      </c>
      <c r="C609" s="15">
        <f>IF(Categorias_Registro[[#This Row],[Puntos]]&lt;=ROUND(Piso,0),Piso,IF(Categorias_Registro[[#This Row],[Puntos]]&lt;D610,C610,D610+1))</f>
        <v>1882</v>
      </c>
      <c r="D609" s="15">
        <f>IF(Categorias_Registro[[#This Row],[Puntos]]=ROUND(Piso,0),ROUND(Categorias_Registro[[#This Row],[Puntos]]*(1+Categorias_Registro[[#This Row],[Amplitud]]),0),IF(Categorias_Registro[[#This Row],[Puntos]]&lt;D610,D610,ROUND(D610*(1+Categorias_Registro[[#This Row],[Amplitud]]),0)))</f>
        <v>2163</v>
      </c>
      <c r="E609" s="15">
        <f>E610+IF(D610=Categorias_Registro[[#This Row],[Máximo]],0,1)</f>
        <v>23</v>
      </c>
      <c r="F609" s="15">
        <f>ROUND(Categorias_Registro[[#This Row],[Mínimo]]+((Categorias_Registro[[#This Row],[Máximo]]-Categorias_Registro[[#This Row],[Mínimo]])/2),0)</f>
        <v>2023</v>
      </c>
      <c r="G609" s="78">
        <f>VLOOKUP(Categorias_Registro[[#This Row],[Puntos]],Categorias_Configuracion[],MATCH(Categorias_Configuracion[[#Headers],[% Amplitud]],Categorias_Configuracion[#Headers],0),TRUE)</f>
        <v>0.15</v>
      </c>
      <c r="H609" s="15" t="str">
        <f ca="1">TEXT(Categorias_Registro[[#This Row],[Mínimo]],Formato_Rango_Categorias)&amp;" - "&amp;TEXT(Categorias_Registro[[#This Row],[Máximo]],Formato_Rango_Categorias)</f>
        <v>1.882 - 2.163</v>
      </c>
    </row>
    <row r="610" spans="2:8">
      <c r="B610" s="15">
        <f>Techo - ROW() + ROW(Categorias_Registro[])</f>
        <v>2019</v>
      </c>
      <c r="C610" s="15">
        <f>IF(Categorias_Registro[[#This Row],[Puntos]]&lt;=ROUND(Piso,0),Piso,IF(Categorias_Registro[[#This Row],[Puntos]]&lt;D611,C611,D611+1))</f>
        <v>1882</v>
      </c>
      <c r="D610" s="15">
        <f>IF(Categorias_Registro[[#This Row],[Puntos]]=ROUND(Piso,0),ROUND(Categorias_Registro[[#This Row],[Puntos]]*(1+Categorias_Registro[[#This Row],[Amplitud]]),0),IF(Categorias_Registro[[#This Row],[Puntos]]&lt;D611,D611,ROUND(D611*(1+Categorias_Registro[[#This Row],[Amplitud]]),0)))</f>
        <v>2163</v>
      </c>
      <c r="E610" s="15">
        <f>E611+IF(D611=Categorias_Registro[[#This Row],[Máximo]],0,1)</f>
        <v>23</v>
      </c>
      <c r="F610" s="15">
        <f>ROUND(Categorias_Registro[[#This Row],[Mínimo]]+((Categorias_Registro[[#This Row],[Máximo]]-Categorias_Registro[[#This Row],[Mínimo]])/2),0)</f>
        <v>2023</v>
      </c>
      <c r="G610" s="78">
        <f>VLOOKUP(Categorias_Registro[[#This Row],[Puntos]],Categorias_Configuracion[],MATCH(Categorias_Configuracion[[#Headers],[% Amplitud]],Categorias_Configuracion[#Headers],0),TRUE)</f>
        <v>0.15</v>
      </c>
      <c r="H610" s="15" t="str">
        <f ca="1">TEXT(Categorias_Registro[[#This Row],[Mínimo]],Formato_Rango_Categorias)&amp;" - "&amp;TEXT(Categorias_Registro[[#This Row],[Máximo]],Formato_Rango_Categorias)</f>
        <v>1.882 - 2.163</v>
      </c>
    </row>
    <row r="611" spans="2:8">
      <c r="B611" s="15">
        <f>Techo - ROW() + ROW(Categorias_Registro[])</f>
        <v>2018</v>
      </c>
      <c r="C611" s="15">
        <f>IF(Categorias_Registro[[#This Row],[Puntos]]&lt;=ROUND(Piso,0),Piso,IF(Categorias_Registro[[#This Row],[Puntos]]&lt;D612,C612,D612+1))</f>
        <v>1882</v>
      </c>
      <c r="D611" s="15">
        <f>IF(Categorias_Registro[[#This Row],[Puntos]]=ROUND(Piso,0),ROUND(Categorias_Registro[[#This Row],[Puntos]]*(1+Categorias_Registro[[#This Row],[Amplitud]]),0),IF(Categorias_Registro[[#This Row],[Puntos]]&lt;D612,D612,ROUND(D612*(1+Categorias_Registro[[#This Row],[Amplitud]]),0)))</f>
        <v>2163</v>
      </c>
      <c r="E611" s="15">
        <f>E612+IF(D612=Categorias_Registro[[#This Row],[Máximo]],0,1)</f>
        <v>23</v>
      </c>
      <c r="F611" s="15">
        <f>ROUND(Categorias_Registro[[#This Row],[Mínimo]]+((Categorias_Registro[[#This Row],[Máximo]]-Categorias_Registro[[#This Row],[Mínimo]])/2),0)</f>
        <v>2023</v>
      </c>
      <c r="G611" s="78">
        <f>VLOOKUP(Categorias_Registro[[#This Row],[Puntos]],Categorias_Configuracion[],MATCH(Categorias_Configuracion[[#Headers],[% Amplitud]],Categorias_Configuracion[#Headers],0),TRUE)</f>
        <v>0.15</v>
      </c>
      <c r="H611" s="15" t="str">
        <f ca="1">TEXT(Categorias_Registro[[#This Row],[Mínimo]],Formato_Rango_Categorias)&amp;" - "&amp;TEXT(Categorias_Registro[[#This Row],[Máximo]],Formato_Rango_Categorias)</f>
        <v>1.882 - 2.163</v>
      </c>
    </row>
    <row r="612" spans="2:8">
      <c r="B612" s="15">
        <f>Techo - ROW() + ROW(Categorias_Registro[])</f>
        <v>2017</v>
      </c>
      <c r="C612" s="15">
        <f>IF(Categorias_Registro[[#This Row],[Puntos]]&lt;=ROUND(Piso,0),Piso,IF(Categorias_Registro[[#This Row],[Puntos]]&lt;D613,C613,D613+1))</f>
        <v>1882</v>
      </c>
      <c r="D612" s="15">
        <f>IF(Categorias_Registro[[#This Row],[Puntos]]=ROUND(Piso,0),ROUND(Categorias_Registro[[#This Row],[Puntos]]*(1+Categorias_Registro[[#This Row],[Amplitud]]),0),IF(Categorias_Registro[[#This Row],[Puntos]]&lt;D613,D613,ROUND(D613*(1+Categorias_Registro[[#This Row],[Amplitud]]),0)))</f>
        <v>2163</v>
      </c>
      <c r="E612" s="15">
        <f>E613+IF(D613=Categorias_Registro[[#This Row],[Máximo]],0,1)</f>
        <v>23</v>
      </c>
      <c r="F612" s="15">
        <f>ROUND(Categorias_Registro[[#This Row],[Mínimo]]+((Categorias_Registro[[#This Row],[Máximo]]-Categorias_Registro[[#This Row],[Mínimo]])/2),0)</f>
        <v>2023</v>
      </c>
      <c r="G612" s="78">
        <f>VLOOKUP(Categorias_Registro[[#This Row],[Puntos]],Categorias_Configuracion[],MATCH(Categorias_Configuracion[[#Headers],[% Amplitud]],Categorias_Configuracion[#Headers],0),TRUE)</f>
        <v>0.15</v>
      </c>
      <c r="H612" s="15" t="str">
        <f ca="1">TEXT(Categorias_Registro[[#This Row],[Mínimo]],Formato_Rango_Categorias)&amp;" - "&amp;TEXT(Categorias_Registro[[#This Row],[Máximo]],Formato_Rango_Categorias)</f>
        <v>1.882 - 2.163</v>
      </c>
    </row>
    <row r="613" spans="2:8">
      <c r="B613" s="15">
        <f>Techo - ROW() + ROW(Categorias_Registro[])</f>
        <v>2016</v>
      </c>
      <c r="C613" s="15">
        <f>IF(Categorias_Registro[[#This Row],[Puntos]]&lt;=ROUND(Piso,0),Piso,IF(Categorias_Registro[[#This Row],[Puntos]]&lt;D614,C614,D614+1))</f>
        <v>1882</v>
      </c>
      <c r="D613" s="15">
        <f>IF(Categorias_Registro[[#This Row],[Puntos]]=ROUND(Piso,0),ROUND(Categorias_Registro[[#This Row],[Puntos]]*(1+Categorias_Registro[[#This Row],[Amplitud]]),0),IF(Categorias_Registro[[#This Row],[Puntos]]&lt;D614,D614,ROUND(D614*(1+Categorias_Registro[[#This Row],[Amplitud]]),0)))</f>
        <v>2163</v>
      </c>
      <c r="E613" s="15">
        <f>E614+IF(D614=Categorias_Registro[[#This Row],[Máximo]],0,1)</f>
        <v>23</v>
      </c>
      <c r="F613" s="15">
        <f>ROUND(Categorias_Registro[[#This Row],[Mínimo]]+((Categorias_Registro[[#This Row],[Máximo]]-Categorias_Registro[[#This Row],[Mínimo]])/2),0)</f>
        <v>2023</v>
      </c>
      <c r="G613" s="78">
        <f>VLOOKUP(Categorias_Registro[[#This Row],[Puntos]],Categorias_Configuracion[],MATCH(Categorias_Configuracion[[#Headers],[% Amplitud]],Categorias_Configuracion[#Headers],0),TRUE)</f>
        <v>0.15</v>
      </c>
      <c r="H613" s="15" t="str">
        <f ca="1">TEXT(Categorias_Registro[[#This Row],[Mínimo]],Formato_Rango_Categorias)&amp;" - "&amp;TEXT(Categorias_Registro[[#This Row],[Máximo]],Formato_Rango_Categorias)</f>
        <v>1.882 - 2.163</v>
      </c>
    </row>
    <row r="614" spans="2:8">
      <c r="B614" s="15">
        <f>Techo - ROW() + ROW(Categorias_Registro[])</f>
        <v>2015</v>
      </c>
      <c r="C614" s="15">
        <f>IF(Categorias_Registro[[#This Row],[Puntos]]&lt;=ROUND(Piso,0),Piso,IF(Categorias_Registro[[#This Row],[Puntos]]&lt;D615,C615,D615+1))</f>
        <v>1882</v>
      </c>
      <c r="D614" s="15">
        <f>IF(Categorias_Registro[[#This Row],[Puntos]]=ROUND(Piso,0),ROUND(Categorias_Registro[[#This Row],[Puntos]]*(1+Categorias_Registro[[#This Row],[Amplitud]]),0),IF(Categorias_Registro[[#This Row],[Puntos]]&lt;D615,D615,ROUND(D615*(1+Categorias_Registro[[#This Row],[Amplitud]]),0)))</f>
        <v>2163</v>
      </c>
      <c r="E614" s="15">
        <f>E615+IF(D615=Categorias_Registro[[#This Row],[Máximo]],0,1)</f>
        <v>23</v>
      </c>
      <c r="F614" s="15">
        <f>ROUND(Categorias_Registro[[#This Row],[Mínimo]]+((Categorias_Registro[[#This Row],[Máximo]]-Categorias_Registro[[#This Row],[Mínimo]])/2),0)</f>
        <v>2023</v>
      </c>
      <c r="G614" s="78">
        <f>VLOOKUP(Categorias_Registro[[#This Row],[Puntos]],Categorias_Configuracion[],MATCH(Categorias_Configuracion[[#Headers],[% Amplitud]],Categorias_Configuracion[#Headers],0),TRUE)</f>
        <v>0.15</v>
      </c>
      <c r="H614" s="15" t="str">
        <f ca="1">TEXT(Categorias_Registro[[#This Row],[Mínimo]],Formato_Rango_Categorias)&amp;" - "&amp;TEXT(Categorias_Registro[[#This Row],[Máximo]],Formato_Rango_Categorias)</f>
        <v>1.882 - 2.163</v>
      </c>
    </row>
    <row r="615" spans="2:8">
      <c r="B615" s="15">
        <f>Techo - ROW() + ROW(Categorias_Registro[])</f>
        <v>2014</v>
      </c>
      <c r="C615" s="15">
        <f>IF(Categorias_Registro[[#This Row],[Puntos]]&lt;=ROUND(Piso,0),Piso,IF(Categorias_Registro[[#This Row],[Puntos]]&lt;D616,C616,D616+1))</f>
        <v>1882</v>
      </c>
      <c r="D615" s="15">
        <f>IF(Categorias_Registro[[#This Row],[Puntos]]=ROUND(Piso,0),ROUND(Categorias_Registro[[#This Row],[Puntos]]*(1+Categorias_Registro[[#This Row],[Amplitud]]),0),IF(Categorias_Registro[[#This Row],[Puntos]]&lt;D616,D616,ROUND(D616*(1+Categorias_Registro[[#This Row],[Amplitud]]),0)))</f>
        <v>2163</v>
      </c>
      <c r="E615" s="15">
        <f>E616+IF(D616=Categorias_Registro[[#This Row],[Máximo]],0,1)</f>
        <v>23</v>
      </c>
      <c r="F615" s="15">
        <f>ROUND(Categorias_Registro[[#This Row],[Mínimo]]+((Categorias_Registro[[#This Row],[Máximo]]-Categorias_Registro[[#This Row],[Mínimo]])/2),0)</f>
        <v>2023</v>
      </c>
      <c r="G615" s="78">
        <f>VLOOKUP(Categorias_Registro[[#This Row],[Puntos]],Categorias_Configuracion[],MATCH(Categorias_Configuracion[[#Headers],[% Amplitud]],Categorias_Configuracion[#Headers],0),TRUE)</f>
        <v>0.15</v>
      </c>
      <c r="H615" s="15" t="str">
        <f ca="1">TEXT(Categorias_Registro[[#This Row],[Mínimo]],Formato_Rango_Categorias)&amp;" - "&amp;TEXT(Categorias_Registro[[#This Row],[Máximo]],Formato_Rango_Categorias)</f>
        <v>1.882 - 2.163</v>
      </c>
    </row>
    <row r="616" spans="2:8">
      <c r="B616" s="15">
        <f>Techo - ROW() + ROW(Categorias_Registro[])</f>
        <v>2013</v>
      </c>
      <c r="C616" s="15">
        <f>IF(Categorias_Registro[[#This Row],[Puntos]]&lt;=ROUND(Piso,0),Piso,IF(Categorias_Registro[[#This Row],[Puntos]]&lt;D617,C617,D617+1))</f>
        <v>1882</v>
      </c>
      <c r="D616" s="15">
        <f>IF(Categorias_Registro[[#This Row],[Puntos]]=ROUND(Piso,0),ROUND(Categorias_Registro[[#This Row],[Puntos]]*(1+Categorias_Registro[[#This Row],[Amplitud]]),0),IF(Categorias_Registro[[#This Row],[Puntos]]&lt;D617,D617,ROUND(D617*(1+Categorias_Registro[[#This Row],[Amplitud]]),0)))</f>
        <v>2163</v>
      </c>
      <c r="E616" s="15">
        <f>E617+IF(D617=Categorias_Registro[[#This Row],[Máximo]],0,1)</f>
        <v>23</v>
      </c>
      <c r="F616" s="15">
        <f>ROUND(Categorias_Registro[[#This Row],[Mínimo]]+((Categorias_Registro[[#This Row],[Máximo]]-Categorias_Registro[[#This Row],[Mínimo]])/2),0)</f>
        <v>2023</v>
      </c>
      <c r="G616" s="78">
        <f>VLOOKUP(Categorias_Registro[[#This Row],[Puntos]],Categorias_Configuracion[],MATCH(Categorias_Configuracion[[#Headers],[% Amplitud]],Categorias_Configuracion[#Headers],0),TRUE)</f>
        <v>0.15</v>
      </c>
      <c r="H616" s="15" t="str">
        <f ca="1">TEXT(Categorias_Registro[[#This Row],[Mínimo]],Formato_Rango_Categorias)&amp;" - "&amp;TEXT(Categorias_Registro[[#This Row],[Máximo]],Formato_Rango_Categorias)</f>
        <v>1.882 - 2.163</v>
      </c>
    </row>
    <row r="617" spans="2:8">
      <c r="B617" s="15">
        <f>Techo - ROW() + ROW(Categorias_Registro[])</f>
        <v>2012</v>
      </c>
      <c r="C617" s="15">
        <f>IF(Categorias_Registro[[#This Row],[Puntos]]&lt;=ROUND(Piso,0),Piso,IF(Categorias_Registro[[#This Row],[Puntos]]&lt;D618,C618,D618+1))</f>
        <v>1882</v>
      </c>
      <c r="D617" s="15">
        <f>IF(Categorias_Registro[[#This Row],[Puntos]]=ROUND(Piso,0),ROUND(Categorias_Registro[[#This Row],[Puntos]]*(1+Categorias_Registro[[#This Row],[Amplitud]]),0),IF(Categorias_Registro[[#This Row],[Puntos]]&lt;D618,D618,ROUND(D618*(1+Categorias_Registro[[#This Row],[Amplitud]]),0)))</f>
        <v>2163</v>
      </c>
      <c r="E617" s="15">
        <f>E618+IF(D618=Categorias_Registro[[#This Row],[Máximo]],0,1)</f>
        <v>23</v>
      </c>
      <c r="F617" s="15">
        <f>ROUND(Categorias_Registro[[#This Row],[Mínimo]]+((Categorias_Registro[[#This Row],[Máximo]]-Categorias_Registro[[#This Row],[Mínimo]])/2),0)</f>
        <v>2023</v>
      </c>
      <c r="G617" s="78">
        <f>VLOOKUP(Categorias_Registro[[#This Row],[Puntos]],Categorias_Configuracion[],MATCH(Categorias_Configuracion[[#Headers],[% Amplitud]],Categorias_Configuracion[#Headers],0),TRUE)</f>
        <v>0.15</v>
      </c>
      <c r="H617" s="15" t="str">
        <f ca="1">TEXT(Categorias_Registro[[#This Row],[Mínimo]],Formato_Rango_Categorias)&amp;" - "&amp;TEXT(Categorias_Registro[[#This Row],[Máximo]],Formato_Rango_Categorias)</f>
        <v>1.882 - 2.163</v>
      </c>
    </row>
    <row r="618" spans="2:8">
      <c r="B618" s="15">
        <f>Techo - ROW() + ROW(Categorias_Registro[])</f>
        <v>2011</v>
      </c>
      <c r="C618" s="15">
        <f>IF(Categorias_Registro[[#This Row],[Puntos]]&lt;=ROUND(Piso,0),Piso,IF(Categorias_Registro[[#This Row],[Puntos]]&lt;D619,C619,D619+1))</f>
        <v>1882</v>
      </c>
      <c r="D618" s="15">
        <f>IF(Categorias_Registro[[#This Row],[Puntos]]=ROUND(Piso,0),ROUND(Categorias_Registro[[#This Row],[Puntos]]*(1+Categorias_Registro[[#This Row],[Amplitud]]),0),IF(Categorias_Registro[[#This Row],[Puntos]]&lt;D619,D619,ROUND(D619*(1+Categorias_Registro[[#This Row],[Amplitud]]),0)))</f>
        <v>2163</v>
      </c>
      <c r="E618" s="15">
        <f>E619+IF(D619=Categorias_Registro[[#This Row],[Máximo]],0,1)</f>
        <v>23</v>
      </c>
      <c r="F618" s="15">
        <f>ROUND(Categorias_Registro[[#This Row],[Mínimo]]+((Categorias_Registro[[#This Row],[Máximo]]-Categorias_Registro[[#This Row],[Mínimo]])/2),0)</f>
        <v>2023</v>
      </c>
      <c r="G618" s="78">
        <f>VLOOKUP(Categorias_Registro[[#This Row],[Puntos]],Categorias_Configuracion[],MATCH(Categorias_Configuracion[[#Headers],[% Amplitud]],Categorias_Configuracion[#Headers],0),TRUE)</f>
        <v>0.15</v>
      </c>
      <c r="H618" s="15" t="str">
        <f ca="1">TEXT(Categorias_Registro[[#This Row],[Mínimo]],Formato_Rango_Categorias)&amp;" - "&amp;TEXT(Categorias_Registro[[#This Row],[Máximo]],Formato_Rango_Categorias)</f>
        <v>1.882 - 2.163</v>
      </c>
    </row>
    <row r="619" spans="2:8">
      <c r="B619" s="15">
        <f>Techo - ROW() + ROW(Categorias_Registro[])</f>
        <v>2010</v>
      </c>
      <c r="C619" s="15">
        <f>IF(Categorias_Registro[[#This Row],[Puntos]]&lt;=ROUND(Piso,0),Piso,IF(Categorias_Registro[[#This Row],[Puntos]]&lt;D620,C620,D620+1))</f>
        <v>1882</v>
      </c>
      <c r="D619" s="15">
        <f>IF(Categorias_Registro[[#This Row],[Puntos]]=ROUND(Piso,0),ROUND(Categorias_Registro[[#This Row],[Puntos]]*(1+Categorias_Registro[[#This Row],[Amplitud]]),0),IF(Categorias_Registro[[#This Row],[Puntos]]&lt;D620,D620,ROUND(D620*(1+Categorias_Registro[[#This Row],[Amplitud]]),0)))</f>
        <v>2163</v>
      </c>
      <c r="E619" s="15">
        <f>E620+IF(D620=Categorias_Registro[[#This Row],[Máximo]],0,1)</f>
        <v>23</v>
      </c>
      <c r="F619" s="15">
        <f>ROUND(Categorias_Registro[[#This Row],[Mínimo]]+((Categorias_Registro[[#This Row],[Máximo]]-Categorias_Registro[[#This Row],[Mínimo]])/2),0)</f>
        <v>2023</v>
      </c>
      <c r="G619" s="78">
        <f>VLOOKUP(Categorias_Registro[[#This Row],[Puntos]],Categorias_Configuracion[],MATCH(Categorias_Configuracion[[#Headers],[% Amplitud]],Categorias_Configuracion[#Headers],0),TRUE)</f>
        <v>0.15</v>
      </c>
      <c r="H619" s="15" t="str">
        <f ca="1">TEXT(Categorias_Registro[[#This Row],[Mínimo]],Formato_Rango_Categorias)&amp;" - "&amp;TEXT(Categorias_Registro[[#This Row],[Máximo]],Formato_Rango_Categorias)</f>
        <v>1.882 - 2.163</v>
      </c>
    </row>
    <row r="620" spans="2:8">
      <c r="B620" s="15">
        <f>Techo - ROW() + ROW(Categorias_Registro[])</f>
        <v>2009</v>
      </c>
      <c r="C620" s="15">
        <f>IF(Categorias_Registro[[#This Row],[Puntos]]&lt;=ROUND(Piso,0),Piso,IF(Categorias_Registro[[#This Row],[Puntos]]&lt;D621,C621,D621+1))</f>
        <v>1882</v>
      </c>
      <c r="D620" s="15">
        <f>IF(Categorias_Registro[[#This Row],[Puntos]]=ROUND(Piso,0),ROUND(Categorias_Registro[[#This Row],[Puntos]]*(1+Categorias_Registro[[#This Row],[Amplitud]]),0),IF(Categorias_Registro[[#This Row],[Puntos]]&lt;D621,D621,ROUND(D621*(1+Categorias_Registro[[#This Row],[Amplitud]]),0)))</f>
        <v>2163</v>
      </c>
      <c r="E620" s="15">
        <f>E621+IF(D621=Categorias_Registro[[#This Row],[Máximo]],0,1)</f>
        <v>23</v>
      </c>
      <c r="F620" s="15">
        <f>ROUND(Categorias_Registro[[#This Row],[Mínimo]]+((Categorias_Registro[[#This Row],[Máximo]]-Categorias_Registro[[#This Row],[Mínimo]])/2),0)</f>
        <v>2023</v>
      </c>
      <c r="G620" s="78">
        <f>VLOOKUP(Categorias_Registro[[#This Row],[Puntos]],Categorias_Configuracion[],MATCH(Categorias_Configuracion[[#Headers],[% Amplitud]],Categorias_Configuracion[#Headers],0),TRUE)</f>
        <v>0.15</v>
      </c>
      <c r="H620" s="15" t="str">
        <f ca="1">TEXT(Categorias_Registro[[#This Row],[Mínimo]],Formato_Rango_Categorias)&amp;" - "&amp;TEXT(Categorias_Registro[[#This Row],[Máximo]],Formato_Rango_Categorias)</f>
        <v>1.882 - 2.163</v>
      </c>
    </row>
    <row r="621" spans="2:8">
      <c r="B621" s="15">
        <f>Techo - ROW() + ROW(Categorias_Registro[])</f>
        <v>2008</v>
      </c>
      <c r="C621" s="15">
        <f>IF(Categorias_Registro[[#This Row],[Puntos]]&lt;=ROUND(Piso,0),Piso,IF(Categorias_Registro[[#This Row],[Puntos]]&lt;D622,C622,D622+1))</f>
        <v>1882</v>
      </c>
      <c r="D621" s="15">
        <f>IF(Categorias_Registro[[#This Row],[Puntos]]=ROUND(Piso,0),ROUND(Categorias_Registro[[#This Row],[Puntos]]*(1+Categorias_Registro[[#This Row],[Amplitud]]),0),IF(Categorias_Registro[[#This Row],[Puntos]]&lt;D622,D622,ROUND(D622*(1+Categorias_Registro[[#This Row],[Amplitud]]),0)))</f>
        <v>2163</v>
      </c>
      <c r="E621" s="15">
        <f>E622+IF(D622=Categorias_Registro[[#This Row],[Máximo]],0,1)</f>
        <v>23</v>
      </c>
      <c r="F621" s="15">
        <f>ROUND(Categorias_Registro[[#This Row],[Mínimo]]+((Categorias_Registro[[#This Row],[Máximo]]-Categorias_Registro[[#This Row],[Mínimo]])/2),0)</f>
        <v>2023</v>
      </c>
      <c r="G621" s="78">
        <f>VLOOKUP(Categorias_Registro[[#This Row],[Puntos]],Categorias_Configuracion[],MATCH(Categorias_Configuracion[[#Headers],[% Amplitud]],Categorias_Configuracion[#Headers],0),TRUE)</f>
        <v>0.15</v>
      </c>
      <c r="H621" s="15" t="str">
        <f ca="1">TEXT(Categorias_Registro[[#This Row],[Mínimo]],Formato_Rango_Categorias)&amp;" - "&amp;TEXT(Categorias_Registro[[#This Row],[Máximo]],Formato_Rango_Categorias)</f>
        <v>1.882 - 2.163</v>
      </c>
    </row>
    <row r="622" spans="2:8">
      <c r="B622" s="15">
        <f>Techo - ROW() + ROW(Categorias_Registro[])</f>
        <v>2007</v>
      </c>
      <c r="C622" s="15">
        <f>IF(Categorias_Registro[[#This Row],[Puntos]]&lt;=ROUND(Piso,0),Piso,IF(Categorias_Registro[[#This Row],[Puntos]]&lt;D623,C623,D623+1))</f>
        <v>1882</v>
      </c>
      <c r="D622" s="15">
        <f>IF(Categorias_Registro[[#This Row],[Puntos]]=ROUND(Piso,0),ROUND(Categorias_Registro[[#This Row],[Puntos]]*(1+Categorias_Registro[[#This Row],[Amplitud]]),0),IF(Categorias_Registro[[#This Row],[Puntos]]&lt;D623,D623,ROUND(D623*(1+Categorias_Registro[[#This Row],[Amplitud]]),0)))</f>
        <v>2163</v>
      </c>
      <c r="E622" s="15">
        <f>E623+IF(D623=Categorias_Registro[[#This Row],[Máximo]],0,1)</f>
        <v>23</v>
      </c>
      <c r="F622" s="15">
        <f>ROUND(Categorias_Registro[[#This Row],[Mínimo]]+((Categorias_Registro[[#This Row],[Máximo]]-Categorias_Registro[[#This Row],[Mínimo]])/2),0)</f>
        <v>2023</v>
      </c>
      <c r="G622" s="78">
        <f>VLOOKUP(Categorias_Registro[[#This Row],[Puntos]],Categorias_Configuracion[],MATCH(Categorias_Configuracion[[#Headers],[% Amplitud]],Categorias_Configuracion[#Headers],0),TRUE)</f>
        <v>0.15</v>
      </c>
      <c r="H622" s="15" t="str">
        <f ca="1">TEXT(Categorias_Registro[[#This Row],[Mínimo]],Formato_Rango_Categorias)&amp;" - "&amp;TEXT(Categorias_Registro[[#This Row],[Máximo]],Formato_Rango_Categorias)</f>
        <v>1.882 - 2.163</v>
      </c>
    </row>
    <row r="623" spans="2:8">
      <c r="B623" s="15">
        <f>Techo - ROW() + ROW(Categorias_Registro[])</f>
        <v>2006</v>
      </c>
      <c r="C623" s="15">
        <f>IF(Categorias_Registro[[#This Row],[Puntos]]&lt;=ROUND(Piso,0),Piso,IF(Categorias_Registro[[#This Row],[Puntos]]&lt;D624,C624,D624+1))</f>
        <v>1882</v>
      </c>
      <c r="D623" s="15">
        <f>IF(Categorias_Registro[[#This Row],[Puntos]]=ROUND(Piso,0),ROUND(Categorias_Registro[[#This Row],[Puntos]]*(1+Categorias_Registro[[#This Row],[Amplitud]]),0),IF(Categorias_Registro[[#This Row],[Puntos]]&lt;D624,D624,ROUND(D624*(1+Categorias_Registro[[#This Row],[Amplitud]]),0)))</f>
        <v>2163</v>
      </c>
      <c r="E623" s="15">
        <f>E624+IF(D624=Categorias_Registro[[#This Row],[Máximo]],0,1)</f>
        <v>23</v>
      </c>
      <c r="F623" s="15">
        <f>ROUND(Categorias_Registro[[#This Row],[Mínimo]]+((Categorias_Registro[[#This Row],[Máximo]]-Categorias_Registro[[#This Row],[Mínimo]])/2),0)</f>
        <v>2023</v>
      </c>
      <c r="G623" s="78">
        <f>VLOOKUP(Categorias_Registro[[#This Row],[Puntos]],Categorias_Configuracion[],MATCH(Categorias_Configuracion[[#Headers],[% Amplitud]],Categorias_Configuracion[#Headers],0),TRUE)</f>
        <v>0.15</v>
      </c>
      <c r="H623" s="15" t="str">
        <f ca="1">TEXT(Categorias_Registro[[#This Row],[Mínimo]],Formato_Rango_Categorias)&amp;" - "&amp;TEXT(Categorias_Registro[[#This Row],[Máximo]],Formato_Rango_Categorias)</f>
        <v>1.882 - 2.163</v>
      </c>
    </row>
    <row r="624" spans="2:8">
      <c r="B624" s="15">
        <f>Techo - ROW() + ROW(Categorias_Registro[])</f>
        <v>2005</v>
      </c>
      <c r="C624" s="15">
        <f>IF(Categorias_Registro[[#This Row],[Puntos]]&lt;=ROUND(Piso,0),Piso,IF(Categorias_Registro[[#This Row],[Puntos]]&lt;D625,C625,D625+1))</f>
        <v>1882</v>
      </c>
      <c r="D624" s="15">
        <f>IF(Categorias_Registro[[#This Row],[Puntos]]=ROUND(Piso,0),ROUND(Categorias_Registro[[#This Row],[Puntos]]*(1+Categorias_Registro[[#This Row],[Amplitud]]),0),IF(Categorias_Registro[[#This Row],[Puntos]]&lt;D625,D625,ROUND(D625*(1+Categorias_Registro[[#This Row],[Amplitud]]),0)))</f>
        <v>2163</v>
      </c>
      <c r="E624" s="15">
        <f>E625+IF(D625=Categorias_Registro[[#This Row],[Máximo]],0,1)</f>
        <v>23</v>
      </c>
      <c r="F624" s="15">
        <f>ROUND(Categorias_Registro[[#This Row],[Mínimo]]+((Categorias_Registro[[#This Row],[Máximo]]-Categorias_Registro[[#This Row],[Mínimo]])/2),0)</f>
        <v>2023</v>
      </c>
      <c r="G624" s="78">
        <f>VLOOKUP(Categorias_Registro[[#This Row],[Puntos]],Categorias_Configuracion[],MATCH(Categorias_Configuracion[[#Headers],[% Amplitud]],Categorias_Configuracion[#Headers],0),TRUE)</f>
        <v>0.15</v>
      </c>
      <c r="H624" s="15" t="str">
        <f ca="1">TEXT(Categorias_Registro[[#This Row],[Mínimo]],Formato_Rango_Categorias)&amp;" - "&amp;TEXT(Categorias_Registro[[#This Row],[Máximo]],Formato_Rango_Categorias)</f>
        <v>1.882 - 2.163</v>
      </c>
    </row>
    <row r="625" spans="2:8">
      <c r="B625" s="15">
        <f>Techo - ROW() + ROW(Categorias_Registro[])</f>
        <v>2004</v>
      </c>
      <c r="C625" s="15">
        <f>IF(Categorias_Registro[[#This Row],[Puntos]]&lt;=ROUND(Piso,0),Piso,IF(Categorias_Registro[[#This Row],[Puntos]]&lt;D626,C626,D626+1))</f>
        <v>1882</v>
      </c>
      <c r="D625" s="15">
        <f>IF(Categorias_Registro[[#This Row],[Puntos]]=ROUND(Piso,0),ROUND(Categorias_Registro[[#This Row],[Puntos]]*(1+Categorias_Registro[[#This Row],[Amplitud]]),0),IF(Categorias_Registro[[#This Row],[Puntos]]&lt;D626,D626,ROUND(D626*(1+Categorias_Registro[[#This Row],[Amplitud]]),0)))</f>
        <v>2163</v>
      </c>
      <c r="E625" s="15">
        <f>E626+IF(D626=Categorias_Registro[[#This Row],[Máximo]],0,1)</f>
        <v>23</v>
      </c>
      <c r="F625" s="15">
        <f>ROUND(Categorias_Registro[[#This Row],[Mínimo]]+((Categorias_Registro[[#This Row],[Máximo]]-Categorias_Registro[[#This Row],[Mínimo]])/2),0)</f>
        <v>2023</v>
      </c>
      <c r="G625" s="78">
        <f>VLOOKUP(Categorias_Registro[[#This Row],[Puntos]],Categorias_Configuracion[],MATCH(Categorias_Configuracion[[#Headers],[% Amplitud]],Categorias_Configuracion[#Headers],0),TRUE)</f>
        <v>0.15</v>
      </c>
      <c r="H625" s="15" t="str">
        <f ca="1">TEXT(Categorias_Registro[[#This Row],[Mínimo]],Formato_Rango_Categorias)&amp;" - "&amp;TEXT(Categorias_Registro[[#This Row],[Máximo]],Formato_Rango_Categorias)</f>
        <v>1.882 - 2.163</v>
      </c>
    </row>
    <row r="626" spans="2:8">
      <c r="B626" s="15">
        <f>Techo - ROW() + ROW(Categorias_Registro[])</f>
        <v>2003</v>
      </c>
      <c r="C626" s="15">
        <f>IF(Categorias_Registro[[#This Row],[Puntos]]&lt;=ROUND(Piso,0),Piso,IF(Categorias_Registro[[#This Row],[Puntos]]&lt;D627,C627,D627+1))</f>
        <v>1882</v>
      </c>
      <c r="D626" s="15">
        <f>IF(Categorias_Registro[[#This Row],[Puntos]]=ROUND(Piso,0),ROUND(Categorias_Registro[[#This Row],[Puntos]]*(1+Categorias_Registro[[#This Row],[Amplitud]]),0),IF(Categorias_Registro[[#This Row],[Puntos]]&lt;D627,D627,ROUND(D627*(1+Categorias_Registro[[#This Row],[Amplitud]]),0)))</f>
        <v>2163</v>
      </c>
      <c r="E626" s="15">
        <f>E627+IF(D627=Categorias_Registro[[#This Row],[Máximo]],0,1)</f>
        <v>23</v>
      </c>
      <c r="F626" s="15">
        <f>ROUND(Categorias_Registro[[#This Row],[Mínimo]]+((Categorias_Registro[[#This Row],[Máximo]]-Categorias_Registro[[#This Row],[Mínimo]])/2),0)</f>
        <v>2023</v>
      </c>
      <c r="G626" s="78">
        <f>VLOOKUP(Categorias_Registro[[#This Row],[Puntos]],Categorias_Configuracion[],MATCH(Categorias_Configuracion[[#Headers],[% Amplitud]],Categorias_Configuracion[#Headers],0),TRUE)</f>
        <v>0.15</v>
      </c>
      <c r="H626" s="15" t="str">
        <f ca="1">TEXT(Categorias_Registro[[#This Row],[Mínimo]],Formato_Rango_Categorias)&amp;" - "&amp;TEXT(Categorias_Registro[[#This Row],[Máximo]],Formato_Rango_Categorias)</f>
        <v>1.882 - 2.163</v>
      </c>
    </row>
    <row r="627" spans="2:8">
      <c r="B627" s="15">
        <f>Techo - ROW() + ROW(Categorias_Registro[])</f>
        <v>2002</v>
      </c>
      <c r="C627" s="15">
        <f>IF(Categorias_Registro[[#This Row],[Puntos]]&lt;=ROUND(Piso,0),Piso,IF(Categorias_Registro[[#This Row],[Puntos]]&lt;D628,C628,D628+1))</f>
        <v>1882</v>
      </c>
      <c r="D627" s="15">
        <f>IF(Categorias_Registro[[#This Row],[Puntos]]=ROUND(Piso,0),ROUND(Categorias_Registro[[#This Row],[Puntos]]*(1+Categorias_Registro[[#This Row],[Amplitud]]),0),IF(Categorias_Registro[[#This Row],[Puntos]]&lt;D628,D628,ROUND(D628*(1+Categorias_Registro[[#This Row],[Amplitud]]),0)))</f>
        <v>2163</v>
      </c>
      <c r="E627" s="15">
        <f>E628+IF(D628=Categorias_Registro[[#This Row],[Máximo]],0,1)</f>
        <v>23</v>
      </c>
      <c r="F627" s="15">
        <f>ROUND(Categorias_Registro[[#This Row],[Mínimo]]+((Categorias_Registro[[#This Row],[Máximo]]-Categorias_Registro[[#This Row],[Mínimo]])/2),0)</f>
        <v>2023</v>
      </c>
      <c r="G627" s="78">
        <f>VLOOKUP(Categorias_Registro[[#This Row],[Puntos]],Categorias_Configuracion[],MATCH(Categorias_Configuracion[[#Headers],[% Amplitud]],Categorias_Configuracion[#Headers],0),TRUE)</f>
        <v>0.15</v>
      </c>
      <c r="H627" s="15" t="str">
        <f ca="1">TEXT(Categorias_Registro[[#This Row],[Mínimo]],Formato_Rango_Categorias)&amp;" - "&amp;TEXT(Categorias_Registro[[#This Row],[Máximo]],Formato_Rango_Categorias)</f>
        <v>1.882 - 2.163</v>
      </c>
    </row>
    <row r="628" spans="2:8">
      <c r="B628" s="15">
        <f>Techo - ROW() + ROW(Categorias_Registro[])</f>
        <v>2001</v>
      </c>
      <c r="C628" s="15">
        <f>IF(Categorias_Registro[[#This Row],[Puntos]]&lt;=ROUND(Piso,0),Piso,IF(Categorias_Registro[[#This Row],[Puntos]]&lt;D629,C629,D629+1))</f>
        <v>1882</v>
      </c>
      <c r="D628" s="15">
        <f>IF(Categorias_Registro[[#This Row],[Puntos]]=ROUND(Piso,0),ROUND(Categorias_Registro[[#This Row],[Puntos]]*(1+Categorias_Registro[[#This Row],[Amplitud]]),0),IF(Categorias_Registro[[#This Row],[Puntos]]&lt;D629,D629,ROUND(D629*(1+Categorias_Registro[[#This Row],[Amplitud]]),0)))</f>
        <v>2163</v>
      </c>
      <c r="E628" s="15">
        <f>E629+IF(D629=Categorias_Registro[[#This Row],[Máximo]],0,1)</f>
        <v>23</v>
      </c>
      <c r="F628" s="15">
        <f>ROUND(Categorias_Registro[[#This Row],[Mínimo]]+((Categorias_Registro[[#This Row],[Máximo]]-Categorias_Registro[[#This Row],[Mínimo]])/2),0)</f>
        <v>2023</v>
      </c>
      <c r="G628" s="78">
        <f>VLOOKUP(Categorias_Registro[[#This Row],[Puntos]],Categorias_Configuracion[],MATCH(Categorias_Configuracion[[#Headers],[% Amplitud]],Categorias_Configuracion[#Headers],0),TRUE)</f>
        <v>0.15</v>
      </c>
      <c r="H628" s="15" t="str">
        <f ca="1">TEXT(Categorias_Registro[[#This Row],[Mínimo]],Formato_Rango_Categorias)&amp;" - "&amp;TEXT(Categorias_Registro[[#This Row],[Máximo]],Formato_Rango_Categorias)</f>
        <v>1.882 - 2.163</v>
      </c>
    </row>
    <row r="629" spans="2:8">
      <c r="B629" s="15">
        <f>Techo - ROW() + ROW(Categorias_Registro[])</f>
        <v>2000</v>
      </c>
      <c r="C629" s="15">
        <f>IF(Categorias_Registro[[#This Row],[Puntos]]&lt;=ROUND(Piso,0),Piso,IF(Categorias_Registro[[#This Row],[Puntos]]&lt;D630,C630,D630+1))</f>
        <v>1882</v>
      </c>
      <c r="D629" s="15">
        <f>IF(Categorias_Registro[[#This Row],[Puntos]]=ROUND(Piso,0),ROUND(Categorias_Registro[[#This Row],[Puntos]]*(1+Categorias_Registro[[#This Row],[Amplitud]]),0),IF(Categorias_Registro[[#This Row],[Puntos]]&lt;D630,D630,ROUND(D630*(1+Categorias_Registro[[#This Row],[Amplitud]]),0)))</f>
        <v>2163</v>
      </c>
      <c r="E629" s="15">
        <f>E630+IF(D630=Categorias_Registro[[#This Row],[Máximo]],0,1)</f>
        <v>23</v>
      </c>
      <c r="F629" s="15">
        <f>ROUND(Categorias_Registro[[#This Row],[Mínimo]]+((Categorias_Registro[[#This Row],[Máximo]]-Categorias_Registro[[#This Row],[Mínimo]])/2),0)</f>
        <v>2023</v>
      </c>
      <c r="G629" s="78">
        <f>VLOOKUP(Categorias_Registro[[#This Row],[Puntos]],Categorias_Configuracion[],MATCH(Categorias_Configuracion[[#Headers],[% Amplitud]],Categorias_Configuracion[#Headers],0),TRUE)</f>
        <v>0.15</v>
      </c>
      <c r="H629" s="15" t="str">
        <f ca="1">TEXT(Categorias_Registro[[#This Row],[Mínimo]],Formato_Rango_Categorias)&amp;" - "&amp;TEXT(Categorias_Registro[[#This Row],[Máximo]],Formato_Rango_Categorias)</f>
        <v>1.882 - 2.163</v>
      </c>
    </row>
    <row r="630" spans="2:8">
      <c r="B630" s="15">
        <f>Techo - ROW() + ROW(Categorias_Registro[])</f>
        <v>1999</v>
      </c>
      <c r="C630" s="15">
        <f>IF(Categorias_Registro[[#This Row],[Puntos]]&lt;=ROUND(Piso,0),Piso,IF(Categorias_Registro[[#This Row],[Puntos]]&lt;D631,C631,D631+1))</f>
        <v>1882</v>
      </c>
      <c r="D630" s="15">
        <f>IF(Categorias_Registro[[#This Row],[Puntos]]=ROUND(Piso,0),ROUND(Categorias_Registro[[#This Row],[Puntos]]*(1+Categorias_Registro[[#This Row],[Amplitud]]),0),IF(Categorias_Registro[[#This Row],[Puntos]]&lt;D631,D631,ROUND(D631*(1+Categorias_Registro[[#This Row],[Amplitud]]),0)))</f>
        <v>2163</v>
      </c>
      <c r="E630" s="15">
        <f>E631+IF(D631=Categorias_Registro[[#This Row],[Máximo]],0,1)</f>
        <v>23</v>
      </c>
      <c r="F630" s="15">
        <f>ROUND(Categorias_Registro[[#This Row],[Mínimo]]+((Categorias_Registro[[#This Row],[Máximo]]-Categorias_Registro[[#This Row],[Mínimo]])/2),0)</f>
        <v>2023</v>
      </c>
      <c r="G630" s="78">
        <f>VLOOKUP(Categorias_Registro[[#This Row],[Puntos]],Categorias_Configuracion[],MATCH(Categorias_Configuracion[[#Headers],[% Amplitud]],Categorias_Configuracion[#Headers],0),TRUE)</f>
        <v>0.15</v>
      </c>
      <c r="H630" s="15" t="str">
        <f ca="1">TEXT(Categorias_Registro[[#This Row],[Mínimo]],Formato_Rango_Categorias)&amp;" - "&amp;TEXT(Categorias_Registro[[#This Row],[Máximo]],Formato_Rango_Categorias)</f>
        <v>1.882 - 2.163</v>
      </c>
    </row>
    <row r="631" spans="2:8">
      <c r="B631" s="15">
        <f>Techo - ROW() + ROW(Categorias_Registro[])</f>
        <v>1998</v>
      </c>
      <c r="C631" s="15">
        <f>IF(Categorias_Registro[[#This Row],[Puntos]]&lt;=ROUND(Piso,0),Piso,IF(Categorias_Registro[[#This Row],[Puntos]]&lt;D632,C632,D632+1))</f>
        <v>1882</v>
      </c>
      <c r="D631" s="15">
        <f>IF(Categorias_Registro[[#This Row],[Puntos]]=ROUND(Piso,0),ROUND(Categorias_Registro[[#This Row],[Puntos]]*(1+Categorias_Registro[[#This Row],[Amplitud]]),0),IF(Categorias_Registro[[#This Row],[Puntos]]&lt;D632,D632,ROUND(D632*(1+Categorias_Registro[[#This Row],[Amplitud]]),0)))</f>
        <v>2163</v>
      </c>
      <c r="E631" s="15">
        <f>E632+IF(D632=Categorias_Registro[[#This Row],[Máximo]],0,1)</f>
        <v>23</v>
      </c>
      <c r="F631" s="15">
        <f>ROUND(Categorias_Registro[[#This Row],[Mínimo]]+((Categorias_Registro[[#This Row],[Máximo]]-Categorias_Registro[[#This Row],[Mínimo]])/2),0)</f>
        <v>2023</v>
      </c>
      <c r="G631" s="78">
        <f>VLOOKUP(Categorias_Registro[[#This Row],[Puntos]],Categorias_Configuracion[],MATCH(Categorias_Configuracion[[#Headers],[% Amplitud]],Categorias_Configuracion[#Headers],0),TRUE)</f>
        <v>0.15</v>
      </c>
      <c r="H631" s="15" t="str">
        <f ca="1">TEXT(Categorias_Registro[[#This Row],[Mínimo]],Formato_Rango_Categorias)&amp;" - "&amp;TEXT(Categorias_Registro[[#This Row],[Máximo]],Formato_Rango_Categorias)</f>
        <v>1.882 - 2.163</v>
      </c>
    </row>
    <row r="632" spans="2:8">
      <c r="B632" s="15">
        <f>Techo - ROW() + ROW(Categorias_Registro[])</f>
        <v>1997</v>
      </c>
      <c r="C632" s="15">
        <f>IF(Categorias_Registro[[#This Row],[Puntos]]&lt;=ROUND(Piso,0),Piso,IF(Categorias_Registro[[#This Row],[Puntos]]&lt;D633,C633,D633+1))</f>
        <v>1882</v>
      </c>
      <c r="D632" s="15">
        <f>IF(Categorias_Registro[[#This Row],[Puntos]]=ROUND(Piso,0),ROUND(Categorias_Registro[[#This Row],[Puntos]]*(1+Categorias_Registro[[#This Row],[Amplitud]]),0),IF(Categorias_Registro[[#This Row],[Puntos]]&lt;D633,D633,ROUND(D633*(1+Categorias_Registro[[#This Row],[Amplitud]]),0)))</f>
        <v>2163</v>
      </c>
      <c r="E632" s="15">
        <f>E633+IF(D633=Categorias_Registro[[#This Row],[Máximo]],0,1)</f>
        <v>23</v>
      </c>
      <c r="F632" s="15">
        <f>ROUND(Categorias_Registro[[#This Row],[Mínimo]]+((Categorias_Registro[[#This Row],[Máximo]]-Categorias_Registro[[#This Row],[Mínimo]])/2),0)</f>
        <v>2023</v>
      </c>
      <c r="G632" s="78">
        <f>VLOOKUP(Categorias_Registro[[#This Row],[Puntos]],Categorias_Configuracion[],MATCH(Categorias_Configuracion[[#Headers],[% Amplitud]],Categorias_Configuracion[#Headers],0),TRUE)</f>
        <v>0.15</v>
      </c>
      <c r="H632" s="15" t="str">
        <f ca="1">TEXT(Categorias_Registro[[#This Row],[Mínimo]],Formato_Rango_Categorias)&amp;" - "&amp;TEXT(Categorias_Registro[[#This Row],[Máximo]],Formato_Rango_Categorias)</f>
        <v>1.882 - 2.163</v>
      </c>
    </row>
    <row r="633" spans="2:8">
      <c r="B633" s="15">
        <f>Techo - ROW() + ROW(Categorias_Registro[])</f>
        <v>1996</v>
      </c>
      <c r="C633" s="15">
        <f>IF(Categorias_Registro[[#This Row],[Puntos]]&lt;=ROUND(Piso,0),Piso,IF(Categorias_Registro[[#This Row],[Puntos]]&lt;D634,C634,D634+1))</f>
        <v>1882</v>
      </c>
      <c r="D633" s="15">
        <f>IF(Categorias_Registro[[#This Row],[Puntos]]=ROUND(Piso,0),ROUND(Categorias_Registro[[#This Row],[Puntos]]*(1+Categorias_Registro[[#This Row],[Amplitud]]),0),IF(Categorias_Registro[[#This Row],[Puntos]]&lt;D634,D634,ROUND(D634*(1+Categorias_Registro[[#This Row],[Amplitud]]),0)))</f>
        <v>2163</v>
      </c>
      <c r="E633" s="15">
        <f>E634+IF(D634=Categorias_Registro[[#This Row],[Máximo]],0,1)</f>
        <v>23</v>
      </c>
      <c r="F633" s="15">
        <f>ROUND(Categorias_Registro[[#This Row],[Mínimo]]+((Categorias_Registro[[#This Row],[Máximo]]-Categorias_Registro[[#This Row],[Mínimo]])/2),0)</f>
        <v>2023</v>
      </c>
      <c r="G633" s="78">
        <f>VLOOKUP(Categorias_Registro[[#This Row],[Puntos]],Categorias_Configuracion[],MATCH(Categorias_Configuracion[[#Headers],[% Amplitud]],Categorias_Configuracion[#Headers],0),TRUE)</f>
        <v>0.15</v>
      </c>
      <c r="H633" s="15" t="str">
        <f ca="1">TEXT(Categorias_Registro[[#This Row],[Mínimo]],Formato_Rango_Categorias)&amp;" - "&amp;TEXT(Categorias_Registro[[#This Row],[Máximo]],Formato_Rango_Categorias)</f>
        <v>1.882 - 2.163</v>
      </c>
    </row>
    <row r="634" spans="2:8">
      <c r="B634" s="15">
        <f>Techo - ROW() + ROW(Categorias_Registro[])</f>
        <v>1995</v>
      </c>
      <c r="C634" s="15">
        <f>IF(Categorias_Registro[[#This Row],[Puntos]]&lt;=ROUND(Piso,0),Piso,IF(Categorias_Registro[[#This Row],[Puntos]]&lt;D635,C635,D635+1))</f>
        <v>1882</v>
      </c>
      <c r="D634" s="15">
        <f>IF(Categorias_Registro[[#This Row],[Puntos]]=ROUND(Piso,0),ROUND(Categorias_Registro[[#This Row],[Puntos]]*(1+Categorias_Registro[[#This Row],[Amplitud]]),0),IF(Categorias_Registro[[#This Row],[Puntos]]&lt;D635,D635,ROUND(D635*(1+Categorias_Registro[[#This Row],[Amplitud]]),0)))</f>
        <v>2163</v>
      </c>
      <c r="E634" s="15">
        <f>E635+IF(D635=Categorias_Registro[[#This Row],[Máximo]],0,1)</f>
        <v>23</v>
      </c>
      <c r="F634" s="15">
        <f>ROUND(Categorias_Registro[[#This Row],[Mínimo]]+((Categorias_Registro[[#This Row],[Máximo]]-Categorias_Registro[[#This Row],[Mínimo]])/2),0)</f>
        <v>2023</v>
      </c>
      <c r="G634" s="78">
        <f>VLOOKUP(Categorias_Registro[[#This Row],[Puntos]],Categorias_Configuracion[],MATCH(Categorias_Configuracion[[#Headers],[% Amplitud]],Categorias_Configuracion[#Headers],0),TRUE)</f>
        <v>0.15</v>
      </c>
      <c r="H634" s="15" t="str">
        <f ca="1">TEXT(Categorias_Registro[[#This Row],[Mínimo]],Formato_Rango_Categorias)&amp;" - "&amp;TEXT(Categorias_Registro[[#This Row],[Máximo]],Formato_Rango_Categorias)</f>
        <v>1.882 - 2.163</v>
      </c>
    </row>
    <row r="635" spans="2:8">
      <c r="B635" s="15">
        <f>Techo - ROW() + ROW(Categorias_Registro[])</f>
        <v>1994</v>
      </c>
      <c r="C635" s="15">
        <f>IF(Categorias_Registro[[#This Row],[Puntos]]&lt;=ROUND(Piso,0),Piso,IF(Categorias_Registro[[#This Row],[Puntos]]&lt;D636,C636,D636+1))</f>
        <v>1882</v>
      </c>
      <c r="D635" s="15">
        <f>IF(Categorias_Registro[[#This Row],[Puntos]]=ROUND(Piso,0),ROUND(Categorias_Registro[[#This Row],[Puntos]]*(1+Categorias_Registro[[#This Row],[Amplitud]]),0),IF(Categorias_Registro[[#This Row],[Puntos]]&lt;D636,D636,ROUND(D636*(1+Categorias_Registro[[#This Row],[Amplitud]]),0)))</f>
        <v>2163</v>
      </c>
      <c r="E635" s="15">
        <f>E636+IF(D636=Categorias_Registro[[#This Row],[Máximo]],0,1)</f>
        <v>23</v>
      </c>
      <c r="F635" s="15">
        <f>ROUND(Categorias_Registro[[#This Row],[Mínimo]]+((Categorias_Registro[[#This Row],[Máximo]]-Categorias_Registro[[#This Row],[Mínimo]])/2),0)</f>
        <v>2023</v>
      </c>
      <c r="G635" s="78">
        <f>VLOOKUP(Categorias_Registro[[#This Row],[Puntos]],Categorias_Configuracion[],MATCH(Categorias_Configuracion[[#Headers],[% Amplitud]],Categorias_Configuracion[#Headers],0),TRUE)</f>
        <v>0.15</v>
      </c>
      <c r="H635" s="15" t="str">
        <f ca="1">TEXT(Categorias_Registro[[#This Row],[Mínimo]],Formato_Rango_Categorias)&amp;" - "&amp;TEXT(Categorias_Registro[[#This Row],[Máximo]],Formato_Rango_Categorias)</f>
        <v>1.882 - 2.163</v>
      </c>
    </row>
    <row r="636" spans="2:8">
      <c r="B636" s="15">
        <f>Techo - ROW() + ROW(Categorias_Registro[])</f>
        <v>1993</v>
      </c>
      <c r="C636" s="15">
        <f>IF(Categorias_Registro[[#This Row],[Puntos]]&lt;=ROUND(Piso,0),Piso,IF(Categorias_Registro[[#This Row],[Puntos]]&lt;D637,C637,D637+1))</f>
        <v>1882</v>
      </c>
      <c r="D636" s="15">
        <f>IF(Categorias_Registro[[#This Row],[Puntos]]=ROUND(Piso,0),ROUND(Categorias_Registro[[#This Row],[Puntos]]*(1+Categorias_Registro[[#This Row],[Amplitud]]),0),IF(Categorias_Registro[[#This Row],[Puntos]]&lt;D637,D637,ROUND(D637*(1+Categorias_Registro[[#This Row],[Amplitud]]),0)))</f>
        <v>2163</v>
      </c>
      <c r="E636" s="15">
        <f>E637+IF(D637=Categorias_Registro[[#This Row],[Máximo]],0,1)</f>
        <v>23</v>
      </c>
      <c r="F636" s="15">
        <f>ROUND(Categorias_Registro[[#This Row],[Mínimo]]+((Categorias_Registro[[#This Row],[Máximo]]-Categorias_Registro[[#This Row],[Mínimo]])/2),0)</f>
        <v>2023</v>
      </c>
      <c r="G636" s="78">
        <f>VLOOKUP(Categorias_Registro[[#This Row],[Puntos]],Categorias_Configuracion[],MATCH(Categorias_Configuracion[[#Headers],[% Amplitud]],Categorias_Configuracion[#Headers],0),TRUE)</f>
        <v>0.15</v>
      </c>
      <c r="H636" s="15" t="str">
        <f ca="1">TEXT(Categorias_Registro[[#This Row],[Mínimo]],Formato_Rango_Categorias)&amp;" - "&amp;TEXT(Categorias_Registro[[#This Row],[Máximo]],Formato_Rango_Categorias)</f>
        <v>1.882 - 2.163</v>
      </c>
    </row>
    <row r="637" spans="2:8">
      <c r="B637" s="15">
        <f>Techo - ROW() + ROW(Categorias_Registro[])</f>
        <v>1992</v>
      </c>
      <c r="C637" s="15">
        <f>IF(Categorias_Registro[[#This Row],[Puntos]]&lt;=ROUND(Piso,0),Piso,IF(Categorias_Registro[[#This Row],[Puntos]]&lt;D638,C638,D638+1))</f>
        <v>1882</v>
      </c>
      <c r="D637" s="15">
        <f>IF(Categorias_Registro[[#This Row],[Puntos]]=ROUND(Piso,0),ROUND(Categorias_Registro[[#This Row],[Puntos]]*(1+Categorias_Registro[[#This Row],[Amplitud]]),0),IF(Categorias_Registro[[#This Row],[Puntos]]&lt;D638,D638,ROUND(D638*(1+Categorias_Registro[[#This Row],[Amplitud]]),0)))</f>
        <v>2163</v>
      </c>
      <c r="E637" s="15">
        <f>E638+IF(D638=Categorias_Registro[[#This Row],[Máximo]],0,1)</f>
        <v>23</v>
      </c>
      <c r="F637" s="15">
        <f>ROUND(Categorias_Registro[[#This Row],[Mínimo]]+((Categorias_Registro[[#This Row],[Máximo]]-Categorias_Registro[[#This Row],[Mínimo]])/2),0)</f>
        <v>2023</v>
      </c>
      <c r="G637" s="78">
        <f>VLOOKUP(Categorias_Registro[[#This Row],[Puntos]],Categorias_Configuracion[],MATCH(Categorias_Configuracion[[#Headers],[% Amplitud]],Categorias_Configuracion[#Headers],0),TRUE)</f>
        <v>0.15</v>
      </c>
      <c r="H637" s="15" t="str">
        <f ca="1">TEXT(Categorias_Registro[[#This Row],[Mínimo]],Formato_Rango_Categorias)&amp;" - "&amp;TEXT(Categorias_Registro[[#This Row],[Máximo]],Formato_Rango_Categorias)</f>
        <v>1.882 - 2.163</v>
      </c>
    </row>
    <row r="638" spans="2:8">
      <c r="B638" s="15">
        <f>Techo - ROW() + ROW(Categorias_Registro[])</f>
        <v>1991</v>
      </c>
      <c r="C638" s="15">
        <f>IF(Categorias_Registro[[#This Row],[Puntos]]&lt;=ROUND(Piso,0),Piso,IF(Categorias_Registro[[#This Row],[Puntos]]&lt;D639,C639,D639+1))</f>
        <v>1882</v>
      </c>
      <c r="D638" s="15">
        <f>IF(Categorias_Registro[[#This Row],[Puntos]]=ROUND(Piso,0),ROUND(Categorias_Registro[[#This Row],[Puntos]]*(1+Categorias_Registro[[#This Row],[Amplitud]]),0),IF(Categorias_Registro[[#This Row],[Puntos]]&lt;D639,D639,ROUND(D639*(1+Categorias_Registro[[#This Row],[Amplitud]]),0)))</f>
        <v>2163</v>
      </c>
      <c r="E638" s="15">
        <f>E639+IF(D639=Categorias_Registro[[#This Row],[Máximo]],0,1)</f>
        <v>23</v>
      </c>
      <c r="F638" s="15">
        <f>ROUND(Categorias_Registro[[#This Row],[Mínimo]]+((Categorias_Registro[[#This Row],[Máximo]]-Categorias_Registro[[#This Row],[Mínimo]])/2),0)</f>
        <v>2023</v>
      </c>
      <c r="G638" s="78">
        <f>VLOOKUP(Categorias_Registro[[#This Row],[Puntos]],Categorias_Configuracion[],MATCH(Categorias_Configuracion[[#Headers],[% Amplitud]],Categorias_Configuracion[#Headers],0),TRUE)</f>
        <v>0.15</v>
      </c>
      <c r="H638" s="15" t="str">
        <f ca="1">TEXT(Categorias_Registro[[#This Row],[Mínimo]],Formato_Rango_Categorias)&amp;" - "&amp;TEXT(Categorias_Registro[[#This Row],[Máximo]],Formato_Rango_Categorias)</f>
        <v>1.882 - 2.163</v>
      </c>
    </row>
    <row r="639" spans="2:8">
      <c r="B639" s="15">
        <f>Techo - ROW() + ROW(Categorias_Registro[])</f>
        <v>1990</v>
      </c>
      <c r="C639" s="15">
        <f>IF(Categorias_Registro[[#This Row],[Puntos]]&lt;=ROUND(Piso,0),Piso,IF(Categorias_Registro[[#This Row],[Puntos]]&lt;D640,C640,D640+1))</f>
        <v>1882</v>
      </c>
      <c r="D639" s="15">
        <f>IF(Categorias_Registro[[#This Row],[Puntos]]=ROUND(Piso,0),ROUND(Categorias_Registro[[#This Row],[Puntos]]*(1+Categorias_Registro[[#This Row],[Amplitud]]),0),IF(Categorias_Registro[[#This Row],[Puntos]]&lt;D640,D640,ROUND(D640*(1+Categorias_Registro[[#This Row],[Amplitud]]),0)))</f>
        <v>2163</v>
      </c>
      <c r="E639" s="15">
        <f>E640+IF(D640=Categorias_Registro[[#This Row],[Máximo]],0,1)</f>
        <v>23</v>
      </c>
      <c r="F639" s="15">
        <f>ROUND(Categorias_Registro[[#This Row],[Mínimo]]+((Categorias_Registro[[#This Row],[Máximo]]-Categorias_Registro[[#This Row],[Mínimo]])/2),0)</f>
        <v>2023</v>
      </c>
      <c r="G639" s="78">
        <f>VLOOKUP(Categorias_Registro[[#This Row],[Puntos]],Categorias_Configuracion[],MATCH(Categorias_Configuracion[[#Headers],[% Amplitud]],Categorias_Configuracion[#Headers],0),TRUE)</f>
        <v>0.15</v>
      </c>
      <c r="H639" s="15" t="str">
        <f ca="1">TEXT(Categorias_Registro[[#This Row],[Mínimo]],Formato_Rango_Categorias)&amp;" - "&amp;TEXT(Categorias_Registro[[#This Row],[Máximo]],Formato_Rango_Categorias)</f>
        <v>1.882 - 2.163</v>
      </c>
    </row>
    <row r="640" spans="2:8">
      <c r="B640" s="15">
        <f>Techo - ROW() + ROW(Categorias_Registro[])</f>
        <v>1989</v>
      </c>
      <c r="C640" s="15">
        <f>IF(Categorias_Registro[[#This Row],[Puntos]]&lt;=ROUND(Piso,0),Piso,IF(Categorias_Registro[[#This Row],[Puntos]]&lt;D641,C641,D641+1))</f>
        <v>1882</v>
      </c>
      <c r="D640" s="15">
        <f>IF(Categorias_Registro[[#This Row],[Puntos]]=ROUND(Piso,0),ROUND(Categorias_Registro[[#This Row],[Puntos]]*(1+Categorias_Registro[[#This Row],[Amplitud]]),0),IF(Categorias_Registro[[#This Row],[Puntos]]&lt;D641,D641,ROUND(D641*(1+Categorias_Registro[[#This Row],[Amplitud]]),0)))</f>
        <v>2163</v>
      </c>
      <c r="E640" s="15">
        <f>E641+IF(D641=Categorias_Registro[[#This Row],[Máximo]],0,1)</f>
        <v>23</v>
      </c>
      <c r="F640" s="15">
        <f>ROUND(Categorias_Registro[[#This Row],[Mínimo]]+((Categorias_Registro[[#This Row],[Máximo]]-Categorias_Registro[[#This Row],[Mínimo]])/2),0)</f>
        <v>2023</v>
      </c>
      <c r="G640" s="78">
        <f>VLOOKUP(Categorias_Registro[[#This Row],[Puntos]],Categorias_Configuracion[],MATCH(Categorias_Configuracion[[#Headers],[% Amplitud]],Categorias_Configuracion[#Headers],0),TRUE)</f>
        <v>0.15</v>
      </c>
      <c r="H640" s="15" t="str">
        <f ca="1">TEXT(Categorias_Registro[[#This Row],[Mínimo]],Formato_Rango_Categorias)&amp;" - "&amp;TEXT(Categorias_Registro[[#This Row],[Máximo]],Formato_Rango_Categorias)</f>
        <v>1.882 - 2.163</v>
      </c>
    </row>
    <row r="641" spans="2:8">
      <c r="B641" s="15">
        <f>Techo - ROW() + ROW(Categorias_Registro[])</f>
        <v>1988</v>
      </c>
      <c r="C641" s="15">
        <f>IF(Categorias_Registro[[#This Row],[Puntos]]&lt;=ROUND(Piso,0),Piso,IF(Categorias_Registro[[#This Row],[Puntos]]&lt;D642,C642,D642+1))</f>
        <v>1882</v>
      </c>
      <c r="D641" s="15">
        <f>IF(Categorias_Registro[[#This Row],[Puntos]]=ROUND(Piso,0),ROUND(Categorias_Registro[[#This Row],[Puntos]]*(1+Categorias_Registro[[#This Row],[Amplitud]]),0),IF(Categorias_Registro[[#This Row],[Puntos]]&lt;D642,D642,ROUND(D642*(1+Categorias_Registro[[#This Row],[Amplitud]]),0)))</f>
        <v>2163</v>
      </c>
      <c r="E641" s="15">
        <f>E642+IF(D642=Categorias_Registro[[#This Row],[Máximo]],0,1)</f>
        <v>23</v>
      </c>
      <c r="F641" s="15">
        <f>ROUND(Categorias_Registro[[#This Row],[Mínimo]]+((Categorias_Registro[[#This Row],[Máximo]]-Categorias_Registro[[#This Row],[Mínimo]])/2),0)</f>
        <v>2023</v>
      </c>
      <c r="G641" s="78">
        <f>VLOOKUP(Categorias_Registro[[#This Row],[Puntos]],Categorias_Configuracion[],MATCH(Categorias_Configuracion[[#Headers],[% Amplitud]],Categorias_Configuracion[#Headers],0),TRUE)</f>
        <v>0.15</v>
      </c>
      <c r="H641" s="15" t="str">
        <f ca="1">TEXT(Categorias_Registro[[#This Row],[Mínimo]],Formato_Rango_Categorias)&amp;" - "&amp;TEXT(Categorias_Registro[[#This Row],[Máximo]],Formato_Rango_Categorias)</f>
        <v>1.882 - 2.163</v>
      </c>
    </row>
    <row r="642" spans="2:8">
      <c r="B642" s="15">
        <f>Techo - ROW() + ROW(Categorias_Registro[])</f>
        <v>1987</v>
      </c>
      <c r="C642" s="15">
        <f>IF(Categorias_Registro[[#This Row],[Puntos]]&lt;=ROUND(Piso,0),Piso,IF(Categorias_Registro[[#This Row],[Puntos]]&lt;D643,C643,D643+1))</f>
        <v>1882</v>
      </c>
      <c r="D642" s="15">
        <f>IF(Categorias_Registro[[#This Row],[Puntos]]=ROUND(Piso,0),ROUND(Categorias_Registro[[#This Row],[Puntos]]*(1+Categorias_Registro[[#This Row],[Amplitud]]),0),IF(Categorias_Registro[[#This Row],[Puntos]]&lt;D643,D643,ROUND(D643*(1+Categorias_Registro[[#This Row],[Amplitud]]),0)))</f>
        <v>2163</v>
      </c>
      <c r="E642" s="15">
        <f>E643+IF(D643=Categorias_Registro[[#This Row],[Máximo]],0,1)</f>
        <v>23</v>
      </c>
      <c r="F642" s="15">
        <f>ROUND(Categorias_Registro[[#This Row],[Mínimo]]+((Categorias_Registro[[#This Row],[Máximo]]-Categorias_Registro[[#This Row],[Mínimo]])/2),0)</f>
        <v>2023</v>
      </c>
      <c r="G642" s="78">
        <f>VLOOKUP(Categorias_Registro[[#This Row],[Puntos]],Categorias_Configuracion[],MATCH(Categorias_Configuracion[[#Headers],[% Amplitud]],Categorias_Configuracion[#Headers],0),TRUE)</f>
        <v>0.15</v>
      </c>
      <c r="H642" s="15" t="str">
        <f ca="1">TEXT(Categorias_Registro[[#This Row],[Mínimo]],Formato_Rango_Categorias)&amp;" - "&amp;TEXT(Categorias_Registro[[#This Row],[Máximo]],Formato_Rango_Categorias)</f>
        <v>1.882 - 2.163</v>
      </c>
    </row>
    <row r="643" spans="2:8">
      <c r="B643" s="15">
        <f>Techo - ROW() + ROW(Categorias_Registro[])</f>
        <v>1986</v>
      </c>
      <c r="C643" s="15">
        <f>IF(Categorias_Registro[[#This Row],[Puntos]]&lt;=ROUND(Piso,0),Piso,IF(Categorias_Registro[[#This Row],[Puntos]]&lt;D644,C644,D644+1))</f>
        <v>1882</v>
      </c>
      <c r="D643" s="15">
        <f>IF(Categorias_Registro[[#This Row],[Puntos]]=ROUND(Piso,0),ROUND(Categorias_Registro[[#This Row],[Puntos]]*(1+Categorias_Registro[[#This Row],[Amplitud]]),0),IF(Categorias_Registro[[#This Row],[Puntos]]&lt;D644,D644,ROUND(D644*(1+Categorias_Registro[[#This Row],[Amplitud]]),0)))</f>
        <v>2163</v>
      </c>
      <c r="E643" s="15">
        <f>E644+IF(D644=Categorias_Registro[[#This Row],[Máximo]],0,1)</f>
        <v>23</v>
      </c>
      <c r="F643" s="15">
        <f>ROUND(Categorias_Registro[[#This Row],[Mínimo]]+((Categorias_Registro[[#This Row],[Máximo]]-Categorias_Registro[[#This Row],[Mínimo]])/2),0)</f>
        <v>2023</v>
      </c>
      <c r="G643" s="78">
        <f>VLOOKUP(Categorias_Registro[[#This Row],[Puntos]],Categorias_Configuracion[],MATCH(Categorias_Configuracion[[#Headers],[% Amplitud]],Categorias_Configuracion[#Headers],0),TRUE)</f>
        <v>0.15</v>
      </c>
      <c r="H643" s="15" t="str">
        <f ca="1">TEXT(Categorias_Registro[[#This Row],[Mínimo]],Formato_Rango_Categorias)&amp;" - "&amp;TEXT(Categorias_Registro[[#This Row],[Máximo]],Formato_Rango_Categorias)</f>
        <v>1.882 - 2.163</v>
      </c>
    </row>
    <row r="644" spans="2:8">
      <c r="B644" s="15">
        <f>Techo - ROW() + ROW(Categorias_Registro[])</f>
        <v>1985</v>
      </c>
      <c r="C644" s="15">
        <f>IF(Categorias_Registro[[#This Row],[Puntos]]&lt;=ROUND(Piso,0),Piso,IF(Categorias_Registro[[#This Row],[Puntos]]&lt;D645,C645,D645+1))</f>
        <v>1882</v>
      </c>
      <c r="D644" s="15">
        <f>IF(Categorias_Registro[[#This Row],[Puntos]]=ROUND(Piso,0),ROUND(Categorias_Registro[[#This Row],[Puntos]]*(1+Categorias_Registro[[#This Row],[Amplitud]]),0),IF(Categorias_Registro[[#This Row],[Puntos]]&lt;D645,D645,ROUND(D645*(1+Categorias_Registro[[#This Row],[Amplitud]]),0)))</f>
        <v>2163</v>
      </c>
      <c r="E644" s="15">
        <f>E645+IF(D645=Categorias_Registro[[#This Row],[Máximo]],0,1)</f>
        <v>23</v>
      </c>
      <c r="F644" s="15">
        <f>ROUND(Categorias_Registro[[#This Row],[Mínimo]]+((Categorias_Registro[[#This Row],[Máximo]]-Categorias_Registro[[#This Row],[Mínimo]])/2),0)</f>
        <v>2023</v>
      </c>
      <c r="G644" s="78">
        <f>VLOOKUP(Categorias_Registro[[#This Row],[Puntos]],Categorias_Configuracion[],MATCH(Categorias_Configuracion[[#Headers],[% Amplitud]],Categorias_Configuracion[#Headers],0),TRUE)</f>
        <v>0.15</v>
      </c>
      <c r="H644" s="15" t="str">
        <f ca="1">TEXT(Categorias_Registro[[#This Row],[Mínimo]],Formato_Rango_Categorias)&amp;" - "&amp;TEXT(Categorias_Registro[[#This Row],[Máximo]],Formato_Rango_Categorias)</f>
        <v>1.882 - 2.163</v>
      </c>
    </row>
    <row r="645" spans="2:8">
      <c r="B645" s="15">
        <f>Techo - ROW() + ROW(Categorias_Registro[])</f>
        <v>1984</v>
      </c>
      <c r="C645" s="15">
        <f>IF(Categorias_Registro[[#This Row],[Puntos]]&lt;=ROUND(Piso,0),Piso,IF(Categorias_Registro[[#This Row],[Puntos]]&lt;D646,C646,D646+1))</f>
        <v>1882</v>
      </c>
      <c r="D645" s="15">
        <f>IF(Categorias_Registro[[#This Row],[Puntos]]=ROUND(Piso,0),ROUND(Categorias_Registro[[#This Row],[Puntos]]*(1+Categorias_Registro[[#This Row],[Amplitud]]),0),IF(Categorias_Registro[[#This Row],[Puntos]]&lt;D646,D646,ROUND(D646*(1+Categorias_Registro[[#This Row],[Amplitud]]),0)))</f>
        <v>2163</v>
      </c>
      <c r="E645" s="15">
        <f>E646+IF(D646=Categorias_Registro[[#This Row],[Máximo]],0,1)</f>
        <v>23</v>
      </c>
      <c r="F645" s="15">
        <f>ROUND(Categorias_Registro[[#This Row],[Mínimo]]+((Categorias_Registro[[#This Row],[Máximo]]-Categorias_Registro[[#This Row],[Mínimo]])/2),0)</f>
        <v>2023</v>
      </c>
      <c r="G645" s="78">
        <f>VLOOKUP(Categorias_Registro[[#This Row],[Puntos]],Categorias_Configuracion[],MATCH(Categorias_Configuracion[[#Headers],[% Amplitud]],Categorias_Configuracion[#Headers],0),TRUE)</f>
        <v>0.15</v>
      </c>
      <c r="H645" s="15" t="str">
        <f ca="1">TEXT(Categorias_Registro[[#This Row],[Mínimo]],Formato_Rango_Categorias)&amp;" - "&amp;TEXT(Categorias_Registro[[#This Row],[Máximo]],Formato_Rango_Categorias)</f>
        <v>1.882 - 2.163</v>
      </c>
    </row>
    <row r="646" spans="2:8">
      <c r="B646" s="15">
        <f>Techo - ROW() + ROW(Categorias_Registro[])</f>
        <v>1983</v>
      </c>
      <c r="C646" s="15">
        <f>IF(Categorias_Registro[[#This Row],[Puntos]]&lt;=ROUND(Piso,0),Piso,IF(Categorias_Registro[[#This Row],[Puntos]]&lt;D647,C647,D647+1))</f>
        <v>1882</v>
      </c>
      <c r="D646" s="15">
        <f>IF(Categorias_Registro[[#This Row],[Puntos]]=ROUND(Piso,0),ROUND(Categorias_Registro[[#This Row],[Puntos]]*(1+Categorias_Registro[[#This Row],[Amplitud]]),0),IF(Categorias_Registro[[#This Row],[Puntos]]&lt;D647,D647,ROUND(D647*(1+Categorias_Registro[[#This Row],[Amplitud]]),0)))</f>
        <v>2163</v>
      </c>
      <c r="E646" s="15">
        <f>E647+IF(D647=Categorias_Registro[[#This Row],[Máximo]],0,1)</f>
        <v>23</v>
      </c>
      <c r="F646" s="15">
        <f>ROUND(Categorias_Registro[[#This Row],[Mínimo]]+((Categorias_Registro[[#This Row],[Máximo]]-Categorias_Registro[[#This Row],[Mínimo]])/2),0)</f>
        <v>2023</v>
      </c>
      <c r="G646" s="78">
        <f>VLOOKUP(Categorias_Registro[[#This Row],[Puntos]],Categorias_Configuracion[],MATCH(Categorias_Configuracion[[#Headers],[% Amplitud]],Categorias_Configuracion[#Headers],0),TRUE)</f>
        <v>0.15</v>
      </c>
      <c r="H646" s="15" t="str">
        <f ca="1">TEXT(Categorias_Registro[[#This Row],[Mínimo]],Formato_Rango_Categorias)&amp;" - "&amp;TEXT(Categorias_Registro[[#This Row],[Máximo]],Formato_Rango_Categorias)</f>
        <v>1.882 - 2.163</v>
      </c>
    </row>
    <row r="647" spans="2:8">
      <c r="B647" s="15">
        <f>Techo - ROW() + ROW(Categorias_Registro[])</f>
        <v>1982</v>
      </c>
      <c r="C647" s="15">
        <f>IF(Categorias_Registro[[#This Row],[Puntos]]&lt;=ROUND(Piso,0),Piso,IF(Categorias_Registro[[#This Row],[Puntos]]&lt;D648,C648,D648+1))</f>
        <v>1882</v>
      </c>
      <c r="D647" s="15">
        <f>IF(Categorias_Registro[[#This Row],[Puntos]]=ROUND(Piso,0),ROUND(Categorias_Registro[[#This Row],[Puntos]]*(1+Categorias_Registro[[#This Row],[Amplitud]]),0),IF(Categorias_Registro[[#This Row],[Puntos]]&lt;D648,D648,ROUND(D648*(1+Categorias_Registro[[#This Row],[Amplitud]]),0)))</f>
        <v>2163</v>
      </c>
      <c r="E647" s="15">
        <f>E648+IF(D648=Categorias_Registro[[#This Row],[Máximo]],0,1)</f>
        <v>23</v>
      </c>
      <c r="F647" s="15">
        <f>ROUND(Categorias_Registro[[#This Row],[Mínimo]]+((Categorias_Registro[[#This Row],[Máximo]]-Categorias_Registro[[#This Row],[Mínimo]])/2),0)</f>
        <v>2023</v>
      </c>
      <c r="G647" s="78">
        <f>VLOOKUP(Categorias_Registro[[#This Row],[Puntos]],Categorias_Configuracion[],MATCH(Categorias_Configuracion[[#Headers],[% Amplitud]],Categorias_Configuracion[#Headers],0),TRUE)</f>
        <v>0.15</v>
      </c>
      <c r="H647" s="15" t="str">
        <f ca="1">TEXT(Categorias_Registro[[#This Row],[Mínimo]],Formato_Rango_Categorias)&amp;" - "&amp;TEXT(Categorias_Registro[[#This Row],[Máximo]],Formato_Rango_Categorias)</f>
        <v>1.882 - 2.163</v>
      </c>
    </row>
    <row r="648" spans="2:8">
      <c r="B648" s="15">
        <f>Techo - ROW() + ROW(Categorias_Registro[])</f>
        <v>1981</v>
      </c>
      <c r="C648" s="15">
        <f>IF(Categorias_Registro[[#This Row],[Puntos]]&lt;=ROUND(Piso,0),Piso,IF(Categorias_Registro[[#This Row],[Puntos]]&lt;D649,C649,D649+1))</f>
        <v>1882</v>
      </c>
      <c r="D648" s="15">
        <f>IF(Categorias_Registro[[#This Row],[Puntos]]=ROUND(Piso,0),ROUND(Categorias_Registro[[#This Row],[Puntos]]*(1+Categorias_Registro[[#This Row],[Amplitud]]),0),IF(Categorias_Registro[[#This Row],[Puntos]]&lt;D649,D649,ROUND(D649*(1+Categorias_Registro[[#This Row],[Amplitud]]),0)))</f>
        <v>2163</v>
      </c>
      <c r="E648" s="15">
        <f>E649+IF(D649=Categorias_Registro[[#This Row],[Máximo]],0,1)</f>
        <v>23</v>
      </c>
      <c r="F648" s="15">
        <f>ROUND(Categorias_Registro[[#This Row],[Mínimo]]+((Categorias_Registro[[#This Row],[Máximo]]-Categorias_Registro[[#This Row],[Mínimo]])/2),0)</f>
        <v>2023</v>
      </c>
      <c r="G648" s="78">
        <f>VLOOKUP(Categorias_Registro[[#This Row],[Puntos]],Categorias_Configuracion[],MATCH(Categorias_Configuracion[[#Headers],[% Amplitud]],Categorias_Configuracion[#Headers],0),TRUE)</f>
        <v>0.15</v>
      </c>
      <c r="H648" s="15" t="str">
        <f ca="1">TEXT(Categorias_Registro[[#This Row],[Mínimo]],Formato_Rango_Categorias)&amp;" - "&amp;TEXT(Categorias_Registro[[#This Row],[Máximo]],Formato_Rango_Categorias)</f>
        <v>1.882 - 2.163</v>
      </c>
    </row>
    <row r="649" spans="2:8">
      <c r="B649" s="15">
        <f>Techo - ROW() + ROW(Categorias_Registro[])</f>
        <v>1980</v>
      </c>
      <c r="C649" s="15">
        <f>IF(Categorias_Registro[[#This Row],[Puntos]]&lt;=ROUND(Piso,0),Piso,IF(Categorias_Registro[[#This Row],[Puntos]]&lt;D650,C650,D650+1))</f>
        <v>1882</v>
      </c>
      <c r="D649" s="15">
        <f>IF(Categorias_Registro[[#This Row],[Puntos]]=ROUND(Piso,0),ROUND(Categorias_Registro[[#This Row],[Puntos]]*(1+Categorias_Registro[[#This Row],[Amplitud]]),0),IF(Categorias_Registro[[#This Row],[Puntos]]&lt;D650,D650,ROUND(D650*(1+Categorias_Registro[[#This Row],[Amplitud]]),0)))</f>
        <v>2163</v>
      </c>
      <c r="E649" s="15">
        <f>E650+IF(D650=Categorias_Registro[[#This Row],[Máximo]],0,1)</f>
        <v>23</v>
      </c>
      <c r="F649" s="15">
        <f>ROUND(Categorias_Registro[[#This Row],[Mínimo]]+((Categorias_Registro[[#This Row],[Máximo]]-Categorias_Registro[[#This Row],[Mínimo]])/2),0)</f>
        <v>2023</v>
      </c>
      <c r="G649" s="78">
        <f>VLOOKUP(Categorias_Registro[[#This Row],[Puntos]],Categorias_Configuracion[],MATCH(Categorias_Configuracion[[#Headers],[% Amplitud]],Categorias_Configuracion[#Headers],0),TRUE)</f>
        <v>0.15</v>
      </c>
      <c r="H649" s="15" t="str">
        <f ca="1">TEXT(Categorias_Registro[[#This Row],[Mínimo]],Formato_Rango_Categorias)&amp;" - "&amp;TEXT(Categorias_Registro[[#This Row],[Máximo]],Formato_Rango_Categorias)</f>
        <v>1.882 - 2.163</v>
      </c>
    </row>
    <row r="650" spans="2:8">
      <c r="B650" s="15">
        <f>Techo - ROW() + ROW(Categorias_Registro[])</f>
        <v>1979</v>
      </c>
      <c r="C650" s="15">
        <f>IF(Categorias_Registro[[#This Row],[Puntos]]&lt;=ROUND(Piso,0),Piso,IF(Categorias_Registro[[#This Row],[Puntos]]&lt;D651,C651,D651+1))</f>
        <v>1882</v>
      </c>
      <c r="D650" s="15">
        <f>IF(Categorias_Registro[[#This Row],[Puntos]]=ROUND(Piso,0),ROUND(Categorias_Registro[[#This Row],[Puntos]]*(1+Categorias_Registro[[#This Row],[Amplitud]]),0),IF(Categorias_Registro[[#This Row],[Puntos]]&lt;D651,D651,ROUND(D651*(1+Categorias_Registro[[#This Row],[Amplitud]]),0)))</f>
        <v>2163</v>
      </c>
      <c r="E650" s="15">
        <f>E651+IF(D651=Categorias_Registro[[#This Row],[Máximo]],0,1)</f>
        <v>23</v>
      </c>
      <c r="F650" s="15">
        <f>ROUND(Categorias_Registro[[#This Row],[Mínimo]]+((Categorias_Registro[[#This Row],[Máximo]]-Categorias_Registro[[#This Row],[Mínimo]])/2),0)</f>
        <v>2023</v>
      </c>
      <c r="G650" s="78">
        <f>VLOOKUP(Categorias_Registro[[#This Row],[Puntos]],Categorias_Configuracion[],MATCH(Categorias_Configuracion[[#Headers],[% Amplitud]],Categorias_Configuracion[#Headers],0),TRUE)</f>
        <v>0.15</v>
      </c>
      <c r="H650" s="15" t="str">
        <f ca="1">TEXT(Categorias_Registro[[#This Row],[Mínimo]],Formato_Rango_Categorias)&amp;" - "&amp;TEXT(Categorias_Registro[[#This Row],[Máximo]],Formato_Rango_Categorias)</f>
        <v>1.882 - 2.163</v>
      </c>
    </row>
    <row r="651" spans="2:8">
      <c r="B651" s="15">
        <f>Techo - ROW() + ROW(Categorias_Registro[])</f>
        <v>1978</v>
      </c>
      <c r="C651" s="15">
        <f>IF(Categorias_Registro[[#This Row],[Puntos]]&lt;=ROUND(Piso,0),Piso,IF(Categorias_Registro[[#This Row],[Puntos]]&lt;D652,C652,D652+1))</f>
        <v>1882</v>
      </c>
      <c r="D651" s="15">
        <f>IF(Categorias_Registro[[#This Row],[Puntos]]=ROUND(Piso,0),ROUND(Categorias_Registro[[#This Row],[Puntos]]*(1+Categorias_Registro[[#This Row],[Amplitud]]),0),IF(Categorias_Registro[[#This Row],[Puntos]]&lt;D652,D652,ROUND(D652*(1+Categorias_Registro[[#This Row],[Amplitud]]),0)))</f>
        <v>2163</v>
      </c>
      <c r="E651" s="15">
        <f>E652+IF(D652=Categorias_Registro[[#This Row],[Máximo]],0,1)</f>
        <v>23</v>
      </c>
      <c r="F651" s="15">
        <f>ROUND(Categorias_Registro[[#This Row],[Mínimo]]+((Categorias_Registro[[#This Row],[Máximo]]-Categorias_Registro[[#This Row],[Mínimo]])/2),0)</f>
        <v>2023</v>
      </c>
      <c r="G651" s="78">
        <f>VLOOKUP(Categorias_Registro[[#This Row],[Puntos]],Categorias_Configuracion[],MATCH(Categorias_Configuracion[[#Headers],[% Amplitud]],Categorias_Configuracion[#Headers],0),TRUE)</f>
        <v>0.15</v>
      </c>
      <c r="H651" s="15" t="str">
        <f ca="1">TEXT(Categorias_Registro[[#This Row],[Mínimo]],Formato_Rango_Categorias)&amp;" - "&amp;TEXT(Categorias_Registro[[#This Row],[Máximo]],Formato_Rango_Categorias)</f>
        <v>1.882 - 2.163</v>
      </c>
    </row>
    <row r="652" spans="2:8">
      <c r="B652" s="15">
        <f>Techo - ROW() + ROW(Categorias_Registro[])</f>
        <v>1977</v>
      </c>
      <c r="C652" s="15">
        <f>IF(Categorias_Registro[[#This Row],[Puntos]]&lt;=ROUND(Piso,0),Piso,IF(Categorias_Registro[[#This Row],[Puntos]]&lt;D653,C653,D653+1))</f>
        <v>1882</v>
      </c>
      <c r="D652" s="15">
        <f>IF(Categorias_Registro[[#This Row],[Puntos]]=ROUND(Piso,0),ROUND(Categorias_Registro[[#This Row],[Puntos]]*(1+Categorias_Registro[[#This Row],[Amplitud]]),0),IF(Categorias_Registro[[#This Row],[Puntos]]&lt;D653,D653,ROUND(D653*(1+Categorias_Registro[[#This Row],[Amplitud]]),0)))</f>
        <v>2163</v>
      </c>
      <c r="E652" s="15">
        <f>E653+IF(D653=Categorias_Registro[[#This Row],[Máximo]],0,1)</f>
        <v>23</v>
      </c>
      <c r="F652" s="15">
        <f>ROUND(Categorias_Registro[[#This Row],[Mínimo]]+((Categorias_Registro[[#This Row],[Máximo]]-Categorias_Registro[[#This Row],[Mínimo]])/2),0)</f>
        <v>2023</v>
      </c>
      <c r="G652" s="78">
        <f>VLOOKUP(Categorias_Registro[[#This Row],[Puntos]],Categorias_Configuracion[],MATCH(Categorias_Configuracion[[#Headers],[% Amplitud]],Categorias_Configuracion[#Headers],0),TRUE)</f>
        <v>0.15</v>
      </c>
      <c r="H652" s="15" t="str">
        <f ca="1">TEXT(Categorias_Registro[[#This Row],[Mínimo]],Formato_Rango_Categorias)&amp;" - "&amp;TEXT(Categorias_Registro[[#This Row],[Máximo]],Formato_Rango_Categorias)</f>
        <v>1.882 - 2.163</v>
      </c>
    </row>
    <row r="653" spans="2:8">
      <c r="B653" s="15">
        <f>Techo - ROW() + ROW(Categorias_Registro[])</f>
        <v>1976</v>
      </c>
      <c r="C653" s="15">
        <f>IF(Categorias_Registro[[#This Row],[Puntos]]&lt;=ROUND(Piso,0),Piso,IF(Categorias_Registro[[#This Row],[Puntos]]&lt;D654,C654,D654+1))</f>
        <v>1882</v>
      </c>
      <c r="D653" s="15">
        <f>IF(Categorias_Registro[[#This Row],[Puntos]]=ROUND(Piso,0),ROUND(Categorias_Registro[[#This Row],[Puntos]]*(1+Categorias_Registro[[#This Row],[Amplitud]]),0),IF(Categorias_Registro[[#This Row],[Puntos]]&lt;D654,D654,ROUND(D654*(1+Categorias_Registro[[#This Row],[Amplitud]]),0)))</f>
        <v>2163</v>
      </c>
      <c r="E653" s="15">
        <f>E654+IF(D654=Categorias_Registro[[#This Row],[Máximo]],0,1)</f>
        <v>23</v>
      </c>
      <c r="F653" s="15">
        <f>ROUND(Categorias_Registro[[#This Row],[Mínimo]]+((Categorias_Registro[[#This Row],[Máximo]]-Categorias_Registro[[#This Row],[Mínimo]])/2),0)</f>
        <v>2023</v>
      </c>
      <c r="G653" s="78">
        <f>VLOOKUP(Categorias_Registro[[#This Row],[Puntos]],Categorias_Configuracion[],MATCH(Categorias_Configuracion[[#Headers],[% Amplitud]],Categorias_Configuracion[#Headers],0),TRUE)</f>
        <v>0.15</v>
      </c>
      <c r="H653" s="15" t="str">
        <f ca="1">TEXT(Categorias_Registro[[#This Row],[Mínimo]],Formato_Rango_Categorias)&amp;" - "&amp;TEXT(Categorias_Registro[[#This Row],[Máximo]],Formato_Rango_Categorias)</f>
        <v>1.882 - 2.163</v>
      </c>
    </row>
    <row r="654" spans="2:8">
      <c r="B654" s="15">
        <f>Techo - ROW() + ROW(Categorias_Registro[])</f>
        <v>1975</v>
      </c>
      <c r="C654" s="15">
        <f>IF(Categorias_Registro[[#This Row],[Puntos]]&lt;=ROUND(Piso,0),Piso,IF(Categorias_Registro[[#This Row],[Puntos]]&lt;D655,C655,D655+1))</f>
        <v>1882</v>
      </c>
      <c r="D654" s="15">
        <f>IF(Categorias_Registro[[#This Row],[Puntos]]=ROUND(Piso,0),ROUND(Categorias_Registro[[#This Row],[Puntos]]*(1+Categorias_Registro[[#This Row],[Amplitud]]),0),IF(Categorias_Registro[[#This Row],[Puntos]]&lt;D655,D655,ROUND(D655*(1+Categorias_Registro[[#This Row],[Amplitud]]),0)))</f>
        <v>2163</v>
      </c>
      <c r="E654" s="15">
        <f>E655+IF(D655=Categorias_Registro[[#This Row],[Máximo]],0,1)</f>
        <v>23</v>
      </c>
      <c r="F654" s="15">
        <f>ROUND(Categorias_Registro[[#This Row],[Mínimo]]+((Categorias_Registro[[#This Row],[Máximo]]-Categorias_Registro[[#This Row],[Mínimo]])/2),0)</f>
        <v>2023</v>
      </c>
      <c r="G654" s="78">
        <f>VLOOKUP(Categorias_Registro[[#This Row],[Puntos]],Categorias_Configuracion[],MATCH(Categorias_Configuracion[[#Headers],[% Amplitud]],Categorias_Configuracion[#Headers],0),TRUE)</f>
        <v>0.15</v>
      </c>
      <c r="H654" s="15" t="str">
        <f ca="1">TEXT(Categorias_Registro[[#This Row],[Mínimo]],Formato_Rango_Categorias)&amp;" - "&amp;TEXT(Categorias_Registro[[#This Row],[Máximo]],Formato_Rango_Categorias)</f>
        <v>1.882 - 2.163</v>
      </c>
    </row>
    <row r="655" spans="2:8">
      <c r="B655" s="15">
        <f>Techo - ROW() + ROW(Categorias_Registro[])</f>
        <v>1974</v>
      </c>
      <c r="C655" s="15">
        <f>IF(Categorias_Registro[[#This Row],[Puntos]]&lt;=ROUND(Piso,0),Piso,IF(Categorias_Registro[[#This Row],[Puntos]]&lt;D656,C656,D656+1))</f>
        <v>1882</v>
      </c>
      <c r="D655" s="15">
        <f>IF(Categorias_Registro[[#This Row],[Puntos]]=ROUND(Piso,0),ROUND(Categorias_Registro[[#This Row],[Puntos]]*(1+Categorias_Registro[[#This Row],[Amplitud]]),0),IF(Categorias_Registro[[#This Row],[Puntos]]&lt;D656,D656,ROUND(D656*(1+Categorias_Registro[[#This Row],[Amplitud]]),0)))</f>
        <v>2163</v>
      </c>
      <c r="E655" s="15">
        <f>E656+IF(D656=Categorias_Registro[[#This Row],[Máximo]],0,1)</f>
        <v>23</v>
      </c>
      <c r="F655" s="15">
        <f>ROUND(Categorias_Registro[[#This Row],[Mínimo]]+((Categorias_Registro[[#This Row],[Máximo]]-Categorias_Registro[[#This Row],[Mínimo]])/2),0)</f>
        <v>2023</v>
      </c>
      <c r="G655" s="78">
        <f>VLOOKUP(Categorias_Registro[[#This Row],[Puntos]],Categorias_Configuracion[],MATCH(Categorias_Configuracion[[#Headers],[% Amplitud]],Categorias_Configuracion[#Headers],0),TRUE)</f>
        <v>0.15</v>
      </c>
      <c r="H655" s="15" t="str">
        <f ca="1">TEXT(Categorias_Registro[[#This Row],[Mínimo]],Formato_Rango_Categorias)&amp;" - "&amp;TEXT(Categorias_Registro[[#This Row],[Máximo]],Formato_Rango_Categorias)</f>
        <v>1.882 - 2.163</v>
      </c>
    </row>
    <row r="656" spans="2:8">
      <c r="B656" s="15">
        <f>Techo - ROW() + ROW(Categorias_Registro[])</f>
        <v>1973</v>
      </c>
      <c r="C656" s="15">
        <f>IF(Categorias_Registro[[#This Row],[Puntos]]&lt;=ROUND(Piso,0),Piso,IF(Categorias_Registro[[#This Row],[Puntos]]&lt;D657,C657,D657+1))</f>
        <v>1882</v>
      </c>
      <c r="D656" s="15">
        <f>IF(Categorias_Registro[[#This Row],[Puntos]]=ROUND(Piso,0),ROUND(Categorias_Registro[[#This Row],[Puntos]]*(1+Categorias_Registro[[#This Row],[Amplitud]]),0),IF(Categorias_Registro[[#This Row],[Puntos]]&lt;D657,D657,ROUND(D657*(1+Categorias_Registro[[#This Row],[Amplitud]]),0)))</f>
        <v>2163</v>
      </c>
      <c r="E656" s="15">
        <f>E657+IF(D657=Categorias_Registro[[#This Row],[Máximo]],0,1)</f>
        <v>23</v>
      </c>
      <c r="F656" s="15">
        <f>ROUND(Categorias_Registro[[#This Row],[Mínimo]]+((Categorias_Registro[[#This Row],[Máximo]]-Categorias_Registro[[#This Row],[Mínimo]])/2),0)</f>
        <v>2023</v>
      </c>
      <c r="G656" s="78">
        <f>VLOOKUP(Categorias_Registro[[#This Row],[Puntos]],Categorias_Configuracion[],MATCH(Categorias_Configuracion[[#Headers],[% Amplitud]],Categorias_Configuracion[#Headers],0),TRUE)</f>
        <v>0.15</v>
      </c>
      <c r="H656" s="15" t="str">
        <f ca="1">TEXT(Categorias_Registro[[#This Row],[Mínimo]],Formato_Rango_Categorias)&amp;" - "&amp;TEXT(Categorias_Registro[[#This Row],[Máximo]],Formato_Rango_Categorias)</f>
        <v>1.882 - 2.163</v>
      </c>
    </row>
    <row r="657" spans="2:8">
      <c r="B657" s="15">
        <f>Techo - ROW() + ROW(Categorias_Registro[])</f>
        <v>1972</v>
      </c>
      <c r="C657" s="15">
        <f>IF(Categorias_Registro[[#This Row],[Puntos]]&lt;=ROUND(Piso,0),Piso,IF(Categorias_Registro[[#This Row],[Puntos]]&lt;D658,C658,D658+1))</f>
        <v>1882</v>
      </c>
      <c r="D657" s="15">
        <f>IF(Categorias_Registro[[#This Row],[Puntos]]=ROUND(Piso,0),ROUND(Categorias_Registro[[#This Row],[Puntos]]*(1+Categorias_Registro[[#This Row],[Amplitud]]),0),IF(Categorias_Registro[[#This Row],[Puntos]]&lt;D658,D658,ROUND(D658*(1+Categorias_Registro[[#This Row],[Amplitud]]),0)))</f>
        <v>2163</v>
      </c>
      <c r="E657" s="15">
        <f>E658+IF(D658=Categorias_Registro[[#This Row],[Máximo]],0,1)</f>
        <v>23</v>
      </c>
      <c r="F657" s="15">
        <f>ROUND(Categorias_Registro[[#This Row],[Mínimo]]+((Categorias_Registro[[#This Row],[Máximo]]-Categorias_Registro[[#This Row],[Mínimo]])/2),0)</f>
        <v>2023</v>
      </c>
      <c r="G657" s="78">
        <f>VLOOKUP(Categorias_Registro[[#This Row],[Puntos]],Categorias_Configuracion[],MATCH(Categorias_Configuracion[[#Headers],[% Amplitud]],Categorias_Configuracion[#Headers],0),TRUE)</f>
        <v>0.15</v>
      </c>
      <c r="H657" s="15" t="str">
        <f ca="1">TEXT(Categorias_Registro[[#This Row],[Mínimo]],Formato_Rango_Categorias)&amp;" - "&amp;TEXT(Categorias_Registro[[#This Row],[Máximo]],Formato_Rango_Categorias)</f>
        <v>1.882 - 2.163</v>
      </c>
    </row>
    <row r="658" spans="2:8">
      <c r="B658" s="15">
        <f>Techo - ROW() + ROW(Categorias_Registro[])</f>
        <v>1971</v>
      </c>
      <c r="C658" s="15">
        <f>IF(Categorias_Registro[[#This Row],[Puntos]]&lt;=ROUND(Piso,0),Piso,IF(Categorias_Registro[[#This Row],[Puntos]]&lt;D659,C659,D659+1))</f>
        <v>1882</v>
      </c>
      <c r="D658" s="15">
        <f>IF(Categorias_Registro[[#This Row],[Puntos]]=ROUND(Piso,0),ROUND(Categorias_Registro[[#This Row],[Puntos]]*(1+Categorias_Registro[[#This Row],[Amplitud]]),0),IF(Categorias_Registro[[#This Row],[Puntos]]&lt;D659,D659,ROUND(D659*(1+Categorias_Registro[[#This Row],[Amplitud]]),0)))</f>
        <v>2163</v>
      </c>
      <c r="E658" s="15">
        <f>E659+IF(D659=Categorias_Registro[[#This Row],[Máximo]],0,1)</f>
        <v>23</v>
      </c>
      <c r="F658" s="15">
        <f>ROUND(Categorias_Registro[[#This Row],[Mínimo]]+((Categorias_Registro[[#This Row],[Máximo]]-Categorias_Registro[[#This Row],[Mínimo]])/2),0)</f>
        <v>2023</v>
      </c>
      <c r="G658" s="78">
        <f>VLOOKUP(Categorias_Registro[[#This Row],[Puntos]],Categorias_Configuracion[],MATCH(Categorias_Configuracion[[#Headers],[% Amplitud]],Categorias_Configuracion[#Headers],0),TRUE)</f>
        <v>0.15</v>
      </c>
      <c r="H658" s="15" t="str">
        <f ca="1">TEXT(Categorias_Registro[[#This Row],[Mínimo]],Formato_Rango_Categorias)&amp;" - "&amp;TEXT(Categorias_Registro[[#This Row],[Máximo]],Formato_Rango_Categorias)</f>
        <v>1.882 - 2.163</v>
      </c>
    </row>
    <row r="659" spans="2:8">
      <c r="B659" s="15">
        <f>Techo - ROW() + ROW(Categorias_Registro[])</f>
        <v>1970</v>
      </c>
      <c r="C659" s="15">
        <f>IF(Categorias_Registro[[#This Row],[Puntos]]&lt;=ROUND(Piso,0),Piso,IF(Categorias_Registro[[#This Row],[Puntos]]&lt;D660,C660,D660+1))</f>
        <v>1882</v>
      </c>
      <c r="D659" s="15">
        <f>IF(Categorias_Registro[[#This Row],[Puntos]]=ROUND(Piso,0),ROUND(Categorias_Registro[[#This Row],[Puntos]]*(1+Categorias_Registro[[#This Row],[Amplitud]]),0),IF(Categorias_Registro[[#This Row],[Puntos]]&lt;D660,D660,ROUND(D660*(1+Categorias_Registro[[#This Row],[Amplitud]]),0)))</f>
        <v>2163</v>
      </c>
      <c r="E659" s="15">
        <f>E660+IF(D660=Categorias_Registro[[#This Row],[Máximo]],0,1)</f>
        <v>23</v>
      </c>
      <c r="F659" s="15">
        <f>ROUND(Categorias_Registro[[#This Row],[Mínimo]]+((Categorias_Registro[[#This Row],[Máximo]]-Categorias_Registro[[#This Row],[Mínimo]])/2),0)</f>
        <v>2023</v>
      </c>
      <c r="G659" s="78">
        <f>VLOOKUP(Categorias_Registro[[#This Row],[Puntos]],Categorias_Configuracion[],MATCH(Categorias_Configuracion[[#Headers],[% Amplitud]],Categorias_Configuracion[#Headers],0),TRUE)</f>
        <v>0.15</v>
      </c>
      <c r="H659" s="15" t="str">
        <f ca="1">TEXT(Categorias_Registro[[#This Row],[Mínimo]],Formato_Rango_Categorias)&amp;" - "&amp;TEXT(Categorias_Registro[[#This Row],[Máximo]],Formato_Rango_Categorias)</f>
        <v>1.882 - 2.163</v>
      </c>
    </row>
    <row r="660" spans="2:8">
      <c r="B660" s="15">
        <f>Techo - ROW() + ROW(Categorias_Registro[])</f>
        <v>1969</v>
      </c>
      <c r="C660" s="15">
        <f>IF(Categorias_Registro[[#This Row],[Puntos]]&lt;=ROUND(Piso,0),Piso,IF(Categorias_Registro[[#This Row],[Puntos]]&lt;D661,C661,D661+1))</f>
        <v>1882</v>
      </c>
      <c r="D660" s="15">
        <f>IF(Categorias_Registro[[#This Row],[Puntos]]=ROUND(Piso,0),ROUND(Categorias_Registro[[#This Row],[Puntos]]*(1+Categorias_Registro[[#This Row],[Amplitud]]),0),IF(Categorias_Registro[[#This Row],[Puntos]]&lt;D661,D661,ROUND(D661*(1+Categorias_Registro[[#This Row],[Amplitud]]),0)))</f>
        <v>2163</v>
      </c>
      <c r="E660" s="15">
        <f>E661+IF(D661=Categorias_Registro[[#This Row],[Máximo]],0,1)</f>
        <v>23</v>
      </c>
      <c r="F660" s="15">
        <f>ROUND(Categorias_Registro[[#This Row],[Mínimo]]+((Categorias_Registro[[#This Row],[Máximo]]-Categorias_Registro[[#This Row],[Mínimo]])/2),0)</f>
        <v>2023</v>
      </c>
      <c r="G660" s="78">
        <f>VLOOKUP(Categorias_Registro[[#This Row],[Puntos]],Categorias_Configuracion[],MATCH(Categorias_Configuracion[[#Headers],[% Amplitud]],Categorias_Configuracion[#Headers],0),TRUE)</f>
        <v>0.15</v>
      </c>
      <c r="H660" s="15" t="str">
        <f ca="1">TEXT(Categorias_Registro[[#This Row],[Mínimo]],Formato_Rango_Categorias)&amp;" - "&amp;TEXT(Categorias_Registro[[#This Row],[Máximo]],Formato_Rango_Categorias)</f>
        <v>1.882 - 2.163</v>
      </c>
    </row>
    <row r="661" spans="2:8">
      <c r="B661" s="15">
        <f>Techo - ROW() + ROW(Categorias_Registro[])</f>
        <v>1968</v>
      </c>
      <c r="C661" s="15">
        <f>IF(Categorias_Registro[[#This Row],[Puntos]]&lt;=ROUND(Piso,0),Piso,IF(Categorias_Registro[[#This Row],[Puntos]]&lt;D662,C662,D662+1))</f>
        <v>1882</v>
      </c>
      <c r="D661" s="15">
        <f>IF(Categorias_Registro[[#This Row],[Puntos]]=ROUND(Piso,0),ROUND(Categorias_Registro[[#This Row],[Puntos]]*(1+Categorias_Registro[[#This Row],[Amplitud]]),0),IF(Categorias_Registro[[#This Row],[Puntos]]&lt;D662,D662,ROUND(D662*(1+Categorias_Registro[[#This Row],[Amplitud]]),0)))</f>
        <v>2163</v>
      </c>
      <c r="E661" s="15">
        <f>E662+IF(D662=Categorias_Registro[[#This Row],[Máximo]],0,1)</f>
        <v>23</v>
      </c>
      <c r="F661" s="15">
        <f>ROUND(Categorias_Registro[[#This Row],[Mínimo]]+((Categorias_Registro[[#This Row],[Máximo]]-Categorias_Registro[[#This Row],[Mínimo]])/2),0)</f>
        <v>2023</v>
      </c>
      <c r="G661" s="78">
        <f>VLOOKUP(Categorias_Registro[[#This Row],[Puntos]],Categorias_Configuracion[],MATCH(Categorias_Configuracion[[#Headers],[% Amplitud]],Categorias_Configuracion[#Headers],0),TRUE)</f>
        <v>0.15</v>
      </c>
      <c r="H661" s="15" t="str">
        <f ca="1">TEXT(Categorias_Registro[[#This Row],[Mínimo]],Formato_Rango_Categorias)&amp;" - "&amp;TEXT(Categorias_Registro[[#This Row],[Máximo]],Formato_Rango_Categorias)</f>
        <v>1.882 - 2.163</v>
      </c>
    </row>
    <row r="662" spans="2:8">
      <c r="B662" s="15">
        <f>Techo - ROW() + ROW(Categorias_Registro[])</f>
        <v>1967</v>
      </c>
      <c r="C662" s="15">
        <f>IF(Categorias_Registro[[#This Row],[Puntos]]&lt;=ROUND(Piso,0),Piso,IF(Categorias_Registro[[#This Row],[Puntos]]&lt;D663,C663,D663+1))</f>
        <v>1882</v>
      </c>
      <c r="D662" s="15">
        <f>IF(Categorias_Registro[[#This Row],[Puntos]]=ROUND(Piso,0),ROUND(Categorias_Registro[[#This Row],[Puntos]]*(1+Categorias_Registro[[#This Row],[Amplitud]]),0),IF(Categorias_Registro[[#This Row],[Puntos]]&lt;D663,D663,ROUND(D663*(1+Categorias_Registro[[#This Row],[Amplitud]]),0)))</f>
        <v>2163</v>
      </c>
      <c r="E662" s="15">
        <f>E663+IF(D663=Categorias_Registro[[#This Row],[Máximo]],0,1)</f>
        <v>23</v>
      </c>
      <c r="F662" s="15">
        <f>ROUND(Categorias_Registro[[#This Row],[Mínimo]]+((Categorias_Registro[[#This Row],[Máximo]]-Categorias_Registro[[#This Row],[Mínimo]])/2),0)</f>
        <v>2023</v>
      </c>
      <c r="G662" s="78">
        <f>VLOOKUP(Categorias_Registro[[#This Row],[Puntos]],Categorias_Configuracion[],MATCH(Categorias_Configuracion[[#Headers],[% Amplitud]],Categorias_Configuracion[#Headers],0),TRUE)</f>
        <v>0.15</v>
      </c>
      <c r="H662" s="15" t="str">
        <f ca="1">TEXT(Categorias_Registro[[#This Row],[Mínimo]],Formato_Rango_Categorias)&amp;" - "&amp;TEXT(Categorias_Registro[[#This Row],[Máximo]],Formato_Rango_Categorias)</f>
        <v>1.882 - 2.163</v>
      </c>
    </row>
    <row r="663" spans="2:8">
      <c r="B663" s="15">
        <f>Techo - ROW() + ROW(Categorias_Registro[])</f>
        <v>1966</v>
      </c>
      <c r="C663" s="15">
        <f>IF(Categorias_Registro[[#This Row],[Puntos]]&lt;=ROUND(Piso,0),Piso,IF(Categorias_Registro[[#This Row],[Puntos]]&lt;D664,C664,D664+1))</f>
        <v>1882</v>
      </c>
      <c r="D663" s="15">
        <f>IF(Categorias_Registro[[#This Row],[Puntos]]=ROUND(Piso,0),ROUND(Categorias_Registro[[#This Row],[Puntos]]*(1+Categorias_Registro[[#This Row],[Amplitud]]),0),IF(Categorias_Registro[[#This Row],[Puntos]]&lt;D664,D664,ROUND(D664*(1+Categorias_Registro[[#This Row],[Amplitud]]),0)))</f>
        <v>2163</v>
      </c>
      <c r="E663" s="15">
        <f>E664+IF(D664=Categorias_Registro[[#This Row],[Máximo]],0,1)</f>
        <v>23</v>
      </c>
      <c r="F663" s="15">
        <f>ROUND(Categorias_Registro[[#This Row],[Mínimo]]+((Categorias_Registro[[#This Row],[Máximo]]-Categorias_Registro[[#This Row],[Mínimo]])/2),0)</f>
        <v>2023</v>
      </c>
      <c r="G663" s="78">
        <f>VLOOKUP(Categorias_Registro[[#This Row],[Puntos]],Categorias_Configuracion[],MATCH(Categorias_Configuracion[[#Headers],[% Amplitud]],Categorias_Configuracion[#Headers],0),TRUE)</f>
        <v>0.15</v>
      </c>
      <c r="H663" s="15" t="str">
        <f ca="1">TEXT(Categorias_Registro[[#This Row],[Mínimo]],Formato_Rango_Categorias)&amp;" - "&amp;TEXT(Categorias_Registro[[#This Row],[Máximo]],Formato_Rango_Categorias)</f>
        <v>1.882 - 2.163</v>
      </c>
    </row>
    <row r="664" spans="2:8">
      <c r="B664" s="15">
        <f>Techo - ROW() + ROW(Categorias_Registro[])</f>
        <v>1965</v>
      </c>
      <c r="C664" s="15">
        <f>IF(Categorias_Registro[[#This Row],[Puntos]]&lt;=ROUND(Piso,0),Piso,IF(Categorias_Registro[[#This Row],[Puntos]]&lt;D665,C665,D665+1))</f>
        <v>1882</v>
      </c>
      <c r="D664" s="15">
        <f>IF(Categorias_Registro[[#This Row],[Puntos]]=ROUND(Piso,0),ROUND(Categorias_Registro[[#This Row],[Puntos]]*(1+Categorias_Registro[[#This Row],[Amplitud]]),0),IF(Categorias_Registro[[#This Row],[Puntos]]&lt;D665,D665,ROUND(D665*(1+Categorias_Registro[[#This Row],[Amplitud]]),0)))</f>
        <v>2163</v>
      </c>
      <c r="E664" s="15">
        <f>E665+IF(D665=Categorias_Registro[[#This Row],[Máximo]],0,1)</f>
        <v>23</v>
      </c>
      <c r="F664" s="15">
        <f>ROUND(Categorias_Registro[[#This Row],[Mínimo]]+((Categorias_Registro[[#This Row],[Máximo]]-Categorias_Registro[[#This Row],[Mínimo]])/2),0)</f>
        <v>2023</v>
      </c>
      <c r="G664" s="78">
        <f>VLOOKUP(Categorias_Registro[[#This Row],[Puntos]],Categorias_Configuracion[],MATCH(Categorias_Configuracion[[#Headers],[% Amplitud]],Categorias_Configuracion[#Headers],0),TRUE)</f>
        <v>0.15</v>
      </c>
      <c r="H664" s="15" t="str">
        <f ca="1">TEXT(Categorias_Registro[[#This Row],[Mínimo]],Formato_Rango_Categorias)&amp;" - "&amp;TEXT(Categorias_Registro[[#This Row],[Máximo]],Formato_Rango_Categorias)</f>
        <v>1.882 - 2.163</v>
      </c>
    </row>
    <row r="665" spans="2:8">
      <c r="B665" s="15">
        <f>Techo - ROW() + ROW(Categorias_Registro[])</f>
        <v>1964</v>
      </c>
      <c r="C665" s="15">
        <f>IF(Categorias_Registro[[#This Row],[Puntos]]&lt;=ROUND(Piso,0),Piso,IF(Categorias_Registro[[#This Row],[Puntos]]&lt;D666,C666,D666+1))</f>
        <v>1882</v>
      </c>
      <c r="D665" s="15">
        <f>IF(Categorias_Registro[[#This Row],[Puntos]]=ROUND(Piso,0),ROUND(Categorias_Registro[[#This Row],[Puntos]]*(1+Categorias_Registro[[#This Row],[Amplitud]]),0),IF(Categorias_Registro[[#This Row],[Puntos]]&lt;D666,D666,ROUND(D666*(1+Categorias_Registro[[#This Row],[Amplitud]]),0)))</f>
        <v>2163</v>
      </c>
      <c r="E665" s="15">
        <f>E666+IF(D666=Categorias_Registro[[#This Row],[Máximo]],0,1)</f>
        <v>23</v>
      </c>
      <c r="F665" s="15">
        <f>ROUND(Categorias_Registro[[#This Row],[Mínimo]]+((Categorias_Registro[[#This Row],[Máximo]]-Categorias_Registro[[#This Row],[Mínimo]])/2),0)</f>
        <v>2023</v>
      </c>
      <c r="G665" s="78">
        <f>VLOOKUP(Categorias_Registro[[#This Row],[Puntos]],Categorias_Configuracion[],MATCH(Categorias_Configuracion[[#Headers],[% Amplitud]],Categorias_Configuracion[#Headers],0),TRUE)</f>
        <v>0.15</v>
      </c>
      <c r="H665" s="15" t="str">
        <f ca="1">TEXT(Categorias_Registro[[#This Row],[Mínimo]],Formato_Rango_Categorias)&amp;" - "&amp;TEXT(Categorias_Registro[[#This Row],[Máximo]],Formato_Rango_Categorias)</f>
        <v>1.882 - 2.163</v>
      </c>
    </row>
    <row r="666" spans="2:8">
      <c r="B666" s="15">
        <f>Techo - ROW() + ROW(Categorias_Registro[])</f>
        <v>1963</v>
      </c>
      <c r="C666" s="15">
        <f>IF(Categorias_Registro[[#This Row],[Puntos]]&lt;=ROUND(Piso,0),Piso,IF(Categorias_Registro[[#This Row],[Puntos]]&lt;D667,C667,D667+1))</f>
        <v>1882</v>
      </c>
      <c r="D666" s="15">
        <f>IF(Categorias_Registro[[#This Row],[Puntos]]=ROUND(Piso,0),ROUND(Categorias_Registro[[#This Row],[Puntos]]*(1+Categorias_Registro[[#This Row],[Amplitud]]),0),IF(Categorias_Registro[[#This Row],[Puntos]]&lt;D667,D667,ROUND(D667*(1+Categorias_Registro[[#This Row],[Amplitud]]),0)))</f>
        <v>2163</v>
      </c>
      <c r="E666" s="15">
        <f>E667+IF(D667=Categorias_Registro[[#This Row],[Máximo]],0,1)</f>
        <v>23</v>
      </c>
      <c r="F666" s="15">
        <f>ROUND(Categorias_Registro[[#This Row],[Mínimo]]+((Categorias_Registro[[#This Row],[Máximo]]-Categorias_Registro[[#This Row],[Mínimo]])/2),0)</f>
        <v>2023</v>
      </c>
      <c r="G666" s="78">
        <f>VLOOKUP(Categorias_Registro[[#This Row],[Puntos]],Categorias_Configuracion[],MATCH(Categorias_Configuracion[[#Headers],[% Amplitud]],Categorias_Configuracion[#Headers],0),TRUE)</f>
        <v>0.15</v>
      </c>
      <c r="H666" s="15" t="str">
        <f ca="1">TEXT(Categorias_Registro[[#This Row],[Mínimo]],Formato_Rango_Categorias)&amp;" - "&amp;TEXT(Categorias_Registro[[#This Row],[Máximo]],Formato_Rango_Categorias)</f>
        <v>1.882 - 2.163</v>
      </c>
    </row>
    <row r="667" spans="2:8">
      <c r="B667" s="15">
        <f>Techo - ROW() + ROW(Categorias_Registro[])</f>
        <v>1962</v>
      </c>
      <c r="C667" s="15">
        <f>IF(Categorias_Registro[[#This Row],[Puntos]]&lt;=ROUND(Piso,0),Piso,IF(Categorias_Registro[[#This Row],[Puntos]]&lt;D668,C668,D668+1))</f>
        <v>1882</v>
      </c>
      <c r="D667" s="15">
        <f>IF(Categorias_Registro[[#This Row],[Puntos]]=ROUND(Piso,0),ROUND(Categorias_Registro[[#This Row],[Puntos]]*(1+Categorias_Registro[[#This Row],[Amplitud]]),0),IF(Categorias_Registro[[#This Row],[Puntos]]&lt;D668,D668,ROUND(D668*(1+Categorias_Registro[[#This Row],[Amplitud]]),0)))</f>
        <v>2163</v>
      </c>
      <c r="E667" s="15">
        <f>E668+IF(D668=Categorias_Registro[[#This Row],[Máximo]],0,1)</f>
        <v>23</v>
      </c>
      <c r="F667" s="15">
        <f>ROUND(Categorias_Registro[[#This Row],[Mínimo]]+((Categorias_Registro[[#This Row],[Máximo]]-Categorias_Registro[[#This Row],[Mínimo]])/2),0)</f>
        <v>2023</v>
      </c>
      <c r="G667" s="78">
        <f>VLOOKUP(Categorias_Registro[[#This Row],[Puntos]],Categorias_Configuracion[],MATCH(Categorias_Configuracion[[#Headers],[% Amplitud]],Categorias_Configuracion[#Headers],0),TRUE)</f>
        <v>0.15</v>
      </c>
      <c r="H667" s="15" t="str">
        <f ca="1">TEXT(Categorias_Registro[[#This Row],[Mínimo]],Formato_Rango_Categorias)&amp;" - "&amp;TEXT(Categorias_Registro[[#This Row],[Máximo]],Formato_Rango_Categorias)</f>
        <v>1.882 - 2.163</v>
      </c>
    </row>
    <row r="668" spans="2:8">
      <c r="B668" s="15">
        <f>Techo - ROW() + ROW(Categorias_Registro[])</f>
        <v>1961</v>
      </c>
      <c r="C668" s="15">
        <f>IF(Categorias_Registro[[#This Row],[Puntos]]&lt;=ROUND(Piso,0),Piso,IF(Categorias_Registro[[#This Row],[Puntos]]&lt;D669,C669,D669+1))</f>
        <v>1882</v>
      </c>
      <c r="D668" s="15">
        <f>IF(Categorias_Registro[[#This Row],[Puntos]]=ROUND(Piso,0),ROUND(Categorias_Registro[[#This Row],[Puntos]]*(1+Categorias_Registro[[#This Row],[Amplitud]]),0),IF(Categorias_Registro[[#This Row],[Puntos]]&lt;D669,D669,ROUND(D669*(1+Categorias_Registro[[#This Row],[Amplitud]]),0)))</f>
        <v>2163</v>
      </c>
      <c r="E668" s="15">
        <f>E669+IF(D669=Categorias_Registro[[#This Row],[Máximo]],0,1)</f>
        <v>23</v>
      </c>
      <c r="F668" s="15">
        <f>ROUND(Categorias_Registro[[#This Row],[Mínimo]]+((Categorias_Registro[[#This Row],[Máximo]]-Categorias_Registro[[#This Row],[Mínimo]])/2),0)</f>
        <v>2023</v>
      </c>
      <c r="G668" s="78">
        <f>VLOOKUP(Categorias_Registro[[#This Row],[Puntos]],Categorias_Configuracion[],MATCH(Categorias_Configuracion[[#Headers],[% Amplitud]],Categorias_Configuracion[#Headers],0),TRUE)</f>
        <v>0.15</v>
      </c>
      <c r="H668" s="15" t="str">
        <f ca="1">TEXT(Categorias_Registro[[#This Row],[Mínimo]],Formato_Rango_Categorias)&amp;" - "&amp;TEXT(Categorias_Registro[[#This Row],[Máximo]],Formato_Rango_Categorias)</f>
        <v>1.882 - 2.163</v>
      </c>
    </row>
    <row r="669" spans="2:8">
      <c r="B669" s="15">
        <f>Techo - ROW() + ROW(Categorias_Registro[])</f>
        <v>1960</v>
      </c>
      <c r="C669" s="15">
        <f>IF(Categorias_Registro[[#This Row],[Puntos]]&lt;=ROUND(Piso,0),Piso,IF(Categorias_Registro[[#This Row],[Puntos]]&lt;D670,C670,D670+1))</f>
        <v>1882</v>
      </c>
      <c r="D669" s="15">
        <f>IF(Categorias_Registro[[#This Row],[Puntos]]=ROUND(Piso,0),ROUND(Categorias_Registro[[#This Row],[Puntos]]*(1+Categorias_Registro[[#This Row],[Amplitud]]),0),IF(Categorias_Registro[[#This Row],[Puntos]]&lt;D670,D670,ROUND(D670*(1+Categorias_Registro[[#This Row],[Amplitud]]),0)))</f>
        <v>2163</v>
      </c>
      <c r="E669" s="15">
        <f>E670+IF(D670=Categorias_Registro[[#This Row],[Máximo]],0,1)</f>
        <v>23</v>
      </c>
      <c r="F669" s="15">
        <f>ROUND(Categorias_Registro[[#This Row],[Mínimo]]+((Categorias_Registro[[#This Row],[Máximo]]-Categorias_Registro[[#This Row],[Mínimo]])/2),0)</f>
        <v>2023</v>
      </c>
      <c r="G669" s="78">
        <f>VLOOKUP(Categorias_Registro[[#This Row],[Puntos]],Categorias_Configuracion[],MATCH(Categorias_Configuracion[[#Headers],[% Amplitud]],Categorias_Configuracion[#Headers],0),TRUE)</f>
        <v>0.15</v>
      </c>
      <c r="H669" s="15" t="str">
        <f ca="1">TEXT(Categorias_Registro[[#This Row],[Mínimo]],Formato_Rango_Categorias)&amp;" - "&amp;TEXT(Categorias_Registro[[#This Row],[Máximo]],Formato_Rango_Categorias)</f>
        <v>1.882 - 2.163</v>
      </c>
    </row>
    <row r="670" spans="2:8">
      <c r="B670" s="15">
        <f>Techo - ROW() + ROW(Categorias_Registro[])</f>
        <v>1959</v>
      </c>
      <c r="C670" s="15">
        <f>IF(Categorias_Registro[[#This Row],[Puntos]]&lt;=ROUND(Piso,0),Piso,IF(Categorias_Registro[[#This Row],[Puntos]]&lt;D671,C671,D671+1))</f>
        <v>1882</v>
      </c>
      <c r="D670" s="15">
        <f>IF(Categorias_Registro[[#This Row],[Puntos]]=ROUND(Piso,0),ROUND(Categorias_Registro[[#This Row],[Puntos]]*(1+Categorias_Registro[[#This Row],[Amplitud]]),0),IF(Categorias_Registro[[#This Row],[Puntos]]&lt;D671,D671,ROUND(D671*(1+Categorias_Registro[[#This Row],[Amplitud]]),0)))</f>
        <v>2163</v>
      </c>
      <c r="E670" s="15">
        <f>E671+IF(D671=Categorias_Registro[[#This Row],[Máximo]],0,1)</f>
        <v>23</v>
      </c>
      <c r="F670" s="15">
        <f>ROUND(Categorias_Registro[[#This Row],[Mínimo]]+((Categorias_Registro[[#This Row],[Máximo]]-Categorias_Registro[[#This Row],[Mínimo]])/2),0)</f>
        <v>2023</v>
      </c>
      <c r="G670" s="78">
        <f>VLOOKUP(Categorias_Registro[[#This Row],[Puntos]],Categorias_Configuracion[],MATCH(Categorias_Configuracion[[#Headers],[% Amplitud]],Categorias_Configuracion[#Headers],0),TRUE)</f>
        <v>0.15</v>
      </c>
      <c r="H670" s="15" t="str">
        <f ca="1">TEXT(Categorias_Registro[[#This Row],[Mínimo]],Formato_Rango_Categorias)&amp;" - "&amp;TEXT(Categorias_Registro[[#This Row],[Máximo]],Formato_Rango_Categorias)</f>
        <v>1.882 - 2.163</v>
      </c>
    </row>
    <row r="671" spans="2:8">
      <c r="B671" s="15">
        <f>Techo - ROW() + ROW(Categorias_Registro[])</f>
        <v>1958</v>
      </c>
      <c r="C671" s="15">
        <f>IF(Categorias_Registro[[#This Row],[Puntos]]&lt;=ROUND(Piso,0),Piso,IF(Categorias_Registro[[#This Row],[Puntos]]&lt;D672,C672,D672+1))</f>
        <v>1882</v>
      </c>
      <c r="D671" s="15">
        <f>IF(Categorias_Registro[[#This Row],[Puntos]]=ROUND(Piso,0),ROUND(Categorias_Registro[[#This Row],[Puntos]]*(1+Categorias_Registro[[#This Row],[Amplitud]]),0),IF(Categorias_Registro[[#This Row],[Puntos]]&lt;D672,D672,ROUND(D672*(1+Categorias_Registro[[#This Row],[Amplitud]]),0)))</f>
        <v>2163</v>
      </c>
      <c r="E671" s="15">
        <f>E672+IF(D672=Categorias_Registro[[#This Row],[Máximo]],0,1)</f>
        <v>23</v>
      </c>
      <c r="F671" s="15">
        <f>ROUND(Categorias_Registro[[#This Row],[Mínimo]]+((Categorias_Registro[[#This Row],[Máximo]]-Categorias_Registro[[#This Row],[Mínimo]])/2),0)</f>
        <v>2023</v>
      </c>
      <c r="G671" s="78">
        <f>VLOOKUP(Categorias_Registro[[#This Row],[Puntos]],Categorias_Configuracion[],MATCH(Categorias_Configuracion[[#Headers],[% Amplitud]],Categorias_Configuracion[#Headers],0),TRUE)</f>
        <v>0.15</v>
      </c>
      <c r="H671" s="15" t="str">
        <f ca="1">TEXT(Categorias_Registro[[#This Row],[Mínimo]],Formato_Rango_Categorias)&amp;" - "&amp;TEXT(Categorias_Registro[[#This Row],[Máximo]],Formato_Rango_Categorias)</f>
        <v>1.882 - 2.163</v>
      </c>
    </row>
    <row r="672" spans="2:8">
      <c r="B672" s="15">
        <f>Techo - ROW() + ROW(Categorias_Registro[])</f>
        <v>1957</v>
      </c>
      <c r="C672" s="15">
        <f>IF(Categorias_Registro[[#This Row],[Puntos]]&lt;=ROUND(Piso,0),Piso,IF(Categorias_Registro[[#This Row],[Puntos]]&lt;D673,C673,D673+1))</f>
        <v>1882</v>
      </c>
      <c r="D672" s="15">
        <f>IF(Categorias_Registro[[#This Row],[Puntos]]=ROUND(Piso,0),ROUND(Categorias_Registro[[#This Row],[Puntos]]*(1+Categorias_Registro[[#This Row],[Amplitud]]),0),IF(Categorias_Registro[[#This Row],[Puntos]]&lt;D673,D673,ROUND(D673*(1+Categorias_Registro[[#This Row],[Amplitud]]),0)))</f>
        <v>2163</v>
      </c>
      <c r="E672" s="15">
        <f>E673+IF(D673=Categorias_Registro[[#This Row],[Máximo]],0,1)</f>
        <v>23</v>
      </c>
      <c r="F672" s="15">
        <f>ROUND(Categorias_Registro[[#This Row],[Mínimo]]+((Categorias_Registro[[#This Row],[Máximo]]-Categorias_Registro[[#This Row],[Mínimo]])/2),0)</f>
        <v>2023</v>
      </c>
      <c r="G672" s="78">
        <f>VLOOKUP(Categorias_Registro[[#This Row],[Puntos]],Categorias_Configuracion[],MATCH(Categorias_Configuracion[[#Headers],[% Amplitud]],Categorias_Configuracion[#Headers],0),TRUE)</f>
        <v>0.15</v>
      </c>
      <c r="H672" s="15" t="str">
        <f ca="1">TEXT(Categorias_Registro[[#This Row],[Mínimo]],Formato_Rango_Categorias)&amp;" - "&amp;TEXT(Categorias_Registro[[#This Row],[Máximo]],Formato_Rango_Categorias)</f>
        <v>1.882 - 2.163</v>
      </c>
    </row>
    <row r="673" spans="2:8">
      <c r="B673" s="15">
        <f>Techo - ROW() + ROW(Categorias_Registro[])</f>
        <v>1956</v>
      </c>
      <c r="C673" s="15">
        <f>IF(Categorias_Registro[[#This Row],[Puntos]]&lt;=ROUND(Piso,0),Piso,IF(Categorias_Registro[[#This Row],[Puntos]]&lt;D674,C674,D674+1))</f>
        <v>1882</v>
      </c>
      <c r="D673" s="15">
        <f>IF(Categorias_Registro[[#This Row],[Puntos]]=ROUND(Piso,0),ROUND(Categorias_Registro[[#This Row],[Puntos]]*(1+Categorias_Registro[[#This Row],[Amplitud]]),0),IF(Categorias_Registro[[#This Row],[Puntos]]&lt;D674,D674,ROUND(D674*(1+Categorias_Registro[[#This Row],[Amplitud]]),0)))</f>
        <v>2163</v>
      </c>
      <c r="E673" s="15">
        <f>E674+IF(D674=Categorias_Registro[[#This Row],[Máximo]],0,1)</f>
        <v>23</v>
      </c>
      <c r="F673" s="15">
        <f>ROUND(Categorias_Registro[[#This Row],[Mínimo]]+((Categorias_Registro[[#This Row],[Máximo]]-Categorias_Registro[[#This Row],[Mínimo]])/2),0)</f>
        <v>2023</v>
      </c>
      <c r="G673" s="78">
        <f>VLOOKUP(Categorias_Registro[[#This Row],[Puntos]],Categorias_Configuracion[],MATCH(Categorias_Configuracion[[#Headers],[% Amplitud]],Categorias_Configuracion[#Headers],0),TRUE)</f>
        <v>0.15</v>
      </c>
      <c r="H673" s="15" t="str">
        <f ca="1">TEXT(Categorias_Registro[[#This Row],[Mínimo]],Formato_Rango_Categorias)&amp;" - "&amp;TEXT(Categorias_Registro[[#This Row],[Máximo]],Formato_Rango_Categorias)</f>
        <v>1.882 - 2.163</v>
      </c>
    </row>
    <row r="674" spans="2:8">
      <c r="B674" s="15">
        <f>Techo - ROW() + ROW(Categorias_Registro[])</f>
        <v>1955</v>
      </c>
      <c r="C674" s="15">
        <f>IF(Categorias_Registro[[#This Row],[Puntos]]&lt;=ROUND(Piso,0),Piso,IF(Categorias_Registro[[#This Row],[Puntos]]&lt;D675,C675,D675+1))</f>
        <v>1882</v>
      </c>
      <c r="D674" s="15">
        <f>IF(Categorias_Registro[[#This Row],[Puntos]]=ROUND(Piso,0),ROUND(Categorias_Registro[[#This Row],[Puntos]]*(1+Categorias_Registro[[#This Row],[Amplitud]]),0),IF(Categorias_Registro[[#This Row],[Puntos]]&lt;D675,D675,ROUND(D675*(1+Categorias_Registro[[#This Row],[Amplitud]]),0)))</f>
        <v>2163</v>
      </c>
      <c r="E674" s="15">
        <f>E675+IF(D675=Categorias_Registro[[#This Row],[Máximo]],0,1)</f>
        <v>23</v>
      </c>
      <c r="F674" s="15">
        <f>ROUND(Categorias_Registro[[#This Row],[Mínimo]]+((Categorias_Registro[[#This Row],[Máximo]]-Categorias_Registro[[#This Row],[Mínimo]])/2),0)</f>
        <v>2023</v>
      </c>
      <c r="G674" s="78">
        <f>VLOOKUP(Categorias_Registro[[#This Row],[Puntos]],Categorias_Configuracion[],MATCH(Categorias_Configuracion[[#Headers],[% Amplitud]],Categorias_Configuracion[#Headers],0),TRUE)</f>
        <v>0.15</v>
      </c>
      <c r="H674" s="15" t="str">
        <f ca="1">TEXT(Categorias_Registro[[#This Row],[Mínimo]],Formato_Rango_Categorias)&amp;" - "&amp;TEXT(Categorias_Registro[[#This Row],[Máximo]],Formato_Rango_Categorias)</f>
        <v>1.882 - 2.163</v>
      </c>
    </row>
    <row r="675" spans="2:8">
      <c r="B675" s="15">
        <f>Techo - ROW() + ROW(Categorias_Registro[])</f>
        <v>1954</v>
      </c>
      <c r="C675" s="15">
        <f>IF(Categorias_Registro[[#This Row],[Puntos]]&lt;=ROUND(Piso,0),Piso,IF(Categorias_Registro[[#This Row],[Puntos]]&lt;D676,C676,D676+1))</f>
        <v>1882</v>
      </c>
      <c r="D675" s="15">
        <f>IF(Categorias_Registro[[#This Row],[Puntos]]=ROUND(Piso,0),ROUND(Categorias_Registro[[#This Row],[Puntos]]*(1+Categorias_Registro[[#This Row],[Amplitud]]),0),IF(Categorias_Registro[[#This Row],[Puntos]]&lt;D676,D676,ROUND(D676*(1+Categorias_Registro[[#This Row],[Amplitud]]),0)))</f>
        <v>2163</v>
      </c>
      <c r="E675" s="15">
        <f>E676+IF(D676=Categorias_Registro[[#This Row],[Máximo]],0,1)</f>
        <v>23</v>
      </c>
      <c r="F675" s="15">
        <f>ROUND(Categorias_Registro[[#This Row],[Mínimo]]+((Categorias_Registro[[#This Row],[Máximo]]-Categorias_Registro[[#This Row],[Mínimo]])/2),0)</f>
        <v>2023</v>
      </c>
      <c r="G675" s="78">
        <f>VLOOKUP(Categorias_Registro[[#This Row],[Puntos]],Categorias_Configuracion[],MATCH(Categorias_Configuracion[[#Headers],[% Amplitud]],Categorias_Configuracion[#Headers],0),TRUE)</f>
        <v>0.15</v>
      </c>
      <c r="H675" s="15" t="str">
        <f ca="1">TEXT(Categorias_Registro[[#This Row],[Mínimo]],Formato_Rango_Categorias)&amp;" - "&amp;TEXT(Categorias_Registro[[#This Row],[Máximo]],Formato_Rango_Categorias)</f>
        <v>1.882 - 2.163</v>
      </c>
    </row>
    <row r="676" spans="2:8">
      <c r="B676" s="15">
        <f>Techo - ROW() + ROW(Categorias_Registro[])</f>
        <v>1953</v>
      </c>
      <c r="C676" s="15">
        <f>IF(Categorias_Registro[[#This Row],[Puntos]]&lt;=ROUND(Piso,0),Piso,IF(Categorias_Registro[[#This Row],[Puntos]]&lt;D677,C677,D677+1))</f>
        <v>1882</v>
      </c>
      <c r="D676" s="15">
        <f>IF(Categorias_Registro[[#This Row],[Puntos]]=ROUND(Piso,0),ROUND(Categorias_Registro[[#This Row],[Puntos]]*(1+Categorias_Registro[[#This Row],[Amplitud]]),0),IF(Categorias_Registro[[#This Row],[Puntos]]&lt;D677,D677,ROUND(D677*(1+Categorias_Registro[[#This Row],[Amplitud]]),0)))</f>
        <v>2163</v>
      </c>
      <c r="E676" s="15">
        <f>E677+IF(D677=Categorias_Registro[[#This Row],[Máximo]],0,1)</f>
        <v>23</v>
      </c>
      <c r="F676" s="15">
        <f>ROUND(Categorias_Registro[[#This Row],[Mínimo]]+((Categorias_Registro[[#This Row],[Máximo]]-Categorias_Registro[[#This Row],[Mínimo]])/2),0)</f>
        <v>2023</v>
      </c>
      <c r="G676" s="78">
        <f>VLOOKUP(Categorias_Registro[[#This Row],[Puntos]],Categorias_Configuracion[],MATCH(Categorias_Configuracion[[#Headers],[% Amplitud]],Categorias_Configuracion[#Headers],0),TRUE)</f>
        <v>0.15</v>
      </c>
      <c r="H676" s="15" t="str">
        <f ca="1">TEXT(Categorias_Registro[[#This Row],[Mínimo]],Formato_Rango_Categorias)&amp;" - "&amp;TEXT(Categorias_Registro[[#This Row],[Máximo]],Formato_Rango_Categorias)</f>
        <v>1.882 - 2.163</v>
      </c>
    </row>
    <row r="677" spans="2:8">
      <c r="B677" s="15">
        <f>Techo - ROW() + ROW(Categorias_Registro[])</f>
        <v>1952</v>
      </c>
      <c r="C677" s="15">
        <f>IF(Categorias_Registro[[#This Row],[Puntos]]&lt;=ROUND(Piso,0),Piso,IF(Categorias_Registro[[#This Row],[Puntos]]&lt;D678,C678,D678+1))</f>
        <v>1882</v>
      </c>
      <c r="D677" s="15">
        <f>IF(Categorias_Registro[[#This Row],[Puntos]]=ROUND(Piso,0),ROUND(Categorias_Registro[[#This Row],[Puntos]]*(1+Categorias_Registro[[#This Row],[Amplitud]]),0),IF(Categorias_Registro[[#This Row],[Puntos]]&lt;D678,D678,ROUND(D678*(1+Categorias_Registro[[#This Row],[Amplitud]]),0)))</f>
        <v>2163</v>
      </c>
      <c r="E677" s="15">
        <f>E678+IF(D678=Categorias_Registro[[#This Row],[Máximo]],0,1)</f>
        <v>23</v>
      </c>
      <c r="F677" s="15">
        <f>ROUND(Categorias_Registro[[#This Row],[Mínimo]]+((Categorias_Registro[[#This Row],[Máximo]]-Categorias_Registro[[#This Row],[Mínimo]])/2),0)</f>
        <v>2023</v>
      </c>
      <c r="G677" s="78">
        <f>VLOOKUP(Categorias_Registro[[#This Row],[Puntos]],Categorias_Configuracion[],MATCH(Categorias_Configuracion[[#Headers],[% Amplitud]],Categorias_Configuracion[#Headers],0),TRUE)</f>
        <v>0.15</v>
      </c>
      <c r="H677" s="15" t="str">
        <f ca="1">TEXT(Categorias_Registro[[#This Row],[Mínimo]],Formato_Rango_Categorias)&amp;" - "&amp;TEXT(Categorias_Registro[[#This Row],[Máximo]],Formato_Rango_Categorias)</f>
        <v>1.882 - 2.163</v>
      </c>
    </row>
    <row r="678" spans="2:8">
      <c r="B678" s="15">
        <f>Techo - ROW() + ROW(Categorias_Registro[])</f>
        <v>1951</v>
      </c>
      <c r="C678" s="15">
        <f>IF(Categorias_Registro[[#This Row],[Puntos]]&lt;=ROUND(Piso,0),Piso,IF(Categorias_Registro[[#This Row],[Puntos]]&lt;D679,C679,D679+1))</f>
        <v>1882</v>
      </c>
      <c r="D678" s="15">
        <f>IF(Categorias_Registro[[#This Row],[Puntos]]=ROUND(Piso,0),ROUND(Categorias_Registro[[#This Row],[Puntos]]*(1+Categorias_Registro[[#This Row],[Amplitud]]),0),IF(Categorias_Registro[[#This Row],[Puntos]]&lt;D679,D679,ROUND(D679*(1+Categorias_Registro[[#This Row],[Amplitud]]),0)))</f>
        <v>2163</v>
      </c>
      <c r="E678" s="15">
        <f>E679+IF(D679=Categorias_Registro[[#This Row],[Máximo]],0,1)</f>
        <v>23</v>
      </c>
      <c r="F678" s="15">
        <f>ROUND(Categorias_Registro[[#This Row],[Mínimo]]+((Categorias_Registro[[#This Row],[Máximo]]-Categorias_Registro[[#This Row],[Mínimo]])/2),0)</f>
        <v>2023</v>
      </c>
      <c r="G678" s="78">
        <f>VLOOKUP(Categorias_Registro[[#This Row],[Puntos]],Categorias_Configuracion[],MATCH(Categorias_Configuracion[[#Headers],[% Amplitud]],Categorias_Configuracion[#Headers],0),TRUE)</f>
        <v>0.15</v>
      </c>
      <c r="H678" s="15" t="str">
        <f ca="1">TEXT(Categorias_Registro[[#This Row],[Mínimo]],Formato_Rango_Categorias)&amp;" - "&amp;TEXT(Categorias_Registro[[#This Row],[Máximo]],Formato_Rango_Categorias)</f>
        <v>1.882 - 2.163</v>
      </c>
    </row>
    <row r="679" spans="2:8">
      <c r="B679" s="15">
        <f>Techo - ROW() + ROW(Categorias_Registro[])</f>
        <v>1950</v>
      </c>
      <c r="C679" s="15">
        <f>IF(Categorias_Registro[[#This Row],[Puntos]]&lt;=ROUND(Piso,0),Piso,IF(Categorias_Registro[[#This Row],[Puntos]]&lt;D680,C680,D680+1))</f>
        <v>1882</v>
      </c>
      <c r="D679" s="15">
        <f>IF(Categorias_Registro[[#This Row],[Puntos]]=ROUND(Piso,0),ROUND(Categorias_Registro[[#This Row],[Puntos]]*(1+Categorias_Registro[[#This Row],[Amplitud]]),0),IF(Categorias_Registro[[#This Row],[Puntos]]&lt;D680,D680,ROUND(D680*(1+Categorias_Registro[[#This Row],[Amplitud]]),0)))</f>
        <v>2163</v>
      </c>
      <c r="E679" s="15">
        <f>E680+IF(D680=Categorias_Registro[[#This Row],[Máximo]],0,1)</f>
        <v>23</v>
      </c>
      <c r="F679" s="15">
        <f>ROUND(Categorias_Registro[[#This Row],[Mínimo]]+((Categorias_Registro[[#This Row],[Máximo]]-Categorias_Registro[[#This Row],[Mínimo]])/2),0)</f>
        <v>2023</v>
      </c>
      <c r="G679" s="78">
        <f>VLOOKUP(Categorias_Registro[[#This Row],[Puntos]],Categorias_Configuracion[],MATCH(Categorias_Configuracion[[#Headers],[% Amplitud]],Categorias_Configuracion[#Headers],0),TRUE)</f>
        <v>0.15</v>
      </c>
      <c r="H679" s="15" t="str">
        <f ca="1">TEXT(Categorias_Registro[[#This Row],[Mínimo]],Formato_Rango_Categorias)&amp;" - "&amp;TEXT(Categorias_Registro[[#This Row],[Máximo]],Formato_Rango_Categorias)</f>
        <v>1.882 - 2.163</v>
      </c>
    </row>
    <row r="680" spans="2:8">
      <c r="B680" s="15">
        <f>Techo - ROW() + ROW(Categorias_Registro[])</f>
        <v>1949</v>
      </c>
      <c r="C680" s="15">
        <f>IF(Categorias_Registro[[#This Row],[Puntos]]&lt;=ROUND(Piso,0),Piso,IF(Categorias_Registro[[#This Row],[Puntos]]&lt;D681,C681,D681+1))</f>
        <v>1882</v>
      </c>
      <c r="D680" s="15">
        <f>IF(Categorias_Registro[[#This Row],[Puntos]]=ROUND(Piso,0),ROUND(Categorias_Registro[[#This Row],[Puntos]]*(1+Categorias_Registro[[#This Row],[Amplitud]]),0),IF(Categorias_Registro[[#This Row],[Puntos]]&lt;D681,D681,ROUND(D681*(1+Categorias_Registro[[#This Row],[Amplitud]]),0)))</f>
        <v>2163</v>
      </c>
      <c r="E680" s="15">
        <f>E681+IF(D681=Categorias_Registro[[#This Row],[Máximo]],0,1)</f>
        <v>23</v>
      </c>
      <c r="F680" s="15">
        <f>ROUND(Categorias_Registro[[#This Row],[Mínimo]]+((Categorias_Registro[[#This Row],[Máximo]]-Categorias_Registro[[#This Row],[Mínimo]])/2),0)</f>
        <v>2023</v>
      </c>
      <c r="G680" s="78">
        <f>VLOOKUP(Categorias_Registro[[#This Row],[Puntos]],Categorias_Configuracion[],MATCH(Categorias_Configuracion[[#Headers],[% Amplitud]],Categorias_Configuracion[#Headers],0),TRUE)</f>
        <v>0.15</v>
      </c>
      <c r="H680" s="15" t="str">
        <f ca="1">TEXT(Categorias_Registro[[#This Row],[Mínimo]],Formato_Rango_Categorias)&amp;" - "&amp;TEXT(Categorias_Registro[[#This Row],[Máximo]],Formato_Rango_Categorias)</f>
        <v>1.882 - 2.163</v>
      </c>
    </row>
    <row r="681" spans="2:8">
      <c r="B681" s="15">
        <f>Techo - ROW() + ROW(Categorias_Registro[])</f>
        <v>1948</v>
      </c>
      <c r="C681" s="15">
        <f>IF(Categorias_Registro[[#This Row],[Puntos]]&lt;=ROUND(Piso,0),Piso,IF(Categorias_Registro[[#This Row],[Puntos]]&lt;D682,C682,D682+1))</f>
        <v>1882</v>
      </c>
      <c r="D681" s="15">
        <f>IF(Categorias_Registro[[#This Row],[Puntos]]=ROUND(Piso,0),ROUND(Categorias_Registro[[#This Row],[Puntos]]*(1+Categorias_Registro[[#This Row],[Amplitud]]),0),IF(Categorias_Registro[[#This Row],[Puntos]]&lt;D682,D682,ROUND(D682*(1+Categorias_Registro[[#This Row],[Amplitud]]),0)))</f>
        <v>2163</v>
      </c>
      <c r="E681" s="15">
        <f>E682+IF(D682=Categorias_Registro[[#This Row],[Máximo]],0,1)</f>
        <v>23</v>
      </c>
      <c r="F681" s="15">
        <f>ROUND(Categorias_Registro[[#This Row],[Mínimo]]+((Categorias_Registro[[#This Row],[Máximo]]-Categorias_Registro[[#This Row],[Mínimo]])/2),0)</f>
        <v>2023</v>
      </c>
      <c r="G681" s="78">
        <f>VLOOKUP(Categorias_Registro[[#This Row],[Puntos]],Categorias_Configuracion[],MATCH(Categorias_Configuracion[[#Headers],[% Amplitud]],Categorias_Configuracion[#Headers],0),TRUE)</f>
        <v>0.15</v>
      </c>
      <c r="H681" s="15" t="str">
        <f ca="1">TEXT(Categorias_Registro[[#This Row],[Mínimo]],Formato_Rango_Categorias)&amp;" - "&amp;TEXT(Categorias_Registro[[#This Row],[Máximo]],Formato_Rango_Categorias)</f>
        <v>1.882 - 2.163</v>
      </c>
    </row>
    <row r="682" spans="2:8">
      <c r="B682" s="15">
        <f>Techo - ROW() + ROW(Categorias_Registro[])</f>
        <v>1947</v>
      </c>
      <c r="C682" s="15">
        <f>IF(Categorias_Registro[[#This Row],[Puntos]]&lt;=ROUND(Piso,0),Piso,IF(Categorias_Registro[[#This Row],[Puntos]]&lt;D683,C683,D683+1))</f>
        <v>1882</v>
      </c>
      <c r="D682" s="15">
        <f>IF(Categorias_Registro[[#This Row],[Puntos]]=ROUND(Piso,0),ROUND(Categorias_Registro[[#This Row],[Puntos]]*(1+Categorias_Registro[[#This Row],[Amplitud]]),0),IF(Categorias_Registro[[#This Row],[Puntos]]&lt;D683,D683,ROUND(D683*(1+Categorias_Registro[[#This Row],[Amplitud]]),0)))</f>
        <v>2163</v>
      </c>
      <c r="E682" s="15">
        <f>E683+IF(D683=Categorias_Registro[[#This Row],[Máximo]],0,1)</f>
        <v>23</v>
      </c>
      <c r="F682" s="15">
        <f>ROUND(Categorias_Registro[[#This Row],[Mínimo]]+((Categorias_Registro[[#This Row],[Máximo]]-Categorias_Registro[[#This Row],[Mínimo]])/2),0)</f>
        <v>2023</v>
      </c>
      <c r="G682" s="78">
        <f>VLOOKUP(Categorias_Registro[[#This Row],[Puntos]],Categorias_Configuracion[],MATCH(Categorias_Configuracion[[#Headers],[% Amplitud]],Categorias_Configuracion[#Headers],0),TRUE)</f>
        <v>0.15</v>
      </c>
      <c r="H682" s="15" t="str">
        <f ca="1">TEXT(Categorias_Registro[[#This Row],[Mínimo]],Formato_Rango_Categorias)&amp;" - "&amp;TEXT(Categorias_Registro[[#This Row],[Máximo]],Formato_Rango_Categorias)</f>
        <v>1.882 - 2.163</v>
      </c>
    </row>
    <row r="683" spans="2:8">
      <c r="B683" s="15">
        <f>Techo - ROW() + ROW(Categorias_Registro[])</f>
        <v>1946</v>
      </c>
      <c r="C683" s="15">
        <f>IF(Categorias_Registro[[#This Row],[Puntos]]&lt;=ROUND(Piso,0),Piso,IF(Categorias_Registro[[#This Row],[Puntos]]&lt;D684,C684,D684+1))</f>
        <v>1882</v>
      </c>
      <c r="D683" s="15">
        <f>IF(Categorias_Registro[[#This Row],[Puntos]]=ROUND(Piso,0),ROUND(Categorias_Registro[[#This Row],[Puntos]]*(1+Categorias_Registro[[#This Row],[Amplitud]]),0),IF(Categorias_Registro[[#This Row],[Puntos]]&lt;D684,D684,ROUND(D684*(1+Categorias_Registro[[#This Row],[Amplitud]]),0)))</f>
        <v>2163</v>
      </c>
      <c r="E683" s="15">
        <f>E684+IF(D684=Categorias_Registro[[#This Row],[Máximo]],0,1)</f>
        <v>23</v>
      </c>
      <c r="F683" s="15">
        <f>ROUND(Categorias_Registro[[#This Row],[Mínimo]]+((Categorias_Registro[[#This Row],[Máximo]]-Categorias_Registro[[#This Row],[Mínimo]])/2),0)</f>
        <v>2023</v>
      </c>
      <c r="G683" s="78">
        <f>VLOOKUP(Categorias_Registro[[#This Row],[Puntos]],Categorias_Configuracion[],MATCH(Categorias_Configuracion[[#Headers],[% Amplitud]],Categorias_Configuracion[#Headers],0),TRUE)</f>
        <v>0.15</v>
      </c>
      <c r="H683" s="15" t="str">
        <f ca="1">TEXT(Categorias_Registro[[#This Row],[Mínimo]],Formato_Rango_Categorias)&amp;" - "&amp;TEXT(Categorias_Registro[[#This Row],[Máximo]],Formato_Rango_Categorias)</f>
        <v>1.882 - 2.163</v>
      </c>
    </row>
    <row r="684" spans="2:8">
      <c r="B684" s="15">
        <f>Techo - ROW() + ROW(Categorias_Registro[])</f>
        <v>1945</v>
      </c>
      <c r="C684" s="15">
        <f>IF(Categorias_Registro[[#This Row],[Puntos]]&lt;=ROUND(Piso,0),Piso,IF(Categorias_Registro[[#This Row],[Puntos]]&lt;D685,C685,D685+1))</f>
        <v>1882</v>
      </c>
      <c r="D684" s="15">
        <f>IF(Categorias_Registro[[#This Row],[Puntos]]=ROUND(Piso,0),ROUND(Categorias_Registro[[#This Row],[Puntos]]*(1+Categorias_Registro[[#This Row],[Amplitud]]),0),IF(Categorias_Registro[[#This Row],[Puntos]]&lt;D685,D685,ROUND(D685*(1+Categorias_Registro[[#This Row],[Amplitud]]),0)))</f>
        <v>2163</v>
      </c>
      <c r="E684" s="15">
        <f>E685+IF(D685=Categorias_Registro[[#This Row],[Máximo]],0,1)</f>
        <v>23</v>
      </c>
      <c r="F684" s="15">
        <f>ROUND(Categorias_Registro[[#This Row],[Mínimo]]+((Categorias_Registro[[#This Row],[Máximo]]-Categorias_Registro[[#This Row],[Mínimo]])/2),0)</f>
        <v>2023</v>
      </c>
      <c r="G684" s="78">
        <f>VLOOKUP(Categorias_Registro[[#This Row],[Puntos]],Categorias_Configuracion[],MATCH(Categorias_Configuracion[[#Headers],[% Amplitud]],Categorias_Configuracion[#Headers],0),TRUE)</f>
        <v>0.15</v>
      </c>
      <c r="H684" s="15" t="str">
        <f ca="1">TEXT(Categorias_Registro[[#This Row],[Mínimo]],Formato_Rango_Categorias)&amp;" - "&amp;TEXT(Categorias_Registro[[#This Row],[Máximo]],Formato_Rango_Categorias)</f>
        <v>1.882 - 2.163</v>
      </c>
    </row>
    <row r="685" spans="2:8">
      <c r="B685" s="15">
        <f>Techo - ROW() + ROW(Categorias_Registro[])</f>
        <v>1944</v>
      </c>
      <c r="C685" s="15">
        <f>IF(Categorias_Registro[[#This Row],[Puntos]]&lt;=ROUND(Piso,0),Piso,IF(Categorias_Registro[[#This Row],[Puntos]]&lt;D686,C686,D686+1))</f>
        <v>1882</v>
      </c>
      <c r="D685" s="15">
        <f>IF(Categorias_Registro[[#This Row],[Puntos]]=ROUND(Piso,0),ROUND(Categorias_Registro[[#This Row],[Puntos]]*(1+Categorias_Registro[[#This Row],[Amplitud]]),0),IF(Categorias_Registro[[#This Row],[Puntos]]&lt;D686,D686,ROUND(D686*(1+Categorias_Registro[[#This Row],[Amplitud]]),0)))</f>
        <v>2163</v>
      </c>
      <c r="E685" s="15">
        <f>E686+IF(D686=Categorias_Registro[[#This Row],[Máximo]],0,1)</f>
        <v>23</v>
      </c>
      <c r="F685" s="15">
        <f>ROUND(Categorias_Registro[[#This Row],[Mínimo]]+((Categorias_Registro[[#This Row],[Máximo]]-Categorias_Registro[[#This Row],[Mínimo]])/2),0)</f>
        <v>2023</v>
      </c>
      <c r="G685" s="78">
        <f>VLOOKUP(Categorias_Registro[[#This Row],[Puntos]],Categorias_Configuracion[],MATCH(Categorias_Configuracion[[#Headers],[% Amplitud]],Categorias_Configuracion[#Headers],0),TRUE)</f>
        <v>0.15</v>
      </c>
      <c r="H685" s="15" t="str">
        <f ca="1">TEXT(Categorias_Registro[[#This Row],[Mínimo]],Formato_Rango_Categorias)&amp;" - "&amp;TEXT(Categorias_Registro[[#This Row],[Máximo]],Formato_Rango_Categorias)</f>
        <v>1.882 - 2.163</v>
      </c>
    </row>
    <row r="686" spans="2:8">
      <c r="B686" s="15">
        <f>Techo - ROW() + ROW(Categorias_Registro[])</f>
        <v>1943</v>
      </c>
      <c r="C686" s="15">
        <f>IF(Categorias_Registro[[#This Row],[Puntos]]&lt;=ROUND(Piso,0),Piso,IF(Categorias_Registro[[#This Row],[Puntos]]&lt;D687,C687,D687+1))</f>
        <v>1882</v>
      </c>
      <c r="D686" s="15">
        <f>IF(Categorias_Registro[[#This Row],[Puntos]]=ROUND(Piso,0),ROUND(Categorias_Registro[[#This Row],[Puntos]]*(1+Categorias_Registro[[#This Row],[Amplitud]]),0),IF(Categorias_Registro[[#This Row],[Puntos]]&lt;D687,D687,ROUND(D687*(1+Categorias_Registro[[#This Row],[Amplitud]]),0)))</f>
        <v>2163</v>
      </c>
      <c r="E686" s="15">
        <f>E687+IF(D687=Categorias_Registro[[#This Row],[Máximo]],0,1)</f>
        <v>23</v>
      </c>
      <c r="F686" s="15">
        <f>ROUND(Categorias_Registro[[#This Row],[Mínimo]]+((Categorias_Registro[[#This Row],[Máximo]]-Categorias_Registro[[#This Row],[Mínimo]])/2),0)</f>
        <v>2023</v>
      </c>
      <c r="G686" s="78">
        <f>VLOOKUP(Categorias_Registro[[#This Row],[Puntos]],Categorias_Configuracion[],MATCH(Categorias_Configuracion[[#Headers],[% Amplitud]],Categorias_Configuracion[#Headers],0),TRUE)</f>
        <v>0.15</v>
      </c>
      <c r="H686" s="15" t="str">
        <f ca="1">TEXT(Categorias_Registro[[#This Row],[Mínimo]],Formato_Rango_Categorias)&amp;" - "&amp;TEXT(Categorias_Registro[[#This Row],[Máximo]],Formato_Rango_Categorias)</f>
        <v>1.882 - 2.163</v>
      </c>
    </row>
    <row r="687" spans="2:8">
      <c r="B687" s="15">
        <f>Techo - ROW() + ROW(Categorias_Registro[])</f>
        <v>1942</v>
      </c>
      <c r="C687" s="15">
        <f>IF(Categorias_Registro[[#This Row],[Puntos]]&lt;=ROUND(Piso,0),Piso,IF(Categorias_Registro[[#This Row],[Puntos]]&lt;D688,C688,D688+1))</f>
        <v>1882</v>
      </c>
      <c r="D687" s="15">
        <f>IF(Categorias_Registro[[#This Row],[Puntos]]=ROUND(Piso,0),ROUND(Categorias_Registro[[#This Row],[Puntos]]*(1+Categorias_Registro[[#This Row],[Amplitud]]),0),IF(Categorias_Registro[[#This Row],[Puntos]]&lt;D688,D688,ROUND(D688*(1+Categorias_Registro[[#This Row],[Amplitud]]),0)))</f>
        <v>2163</v>
      </c>
      <c r="E687" s="15">
        <f>E688+IF(D688=Categorias_Registro[[#This Row],[Máximo]],0,1)</f>
        <v>23</v>
      </c>
      <c r="F687" s="15">
        <f>ROUND(Categorias_Registro[[#This Row],[Mínimo]]+((Categorias_Registro[[#This Row],[Máximo]]-Categorias_Registro[[#This Row],[Mínimo]])/2),0)</f>
        <v>2023</v>
      </c>
      <c r="G687" s="78">
        <f>VLOOKUP(Categorias_Registro[[#This Row],[Puntos]],Categorias_Configuracion[],MATCH(Categorias_Configuracion[[#Headers],[% Amplitud]],Categorias_Configuracion[#Headers],0),TRUE)</f>
        <v>0.15</v>
      </c>
      <c r="H687" s="15" t="str">
        <f ca="1">TEXT(Categorias_Registro[[#This Row],[Mínimo]],Formato_Rango_Categorias)&amp;" - "&amp;TEXT(Categorias_Registro[[#This Row],[Máximo]],Formato_Rango_Categorias)</f>
        <v>1.882 - 2.163</v>
      </c>
    </row>
    <row r="688" spans="2:8">
      <c r="B688" s="15">
        <f>Techo - ROW() + ROW(Categorias_Registro[])</f>
        <v>1941</v>
      </c>
      <c r="C688" s="15">
        <f>IF(Categorias_Registro[[#This Row],[Puntos]]&lt;=ROUND(Piso,0),Piso,IF(Categorias_Registro[[#This Row],[Puntos]]&lt;D689,C689,D689+1))</f>
        <v>1882</v>
      </c>
      <c r="D688" s="15">
        <f>IF(Categorias_Registro[[#This Row],[Puntos]]=ROUND(Piso,0),ROUND(Categorias_Registro[[#This Row],[Puntos]]*(1+Categorias_Registro[[#This Row],[Amplitud]]),0),IF(Categorias_Registro[[#This Row],[Puntos]]&lt;D689,D689,ROUND(D689*(1+Categorias_Registro[[#This Row],[Amplitud]]),0)))</f>
        <v>2163</v>
      </c>
      <c r="E688" s="15">
        <f>E689+IF(D689=Categorias_Registro[[#This Row],[Máximo]],0,1)</f>
        <v>23</v>
      </c>
      <c r="F688" s="15">
        <f>ROUND(Categorias_Registro[[#This Row],[Mínimo]]+((Categorias_Registro[[#This Row],[Máximo]]-Categorias_Registro[[#This Row],[Mínimo]])/2),0)</f>
        <v>2023</v>
      </c>
      <c r="G688" s="78">
        <f>VLOOKUP(Categorias_Registro[[#This Row],[Puntos]],Categorias_Configuracion[],MATCH(Categorias_Configuracion[[#Headers],[% Amplitud]],Categorias_Configuracion[#Headers],0),TRUE)</f>
        <v>0.15</v>
      </c>
      <c r="H688" s="15" t="str">
        <f ca="1">TEXT(Categorias_Registro[[#This Row],[Mínimo]],Formato_Rango_Categorias)&amp;" - "&amp;TEXT(Categorias_Registro[[#This Row],[Máximo]],Formato_Rango_Categorias)</f>
        <v>1.882 - 2.163</v>
      </c>
    </row>
    <row r="689" spans="2:8">
      <c r="B689" s="15">
        <f>Techo - ROW() + ROW(Categorias_Registro[])</f>
        <v>1940</v>
      </c>
      <c r="C689" s="15">
        <f>IF(Categorias_Registro[[#This Row],[Puntos]]&lt;=ROUND(Piso,0),Piso,IF(Categorias_Registro[[#This Row],[Puntos]]&lt;D690,C690,D690+1))</f>
        <v>1882</v>
      </c>
      <c r="D689" s="15">
        <f>IF(Categorias_Registro[[#This Row],[Puntos]]=ROUND(Piso,0),ROUND(Categorias_Registro[[#This Row],[Puntos]]*(1+Categorias_Registro[[#This Row],[Amplitud]]),0),IF(Categorias_Registro[[#This Row],[Puntos]]&lt;D690,D690,ROUND(D690*(1+Categorias_Registro[[#This Row],[Amplitud]]),0)))</f>
        <v>2163</v>
      </c>
      <c r="E689" s="15">
        <f>E690+IF(D690=Categorias_Registro[[#This Row],[Máximo]],0,1)</f>
        <v>23</v>
      </c>
      <c r="F689" s="15">
        <f>ROUND(Categorias_Registro[[#This Row],[Mínimo]]+((Categorias_Registro[[#This Row],[Máximo]]-Categorias_Registro[[#This Row],[Mínimo]])/2),0)</f>
        <v>2023</v>
      </c>
      <c r="G689" s="78">
        <f>VLOOKUP(Categorias_Registro[[#This Row],[Puntos]],Categorias_Configuracion[],MATCH(Categorias_Configuracion[[#Headers],[% Amplitud]],Categorias_Configuracion[#Headers],0),TRUE)</f>
        <v>0.15</v>
      </c>
      <c r="H689" s="15" t="str">
        <f ca="1">TEXT(Categorias_Registro[[#This Row],[Mínimo]],Formato_Rango_Categorias)&amp;" - "&amp;TEXT(Categorias_Registro[[#This Row],[Máximo]],Formato_Rango_Categorias)</f>
        <v>1.882 - 2.163</v>
      </c>
    </row>
    <row r="690" spans="2:8">
      <c r="B690" s="15">
        <f>Techo - ROW() + ROW(Categorias_Registro[])</f>
        <v>1939</v>
      </c>
      <c r="C690" s="15">
        <f>IF(Categorias_Registro[[#This Row],[Puntos]]&lt;=ROUND(Piso,0),Piso,IF(Categorias_Registro[[#This Row],[Puntos]]&lt;D691,C691,D691+1))</f>
        <v>1882</v>
      </c>
      <c r="D690" s="15">
        <f>IF(Categorias_Registro[[#This Row],[Puntos]]=ROUND(Piso,0),ROUND(Categorias_Registro[[#This Row],[Puntos]]*(1+Categorias_Registro[[#This Row],[Amplitud]]),0),IF(Categorias_Registro[[#This Row],[Puntos]]&lt;D691,D691,ROUND(D691*(1+Categorias_Registro[[#This Row],[Amplitud]]),0)))</f>
        <v>2163</v>
      </c>
      <c r="E690" s="15">
        <f>E691+IF(D691=Categorias_Registro[[#This Row],[Máximo]],0,1)</f>
        <v>23</v>
      </c>
      <c r="F690" s="15">
        <f>ROUND(Categorias_Registro[[#This Row],[Mínimo]]+((Categorias_Registro[[#This Row],[Máximo]]-Categorias_Registro[[#This Row],[Mínimo]])/2),0)</f>
        <v>2023</v>
      </c>
      <c r="G690" s="78">
        <f>VLOOKUP(Categorias_Registro[[#This Row],[Puntos]],Categorias_Configuracion[],MATCH(Categorias_Configuracion[[#Headers],[% Amplitud]],Categorias_Configuracion[#Headers],0),TRUE)</f>
        <v>0.15</v>
      </c>
      <c r="H690" s="15" t="str">
        <f ca="1">TEXT(Categorias_Registro[[#This Row],[Mínimo]],Formato_Rango_Categorias)&amp;" - "&amp;TEXT(Categorias_Registro[[#This Row],[Máximo]],Formato_Rango_Categorias)</f>
        <v>1.882 - 2.163</v>
      </c>
    </row>
    <row r="691" spans="2:8">
      <c r="B691" s="15">
        <f>Techo - ROW() + ROW(Categorias_Registro[])</f>
        <v>1938</v>
      </c>
      <c r="C691" s="15">
        <f>IF(Categorias_Registro[[#This Row],[Puntos]]&lt;=ROUND(Piso,0),Piso,IF(Categorias_Registro[[#This Row],[Puntos]]&lt;D692,C692,D692+1))</f>
        <v>1882</v>
      </c>
      <c r="D691" s="15">
        <f>IF(Categorias_Registro[[#This Row],[Puntos]]=ROUND(Piso,0),ROUND(Categorias_Registro[[#This Row],[Puntos]]*(1+Categorias_Registro[[#This Row],[Amplitud]]),0),IF(Categorias_Registro[[#This Row],[Puntos]]&lt;D692,D692,ROUND(D692*(1+Categorias_Registro[[#This Row],[Amplitud]]),0)))</f>
        <v>2163</v>
      </c>
      <c r="E691" s="15">
        <f>E692+IF(D692=Categorias_Registro[[#This Row],[Máximo]],0,1)</f>
        <v>23</v>
      </c>
      <c r="F691" s="15">
        <f>ROUND(Categorias_Registro[[#This Row],[Mínimo]]+((Categorias_Registro[[#This Row],[Máximo]]-Categorias_Registro[[#This Row],[Mínimo]])/2),0)</f>
        <v>2023</v>
      </c>
      <c r="G691" s="78">
        <f>VLOOKUP(Categorias_Registro[[#This Row],[Puntos]],Categorias_Configuracion[],MATCH(Categorias_Configuracion[[#Headers],[% Amplitud]],Categorias_Configuracion[#Headers],0),TRUE)</f>
        <v>0.15</v>
      </c>
      <c r="H691" s="15" t="str">
        <f ca="1">TEXT(Categorias_Registro[[#This Row],[Mínimo]],Formato_Rango_Categorias)&amp;" - "&amp;TEXT(Categorias_Registro[[#This Row],[Máximo]],Formato_Rango_Categorias)</f>
        <v>1.882 - 2.163</v>
      </c>
    </row>
    <row r="692" spans="2:8">
      <c r="B692" s="15">
        <f>Techo - ROW() + ROW(Categorias_Registro[])</f>
        <v>1937</v>
      </c>
      <c r="C692" s="15">
        <f>IF(Categorias_Registro[[#This Row],[Puntos]]&lt;=ROUND(Piso,0),Piso,IF(Categorias_Registro[[#This Row],[Puntos]]&lt;D693,C693,D693+1))</f>
        <v>1882</v>
      </c>
      <c r="D692" s="15">
        <f>IF(Categorias_Registro[[#This Row],[Puntos]]=ROUND(Piso,0),ROUND(Categorias_Registro[[#This Row],[Puntos]]*(1+Categorias_Registro[[#This Row],[Amplitud]]),0),IF(Categorias_Registro[[#This Row],[Puntos]]&lt;D693,D693,ROUND(D693*(1+Categorias_Registro[[#This Row],[Amplitud]]),0)))</f>
        <v>2163</v>
      </c>
      <c r="E692" s="15">
        <f>E693+IF(D693=Categorias_Registro[[#This Row],[Máximo]],0,1)</f>
        <v>23</v>
      </c>
      <c r="F692" s="15">
        <f>ROUND(Categorias_Registro[[#This Row],[Mínimo]]+((Categorias_Registro[[#This Row],[Máximo]]-Categorias_Registro[[#This Row],[Mínimo]])/2),0)</f>
        <v>2023</v>
      </c>
      <c r="G692" s="78">
        <f>VLOOKUP(Categorias_Registro[[#This Row],[Puntos]],Categorias_Configuracion[],MATCH(Categorias_Configuracion[[#Headers],[% Amplitud]],Categorias_Configuracion[#Headers],0),TRUE)</f>
        <v>0.15</v>
      </c>
      <c r="H692" s="15" t="str">
        <f ca="1">TEXT(Categorias_Registro[[#This Row],[Mínimo]],Formato_Rango_Categorias)&amp;" - "&amp;TEXT(Categorias_Registro[[#This Row],[Máximo]],Formato_Rango_Categorias)</f>
        <v>1.882 - 2.163</v>
      </c>
    </row>
    <row r="693" spans="2:8">
      <c r="B693" s="15">
        <f>Techo - ROW() + ROW(Categorias_Registro[])</f>
        <v>1936</v>
      </c>
      <c r="C693" s="15">
        <f>IF(Categorias_Registro[[#This Row],[Puntos]]&lt;=ROUND(Piso,0),Piso,IF(Categorias_Registro[[#This Row],[Puntos]]&lt;D694,C694,D694+1))</f>
        <v>1882</v>
      </c>
      <c r="D693" s="15">
        <f>IF(Categorias_Registro[[#This Row],[Puntos]]=ROUND(Piso,0),ROUND(Categorias_Registro[[#This Row],[Puntos]]*(1+Categorias_Registro[[#This Row],[Amplitud]]),0),IF(Categorias_Registro[[#This Row],[Puntos]]&lt;D694,D694,ROUND(D694*(1+Categorias_Registro[[#This Row],[Amplitud]]),0)))</f>
        <v>2163</v>
      </c>
      <c r="E693" s="15">
        <f>E694+IF(D694=Categorias_Registro[[#This Row],[Máximo]],0,1)</f>
        <v>23</v>
      </c>
      <c r="F693" s="15">
        <f>ROUND(Categorias_Registro[[#This Row],[Mínimo]]+((Categorias_Registro[[#This Row],[Máximo]]-Categorias_Registro[[#This Row],[Mínimo]])/2),0)</f>
        <v>2023</v>
      </c>
      <c r="G693" s="78">
        <f>VLOOKUP(Categorias_Registro[[#This Row],[Puntos]],Categorias_Configuracion[],MATCH(Categorias_Configuracion[[#Headers],[% Amplitud]],Categorias_Configuracion[#Headers],0),TRUE)</f>
        <v>0.15</v>
      </c>
      <c r="H693" s="15" t="str">
        <f ca="1">TEXT(Categorias_Registro[[#This Row],[Mínimo]],Formato_Rango_Categorias)&amp;" - "&amp;TEXT(Categorias_Registro[[#This Row],[Máximo]],Formato_Rango_Categorias)</f>
        <v>1.882 - 2.163</v>
      </c>
    </row>
    <row r="694" spans="2:8">
      <c r="B694" s="15">
        <f>Techo - ROW() + ROW(Categorias_Registro[])</f>
        <v>1935</v>
      </c>
      <c r="C694" s="15">
        <f>IF(Categorias_Registro[[#This Row],[Puntos]]&lt;=ROUND(Piso,0),Piso,IF(Categorias_Registro[[#This Row],[Puntos]]&lt;D695,C695,D695+1))</f>
        <v>1882</v>
      </c>
      <c r="D694" s="15">
        <f>IF(Categorias_Registro[[#This Row],[Puntos]]=ROUND(Piso,0),ROUND(Categorias_Registro[[#This Row],[Puntos]]*(1+Categorias_Registro[[#This Row],[Amplitud]]),0),IF(Categorias_Registro[[#This Row],[Puntos]]&lt;D695,D695,ROUND(D695*(1+Categorias_Registro[[#This Row],[Amplitud]]),0)))</f>
        <v>2163</v>
      </c>
      <c r="E694" s="15">
        <f>E695+IF(D695=Categorias_Registro[[#This Row],[Máximo]],0,1)</f>
        <v>23</v>
      </c>
      <c r="F694" s="15">
        <f>ROUND(Categorias_Registro[[#This Row],[Mínimo]]+((Categorias_Registro[[#This Row],[Máximo]]-Categorias_Registro[[#This Row],[Mínimo]])/2),0)</f>
        <v>2023</v>
      </c>
      <c r="G694" s="78">
        <f>VLOOKUP(Categorias_Registro[[#This Row],[Puntos]],Categorias_Configuracion[],MATCH(Categorias_Configuracion[[#Headers],[% Amplitud]],Categorias_Configuracion[#Headers],0),TRUE)</f>
        <v>0.15</v>
      </c>
      <c r="H694" s="15" t="str">
        <f ca="1">TEXT(Categorias_Registro[[#This Row],[Mínimo]],Formato_Rango_Categorias)&amp;" - "&amp;TEXT(Categorias_Registro[[#This Row],[Máximo]],Formato_Rango_Categorias)</f>
        <v>1.882 - 2.163</v>
      </c>
    </row>
    <row r="695" spans="2:8">
      <c r="B695" s="15">
        <f>Techo - ROW() + ROW(Categorias_Registro[])</f>
        <v>1934</v>
      </c>
      <c r="C695" s="15">
        <f>IF(Categorias_Registro[[#This Row],[Puntos]]&lt;=ROUND(Piso,0),Piso,IF(Categorias_Registro[[#This Row],[Puntos]]&lt;D696,C696,D696+1))</f>
        <v>1882</v>
      </c>
      <c r="D695" s="15">
        <f>IF(Categorias_Registro[[#This Row],[Puntos]]=ROUND(Piso,0),ROUND(Categorias_Registro[[#This Row],[Puntos]]*(1+Categorias_Registro[[#This Row],[Amplitud]]),0),IF(Categorias_Registro[[#This Row],[Puntos]]&lt;D696,D696,ROUND(D696*(1+Categorias_Registro[[#This Row],[Amplitud]]),0)))</f>
        <v>2163</v>
      </c>
      <c r="E695" s="15">
        <f>E696+IF(D696=Categorias_Registro[[#This Row],[Máximo]],0,1)</f>
        <v>23</v>
      </c>
      <c r="F695" s="15">
        <f>ROUND(Categorias_Registro[[#This Row],[Mínimo]]+((Categorias_Registro[[#This Row],[Máximo]]-Categorias_Registro[[#This Row],[Mínimo]])/2),0)</f>
        <v>2023</v>
      </c>
      <c r="G695" s="78">
        <f>VLOOKUP(Categorias_Registro[[#This Row],[Puntos]],Categorias_Configuracion[],MATCH(Categorias_Configuracion[[#Headers],[% Amplitud]],Categorias_Configuracion[#Headers],0),TRUE)</f>
        <v>0.15</v>
      </c>
      <c r="H695" s="15" t="str">
        <f ca="1">TEXT(Categorias_Registro[[#This Row],[Mínimo]],Formato_Rango_Categorias)&amp;" - "&amp;TEXT(Categorias_Registro[[#This Row],[Máximo]],Formato_Rango_Categorias)</f>
        <v>1.882 - 2.163</v>
      </c>
    </row>
    <row r="696" spans="2:8">
      <c r="B696" s="15">
        <f>Techo - ROW() + ROW(Categorias_Registro[])</f>
        <v>1933</v>
      </c>
      <c r="C696" s="15">
        <f>IF(Categorias_Registro[[#This Row],[Puntos]]&lt;=ROUND(Piso,0),Piso,IF(Categorias_Registro[[#This Row],[Puntos]]&lt;D697,C697,D697+1))</f>
        <v>1882</v>
      </c>
      <c r="D696" s="15">
        <f>IF(Categorias_Registro[[#This Row],[Puntos]]=ROUND(Piso,0),ROUND(Categorias_Registro[[#This Row],[Puntos]]*(1+Categorias_Registro[[#This Row],[Amplitud]]),0),IF(Categorias_Registro[[#This Row],[Puntos]]&lt;D697,D697,ROUND(D697*(1+Categorias_Registro[[#This Row],[Amplitud]]),0)))</f>
        <v>2163</v>
      </c>
      <c r="E696" s="15">
        <f>E697+IF(D697=Categorias_Registro[[#This Row],[Máximo]],0,1)</f>
        <v>23</v>
      </c>
      <c r="F696" s="15">
        <f>ROUND(Categorias_Registro[[#This Row],[Mínimo]]+((Categorias_Registro[[#This Row],[Máximo]]-Categorias_Registro[[#This Row],[Mínimo]])/2),0)</f>
        <v>2023</v>
      </c>
      <c r="G696" s="78">
        <f>VLOOKUP(Categorias_Registro[[#This Row],[Puntos]],Categorias_Configuracion[],MATCH(Categorias_Configuracion[[#Headers],[% Amplitud]],Categorias_Configuracion[#Headers],0),TRUE)</f>
        <v>0.15</v>
      </c>
      <c r="H696" s="15" t="str">
        <f ca="1">TEXT(Categorias_Registro[[#This Row],[Mínimo]],Formato_Rango_Categorias)&amp;" - "&amp;TEXT(Categorias_Registro[[#This Row],[Máximo]],Formato_Rango_Categorias)</f>
        <v>1.882 - 2.163</v>
      </c>
    </row>
    <row r="697" spans="2:8">
      <c r="B697" s="15">
        <f>Techo - ROW() + ROW(Categorias_Registro[])</f>
        <v>1932</v>
      </c>
      <c r="C697" s="15">
        <f>IF(Categorias_Registro[[#This Row],[Puntos]]&lt;=ROUND(Piso,0),Piso,IF(Categorias_Registro[[#This Row],[Puntos]]&lt;D698,C698,D698+1))</f>
        <v>1882</v>
      </c>
      <c r="D697" s="15">
        <f>IF(Categorias_Registro[[#This Row],[Puntos]]=ROUND(Piso,0),ROUND(Categorias_Registro[[#This Row],[Puntos]]*(1+Categorias_Registro[[#This Row],[Amplitud]]),0),IF(Categorias_Registro[[#This Row],[Puntos]]&lt;D698,D698,ROUND(D698*(1+Categorias_Registro[[#This Row],[Amplitud]]),0)))</f>
        <v>2163</v>
      </c>
      <c r="E697" s="15">
        <f>E698+IF(D698=Categorias_Registro[[#This Row],[Máximo]],0,1)</f>
        <v>23</v>
      </c>
      <c r="F697" s="15">
        <f>ROUND(Categorias_Registro[[#This Row],[Mínimo]]+((Categorias_Registro[[#This Row],[Máximo]]-Categorias_Registro[[#This Row],[Mínimo]])/2),0)</f>
        <v>2023</v>
      </c>
      <c r="G697" s="78">
        <f>VLOOKUP(Categorias_Registro[[#This Row],[Puntos]],Categorias_Configuracion[],MATCH(Categorias_Configuracion[[#Headers],[% Amplitud]],Categorias_Configuracion[#Headers],0),TRUE)</f>
        <v>0.15</v>
      </c>
      <c r="H697" s="15" t="str">
        <f ca="1">TEXT(Categorias_Registro[[#This Row],[Mínimo]],Formato_Rango_Categorias)&amp;" - "&amp;TEXT(Categorias_Registro[[#This Row],[Máximo]],Formato_Rango_Categorias)</f>
        <v>1.882 - 2.163</v>
      </c>
    </row>
    <row r="698" spans="2:8">
      <c r="B698" s="15">
        <f>Techo - ROW() + ROW(Categorias_Registro[])</f>
        <v>1931</v>
      </c>
      <c r="C698" s="15">
        <f>IF(Categorias_Registro[[#This Row],[Puntos]]&lt;=ROUND(Piso,0),Piso,IF(Categorias_Registro[[#This Row],[Puntos]]&lt;D699,C699,D699+1))</f>
        <v>1882</v>
      </c>
      <c r="D698" s="15">
        <f>IF(Categorias_Registro[[#This Row],[Puntos]]=ROUND(Piso,0),ROUND(Categorias_Registro[[#This Row],[Puntos]]*(1+Categorias_Registro[[#This Row],[Amplitud]]),0),IF(Categorias_Registro[[#This Row],[Puntos]]&lt;D699,D699,ROUND(D699*(1+Categorias_Registro[[#This Row],[Amplitud]]),0)))</f>
        <v>2163</v>
      </c>
      <c r="E698" s="15">
        <f>E699+IF(D699=Categorias_Registro[[#This Row],[Máximo]],0,1)</f>
        <v>23</v>
      </c>
      <c r="F698" s="15">
        <f>ROUND(Categorias_Registro[[#This Row],[Mínimo]]+((Categorias_Registro[[#This Row],[Máximo]]-Categorias_Registro[[#This Row],[Mínimo]])/2),0)</f>
        <v>2023</v>
      </c>
      <c r="G698" s="78">
        <f>VLOOKUP(Categorias_Registro[[#This Row],[Puntos]],Categorias_Configuracion[],MATCH(Categorias_Configuracion[[#Headers],[% Amplitud]],Categorias_Configuracion[#Headers],0),TRUE)</f>
        <v>0.15</v>
      </c>
      <c r="H698" s="15" t="str">
        <f ca="1">TEXT(Categorias_Registro[[#This Row],[Mínimo]],Formato_Rango_Categorias)&amp;" - "&amp;TEXT(Categorias_Registro[[#This Row],[Máximo]],Formato_Rango_Categorias)</f>
        <v>1.882 - 2.163</v>
      </c>
    </row>
    <row r="699" spans="2:8">
      <c r="B699" s="15">
        <f>Techo - ROW() + ROW(Categorias_Registro[])</f>
        <v>1930</v>
      </c>
      <c r="C699" s="15">
        <f>IF(Categorias_Registro[[#This Row],[Puntos]]&lt;=ROUND(Piso,0),Piso,IF(Categorias_Registro[[#This Row],[Puntos]]&lt;D700,C700,D700+1))</f>
        <v>1882</v>
      </c>
      <c r="D699" s="15">
        <f>IF(Categorias_Registro[[#This Row],[Puntos]]=ROUND(Piso,0),ROUND(Categorias_Registro[[#This Row],[Puntos]]*(1+Categorias_Registro[[#This Row],[Amplitud]]),0),IF(Categorias_Registro[[#This Row],[Puntos]]&lt;D700,D700,ROUND(D700*(1+Categorias_Registro[[#This Row],[Amplitud]]),0)))</f>
        <v>2163</v>
      </c>
      <c r="E699" s="15">
        <f>E700+IF(D700=Categorias_Registro[[#This Row],[Máximo]],0,1)</f>
        <v>23</v>
      </c>
      <c r="F699" s="15">
        <f>ROUND(Categorias_Registro[[#This Row],[Mínimo]]+((Categorias_Registro[[#This Row],[Máximo]]-Categorias_Registro[[#This Row],[Mínimo]])/2),0)</f>
        <v>2023</v>
      </c>
      <c r="G699" s="78">
        <f>VLOOKUP(Categorias_Registro[[#This Row],[Puntos]],Categorias_Configuracion[],MATCH(Categorias_Configuracion[[#Headers],[% Amplitud]],Categorias_Configuracion[#Headers],0),TRUE)</f>
        <v>0.15</v>
      </c>
      <c r="H699" s="15" t="str">
        <f ca="1">TEXT(Categorias_Registro[[#This Row],[Mínimo]],Formato_Rango_Categorias)&amp;" - "&amp;TEXT(Categorias_Registro[[#This Row],[Máximo]],Formato_Rango_Categorias)</f>
        <v>1.882 - 2.163</v>
      </c>
    </row>
    <row r="700" spans="2:8">
      <c r="B700" s="15">
        <f>Techo - ROW() + ROW(Categorias_Registro[])</f>
        <v>1929</v>
      </c>
      <c r="C700" s="15">
        <f>IF(Categorias_Registro[[#This Row],[Puntos]]&lt;=ROUND(Piso,0),Piso,IF(Categorias_Registro[[#This Row],[Puntos]]&lt;D701,C701,D701+1))</f>
        <v>1882</v>
      </c>
      <c r="D700" s="15">
        <f>IF(Categorias_Registro[[#This Row],[Puntos]]=ROUND(Piso,0),ROUND(Categorias_Registro[[#This Row],[Puntos]]*(1+Categorias_Registro[[#This Row],[Amplitud]]),0),IF(Categorias_Registro[[#This Row],[Puntos]]&lt;D701,D701,ROUND(D701*(1+Categorias_Registro[[#This Row],[Amplitud]]),0)))</f>
        <v>2163</v>
      </c>
      <c r="E700" s="15">
        <f>E701+IF(D701=Categorias_Registro[[#This Row],[Máximo]],0,1)</f>
        <v>23</v>
      </c>
      <c r="F700" s="15">
        <f>ROUND(Categorias_Registro[[#This Row],[Mínimo]]+((Categorias_Registro[[#This Row],[Máximo]]-Categorias_Registro[[#This Row],[Mínimo]])/2),0)</f>
        <v>2023</v>
      </c>
      <c r="G700" s="78">
        <f>VLOOKUP(Categorias_Registro[[#This Row],[Puntos]],Categorias_Configuracion[],MATCH(Categorias_Configuracion[[#Headers],[% Amplitud]],Categorias_Configuracion[#Headers],0),TRUE)</f>
        <v>0.15</v>
      </c>
      <c r="H700" s="15" t="str">
        <f ca="1">TEXT(Categorias_Registro[[#This Row],[Mínimo]],Formato_Rango_Categorias)&amp;" - "&amp;TEXT(Categorias_Registro[[#This Row],[Máximo]],Formato_Rango_Categorias)</f>
        <v>1.882 - 2.163</v>
      </c>
    </row>
    <row r="701" spans="2:8">
      <c r="B701" s="15">
        <f>Techo - ROW() + ROW(Categorias_Registro[])</f>
        <v>1928</v>
      </c>
      <c r="C701" s="15">
        <f>IF(Categorias_Registro[[#This Row],[Puntos]]&lt;=ROUND(Piso,0),Piso,IF(Categorias_Registro[[#This Row],[Puntos]]&lt;D702,C702,D702+1))</f>
        <v>1882</v>
      </c>
      <c r="D701" s="15">
        <f>IF(Categorias_Registro[[#This Row],[Puntos]]=ROUND(Piso,0),ROUND(Categorias_Registro[[#This Row],[Puntos]]*(1+Categorias_Registro[[#This Row],[Amplitud]]),0),IF(Categorias_Registro[[#This Row],[Puntos]]&lt;D702,D702,ROUND(D702*(1+Categorias_Registro[[#This Row],[Amplitud]]),0)))</f>
        <v>2163</v>
      </c>
      <c r="E701" s="15">
        <f>E702+IF(D702=Categorias_Registro[[#This Row],[Máximo]],0,1)</f>
        <v>23</v>
      </c>
      <c r="F701" s="15">
        <f>ROUND(Categorias_Registro[[#This Row],[Mínimo]]+((Categorias_Registro[[#This Row],[Máximo]]-Categorias_Registro[[#This Row],[Mínimo]])/2),0)</f>
        <v>2023</v>
      </c>
      <c r="G701" s="78">
        <f>VLOOKUP(Categorias_Registro[[#This Row],[Puntos]],Categorias_Configuracion[],MATCH(Categorias_Configuracion[[#Headers],[% Amplitud]],Categorias_Configuracion[#Headers],0),TRUE)</f>
        <v>0.15</v>
      </c>
      <c r="H701" s="15" t="str">
        <f ca="1">TEXT(Categorias_Registro[[#This Row],[Mínimo]],Formato_Rango_Categorias)&amp;" - "&amp;TEXT(Categorias_Registro[[#This Row],[Máximo]],Formato_Rango_Categorias)</f>
        <v>1.882 - 2.163</v>
      </c>
    </row>
    <row r="702" spans="2:8">
      <c r="B702" s="15">
        <f>Techo - ROW() + ROW(Categorias_Registro[])</f>
        <v>1927</v>
      </c>
      <c r="C702" s="15">
        <f>IF(Categorias_Registro[[#This Row],[Puntos]]&lt;=ROUND(Piso,0),Piso,IF(Categorias_Registro[[#This Row],[Puntos]]&lt;D703,C703,D703+1))</f>
        <v>1882</v>
      </c>
      <c r="D702" s="15">
        <f>IF(Categorias_Registro[[#This Row],[Puntos]]=ROUND(Piso,0),ROUND(Categorias_Registro[[#This Row],[Puntos]]*(1+Categorias_Registro[[#This Row],[Amplitud]]),0),IF(Categorias_Registro[[#This Row],[Puntos]]&lt;D703,D703,ROUND(D703*(1+Categorias_Registro[[#This Row],[Amplitud]]),0)))</f>
        <v>2163</v>
      </c>
      <c r="E702" s="15">
        <f>E703+IF(D703=Categorias_Registro[[#This Row],[Máximo]],0,1)</f>
        <v>23</v>
      </c>
      <c r="F702" s="15">
        <f>ROUND(Categorias_Registro[[#This Row],[Mínimo]]+((Categorias_Registro[[#This Row],[Máximo]]-Categorias_Registro[[#This Row],[Mínimo]])/2),0)</f>
        <v>2023</v>
      </c>
      <c r="G702" s="78">
        <f>VLOOKUP(Categorias_Registro[[#This Row],[Puntos]],Categorias_Configuracion[],MATCH(Categorias_Configuracion[[#Headers],[% Amplitud]],Categorias_Configuracion[#Headers],0),TRUE)</f>
        <v>0.15</v>
      </c>
      <c r="H702" s="15" t="str">
        <f ca="1">TEXT(Categorias_Registro[[#This Row],[Mínimo]],Formato_Rango_Categorias)&amp;" - "&amp;TEXT(Categorias_Registro[[#This Row],[Máximo]],Formato_Rango_Categorias)</f>
        <v>1.882 - 2.163</v>
      </c>
    </row>
    <row r="703" spans="2:8">
      <c r="B703" s="15">
        <f>Techo - ROW() + ROW(Categorias_Registro[])</f>
        <v>1926</v>
      </c>
      <c r="C703" s="15">
        <f>IF(Categorias_Registro[[#This Row],[Puntos]]&lt;=ROUND(Piso,0),Piso,IF(Categorias_Registro[[#This Row],[Puntos]]&lt;D704,C704,D704+1))</f>
        <v>1882</v>
      </c>
      <c r="D703" s="15">
        <f>IF(Categorias_Registro[[#This Row],[Puntos]]=ROUND(Piso,0),ROUND(Categorias_Registro[[#This Row],[Puntos]]*(1+Categorias_Registro[[#This Row],[Amplitud]]),0),IF(Categorias_Registro[[#This Row],[Puntos]]&lt;D704,D704,ROUND(D704*(1+Categorias_Registro[[#This Row],[Amplitud]]),0)))</f>
        <v>2163</v>
      </c>
      <c r="E703" s="15">
        <f>E704+IF(D704=Categorias_Registro[[#This Row],[Máximo]],0,1)</f>
        <v>23</v>
      </c>
      <c r="F703" s="15">
        <f>ROUND(Categorias_Registro[[#This Row],[Mínimo]]+((Categorias_Registro[[#This Row],[Máximo]]-Categorias_Registro[[#This Row],[Mínimo]])/2),0)</f>
        <v>2023</v>
      </c>
      <c r="G703" s="78">
        <f>VLOOKUP(Categorias_Registro[[#This Row],[Puntos]],Categorias_Configuracion[],MATCH(Categorias_Configuracion[[#Headers],[% Amplitud]],Categorias_Configuracion[#Headers],0),TRUE)</f>
        <v>0.15</v>
      </c>
      <c r="H703" s="15" t="str">
        <f ca="1">TEXT(Categorias_Registro[[#This Row],[Mínimo]],Formato_Rango_Categorias)&amp;" - "&amp;TEXT(Categorias_Registro[[#This Row],[Máximo]],Formato_Rango_Categorias)</f>
        <v>1.882 - 2.163</v>
      </c>
    </row>
    <row r="704" spans="2:8">
      <c r="B704" s="15">
        <f>Techo - ROW() + ROW(Categorias_Registro[])</f>
        <v>1925</v>
      </c>
      <c r="C704" s="15">
        <f>IF(Categorias_Registro[[#This Row],[Puntos]]&lt;=ROUND(Piso,0),Piso,IF(Categorias_Registro[[#This Row],[Puntos]]&lt;D705,C705,D705+1))</f>
        <v>1882</v>
      </c>
      <c r="D704" s="15">
        <f>IF(Categorias_Registro[[#This Row],[Puntos]]=ROUND(Piso,0),ROUND(Categorias_Registro[[#This Row],[Puntos]]*(1+Categorias_Registro[[#This Row],[Amplitud]]),0),IF(Categorias_Registro[[#This Row],[Puntos]]&lt;D705,D705,ROUND(D705*(1+Categorias_Registro[[#This Row],[Amplitud]]),0)))</f>
        <v>2163</v>
      </c>
      <c r="E704" s="15">
        <f>E705+IF(D705=Categorias_Registro[[#This Row],[Máximo]],0,1)</f>
        <v>23</v>
      </c>
      <c r="F704" s="15">
        <f>ROUND(Categorias_Registro[[#This Row],[Mínimo]]+((Categorias_Registro[[#This Row],[Máximo]]-Categorias_Registro[[#This Row],[Mínimo]])/2),0)</f>
        <v>2023</v>
      </c>
      <c r="G704" s="78">
        <f>VLOOKUP(Categorias_Registro[[#This Row],[Puntos]],Categorias_Configuracion[],MATCH(Categorias_Configuracion[[#Headers],[% Amplitud]],Categorias_Configuracion[#Headers],0),TRUE)</f>
        <v>0.15</v>
      </c>
      <c r="H704" s="15" t="str">
        <f ca="1">TEXT(Categorias_Registro[[#This Row],[Mínimo]],Formato_Rango_Categorias)&amp;" - "&amp;TEXT(Categorias_Registro[[#This Row],[Máximo]],Formato_Rango_Categorias)</f>
        <v>1.882 - 2.163</v>
      </c>
    </row>
    <row r="705" spans="2:8">
      <c r="B705" s="15">
        <f>Techo - ROW() + ROW(Categorias_Registro[])</f>
        <v>1924</v>
      </c>
      <c r="C705" s="15">
        <f>IF(Categorias_Registro[[#This Row],[Puntos]]&lt;=ROUND(Piso,0),Piso,IF(Categorias_Registro[[#This Row],[Puntos]]&lt;D706,C706,D706+1))</f>
        <v>1882</v>
      </c>
      <c r="D705" s="15">
        <f>IF(Categorias_Registro[[#This Row],[Puntos]]=ROUND(Piso,0),ROUND(Categorias_Registro[[#This Row],[Puntos]]*(1+Categorias_Registro[[#This Row],[Amplitud]]),0),IF(Categorias_Registro[[#This Row],[Puntos]]&lt;D706,D706,ROUND(D706*(1+Categorias_Registro[[#This Row],[Amplitud]]),0)))</f>
        <v>2163</v>
      </c>
      <c r="E705" s="15">
        <f>E706+IF(D706=Categorias_Registro[[#This Row],[Máximo]],0,1)</f>
        <v>23</v>
      </c>
      <c r="F705" s="15">
        <f>ROUND(Categorias_Registro[[#This Row],[Mínimo]]+((Categorias_Registro[[#This Row],[Máximo]]-Categorias_Registro[[#This Row],[Mínimo]])/2),0)</f>
        <v>2023</v>
      </c>
      <c r="G705" s="78">
        <f>VLOOKUP(Categorias_Registro[[#This Row],[Puntos]],Categorias_Configuracion[],MATCH(Categorias_Configuracion[[#Headers],[% Amplitud]],Categorias_Configuracion[#Headers],0),TRUE)</f>
        <v>0.15</v>
      </c>
      <c r="H705" s="15" t="str">
        <f ca="1">TEXT(Categorias_Registro[[#This Row],[Mínimo]],Formato_Rango_Categorias)&amp;" - "&amp;TEXT(Categorias_Registro[[#This Row],[Máximo]],Formato_Rango_Categorias)</f>
        <v>1.882 - 2.163</v>
      </c>
    </row>
    <row r="706" spans="2:8">
      <c r="B706" s="15">
        <f>Techo - ROW() + ROW(Categorias_Registro[])</f>
        <v>1923</v>
      </c>
      <c r="C706" s="15">
        <f>IF(Categorias_Registro[[#This Row],[Puntos]]&lt;=ROUND(Piso,0),Piso,IF(Categorias_Registro[[#This Row],[Puntos]]&lt;D707,C707,D707+1))</f>
        <v>1882</v>
      </c>
      <c r="D706" s="15">
        <f>IF(Categorias_Registro[[#This Row],[Puntos]]=ROUND(Piso,0),ROUND(Categorias_Registro[[#This Row],[Puntos]]*(1+Categorias_Registro[[#This Row],[Amplitud]]),0),IF(Categorias_Registro[[#This Row],[Puntos]]&lt;D707,D707,ROUND(D707*(1+Categorias_Registro[[#This Row],[Amplitud]]),0)))</f>
        <v>2163</v>
      </c>
      <c r="E706" s="15">
        <f>E707+IF(D707=Categorias_Registro[[#This Row],[Máximo]],0,1)</f>
        <v>23</v>
      </c>
      <c r="F706" s="15">
        <f>ROUND(Categorias_Registro[[#This Row],[Mínimo]]+((Categorias_Registro[[#This Row],[Máximo]]-Categorias_Registro[[#This Row],[Mínimo]])/2),0)</f>
        <v>2023</v>
      </c>
      <c r="G706" s="78">
        <f>VLOOKUP(Categorias_Registro[[#This Row],[Puntos]],Categorias_Configuracion[],MATCH(Categorias_Configuracion[[#Headers],[% Amplitud]],Categorias_Configuracion[#Headers],0),TRUE)</f>
        <v>0.15</v>
      </c>
      <c r="H706" s="15" t="str">
        <f ca="1">TEXT(Categorias_Registro[[#This Row],[Mínimo]],Formato_Rango_Categorias)&amp;" - "&amp;TEXT(Categorias_Registro[[#This Row],[Máximo]],Formato_Rango_Categorias)</f>
        <v>1.882 - 2.163</v>
      </c>
    </row>
    <row r="707" spans="2:8">
      <c r="B707" s="15">
        <f>Techo - ROW() + ROW(Categorias_Registro[])</f>
        <v>1922</v>
      </c>
      <c r="C707" s="15">
        <f>IF(Categorias_Registro[[#This Row],[Puntos]]&lt;=ROUND(Piso,0),Piso,IF(Categorias_Registro[[#This Row],[Puntos]]&lt;D708,C708,D708+1))</f>
        <v>1882</v>
      </c>
      <c r="D707" s="15">
        <f>IF(Categorias_Registro[[#This Row],[Puntos]]=ROUND(Piso,0),ROUND(Categorias_Registro[[#This Row],[Puntos]]*(1+Categorias_Registro[[#This Row],[Amplitud]]),0),IF(Categorias_Registro[[#This Row],[Puntos]]&lt;D708,D708,ROUND(D708*(1+Categorias_Registro[[#This Row],[Amplitud]]),0)))</f>
        <v>2163</v>
      </c>
      <c r="E707" s="15">
        <f>E708+IF(D708=Categorias_Registro[[#This Row],[Máximo]],0,1)</f>
        <v>23</v>
      </c>
      <c r="F707" s="15">
        <f>ROUND(Categorias_Registro[[#This Row],[Mínimo]]+((Categorias_Registro[[#This Row],[Máximo]]-Categorias_Registro[[#This Row],[Mínimo]])/2),0)</f>
        <v>2023</v>
      </c>
      <c r="G707" s="78">
        <f>VLOOKUP(Categorias_Registro[[#This Row],[Puntos]],Categorias_Configuracion[],MATCH(Categorias_Configuracion[[#Headers],[% Amplitud]],Categorias_Configuracion[#Headers],0),TRUE)</f>
        <v>0.15</v>
      </c>
      <c r="H707" s="15" t="str">
        <f ca="1">TEXT(Categorias_Registro[[#This Row],[Mínimo]],Formato_Rango_Categorias)&amp;" - "&amp;TEXT(Categorias_Registro[[#This Row],[Máximo]],Formato_Rango_Categorias)</f>
        <v>1.882 - 2.163</v>
      </c>
    </row>
    <row r="708" spans="2:8">
      <c r="B708" s="15">
        <f>Techo - ROW() + ROW(Categorias_Registro[])</f>
        <v>1921</v>
      </c>
      <c r="C708" s="15">
        <f>IF(Categorias_Registro[[#This Row],[Puntos]]&lt;=ROUND(Piso,0),Piso,IF(Categorias_Registro[[#This Row],[Puntos]]&lt;D709,C709,D709+1))</f>
        <v>1882</v>
      </c>
      <c r="D708" s="15">
        <f>IF(Categorias_Registro[[#This Row],[Puntos]]=ROUND(Piso,0),ROUND(Categorias_Registro[[#This Row],[Puntos]]*(1+Categorias_Registro[[#This Row],[Amplitud]]),0),IF(Categorias_Registro[[#This Row],[Puntos]]&lt;D709,D709,ROUND(D709*(1+Categorias_Registro[[#This Row],[Amplitud]]),0)))</f>
        <v>2163</v>
      </c>
      <c r="E708" s="15">
        <f>E709+IF(D709=Categorias_Registro[[#This Row],[Máximo]],0,1)</f>
        <v>23</v>
      </c>
      <c r="F708" s="15">
        <f>ROUND(Categorias_Registro[[#This Row],[Mínimo]]+((Categorias_Registro[[#This Row],[Máximo]]-Categorias_Registro[[#This Row],[Mínimo]])/2),0)</f>
        <v>2023</v>
      </c>
      <c r="G708" s="78">
        <f>VLOOKUP(Categorias_Registro[[#This Row],[Puntos]],Categorias_Configuracion[],MATCH(Categorias_Configuracion[[#Headers],[% Amplitud]],Categorias_Configuracion[#Headers],0),TRUE)</f>
        <v>0.15</v>
      </c>
      <c r="H708" s="15" t="str">
        <f ca="1">TEXT(Categorias_Registro[[#This Row],[Mínimo]],Formato_Rango_Categorias)&amp;" - "&amp;TEXT(Categorias_Registro[[#This Row],[Máximo]],Formato_Rango_Categorias)</f>
        <v>1.882 - 2.163</v>
      </c>
    </row>
    <row r="709" spans="2:8">
      <c r="B709" s="15">
        <f>Techo - ROW() + ROW(Categorias_Registro[])</f>
        <v>1920</v>
      </c>
      <c r="C709" s="15">
        <f>IF(Categorias_Registro[[#This Row],[Puntos]]&lt;=ROUND(Piso,0),Piso,IF(Categorias_Registro[[#This Row],[Puntos]]&lt;D710,C710,D710+1))</f>
        <v>1882</v>
      </c>
      <c r="D709" s="15">
        <f>IF(Categorias_Registro[[#This Row],[Puntos]]=ROUND(Piso,0),ROUND(Categorias_Registro[[#This Row],[Puntos]]*(1+Categorias_Registro[[#This Row],[Amplitud]]),0),IF(Categorias_Registro[[#This Row],[Puntos]]&lt;D710,D710,ROUND(D710*(1+Categorias_Registro[[#This Row],[Amplitud]]),0)))</f>
        <v>2163</v>
      </c>
      <c r="E709" s="15">
        <f>E710+IF(D710=Categorias_Registro[[#This Row],[Máximo]],0,1)</f>
        <v>23</v>
      </c>
      <c r="F709" s="15">
        <f>ROUND(Categorias_Registro[[#This Row],[Mínimo]]+((Categorias_Registro[[#This Row],[Máximo]]-Categorias_Registro[[#This Row],[Mínimo]])/2),0)</f>
        <v>2023</v>
      </c>
      <c r="G709" s="78">
        <f>VLOOKUP(Categorias_Registro[[#This Row],[Puntos]],Categorias_Configuracion[],MATCH(Categorias_Configuracion[[#Headers],[% Amplitud]],Categorias_Configuracion[#Headers],0),TRUE)</f>
        <v>0.15</v>
      </c>
      <c r="H709" s="15" t="str">
        <f ca="1">TEXT(Categorias_Registro[[#This Row],[Mínimo]],Formato_Rango_Categorias)&amp;" - "&amp;TEXT(Categorias_Registro[[#This Row],[Máximo]],Formato_Rango_Categorias)</f>
        <v>1.882 - 2.163</v>
      </c>
    </row>
    <row r="710" spans="2:8">
      <c r="B710" s="15">
        <f>Techo - ROW() + ROW(Categorias_Registro[])</f>
        <v>1919</v>
      </c>
      <c r="C710" s="15">
        <f>IF(Categorias_Registro[[#This Row],[Puntos]]&lt;=ROUND(Piso,0),Piso,IF(Categorias_Registro[[#This Row],[Puntos]]&lt;D711,C711,D711+1))</f>
        <v>1882</v>
      </c>
      <c r="D710" s="15">
        <f>IF(Categorias_Registro[[#This Row],[Puntos]]=ROUND(Piso,0),ROUND(Categorias_Registro[[#This Row],[Puntos]]*(1+Categorias_Registro[[#This Row],[Amplitud]]),0),IF(Categorias_Registro[[#This Row],[Puntos]]&lt;D711,D711,ROUND(D711*(1+Categorias_Registro[[#This Row],[Amplitud]]),0)))</f>
        <v>2163</v>
      </c>
      <c r="E710" s="15">
        <f>E711+IF(D711=Categorias_Registro[[#This Row],[Máximo]],0,1)</f>
        <v>23</v>
      </c>
      <c r="F710" s="15">
        <f>ROUND(Categorias_Registro[[#This Row],[Mínimo]]+((Categorias_Registro[[#This Row],[Máximo]]-Categorias_Registro[[#This Row],[Mínimo]])/2),0)</f>
        <v>2023</v>
      </c>
      <c r="G710" s="78">
        <f>VLOOKUP(Categorias_Registro[[#This Row],[Puntos]],Categorias_Configuracion[],MATCH(Categorias_Configuracion[[#Headers],[% Amplitud]],Categorias_Configuracion[#Headers],0),TRUE)</f>
        <v>0.15</v>
      </c>
      <c r="H710" s="15" t="str">
        <f ca="1">TEXT(Categorias_Registro[[#This Row],[Mínimo]],Formato_Rango_Categorias)&amp;" - "&amp;TEXT(Categorias_Registro[[#This Row],[Máximo]],Formato_Rango_Categorias)</f>
        <v>1.882 - 2.163</v>
      </c>
    </row>
    <row r="711" spans="2:8">
      <c r="B711" s="15">
        <f>Techo - ROW() + ROW(Categorias_Registro[])</f>
        <v>1918</v>
      </c>
      <c r="C711" s="15">
        <f>IF(Categorias_Registro[[#This Row],[Puntos]]&lt;=ROUND(Piso,0),Piso,IF(Categorias_Registro[[#This Row],[Puntos]]&lt;D712,C712,D712+1))</f>
        <v>1882</v>
      </c>
      <c r="D711" s="15">
        <f>IF(Categorias_Registro[[#This Row],[Puntos]]=ROUND(Piso,0),ROUND(Categorias_Registro[[#This Row],[Puntos]]*(1+Categorias_Registro[[#This Row],[Amplitud]]),0),IF(Categorias_Registro[[#This Row],[Puntos]]&lt;D712,D712,ROUND(D712*(1+Categorias_Registro[[#This Row],[Amplitud]]),0)))</f>
        <v>2163</v>
      </c>
      <c r="E711" s="15">
        <f>E712+IF(D712=Categorias_Registro[[#This Row],[Máximo]],0,1)</f>
        <v>23</v>
      </c>
      <c r="F711" s="15">
        <f>ROUND(Categorias_Registro[[#This Row],[Mínimo]]+((Categorias_Registro[[#This Row],[Máximo]]-Categorias_Registro[[#This Row],[Mínimo]])/2),0)</f>
        <v>2023</v>
      </c>
      <c r="G711" s="78">
        <f>VLOOKUP(Categorias_Registro[[#This Row],[Puntos]],Categorias_Configuracion[],MATCH(Categorias_Configuracion[[#Headers],[% Amplitud]],Categorias_Configuracion[#Headers],0),TRUE)</f>
        <v>0.15</v>
      </c>
      <c r="H711" s="15" t="str">
        <f ca="1">TEXT(Categorias_Registro[[#This Row],[Mínimo]],Formato_Rango_Categorias)&amp;" - "&amp;TEXT(Categorias_Registro[[#This Row],[Máximo]],Formato_Rango_Categorias)</f>
        <v>1.882 - 2.163</v>
      </c>
    </row>
    <row r="712" spans="2:8">
      <c r="B712" s="15">
        <f>Techo - ROW() + ROW(Categorias_Registro[])</f>
        <v>1917</v>
      </c>
      <c r="C712" s="15">
        <f>IF(Categorias_Registro[[#This Row],[Puntos]]&lt;=ROUND(Piso,0),Piso,IF(Categorias_Registro[[#This Row],[Puntos]]&lt;D713,C713,D713+1))</f>
        <v>1882</v>
      </c>
      <c r="D712" s="15">
        <f>IF(Categorias_Registro[[#This Row],[Puntos]]=ROUND(Piso,0),ROUND(Categorias_Registro[[#This Row],[Puntos]]*(1+Categorias_Registro[[#This Row],[Amplitud]]),0),IF(Categorias_Registro[[#This Row],[Puntos]]&lt;D713,D713,ROUND(D713*(1+Categorias_Registro[[#This Row],[Amplitud]]),0)))</f>
        <v>2163</v>
      </c>
      <c r="E712" s="15">
        <f>E713+IF(D713=Categorias_Registro[[#This Row],[Máximo]],0,1)</f>
        <v>23</v>
      </c>
      <c r="F712" s="15">
        <f>ROUND(Categorias_Registro[[#This Row],[Mínimo]]+((Categorias_Registro[[#This Row],[Máximo]]-Categorias_Registro[[#This Row],[Mínimo]])/2),0)</f>
        <v>2023</v>
      </c>
      <c r="G712" s="78">
        <f>VLOOKUP(Categorias_Registro[[#This Row],[Puntos]],Categorias_Configuracion[],MATCH(Categorias_Configuracion[[#Headers],[% Amplitud]],Categorias_Configuracion[#Headers],0),TRUE)</f>
        <v>0.15</v>
      </c>
      <c r="H712" s="15" t="str">
        <f ca="1">TEXT(Categorias_Registro[[#This Row],[Mínimo]],Formato_Rango_Categorias)&amp;" - "&amp;TEXT(Categorias_Registro[[#This Row],[Máximo]],Formato_Rango_Categorias)</f>
        <v>1.882 - 2.163</v>
      </c>
    </row>
    <row r="713" spans="2:8">
      <c r="B713" s="15">
        <f>Techo - ROW() + ROW(Categorias_Registro[])</f>
        <v>1916</v>
      </c>
      <c r="C713" s="15">
        <f>IF(Categorias_Registro[[#This Row],[Puntos]]&lt;=ROUND(Piso,0),Piso,IF(Categorias_Registro[[#This Row],[Puntos]]&lt;D714,C714,D714+1))</f>
        <v>1882</v>
      </c>
      <c r="D713" s="15">
        <f>IF(Categorias_Registro[[#This Row],[Puntos]]=ROUND(Piso,0),ROUND(Categorias_Registro[[#This Row],[Puntos]]*(1+Categorias_Registro[[#This Row],[Amplitud]]),0),IF(Categorias_Registro[[#This Row],[Puntos]]&lt;D714,D714,ROUND(D714*(1+Categorias_Registro[[#This Row],[Amplitud]]),0)))</f>
        <v>2163</v>
      </c>
      <c r="E713" s="15">
        <f>E714+IF(D714=Categorias_Registro[[#This Row],[Máximo]],0,1)</f>
        <v>23</v>
      </c>
      <c r="F713" s="15">
        <f>ROUND(Categorias_Registro[[#This Row],[Mínimo]]+((Categorias_Registro[[#This Row],[Máximo]]-Categorias_Registro[[#This Row],[Mínimo]])/2),0)</f>
        <v>2023</v>
      </c>
      <c r="G713" s="78">
        <f>VLOOKUP(Categorias_Registro[[#This Row],[Puntos]],Categorias_Configuracion[],MATCH(Categorias_Configuracion[[#Headers],[% Amplitud]],Categorias_Configuracion[#Headers],0),TRUE)</f>
        <v>0.15</v>
      </c>
      <c r="H713" s="15" t="str">
        <f ca="1">TEXT(Categorias_Registro[[#This Row],[Mínimo]],Formato_Rango_Categorias)&amp;" - "&amp;TEXT(Categorias_Registro[[#This Row],[Máximo]],Formato_Rango_Categorias)</f>
        <v>1.882 - 2.163</v>
      </c>
    </row>
    <row r="714" spans="2:8">
      <c r="B714" s="15">
        <f>Techo - ROW() + ROW(Categorias_Registro[])</f>
        <v>1915</v>
      </c>
      <c r="C714" s="15">
        <f>IF(Categorias_Registro[[#This Row],[Puntos]]&lt;=ROUND(Piso,0),Piso,IF(Categorias_Registro[[#This Row],[Puntos]]&lt;D715,C715,D715+1))</f>
        <v>1882</v>
      </c>
      <c r="D714" s="15">
        <f>IF(Categorias_Registro[[#This Row],[Puntos]]=ROUND(Piso,0),ROUND(Categorias_Registro[[#This Row],[Puntos]]*(1+Categorias_Registro[[#This Row],[Amplitud]]),0),IF(Categorias_Registro[[#This Row],[Puntos]]&lt;D715,D715,ROUND(D715*(1+Categorias_Registro[[#This Row],[Amplitud]]),0)))</f>
        <v>2163</v>
      </c>
      <c r="E714" s="15">
        <f>E715+IF(D715=Categorias_Registro[[#This Row],[Máximo]],0,1)</f>
        <v>23</v>
      </c>
      <c r="F714" s="15">
        <f>ROUND(Categorias_Registro[[#This Row],[Mínimo]]+((Categorias_Registro[[#This Row],[Máximo]]-Categorias_Registro[[#This Row],[Mínimo]])/2),0)</f>
        <v>2023</v>
      </c>
      <c r="G714" s="78">
        <f>VLOOKUP(Categorias_Registro[[#This Row],[Puntos]],Categorias_Configuracion[],MATCH(Categorias_Configuracion[[#Headers],[% Amplitud]],Categorias_Configuracion[#Headers],0),TRUE)</f>
        <v>0.15</v>
      </c>
      <c r="H714" s="15" t="str">
        <f ca="1">TEXT(Categorias_Registro[[#This Row],[Mínimo]],Formato_Rango_Categorias)&amp;" - "&amp;TEXT(Categorias_Registro[[#This Row],[Máximo]],Formato_Rango_Categorias)</f>
        <v>1.882 - 2.163</v>
      </c>
    </row>
    <row r="715" spans="2:8">
      <c r="B715" s="15">
        <f>Techo - ROW() + ROW(Categorias_Registro[])</f>
        <v>1914</v>
      </c>
      <c r="C715" s="15">
        <f>IF(Categorias_Registro[[#This Row],[Puntos]]&lt;=ROUND(Piso,0),Piso,IF(Categorias_Registro[[#This Row],[Puntos]]&lt;D716,C716,D716+1))</f>
        <v>1882</v>
      </c>
      <c r="D715" s="15">
        <f>IF(Categorias_Registro[[#This Row],[Puntos]]=ROUND(Piso,0),ROUND(Categorias_Registro[[#This Row],[Puntos]]*(1+Categorias_Registro[[#This Row],[Amplitud]]),0),IF(Categorias_Registro[[#This Row],[Puntos]]&lt;D716,D716,ROUND(D716*(1+Categorias_Registro[[#This Row],[Amplitud]]),0)))</f>
        <v>2163</v>
      </c>
      <c r="E715" s="15">
        <f>E716+IF(D716=Categorias_Registro[[#This Row],[Máximo]],0,1)</f>
        <v>23</v>
      </c>
      <c r="F715" s="15">
        <f>ROUND(Categorias_Registro[[#This Row],[Mínimo]]+((Categorias_Registro[[#This Row],[Máximo]]-Categorias_Registro[[#This Row],[Mínimo]])/2),0)</f>
        <v>2023</v>
      </c>
      <c r="G715" s="78">
        <f>VLOOKUP(Categorias_Registro[[#This Row],[Puntos]],Categorias_Configuracion[],MATCH(Categorias_Configuracion[[#Headers],[% Amplitud]],Categorias_Configuracion[#Headers],0),TRUE)</f>
        <v>0.15</v>
      </c>
      <c r="H715" s="15" t="str">
        <f ca="1">TEXT(Categorias_Registro[[#This Row],[Mínimo]],Formato_Rango_Categorias)&amp;" - "&amp;TEXT(Categorias_Registro[[#This Row],[Máximo]],Formato_Rango_Categorias)</f>
        <v>1.882 - 2.163</v>
      </c>
    </row>
    <row r="716" spans="2:8">
      <c r="B716" s="15">
        <f>Techo - ROW() + ROW(Categorias_Registro[])</f>
        <v>1913</v>
      </c>
      <c r="C716" s="15">
        <f>IF(Categorias_Registro[[#This Row],[Puntos]]&lt;=ROUND(Piso,0),Piso,IF(Categorias_Registro[[#This Row],[Puntos]]&lt;D717,C717,D717+1))</f>
        <v>1882</v>
      </c>
      <c r="D716" s="15">
        <f>IF(Categorias_Registro[[#This Row],[Puntos]]=ROUND(Piso,0),ROUND(Categorias_Registro[[#This Row],[Puntos]]*(1+Categorias_Registro[[#This Row],[Amplitud]]),0),IF(Categorias_Registro[[#This Row],[Puntos]]&lt;D717,D717,ROUND(D717*(1+Categorias_Registro[[#This Row],[Amplitud]]),0)))</f>
        <v>2163</v>
      </c>
      <c r="E716" s="15">
        <f>E717+IF(D717=Categorias_Registro[[#This Row],[Máximo]],0,1)</f>
        <v>23</v>
      </c>
      <c r="F716" s="15">
        <f>ROUND(Categorias_Registro[[#This Row],[Mínimo]]+((Categorias_Registro[[#This Row],[Máximo]]-Categorias_Registro[[#This Row],[Mínimo]])/2),0)</f>
        <v>2023</v>
      </c>
      <c r="G716" s="78">
        <f>VLOOKUP(Categorias_Registro[[#This Row],[Puntos]],Categorias_Configuracion[],MATCH(Categorias_Configuracion[[#Headers],[% Amplitud]],Categorias_Configuracion[#Headers],0),TRUE)</f>
        <v>0.15</v>
      </c>
      <c r="H716" s="15" t="str">
        <f ca="1">TEXT(Categorias_Registro[[#This Row],[Mínimo]],Formato_Rango_Categorias)&amp;" - "&amp;TEXT(Categorias_Registro[[#This Row],[Máximo]],Formato_Rango_Categorias)</f>
        <v>1.882 - 2.163</v>
      </c>
    </row>
    <row r="717" spans="2:8">
      <c r="B717" s="15">
        <f>Techo - ROW() + ROW(Categorias_Registro[])</f>
        <v>1912</v>
      </c>
      <c r="C717" s="15">
        <f>IF(Categorias_Registro[[#This Row],[Puntos]]&lt;=ROUND(Piso,0),Piso,IF(Categorias_Registro[[#This Row],[Puntos]]&lt;D718,C718,D718+1))</f>
        <v>1882</v>
      </c>
      <c r="D717" s="15">
        <f>IF(Categorias_Registro[[#This Row],[Puntos]]=ROUND(Piso,0),ROUND(Categorias_Registro[[#This Row],[Puntos]]*(1+Categorias_Registro[[#This Row],[Amplitud]]),0),IF(Categorias_Registro[[#This Row],[Puntos]]&lt;D718,D718,ROUND(D718*(1+Categorias_Registro[[#This Row],[Amplitud]]),0)))</f>
        <v>2163</v>
      </c>
      <c r="E717" s="15">
        <f>E718+IF(D718=Categorias_Registro[[#This Row],[Máximo]],0,1)</f>
        <v>23</v>
      </c>
      <c r="F717" s="15">
        <f>ROUND(Categorias_Registro[[#This Row],[Mínimo]]+((Categorias_Registro[[#This Row],[Máximo]]-Categorias_Registro[[#This Row],[Mínimo]])/2),0)</f>
        <v>2023</v>
      </c>
      <c r="G717" s="78">
        <f>VLOOKUP(Categorias_Registro[[#This Row],[Puntos]],Categorias_Configuracion[],MATCH(Categorias_Configuracion[[#Headers],[% Amplitud]],Categorias_Configuracion[#Headers],0),TRUE)</f>
        <v>0.15</v>
      </c>
      <c r="H717" s="15" t="str">
        <f ca="1">TEXT(Categorias_Registro[[#This Row],[Mínimo]],Formato_Rango_Categorias)&amp;" - "&amp;TEXT(Categorias_Registro[[#This Row],[Máximo]],Formato_Rango_Categorias)</f>
        <v>1.882 - 2.163</v>
      </c>
    </row>
    <row r="718" spans="2:8">
      <c r="B718" s="15">
        <f>Techo - ROW() + ROW(Categorias_Registro[])</f>
        <v>1911</v>
      </c>
      <c r="C718" s="15">
        <f>IF(Categorias_Registro[[#This Row],[Puntos]]&lt;=ROUND(Piso,0),Piso,IF(Categorias_Registro[[#This Row],[Puntos]]&lt;D719,C719,D719+1))</f>
        <v>1882</v>
      </c>
      <c r="D718" s="15">
        <f>IF(Categorias_Registro[[#This Row],[Puntos]]=ROUND(Piso,0),ROUND(Categorias_Registro[[#This Row],[Puntos]]*(1+Categorias_Registro[[#This Row],[Amplitud]]),0),IF(Categorias_Registro[[#This Row],[Puntos]]&lt;D719,D719,ROUND(D719*(1+Categorias_Registro[[#This Row],[Amplitud]]),0)))</f>
        <v>2163</v>
      </c>
      <c r="E718" s="15">
        <f>E719+IF(D719=Categorias_Registro[[#This Row],[Máximo]],0,1)</f>
        <v>23</v>
      </c>
      <c r="F718" s="15">
        <f>ROUND(Categorias_Registro[[#This Row],[Mínimo]]+((Categorias_Registro[[#This Row],[Máximo]]-Categorias_Registro[[#This Row],[Mínimo]])/2),0)</f>
        <v>2023</v>
      </c>
      <c r="G718" s="78">
        <f>VLOOKUP(Categorias_Registro[[#This Row],[Puntos]],Categorias_Configuracion[],MATCH(Categorias_Configuracion[[#Headers],[% Amplitud]],Categorias_Configuracion[#Headers],0),TRUE)</f>
        <v>0.15</v>
      </c>
      <c r="H718" s="15" t="str">
        <f ca="1">TEXT(Categorias_Registro[[#This Row],[Mínimo]],Formato_Rango_Categorias)&amp;" - "&amp;TEXT(Categorias_Registro[[#This Row],[Máximo]],Formato_Rango_Categorias)</f>
        <v>1.882 - 2.163</v>
      </c>
    </row>
    <row r="719" spans="2:8">
      <c r="B719" s="15">
        <f>Techo - ROW() + ROW(Categorias_Registro[])</f>
        <v>1910</v>
      </c>
      <c r="C719" s="15">
        <f>IF(Categorias_Registro[[#This Row],[Puntos]]&lt;=ROUND(Piso,0),Piso,IF(Categorias_Registro[[#This Row],[Puntos]]&lt;D720,C720,D720+1))</f>
        <v>1882</v>
      </c>
      <c r="D719" s="15">
        <f>IF(Categorias_Registro[[#This Row],[Puntos]]=ROUND(Piso,0),ROUND(Categorias_Registro[[#This Row],[Puntos]]*(1+Categorias_Registro[[#This Row],[Amplitud]]),0),IF(Categorias_Registro[[#This Row],[Puntos]]&lt;D720,D720,ROUND(D720*(1+Categorias_Registro[[#This Row],[Amplitud]]),0)))</f>
        <v>2163</v>
      </c>
      <c r="E719" s="15">
        <f>E720+IF(D720=Categorias_Registro[[#This Row],[Máximo]],0,1)</f>
        <v>23</v>
      </c>
      <c r="F719" s="15">
        <f>ROUND(Categorias_Registro[[#This Row],[Mínimo]]+((Categorias_Registro[[#This Row],[Máximo]]-Categorias_Registro[[#This Row],[Mínimo]])/2),0)</f>
        <v>2023</v>
      </c>
      <c r="G719" s="78">
        <f>VLOOKUP(Categorias_Registro[[#This Row],[Puntos]],Categorias_Configuracion[],MATCH(Categorias_Configuracion[[#Headers],[% Amplitud]],Categorias_Configuracion[#Headers],0),TRUE)</f>
        <v>0.15</v>
      </c>
      <c r="H719" s="15" t="str">
        <f ca="1">TEXT(Categorias_Registro[[#This Row],[Mínimo]],Formato_Rango_Categorias)&amp;" - "&amp;TEXT(Categorias_Registro[[#This Row],[Máximo]],Formato_Rango_Categorias)</f>
        <v>1.882 - 2.163</v>
      </c>
    </row>
    <row r="720" spans="2:8">
      <c r="B720" s="15">
        <f>Techo - ROW() + ROW(Categorias_Registro[])</f>
        <v>1909</v>
      </c>
      <c r="C720" s="15">
        <f>IF(Categorias_Registro[[#This Row],[Puntos]]&lt;=ROUND(Piso,0),Piso,IF(Categorias_Registro[[#This Row],[Puntos]]&lt;D721,C721,D721+1))</f>
        <v>1882</v>
      </c>
      <c r="D720" s="15">
        <f>IF(Categorias_Registro[[#This Row],[Puntos]]=ROUND(Piso,0),ROUND(Categorias_Registro[[#This Row],[Puntos]]*(1+Categorias_Registro[[#This Row],[Amplitud]]),0),IF(Categorias_Registro[[#This Row],[Puntos]]&lt;D721,D721,ROUND(D721*(1+Categorias_Registro[[#This Row],[Amplitud]]),0)))</f>
        <v>2163</v>
      </c>
      <c r="E720" s="15">
        <f>E721+IF(D721=Categorias_Registro[[#This Row],[Máximo]],0,1)</f>
        <v>23</v>
      </c>
      <c r="F720" s="15">
        <f>ROUND(Categorias_Registro[[#This Row],[Mínimo]]+((Categorias_Registro[[#This Row],[Máximo]]-Categorias_Registro[[#This Row],[Mínimo]])/2),0)</f>
        <v>2023</v>
      </c>
      <c r="G720" s="78">
        <f>VLOOKUP(Categorias_Registro[[#This Row],[Puntos]],Categorias_Configuracion[],MATCH(Categorias_Configuracion[[#Headers],[% Amplitud]],Categorias_Configuracion[#Headers],0),TRUE)</f>
        <v>0.15</v>
      </c>
      <c r="H720" s="15" t="str">
        <f ca="1">TEXT(Categorias_Registro[[#This Row],[Mínimo]],Formato_Rango_Categorias)&amp;" - "&amp;TEXT(Categorias_Registro[[#This Row],[Máximo]],Formato_Rango_Categorias)</f>
        <v>1.882 - 2.163</v>
      </c>
    </row>
    <row r="721" spans="2:8">
      <c r="B721" s="15">
        <f>Techo - ROW() + ROW(Categorias_Registro[])</f>
        <v>1908</v>
      </c>
      <c r="C721" s="15">
        <f>IF(Categorias_Registro[[#This Row],[Puntos]]&lt;=ROUND(Piso,0),Piso,IF(Categorias_Registro[[#This Row],[Puntos]]&lt;D722,C722,D722+1))</f>
        <v>1882</v>
      </c>
      <c r="D721" s="15">
        <f>IF(Categorias_Registro[[#This Row],[Puntos]]=ROUND(Piso,0),ROUND(Categorias_Registro[[#This Row],[Puntos]]*(1+Categorias_Registro[[#This Row],[Amplitud]]),0),IF(Categorias_Registro[[#This Row],[Puntos]]&lt;D722,D722,ROUND(D722*(1+Categorias_Registro[[#This Row],[Amplitud]]),0)))</f>
        <v>2163</v>
      </c>
      <c r="E721" s="15">
        <f>E722+IF(D722=Categorias_Registro[[#This Row],[Máximo]],0,1)</f>
        <v>23</v>
      </c>
      <c r="F721" s="15">
        <f>ROUND(Categorias_Registro[[#This Row],[Mínimo]]+((Categorias_Registro[[#This Row],[Máximo]]-Categorias_Registro[[#This Row],[Mínimo]])/2),0)</f>
        <v>2023</v>
      </c>
      <c r="G721" s="78">
        <f>VLOOKUP(Categorias_Registro[[#This Row],[Puntos]],Categorias_Configuracion[],MATCH(Categorias_Configuracion[[#Headers],[% Amplitud]],Categorias_Configuracion[#Headers],0),TRUE)</f>
        <v>0.15</v>
      </c>
      <c r="H721" s="15" t="str">
        <f ca="1">TEXT(Categorias_Registro[[#This Row],[Mínimo]],Formato_Rango_Categorias)&amp;" - "&amp;TEXT(Categorias_Registro[[#This Row],[Máximo]],Formato_Rango_Categorias)</f>
        <v>1.882 - 2.163</v>
      </c>
    </row>
    <row r="722" spans="2:8">
      <c r="B722" s="15">
        <f>Techo - ROW() + ROW(Categorias_Registro[])</f>
        <v>1907</v>
      </c>
      <c r="C722" s="15">
        <f>IF(Categorias_Registro[[#This Row],[Puntos]]&lt;=ROUND(Piso,0),Piso,IF(Categorias_Registro[[#This Row],[Puntos]]&lt;D723,C723,D723+1))</f>
        <v>1882</v>
      </c>
      <c r="D722" s="15">
        <f>IF(Categorias_Registro[[#This Row],[Puntos]]=ROUND(Piso,0),ROUND(Categorias_Registro[[#This Row],[Puntos]]*(1+Categorias_Registro[[#This Row],[Amplitud]]),0),IF(Categorias_Registro[[#This Row],[Puntos]]&lt;D723,D723,ROUND(D723*(1+Categorias_Registro[[#This Row],[Amplitud]]),0)))</f>
        <v>2163</v>
      </c>
      <c r="E722" s="15">
        <f>E723+IF(D723=Categorias_Registro[[#This Row],[Máximo]],0,1)</f>
        <v>23</v>
      </c>
      <c r="F722" s="15">
        <f>ROUND(Categorias_Registro[[#This Row],[Mínimo]]+((Categorias_Registro[[#This Row],[Máximo]]-Categorias_Registro[[#This Row],[Mínimo]])/2),0)</f>
        <v>2023</v>
      </c>
      <c r="G722" s="78">
        <f>VLOOKUP(Categorias_Registro[[#This Row],[Puntos]],Categorias_Configuracion[],MATCH(Categorias_Configuracion[[#Headers],[% Amplitud]],Categorias_Configuracion[#Headers],0),TRUE)</f>
        <v>0.15</v>
      </c>
      <c r="H722" s="15" t="str">
        <f ca="1">TEXT(Categorias_Registro[[#This Row],[Mínimo]],Formato_Rango_Categorias)&amp;" - "&amp;TEXT(Categorias_Registro[[#This Row],[Máximo]],Formato_Rango_Categorias)</f>
        <v>1.882 - 2.163</v>
      </c>
    </row>
    <row r="723" spans="2:8">
      <c r="B723" s="15">
        <f>Techo - ROW() + ROW(Categorias_Registro[])</f>
        <v>1906</v>
      </c>
      <c r="C723" s="15">
        <f>IF(Categorias_Registro[[#This Row],[Puntos]]&lt;=ROUND(Piso,0),Piso,IF(Categorias_Registro[[#This Row],[Puntos]]&lt;D724,C724,D724+1))</f>
        <v>1882</v>
      </c>
      <c r="D723" s="15">
        <f>IF(Categorias_Registro[[#This Row],[Puntos]]=ROUND(Piso,0),ROUND(Categorias_Registro[[#This Row],[Puntos]]*(1+Categorias_Registro[[#This Row],[Amplitud]]),0),IF(Categorias_Registro[[#This Row],[Puntos]]&lt;D724,D724,ROUND(D724*(1+Categorias_Registro[[#This Row],[Amplitud]]),0)))</f>
        <v>2163</v>
      </c>
      <c r="E723" s="15">
        <f>E724+IF(D724=Categorias_Registro[[#This Row],[Máximo]],0,1)</f>
        <v>23</v>
      </c>
      <c r="F723" s="15">
        <f>ROUND(Categorias_Registro[[#This Row],[Mínimo]]+((Categorias_Registro[[#This Row],[Máximo]]-Categorias_Registro[[#This Row],[Mínimo]])/2),0)</f>
        <v>2023</v>
      </c>
      <c r="G723" s="78">
        <f>VLOOKUP(Categorias_Registro[[#This Row],[Puntos]],Categorias_Configuracion[],MATCH(Categorias_Configuracion[[#Headers],[% Amplitud]],Categorias_Configuracion[#Headers],0),TRUE)</f>
        <v>0.15</v>
      </c>
      <c r="H723" s="15" t="str">
        <f ca="1">TEXT(Categorias_Registro[[#This Row],[Mínimo]],Formato_Rango_Categorias)&amp;" - "&amp;TEXT(Categorias_Registro[[#This Row],[Máximo]],Formato_Rango_Categorias)</f>
        <v>1.882 - 2.163</v>
      </c>
    </row>
    <row r="724" spans="2:8">
      <c r="B724" s="15">
        <f>Techo - ROW() + ROW(Categorias_Registro[])</f>
        <v>1905</v>
      </c>
      <c r="C724" s="15">
        <f>IF(Categorias_Registro[[#This Row],[Puntos]]&lt;=ROUND(Piso,0),Piso,IF(Categorias_Registro[[#This Row],[Puntos]]&lt;D725,C725,D725+1))</f>
        <v>1882</v>
      </c>
      <c r="D724" s="15">
        <f>IF(Categorias_Registro[[#This Row],[Puntos]]=ROUND(Piso,0),ROUND(Categorias_Registro[[#This Row],[Puntos]]*(1+Categorias_Registro[[#This Row],[Amplitud]]),0),IF(Categorias_Registro[[#This Row],[Puntos]]&lt;D725,D725,ROUND(D725*(1+Categorias_Registro[[#This Row],[Amplitud]]),0)))</f>
        <v>2163</v>
      </c>
      <c r="E724" s="15">
        <f>E725+IF(D725=Categorias_Registro[[#This Row],[Máximo]],0,1)</f>
        <v>23</v>
      </c>
      <c r="F724" s="15">
        <f>ROUND(Categorias_Registro[[#This Row],[Mínimo]]+((Categorias_Registro[[#This Row],[Máximo]]-Categorias_Registro[[#This Row],[Mínimo]])/2),0)</f>
        <v>2023</v>
      </c>
      <c r="G724" s="78">
        <f>VLOOKUP(Categorias_Registro[[#This Row],[Puntos]],Categorias_Configuracion[],MATCH(Categorias_Configuracion[[#Headers],[% Amplitud]],Categorias_Configuracion[#Headers],0),TRUE)</f>
        <v>0.15</v>
      </c>
      <c r="H724" s="15" t="str">
        <f ca="1">TEXT(Categorias_Registro[[#This Row],[Mínimo]],Formato_Rango_Categorias)&amp;" - "&amp;TEXT(Categorias_Registro[[#This Row],[Máximo]],Formato_Rango_Categorias)</f>
        <v>1.882 - 2.163</v>
      </c>
    </row>
    <row r="725" spans="2:8">
      <c r="B725" s="15">
        <f>Techo - ROW() + ROW(Categorias_Registro[])</f>
        <v>1904</v>
      </c>
      <c r="C725" s="15">
        <f>IF(Categorias_Registro[[#This Row],[Puntos]]&lt;=ROUND(Piso,0),Piso,IF(Categorias_Registro[[#This Row],[Puntos]]&lt;D726,C726,D726+1))</f>
        <v>1882</v>
      </c>
      <c r="D725" s="15">
        <f>IF(Categorias_Registro[[#This Row],[Puntos]]=ROUND(Piso,0),ROUND(Categorias_Registro[[#This Row],[Puntos]]*(1+Categorias_Registro[[#This Row],[Amplitud]]),0),IF(Categorias_Registro[[#This Row],[Puntos]]&lt;D726,D726,ROUND(D726*(1+Categorias_Registro[[#This Row],[Amplitud]]),0)))</f>
        <v>2163</v>
      </c>
      <c r="E725" s="15">
        <f>E726+IF(D726=Categorias_Registro[[#This Row],[Máximo]],0,1)</f>
        <v>23</v>
      </c>
      <c r="F725" s="15">
        <f>ROUND(Categorias_Registro[[#This Row],[Mínimo]]+((Categorias_Registro[[#This Row],[Máximo]]-Categorias_Registro[[#This Row],[Mínimo]])/2),0)</f>
        <v>2023</v>
      </c>
      <c r="G725" s="78">
        <f>VLOOKUP(Categorias_Registro[[#This Row],[Puntos]],Categorias_Configuracion[],MATCH(Categorias_Configuracion[[#Headers],[% Amplitud]],Categorias_Configuracion[#Headers],0),TRUE)</f>
        <v>0.15</v>
      </c>
      <c r="H725" s="15" t="str">
        <f ca="1">TEXT(Categorias_Registro[[#This Row],[Mínimo]],Formato_Rango_Categorias)&amp;" - "&amp;TEXT(Categorias_Registro[[#This Row],[Máximo]],Formato_Rango_Categorias)</f>
        <v>1.882 - 2.163</v>
      </c>
    </row>
    <row r="726" spans="2:8">
      <c r="B726" s="15">
        <f>Techo - ROW() + ROW(Categorias_Registro[])</f>
        <v>1903</v>
      </c>
      <c r="C726" s="15">
        <f>IF(Categorias_Registro[[#This Row],[Puntos]]&lt;=ROUND(Piso,0),Piso,IF(Categorias_Registro[[#This Row],[Puntos]]&lt;D727,C727,D727+1))</f>
        <v>1882</v>
      </c>
      <c r="D726" s="15">
        <f>IF(Categorias_Registro[[#This Row],[Puntos]]=ROUND(Piso,0),ROUND(Categorias_Registro[[#This Row],[Puntos]]*(1+Categorias_Registro[[#This Row],[Amplitud]]),0),IF(Categorias_Registro[[#This Row],[Puntos]]&lt;D727,D727,ROUND(D727*(1+Categorias_Registro[[#This Row],[Amplitud]]),0)))</f>
        <v>2163</v>
      </c>
      <c r="E726" s="15">
        <f>E727+IF(D727=Categorias_Registro[[#This Row],[Máximo]],0,1)</f>
        <v>23</v>
      </c>
      <c r="F726" s="15">
        <f>ROUND(Categorias_Registro[[#This Row],[Mínimo]]+((Categorias_Registro[[#This Row],[Máximo]]-Categorias_Registro[[#This Row],[Mínimo]])/2),0)</f>
        <v>2023</v>
      </c>
      <c r="G726" s="78">
        <f>VLOOKUP(Categorias_Registro[[#This Row],[Puntos]],Categorias_Configuracion[],MATCH(Categorias_Configuracion[[#Headers],[% Amplitud]],Categorias_Configuracion[#Headers],0),TRUE)</f>
        <v>0.15</v>
      </c>
      <c r="H726" s="15" t="str">
        <f ca="1">TEXT(Categorias_Registro[[#This Row],[Mínimo]],Formato_Rango_Categorias)&amp;" - "&amp;TEXT(Categorias_Registro[[#This Row],[Máximo]],Formato_Rango_Categorias)</f>
        <v>1.882 - 2.163</v>
      </c>
    </row>
    <row r="727" spans="2:8">
      <c r="B727" s="15">
        <f>Techo - ROW() + ROW(Categorias_Registro[])</f>
        <v>1902</v>
      </c>
      <c r="C727" s="15">
        <f>IF(Categorias_Registro[[#This Row],[Puntos]]&lt;=ROUND(Piso,0),Piso,IF(Categorias_Registro[[#This Row],[Puntos]]&lt;D728,C728,D728+1))</f>
        <v>1882</v>
      </c>
      <c r="D727" s="15">
        <f>IF(Categorias_Registro[[#This Row],[Puntos]]=ROUND(Piso,0),ROUND(Categorias_Registro[[#This Row],[Puntos]]*(1+Categorias_Registro[[#This Row],[Amplitud]]),0),IF(Categorias_Registro[[#This Row],[Puntos]]&lt;D728,D728,ROUND(D728*(1+Categorias_Registro[[#This Row],[Amplitud]]),0)))</f>
        <v>2163</v>
      </c>
      <c r="E727" s="15">
        <f>E728+IF(D728=Categorias_Registro[[#This Row],[Máximo]],0,1)</f>
        <v>23</v>
      </c>
      <c r="F727" s="15">
        <f>ROUND(Categorias_Registro[[#This Row],[Mínimo]]+((Categorias_Registro[[#This Row],[Máximo]]-Categorias_Registro[[#This Row],[Mínimo]])/2),0)</f>
        <v>2023</v>
      </c>
      <c r="G727" s="78">
        <f>VLOOKUP(Categorias_Registro[[#This Row],[Puntos]],Categorias_Configuracion[],MATCH(Categorias_Configuracion[[#Headers],[% Amplitud]],Categorias_Configuracion[#Headers],0),TRUE)</f>
        <v>0.15</v>
      </c>
      <c r="H727" s="15" t="str">
        <f ca="1">TEXT(Categorias_Registro[[#This Row],[Mínimo]],Formato_Rango_Categorias)&amp;" - "&amp;TEXT(Categorias_Registro[[#This Row],[Máximo]],Formato_Rango_Categorias)</f>
        <v>1.882 - 2.163</v>
      </c>
    </row>
    <row r="728" spans="2:8">
      <c r="B728" s="15">
        <f>Techo - ROW() + ROW(Categorias_Registro[])</f>
        <v>1901</v>
      </c>
      <c r="C728" s="15">
        <f>IF(Categorias_Registro[[#This Row],[Puntos]]&lt;=ROUND(Piso,0),Piso,IF(Categorias_Registro[[#This Row],[Puntos]]&lt;D729,C729,D729+1))</f>
        <v>1882</v>
      </c>
      <c r="D728" s="15">
        <f>IF(Categorias_Registro[[#This Row],[Puntos]]=ROUND(Piso,0),ROUND(Categorias_Registro[[#This Row],[Puntos]]*(1+Categorias_Registro[[#This Row],[Amplitud]]),0),IF(Categorias_Registro[[#This Row],[Puntos]]&lt;D729,D729,ROUND(D729*(1+Categorias_Registro[[#This Row],[Amplitud]]),0)))</f>
        <v>2163</v>
      </c>
      <c r="E728" s="15">
        <f>E729+IF(D729=Categorias_Registro[[#This Row],[Máximo]],0,1)</f>
        <v>23</v>
      </c>
      <c r="F728" s="15">
        <f>ROUND(Categorias_Registro[[#This Row],[Mínimo]]+((Categorias_Registro[[#This Row],[Máximo]]-Categorias_Registro[[#This Row],[Mínimo]])/2),0)</f>
        <v>2023</v>
      </c>
      <c r="G728" s="78">
        <f>VLOOKUP(Categorias_Registro[[#This Row],[Puntos]],Categorias_Configuracion[],MATCH(Categorias_Configuracion[[#Headers],[% Amplitud]],Categorias_Configuracion[#Headers],0),TRUE)</f>
        <v>0.15</v>
      </c>
      <c r="H728" s="15" t="str">
        <f ca="1">TEXT(Categorias_Registro[[#This Row],[Mínimo]],Formato_Rango_Categorias)&amp;" - "&amp;TEXT(Categorias_Registro[[#This Row],[Máximo]],Formato_Rango_Categorias)</f>
        <v>1.882 - 2.163</v>
      </c>
    </row>
    <row r="729" spans="2:8">
      <c r="B729" s="15">
        <f>Techo - ROW() + ROW(Categorias_Registro[])</f>
        <v>1900</v>
      </c>
      <c r="C729" s="15">
        <f>IF(Categorias_Registro[[#This Row],[Puntos]]&lt;=ROUND(Piso,0),Piso,IF(Categorias_Registro[[#This Row],[Puntos]]&lt;D730,C730,D730+1))</f>
        <v>1882</v>
      </c>
      <c r="D729" s="15">
        <f>IF(Categorias_Registro[[#This Row],[Puntos]]=ROUND(Piso,0),ROUND(Categorias_Registro[[#This Row],[Puntos]]*(1+Categorias_Registro[[#This Row],[Amplitud]]),0),IF(Categorias_Registro[[#This Row],[Puntos]]&lt;D730,D730,ROUND(D730*(1+Categorias_Registro[[#This Row],[Amplitud]]),0)))</f>
        <v>2163</v>
      </c>
      <c r="E729" s="15">
        <f>E730+IF(D730=Categorias_Registro[[#This Row],[Máximo]],0,1)</f>
        <v>23</v>
      </c>
      <c r="F729" s="15">
        <f>ROUND(Categorias_Registro[[#This Row],[Mínimo]]+((Categorias_Registro[[#This Row],[Máximo]]-Categorias_Registro[[#This Row],[Mínimo]])/2),0)</f>
        <v>2023</v>
      </c>
      <c r="G729" s="78">
        <f>VLOOKUP(Categorias_Registro[[#This Row],[Puntos]],Categorias_Configuracion[],MATCH(Categorias_Configuracion[[#Headers],[% Amplitud]],Categorias_Configuracion[#Headers],0),TRUE)</f>
        <v>0.15</v>
      </c>
      <c r="H729" s="15" t="str">
        <f ca="1">TEXT(Categorias_Registro[[#This Row],[Mínimo]],Formato_Rango_Categorias)&amp;" - "&amp;TEXT(Categorias_Registro[[#This Row],[Máximo]],Formato_Rango_Categorias)</f>
        <v>1.882 - 2.163</v>
      </c>
    </row>
    <row r="730" spans="2:8">
      <c r="B730" s="15">
        <f>Techo - ROW() + ROW(Categorias_Registro[])</f>
        <v>1899</v>
      </c>
      <c r="C730" s="15">
        <f>IF(Categorias_Registro[[#This Row],[Puntos]]&lt;=ROUND(Piso,0),Piso,IF(Categorias_Registro[[#This Row],[Puntos]]&lt;D731,C731,D731+1))</f>
        <v>1882</v>
      </c>
      <c r="D730" s="15">
        <f>IF(Categorias_Registro[[#This Row],[Puntos]]=ROUND(Piso,0),ROUND(Categorias_Registro[[#This Row],[Puntos]]*(1+Categorias_Registro[[#This Row],[Amplitud]]),0),IF(Categorias_Registro[[#This Row],[Puntos]]&lt;D731,D731,ROUND(D731*(1+Categorias_Registro[[#This Row],[Amplitud]]),0)))</f>
        <v>2163</v>
      </c>
      <c r="E730" s="15">
        <f>E731+IF(D731=Categorias_Registro[[#This Row],[Máximo]],0,1)</f>
        <v>23</v>
      </c>
      <c r="F730" s="15">
        <f>ROUND(Categorias_Registro[[#This Row],[Mínimo]]+((Categorias_Registro[[#This Row],[Máximo]]-Categorias_Registro[[#This Row],[Mínimo]])/2),0)</f>
        <v>2023</v>
      </c>
      <c r="G730" s="78">
        <f>VLOOKUP(Categorias_Registro[[#This Row],[Puntos]],Categorias_Configuracion[],MATCH(Categorias_Configuracion[[#Headers],[% Amplitud]],Categorias_Configuracion[#Headers],0),TRUE)</f>
        <v>0.15</v>
      </c>
      <c r="H730" s="15" t="str">
        <f ca="1">TEXT(Categorias_Registro[[#This Row],[Mínimo]],Formato_Rango_Categorias)&amp;" - "&amp;TEXT(Categorias_Registro[[#This Row],[Máximo]],Formato_Rango_Categorias)</f>
        <v>1.882 - 2.163</v>
      </c>
    </row>
    <row r="731" spans="2:8">
      <c r="B731" s="15">
        <f>Techo - ROW() + ROW(Categorias_Registro[])</f>
        <v>1898</v>
      </c>
      <c r="C731" s="15">
        <f>IF(Categorias_Registro[[#This Row],[Puntos]]&lt;=ROUND(Piso,0),Piso,IF(Categorias_Registro[[#This Row],[Puntos]]&lt;D732,C732,D732+1))</f>
        <v>1882</v>
      </c>
      <c r="D731" s="15">
        <f>IF(Categorias_Registro[[#This Row],[Puntos]]=ROUND(Piso,0),ROUND(Categorias_Registro[[#This Row],[Puntos]]*(1+Categorias_Registro[[#This Row],[Amplitud]]),0),IF(Categorias_Registro[[#This Row],[Puntos]]&lt;D732,D732,ROUND(D732*(1+Categorias_Registro[[#This Row],[Amplitud]]),0)))</f>
        <v>2163</v>
      </c>
      <c r="E731" s="15">
        <f>E732+IF(D732=Categorias_Registro[[#This Row],[Máximo]],0,1)</f>
        <v>23</v>
      </c>
      <c r="F731" s="15">
        <f>ROUND(Categorias_Registro[[#This Row],[Mínimo]]+((Categorias_Registro[[#This Row],[Máximo]]-Categorias_Registro[[#This Row],[Mínimo]])/2),0)</f>
        <v>2023</v>
      </c>
      <c r="G731" s="78">
        <f>VLOOKUP(Categorias_Registro[[#This Row],[Puntos]],Categorias_Configuracion[],MATCH(Categorias_Configuracion[[#Headers],[% Amplitud]],Categorias_Configuracion[#Headers],0),TRUE)</f>
        <v>0.15</v>
      </c>
      <c r="H731" s="15" t="str">
        <f ca="1">TEXT(Categorias_Registro[[#This Row],[Mínimo]],Formato_Rango_Categorias)&amp;" - "&amp;TEXT(Categorias_Registro[[#This Row],[Máximo]],Formato_Rango_Categorias)</f>
        <v>1.882 - 2.163</v>
      </c>
    </row>
    <row r="732" spans="2:8">
      <c r="B732" s="15">
        <f>Techo - ROW() + ROW(Categorias_Registro[])</f>
        <v>1897</v>
      </c>
      <c r="C732" s="15">
        <f>IF(Categorias_Registro[[#This Row],[Puntos]]&lt;=ROUND(Piso,0),Piso,IF(Categorias_Registro[[#This Row],[Puntos]]&lt;D733,C733,D733+1))</f>
        <v>1882</v>
      </c>
      <c r="D732" s="15">
        <f>IF(Categorias_Registro[[#This Row],[Puntos]]=ROUND(Piso,0),ROUND(Categorias_Registro[[#This Row],[Puntos]]*(1+Categorias_Registro[[#This Row],[Amplitud]]),0),IF(Categorias_Registro[[#This Row],[Puntos]]&lt;D733,D733,ROUND(D733*(1+Categorias_Registro[[#This Row],[Amplitud]]),0)))</f>
        <v>2163</v>
      </c>
      <c r="E732" s="15">
        <f>E733+IF(D733=Categorias_Registro[[#This Row],[Máximo]],0,1)</f>
        <v>23</v>
      </c>
      <c r="F732" s="15">
        <f>ROUND(Categorias_Registro[[#This Row],[Mínimo]]+((Categorias_Registro[[#This Row],[Máximo]]-Categorias_Registro[[#This Row],[Mínimo]])/2),0)</f>
        <v>2023</v>
      </c>
      <c r="G732" s="78">
        <f>VLOOKUP(Categorias_Registro[[#This Row],[Puntos]],Categorias_Configuracion[],MATCH(Categorias_Configuracion[[#Headers],[% Amplitud]],Categorias_Configuracion[#Headers],0),TRUE)</f>
        <v>0.15</v>
      </c>
      <c r="H732" s="15" t="str">
        <f ca="1">TEXT(Categorias_Registro[[#This Row],[Mínimo]],Formato_Rango_Categorias)&amp;" - "&amp;TEXT(Categorias_Registro[[#This Row],[Máximo]],Formato_Rango_Categorias)</f>
        <v>1.882 - 2.163</v>
      </c>
    </row>
    <row r="733" spans="2:8">
      <c r="B733" s="15">
        <f>Techo - ROW() + ROW(Categorias_Registro[])</f>
        <v>1896</v>
      </c>
      <c r="C733" s="15">
        <f>IF(Categorias_Registro[[#This Row],[Puntos]]&lt;=ROUND(Piso,0),Piso,IF(Categorias_Registro[[#This Row],[Puntos]]&lt;D734,C734,D734+1))</f>
        <v>1882</v>
      </c>
      <c r="D733" s="15">
        <f>IF(Categorias_Registro[[#This Row],[Puntos]]=ROUND(Piso,0),ROUND(Categorias_Registro[[#This Row],[Puntos]]*(1+Categorias_Registro[[#This Row],[Amplitud]]),0),IF(Categorias_Registro[[#This Row],[Puntos]]&lt;D734,D734,ROUND(D734*(1+Categorias_Registro[[#This Row],[Amplitud]]),0)))</f>
        <v>2163</v>
      </c>
      <c r="E733" s="15">
        <f>E734+IF(D734=Categorias_Registro[[#This Row],[Máximo]],0,1)</f>
        <v>23</v>
      </c>
      <c r="F733" s="15">
        <f>ROUND(Categorias_Registro[[#This Row],[Mínimo]]+((Categorias_Registro[[#This Row],[Máximo]]-Categorias_Registro[[#This Row],[Mínimo]])/2),0)</f>
        <v>2023</v>
      </c>
      <c r="G733" s="78">
        <f>VLOOKUP(Categorias_Registro[[#This Row],[Puntos]],Categorias_Configuracion[],MATCH(Categorias_Configuracion[[#Headers],[% Amplitud]],Categorias_Configuracion[#Headers],0),TRUE)</f>
        <v>0.15</v>
      </c>
      <c r="H733" s="15" t="str">
        <f ca="1">TEXT(Categorias_Registro[[#This Row],[Mínimo]],Formato_Rango_Categorias)&amp;" - "&amp;TEXT(Categorias_Registro[[#This Row],[Máximo]],Formato_Rango_Categorias)</f>
        <v>1.882 - 2.163</v>
      </c>
    </row>
    <row r="734" spans="2:8">
      <c r="B734" s="15">
        <f>Techo - ROW() + ROW(Categorias_Registro[])</f>
        <v>1895</v>
      </c>
      <c r="C734" s="15">
        <f>IF(Categorias_Registro[[#This Row],[Puntos]]&lt;=ROUND(Piso,0),Piso,IF(Categorias_Registro[[#This Row],[Puntos]]&lt;D735,C735,D735+1))</f>
        <v>1882</v>
      </c>
      <c r="D734" s="15">
        <f>IF(Categorias_Registro[[#This Row],[Puntos]]=ROUND(Piso,0),ROUND(Categorias_Registro[[#This Row],[Puntos]]*(1+Categorias_Registro[[#This Row],[Amplitud]]),0),IF(Categorias_Registro[[#This Row],[Puntos]]&lt;D735,D735,ROUND(D735*(1+Categorias_Registro[[#This Row],[Amplitud]]),0)))</f>
        <v>2163</v>
      </c>
      <c r="E734" s="15">
        <f>E735+IF(D735=Categorias_Registro[[#This Row],[Máximo]],0,1)</f>
        <v>23</v>
      </c>
      <c r="F734" s="15">
        <f>ROUND(Categorias_Registro[[#This Row],[Mínimo]]+((Categorias_Registro[[#This Row],[Máximo]]-Categorias_Registro[[#This Row],[Mínimo]])/2),0)</f>
        <v>2023</v>
      </c>
      <c r="G734" s="78">
        <f>VLOOKUP(Categorias_Registro[[#This Row],[Puntos]],Categorias_Configuracion[],MATCH(Categorias_Configuracion[[#Headers],[% Amplitud]],Categorias_Configuracion[#Headers],0),TRUE)</f>
        <v>0.15</v>
      </c>
      <c r="H734" s="15" t="str">
        <f ca="1">TEXT(Categorias_Registro[[#This Row],[Mínimo]],Formato_Rango_Categorias)&amp;" - "&amp;TEXT(Categorias_Registro[[#This Row],[Máximo]],Formato_Rango_Categorias)</f>
        <v>1.882 - 2.163</v>
      </c>
    </row>
    <row r="735" spans="2:8">
      <c r="B735" s="15">
        <f>Techo - ROW() + ROW(Categorias_Registro[])</f>
        <v>1894</v>
      </c>
      <c r="C735" s="15">
        <f>IF(Categorias_Registro[[#This Row],[Puntos]]&lt;=ROUND(Piso,0),Piso,IF(Categorias_Registro[[#This Row],[Puntos]]&lt;D736,C736,D736+1))</f>
        <v>1882</v>
      </c>
      <c r="D735" s="15">
        <f>IF(Categorias_Registro[[#This Row],[Puntos]]=ROUND(Piso,0),ROUND(Categorias_Registro[[#This Row],[Puntos]]*(1+Categorias_Registro[[#This Row],[Amplitud]]),0),IF(Categorias_Registro[[#This Row],[Puntos]]&lt;D736,D736,ROUND(D736*(1+Categorias_Registro[[#This Row],[Amplitud]]),0)))</f>
        <v>2163</v>
      </c>
      <c r="E735" s="15">
        <f>E736+IF(D736=Categorias_Registro[[#This Row],[Máximo]],0,1)</f>
        <v>23</v>
      </c>
      <c r="F735" s="15">
        <f>ROUND(Categorias_Registro[[#This Row],[Mínimo]]+((Categorias_Registro[[#This Row],[Máximo]]-Categorias_Registro[[#This Row],[Mínimo]])/2),0)</f>
        <v>2023</v>
      </c>
      <c r="G735" s="78">
        <f>VLOOKUP(Categorias_Registro[[#This Row],[Puntos]],Categorias_Configuracion[],MATCH(Categorias_Configuracion[[#Headers],[% Amplitud]],Categorias_Configuracion[#Headers],0),TRUE)</f>
        <v>0.15</v>
      </c>
      <c r="H735" s="15" t="str">
        <f ca="1">TEXT(Categorias_Registro[[#This Row],[Mínimo]],Formato_Rango_Categorias)&amp;" - "&amp;TEXT(Categorias_Registro[[#This Row],[Máximo]],Formato_Rango_Categorias)</f>
        <v>1.882 - 2.163</v>
      </c>
    </row>
    <row r="736" spans="2:8">
      <c r="B736" s="15">
        <f>Techo - ROW() + ROW(Categorias_Registro[])</f>
        <v>1893</v>
      </c>
      <c r="C736" s="15">
        <f>IF(Categorias_Registro[[#This Row],[Puntos]]&lt;=ROUND(Piso,0),Piso,IF(Categorias_Registro[[#This Row],[Puntos]]&lt;D737,C737,D737+1))</f>
        <v>1882</v>
      </c>
      <c r="D736" s="15">
        <f>IF(Categorias_Registro[[#This Row],[Puntos]]=ROUND(Piso,0),ROUND(Categorias_Registro[[#This Row],[Puntos]]*(1+Categorias_Registro[[#This Row],[Amplitud]]),0),IF(Categorias_Registro[[#This Row],[Puntos]]&lt;D737,D737,ROUND(D737*(1+Categorias_Registro[[#This Row],[Amplitud]]),0)))</f>
        <v>2163</v>
      </c>
      <c r="E736" s="15">
        <f>E737+IF(D737=Categorias_Registro[[#This Row],[Máximo]],0,1)</f>
        <v>23</v>
      </c>
      <c r="F736" s="15">
        <f>ROUND(Categorias_Registro[[#This Row],[Mínimo]]+((Categorias_Registro[[#This Row],[Máximo]]-Categorias_Registro[[#This Row],[Mínimo]])/2),0)</f>
        <v>2023</v>
      </c>
      <c r="G736" s="78">
        <f>VLOOKUP(Categorias_Registro[[#This Row],[Puntos]],Categorias_Configuracion[],MATCH(Categorias_Configuracion[[#Headers],[% Amplitud]],Categorias_Configuracion[#Headers],0),TRUE)</f>
        <v>0.15</v>
      </c>
      <c r="H736" s="15" t="str">
        <f ca="1">TEXT(Categorias_Registro[[#This Row],[Mínimo]],Formato_Rango_Categorias)&amp;" - "&amp;TEXT(Categorias_Registro[[#This Row],[Máximo]],Formato_Rango_Categorias)</f>
        <v>1.882 - 2.163</v>
      </c>
    </row>
    <row r="737" spans="2:8">
      <c r="B737" s="15">
        <f>Techo - ROW() + ROW(Categorias_Registro[])</f>
        <v>1892</v>
      </c>
      <c r="C737" s="15">
        <f>IF(Categorias_Registro[[#This Row],[Puntos]]&lt;=ROUND(Piso,0),Piso,IF(Categorias_Registro[[#This Row],[Puntos]]&lt;D738,C738,D738+1))</f>
        <v>1882</v>
      </c>
      <c r="D737" s="15">
        <f>IF(Categorias_Registro[[#This Row],[Puntos]]=ROUND(Piso,0),ROUND(Categorias_Registro[[#This Row],[Puntos]]*(1+Categorias_Registro[[#This Row],[Amplitud]]),0),IF(Categorias_Registro[[#This Row],[Puntos]]&lt;D738,D738,ROUND(D738*(1+Categorias_Registro[[#This Row],[Amplitud]]),0)))</f>
        <v>2163</v>
      </c>
      <c r="E737" s="15">
        <f>E738+IF(D738=Categorias_Registro[[#This Row],[Máximo]],0,1)</f>
        <v>23</v>
      </c>
      <c r="F737" s="15">
        <f>ROUND(Categorias_Registro[[#This Row],[Mínimo]]+((Categorias_Registro[[#This Row],[Máximo]]-Categorias_Registro[[#This Row],[Mínimo]])/2),0)</f>
        <v>2023</v>
      </c>
      <c r="G737" s="78">
        <f>VLOOKUP(Categorias_Registro[[#This Row],[Puntos]],Categorias_Configuracion[],MATCH(Categorias_Configuracion[[#Headers],[% Amplitud]],Categorias_Configuracion[#Headers],0),TRUE)</f>
        <v>0.15</v>
      </c>
      <c r="H737" s="15" t="str">
        <f ca="1">TEXT(Categorias_Registro[[#This Row],[Mínimo]],Formato_Rango_Categorias)&amp;" - "&amp;TEXT(Categorias_Registro[[#This Row],[Máximo]],Formato_Rango_Categorias)</f>
        <v>1.882 - 2.163</v>
      </c>
    </row>
    <row r="738" spans="2:8">
      <c r="B738" s="15">
        <f>Techo - ROW() + ROW(Categorias_Registro[])</f>
        <v>1891</v>
      </c>
      <c r="C738" s="15">
        <f>IF(Categorias_Registro[[#This Row],[Puntos]]&lt;=ROUND(Piso,0),Piso,IF(Categorias_Registro[[#This Row],[Puntos]]&lt;D739,C739,D739+1))</f>
        <v>1882</v>
      </c>
      <c r="D738" s="15">
        <f>IF(Categorias_Registro[[#This Row],[Puntos]]=ROUND(Piso,0),ROUND(Categorias_Registro[[#This Row],[Puntos]]*(1+Categorias_Registro[[#This Row],[Amplitud]]),0),IF(Categorias_Registro[[#This Row],[Puntos]]&lt;D739,D739,ROUND(D739*(1+Categorias_Registro[[#This Row],[Amplitud]]),0)))</f>
        <v>2163</v>
      </c>
      <c r="E738" s="15">
        <f>E739+IF(D739=Categorias_Registro[[#This Row],[Máximo]],0,1)</f>
        <v>23</v>
      </c>
      <c r="F738" s="15">
        <f>ROUND(Categorias_Registro[[#This Row],[Mínimo]]+((Categorias_Registro[[#This Row],[Máximo]]-Categorias_Registro[[#This Row],[Mínimo]])/2),0)</f>
        <v>2023</v>
      </c>
      <c r="G738" s="78">
        <f>VLOOKUP(Categorias_Registro[[#This Row],[Puntos]],Categorias_Configuracion[],MATCH(Categorias_Configuracion[[#Headers],[% Amplitud]],Categorias_Configuracion[#Headers],0),TRUE)</f>
        <v>0.15</v>
      </c>
      <c r="H738" s="15" t="str">
        <f ca="1">TEXT(Categorias_Registro[[#This Row],[Mínimo]],Formato_Rango_Categorias)&amp;" - "&amp;TEXT(Categorias_Registro[[#This Row],[Máximo]],Formato_Rango_Categorias)</f>
        <v>1.882 - 2.163</v>
      </c>
    </row>
    <row r="739" spans="2:8">
      <c r="B739" s="15">
        <f>Techo - ROW() + ROW(Categorias_Registro[])</f>
        <v>1890</v>
      </c>
      <c r="C739" s="15">
        <f>IF(Categorias_Registro[[#This Row],[Puntos]]&lt;=ROUND(Piso,0),Piso,IF(Categorias_Registro[[#This Row],[Puntos]]&lt;D740,C740,D740+1))</f>
        <v>1882</v>
      </c>
      <c r="D739" s="15">
        <f>IF(Categorias_Registro[[#This Row],[Puntos]]=ROUND(Piso,0),ROUND(Categorias_Registro[[#This Row],[Puntos]]*(1+Categorias_Registro[[#This Row],[Amplitud]]),0),IF(Categorias_Registro[[#This Row],[Puntos]]&lt;D740,D740,ROUND(D740*(1+Categorias_Registro[[#This Row],[Amplitud]]),0)))</f>
        <v>2163</v>
      </c>
      <c r="E739" s="15">
        <f>E740+IF(D740=Categorias_Registro[[#This Row],[Máximo]],0,1)</f>
        <v>23</v>
      </c>
      <c r="F739" s="15">
        <f>ROUND(Categorias_Registro[[#This Row],[Mínimo]]+((Categorias_Registro[[#This Row],[Máximo]]-Categorias_Registro[[#This Row],[Mínimo]])/2),0)</f>
        <v>2023</v>
      </c>
      <c r="G739" s="78">
        <f>VLOOKUP(Categorias_Registro[[#This Row],[Puntos]],Categorias_Configuracion[],MATCH(Categorias_Configuracion[[#Headers],[% Amplitud]],Categorias_Configuracion[#Headers],0),TRUE)</f>
        <v>0.15</v>
      </c>
      <c r="H739" s="15" t="str">
        <f ca="1">TEXT(Categorias_Registro[[#This Row],[Mínimo]],Formato_Rango_Categorias)&amp;" - "&amp;TEXT(Categorias_Registro[[#This Row],[Máximo]],Formato_Rango_Categorias)</f>
        <v>1.882 - 2.163</v>
      </c>
    </row>
    <row r="740" spans="2:8">
      <c r="B740" s="15">
        <f>Techo - ROW() + ROW(Categorias_Registro[])</f>
        <v>1889</v>
      </c>
      <c r="C740" s="15">
        <f>IF(Categorias_Registro[[#This Row],[Puntos]]&lt;=ROUND(Piso,0),Piso,IF(Categorias_Registro[[#This Row],[Puntos]]&lt;D741,C741,D741+1))</f>
        <v>1882</v>
      </c>
      <c r="D740" s="15">
        <f>IF(Categorias_Registro[[#This Row],[Puntos]]=ROUND(Piso,0),ROUND(Categorias_Registro[[#This Row],[Puntos]]*(1+Categorias_Registro[[#This Row],[Amplitud]]),0),IF(Categorias_Registro[[#This Row],[Puntos]]&lt;D741,D741,ROUND(D741*(1+Categorias_Registro[[#This Row],[Amplitud]]),0)))</f>
        <v>2163</v>
      </c>
      <c r="E740" s="15">
        <f>E741+IF(D741=Categorias_Registro[[#This Row],[Máximo]],0,1)</f>
        <v>23</v>
      </c>
      <c r="F740" s="15">
        <f>ROUND(Categorias_Registro[[#This Row],[Mínimo]]+((Categorias_Registro[[#This Row],[Máximo]]-Categorias_Registro[[#This Row],[Mínimo]])/2),0)</f>
        <v>2023</v>
      </c>
      <c r="G740" s="78">
        <f>VLOOKUP(Categorias_Registro[[#This Row],[Puntos]],Categorias_Configuracion[],MATCH(Categorias_Configuracion[[#Headers],[% Amplitud]],Categorias_Configuracion[#Headers],0),TRUE)</f>
        <v>0.15</v>
      </c>
      <c r="H740" s="15" t="str">
        <f ca="1">TEXT(Categorias_Registro[[#This Row],[Mínimo]],Formato_Rango_Categorias)&amp;" - "&amp;TEXT(Categorias_Registro[[#This Row],[Máximo]],Formato_Rango_Categorias)</f>
        <v>1.882 - 2.163</v>
      </c>
    </row>
    <row r="741" spans="2:8">
      <c r="B741" s="15">
        <f>Techo - ROW() + ROW(Categorias_Registro[])</f>
        <v>1888</v>
      </c>
      <c r="C741" s="15">
        <f>IF(Categorias_Registro[[#This Row],[Puntos]]&lt;=ROUND(Piso,0),Piso,IF(Categorias_Registro[[#This Row],[Puntos]]&lt;D742,C742,D742+1))</f>
        <v>1882</v>
      </c>
      <c r="D741" s="15">
        <f>IF(Categorias_Registro[[#This Row],[Puntos]]=ROUND(Piso,0),ROUND(Categorias_Registro[[#This Row],[Puntos]]*(1+Categorias_Registro[[#This Row],[Amplitud]]),0),IF(Categorias_Registro[[#This Row],[Puntos]]&lt;D742,D742,ROUND(D742*(1+Categorias_Registro[[#This Row],[Amplitud]]),0)))</f>
        <v>2163</v>
      </c>
      <c r="E741" s="15">
        <f>E742+IF(D742=Categorias_Registro[[#This Row],[Máximo]],0,1)</f>
        <v>23</v>
      </c>
      <c r="F741" s="15">
        <f>ROUND(Categorias_Registro[[#This Row],[Mínimo]]+((Categorias_Registro[[#This Row],[Máximo]]-Categorias_Registro[[#This Row],[Mínimo]])/2),0)</f>
        <v>2023</v>
      </c>
      <c r="G741" s="78">
        <f>VLOOKUP(Categorias_Registro[[#This Row],[Puntos]],Categorias_Configuracion[],MATCH(Categorias_Configuracion[[#Headers],[% Amplitud]],Categorias_Configuracion[#Headers],0),TRUE)</f>
        <v>0.15</v>
      </c>
      <c r="H741" s="15" t="str">
        <f ca="1">TEXT(Categorias_Registro[[#This Row],[Mínimo]],Formato_Rango_Categorias)&amp;" - "&amp;TEXT(Categorias_Registro[[#This Row],[Máximo]],Formato_Rango_Categorias)</f>
        <v>1.882 - 2.163</v>
      </c>
    </row>
    <row r="742" spans="2:8">
      <c r="B742" s="15">
        <f>Techo - ROW() + ROW(Categorias_Registro[])</f>
        <v>1887</v>
      </c>
      <c r="C742" s="15">
        <f>IF(Categorias_Registro[[#This Row],[Puntos]]&lt;=ROUND(Piso,0),Piso,IF(Categorias_Registro[[#This Row],[Puntos]]&lt;D743,C743,D743+1))</f>
        <v>1882</v>
      </c>
      <c r="D742" s="15">
        <f>IF(Categorias_Registro[[#This Row],[Puntos]]=ROUND(Piso,0),ROUND(Categorias_Registro[[#This Row],[Puntos]]*(1+Categorias_Registro[[#This Row],[Amplitud]]),0),IF(Categorias_Registro[[#This Row],[Puntos]]&lt;D743,D743,ROUND(D743*(1+Categorias_Registro[[#This Row],[Amplitud]]),0)))</f>
        <v>2163</v>
      </c>
      <c r="E742" s="15">
        <f>E743+IF(D743=Categorias_Registro[[#This Row],[Máximo]],0,1)</f>
        <v>23</v>
      </c>
      <c r="F742" s="15">
        <f>ROUND(Categorias_Registro[[#This Row],[Mínimo]]+((Categorias_Registro[[#This Row],[Máximo]]-Categorias_Registro[[#This Row],[Mínimo]])/2),0)</f>
        <v>2023</v>
      </c>
      <c r="G742" s="78">
        <f>VLOOKUP(Categorias_Registro[[#This Row],[Puntos]],Categorias_Configuracion[],MATCH(Categorias_Configuracion[[#Headers],[% Amplitud]],Categorias_Configuracion[#Headers],0),TRUE)</f>
        <v>0.15</v>
      </c>
      <c r="H742" s="15" t="str">
        <f ca="1">TEXT(Categorias_Registro[[#This Row],[Mínimo]],Formato_Rango_Categorias)&amp;" - "&amp;TEXT(Categorias_Registro[[#This Row],[Máximo]],Formato_Rango_Categorias)</f>
        <v>1.882 - 2.163</v>
      </c>
    </row>
    <row r="743" spans="2:8">
      <c r="B743" s="15">
        <f>Techo - ROW() + ROW(Categorias_Registro[])</f>
        <v>1886</v>
      </c>
      <c r="C743" s="15">
        <f>IF(Categorias_Registro[[#This Row],[Puntos]]&lt;=ROUND(Piso,0),Piso,IF(Categorias_Registro[[#This Row],[Puntos]]&lt;D744,C744,D744+1))</f>
        <v>1882</v>
      </c>
      <c r="D743" s="15">
        <f>IF(Categorias_Registro[[#This Row],[Puntos]]=ROUND(Piso,0),ROUND(Categorias_Registro[[#This Row],[Puntos]]*(1+Categorias_Registro[[#This Row],[Amplitud]]),0),IF(Categorias_Registro[[#This Row],[Puntos]]&lt;D744,D744,ROUND(D744*(1+Categorias_Registro[[#This Row],[Amplitud]]),0)))</f>
        <v>2163</v>
      </c>
      <c r="E743" s="15">
        <f>E744+IF(D744=Categorias_Registro[[#This Row],[Máximo]],0,1)</f>
        <v>23</v>
      </c>
      <c r="F743" s="15">
        <f>ROUND(Categorias_Registro[[#This Row],[Mínimo]]+((Categorias_Registro[[#This Row],[Máximo]]-Categorias_Registro[[#This Row],[Mínimo]])/2),0)</f>
        <v>2023</v>
      </c>
      <c r="G743" s="78">
        <f>VLOOKUP(Categorias_Registro[[#This Row],[Puntos]],Categorias_Configuracion[],MATCH(Categorias_Configuracion[[#Headers],[% Amplitud]],Categorias_Configuracion[#Headers],0),TRUE)</f>
        <v>0.15</v>
      </c>
      <c r="H743" s="15" t="str">
        <f ca="1">TEXT(Categorias_Registro[[#This Row],[Mínimo]],Formato_Rango_Categorias)&amp;" - "&amp;TEXT(Categorias_Registro[[#This Row],[Máximo]],Formato_Rango_Categorias)</f>
        <v>1.882 - 2.163</v>
      </c>
    </row>
    <row r="744" spans="2:8">
      <c r="B744" s="15">
        <f>Techo - ROW() + ROW(Categorias_Registro[])</f>
        <v>1885</v>
      </c>
      <c r="C744" s="15">
        <f>IF(Categorias_Registro[[#This Row],[Puntos]]&lt;=ROUND(Piso,0),Piso,IF(Categorias_Registro[[#This Row],[Puntos]]&lt;D745,C745,D745+1))</f>
        <v>1882</v>
      </c>
      <c r="D744" s="15">
        <f>IF(Categorias_Registro[[#This Row],[Puntos]]=ROUND(Piso,0),ROUND(Categorias_Registro[[#This Row],[Puntos]]*(1+Categorias_Registro[[#This Row],[Amplitud]]),0),IF(Categorias_Registro[[#This Row],[Puntos]]&lt;D745,D745,ROUND(D745*(1+Categorias_Registro[[#This Row],[Amplitud]]),0)))</f>
        <v>2163</v>
      </c>
      <c r="E744" s="15">
        <f>E745+IF(D745=Categorias_Registro[[#This Row],[Máximo]],0,1)</f>
        <v>23</v>
      </c>
      <c r="F744" s="15">
        <f>ROUND(Categorias_Registro[[#This Row],[Mínimo]]+((Categorias_Registro[[#This Row],[Máximo]]-Categorias_Registro[[#This Row],[Mínimo]])/2),0)</f>
        <v>2023</v>
      </c>
      <c r="G744" s="78">
        <f>VLOOKUP(Categorias_Registro[[#This Row],[Puntos]],Categorias_Configuracion[],MATCH(Categorias_Configuracion[[#Headers],[% Amplitud]],Categorias_Configuracion[#Headers],0),TRUE)</f>
        <v>0.15</v>
      </c>
      <c r="H744" s="15" t="str">
        <f ca="1">TEXT(Categorias_Registro[[#This Row],[Mínimo]],Formato_Rango_Categorias)&amp;" - "&amp;TEXT(Categorias_Registro[[#This Row],[Máximo]],Formato_Rango_Categorias)</f>
        <v>1.882 - 2.163</v>
      </c>
    </row>
    <row r="745" spans="2:8">
      <c r="B745" s="15">
        <f>Techo - ROW() + ROW(Categorias_Registro[])</f>
        <v>1884</v>
      </c>
      <c r="C745" s="15">
        <f>IF(Categorias_Registro[[#This Row],[Puntos]]&lt;=ROUND(Piso,0),Piso,IF(Categorias_Registro[[#This Row],[Puntos]]&lt;D746,C746,D746+1))</f>
        <v>1882</v>
      </c>
      <c r="D745" s="15">
        <f>IF(Categorias_Registro[[#This Row],[Puntos]]=ROUND(Piso,0),ROUND(Categorias_Registro[[#This Row],[Puntos]]*(1+Categorias_Registro[[#This Row],[Amplitud]]),0),IF(Categorias_Registro[[#This Row],[Puntos]]&lt;D746,D746,ROUND(D746*(1+Categorias_Registro[[#This Row],[Amplitud]]),0)))</f>
        <v>2163</v>
      </c>
      <c r="E745" s="15">
        <f>E746+IF(D746=Categorias_Registro[[#This Row],[Máximo]],0,1)</f>
        <v>23</v>
      </c>
      <c r="F745" s="15">
        <f>ROUND(Categorias_Registro[[#This Row],[Mínimo]]+((Categorias_Registro[[#This Row],[Máximo]]-Categorias_Registro[[#This Row],[Mínimo]])/2),0)</f>
        <v>2023</v>
      </c>
      <c r="G745" s="78">
        <f>VLOOKUP(Categorias_Registro[[#This Row],[Puntos]],Categorias_Configuracion[],MATCH(Categorias_Configuracion[[#Headers],[% Amplitud]],Categorias_Configuracion[#Headers],0),TRUE)</f>
        <v>0.15</v>
      </c>
      <c r="H745" s="15" t="str">
        <f ca="1">TEXT(Categorias_Registro[[#This Row],[Mínimo]],Formato_Rango_Categorias)&amp;" - "&amp;TEXT(Categorias_Registro[[#This Row],[Máximo]],Formato_Rango_Categorias)</f>
        <v>1.882 - 2.163</v>
      </c>
    </row>
    <row r="746" spans="2:8">
      <c r="B746" s="15">
        <f>Techo - ROW() + ROW(Categorias_Registro[])</f>
        <v>1883</v>
      </c>
      <c r="C746" s="15">
        <f>IF(Categorias_Registro[[#This Row],[Puntos]]&lt;=ROUND(Piso,0),Piso,IF(Categorias_Registro[[#This Row],[Puntos]]&lt;D747,C747,D747+1))</f>
        <v>1882</v>
      </c>
      <c r="D746" s="15">
        <f>IF(Categorias_Registro[[#This Row],[Puntos]]=ROUND(Piso,0),ROUND(Categorias_Registro[[#This Row],[Puntos]]*(1+Categorias_Registro[[#This Row],[Amplitud]]),0),IF(Categorias_Registro[[#This Row],[Puntos]]&lt;D747,D747,ROUND(D747*(1+Categorias_Registro[[#This Row],[Amplitud]]),0)))</f>
        <v>2163</v>
      </c>
      <c r="E746" s="15">
        <f>E747+IF(D747=Categorias_Registro[[#This Row],[Máximo]],0,1)</f>
        <v>23</v>
      </c>
      <c r="F746" s="15">
        <f>ROUND(Categorias_Registro[[#This Row],[Mínimo]]+((Categorias_Registro[[#This Row],[Máximo]]-Categorias_Registro[[#This Row],[Mínimo]])/2),0)</f>
        <v>2023</v>
      </c>
      <c r="G746" s="78">
        <f>VLOOKUP(Categorias_Registro[[#This Row],[Puntos]],Categorias_Configuracion[],MATCH(Categorias_Configuracion[[#Headers],[% Amplitud]],Categorias_Configuracion[#Headers],0),TRUE)</f>
        <v>0.15</v>
      </c>
      <c r="H746" s="15" t="str">
        <f ca="1">TEXT(Categorias_Registro[[#This Row],[Mínimo]],Formato_Rango_Categorias)&amp;" - "&amp;TEXT(Categorias_Registro[[#This Row],[Máximo]],Formato_Rango_Categorias)</f>
        <v>1.882 - 2.163</v>
      </c>
    </row>
    <row r="747" spans="2:8">
      <c r="B747" s="15">
        <f>Techo - ROW() + ROW(Categorias_Registro[])</f>
        <v>1882</v>
      </c>
      <c r="C747" s="15">
        <f>IF(Categorias_Registro[[#This Row],[Puntos]]&lt;=ROUND(Piso,0),Piso,IF(Categorias_Registro[[#This Row],[Puntos]]&lt;D748,C748,D748+1))</f>
        <v>1882</v>
      </c>
      <c r="D747" s="15">
        <f>IF(Categorias_Registro[[#This Row],[Puntos]]=ROUND(Piso,0),ROUND(Categorias_Registro[[#This Row],[Puntos]]*(1+Categorias_Registro[[#This Row],[Amplitud]]),0),IF(Categorias_Registro[[#This Row],[Puntos]]&lt;D748,D748,ROUND(D748*(1+Categorias_Registro[[#This Row],[Amplitud]]),0)))</f>
        <v>2163</v>
      </c>
      <c r="E747" s="15">
        <f>E748+IF(D748=Categorias_Registro[[#This Row],[Máximo]],0,1)</f>
        <v>23</v>
      </c>
      <c r="F747" s="15">
        <f>ROUND(Categorias_Registro[[#This Row],[Mínimo]]+((Categorias_Registro[[#This Row],[Máximo]]-Categorias_Registro[[#This Row],[Mínimo]])/2),0)</f>
        <v>2023</v>
      </c>
      <c r="G747" s="78">
        <f>VLOOKUP(Categorias_Registro[[#This Row],[Puntos]],Categorias_Configuracion[],MATCH(Categorias_Configuracion[[#Headers],[% Amplitud]],Categorias_Configuracion[#Headers],0),TRUE)</f>
        <v>0.15</v>
      </c>
      <c r="H747" s="15" t="str">
        <f ca="1">TEXT(Categorias_Registro[[#This Row],[Mínimo]],Formato_Rango_Categorias)&amp;" - "&amp;TEXT(Categorias_Registro[[#This Row],[Máximo]],Formato_Rango_Categorias)</f>
        <v>1.882 - 2.163</v>
      </c>
    </row>
    <row r="748" spans="2:8">
      <c r="B748" s="15">
        <f>Techo - ROW() + ROW(Categorias_Registro[])</f>
        <v>1881</v>
      </c>
      <c r="C748" s="15">
        <f>IF(Categorias_Registro[[#This Row],[Puntos]]&lt;=ROUND(Piso,0),Piso,IF(Categorias_Registro[[#This Row],[Puntos]]&lt;D749,C749,D749+1))</f>
        <v>1882</v>
      </c>
      <c r="D748" s="15">
        <f>IF(Categorias_Registro[[#This Row],[Puntos]]=ROUND(Piso,0),ROUND(Categorias_Registro[[#This Row],[Puntos]]*(1+Categorias_Registro[[#This Row],[Amplitud]]),0),IF(Categorias_Registro[[#This Row],[Puntos]]&lt;D749,D749,ROUND(D749*(1+Categorias_Registro[[#This Row],[Amplitud]]),0)))</f>
        <v>2163</v>
      </c>
      <c r="E748" s="15">
        <f>E749+IF(D749=Categorias_Registro[[#This Row],[Máximo]],0,1)</f>
        <v>23</v>
      </c>
      <c r="F748" s="15">
        <f>ROUND(Categorias_Registro[[#This Row],[Mínimo]]+((Categorias_Registro[[#This Row],[Máximo]]-Categorias_Registro[[#This Row],[Mínimo]])/2),0)</f>
        <v>2023</v>
      </c>
      <c r="G748" s="78">
        <f>VLOOKUP(Categorias_Registro[[#This Row],[Puntos]],Categorias_Configuracion[],MATCH(Categorias_Configuracion[[#Headers],[% Amplitud]],Categorias_Configuracion[#Headers],0),TRUE)</f>
        <v>0.15</v>
      </c>
      <c r="H748" s="15" t="str">
        <f ca="1">TEXT(Categorias_Registro[[#This Row],[Mínimo]],Formato_Rango_Categorias)&amp;" - "&amp;TEXT(Categorias_Registro[[#This Row],[Máximo]],Formato_Rango_Categorias)</f>
        <v>1.882 - 2.163</v>
      </c>
    </row>
    <row r="749" spans="2:8">
      <c r="B749" s="15">
        <f>Techo - ROW() + ROW(Categorias_Registro[])</f>
        <v>1880</v>
      </c>
      <c r="C749" s="15">
        <f>IF(Categorias_Registro[[#This Row],[Puntos]]&lt;=ROUND(Piso,0),Piso,IF(Categorias_Registro[[#This Row],[Puntos]]&lt;D750,C750,D750+1))</f>
        <v>1637</v>
      </c>
      <c r="D749" s="15">
        <f>IF(Categorias_Registro[[#This Row],[Puntos]]=ROUND(Piso,0),ROUND(Categorias_Registro[[#This Row],[Puntos]]*(1+Categorias_Registro[[#This Row],[Amplitud]]),0),IF(Categorias_Registro[[#This Row],[Puntos]]&lt;D750,D750,ROUND(D750*(1+Categorias_Registro[[#This Row],[Amplitud]]),0)))</f>
        <v>1881</v>
      </c>
      <c r="E749" s="15">
        <f>E750+IF(D750=Categorias_Registro[[#This Row],[Máximo]],0,1)</f>
        <v>22</v>
      </c>
      <c r="F749" s="15">
        <f>ROUND(Categorias_Registro[[#This Row],[Mínimo]]+((Categorias_Registro[[#This Row],[Máximo]]-Categorias_Registro[[#This Row],[Mínimo]])/2),0)</f>
        <v>1759</v>
      </c>
      <c r="G749" s="78">
        <f>VLOOKUP(Categorias_Registro[[#This Row],[Puntos]],Categorias_Configuracion[],MATCH(Categorias_Configuracion[[#Headers],[% Amplitud]],Categorias_Configuracion[#Headers],0),TRUE)</f>
        <v>0.15</v>
      </c>
      <c r="H749" s="15" t="str">
        <f ca="1">TEXT(Categorias_Registro[[#This Row],[Mínimo]],Formato_Rango_Categorias)&amp;" - "&amp;TEXT(Categorias_Registro[[#This Row],[Máximo]],Formato_Rango_Categorias)</f>
        <v>1.637 - 1.881</v>
      </c>
    </row>
    <row r="750" spans="2:8">
      <c r="B750" s="15">
        <f>Techo - ROW() + ROW(Categorias_Registro[])</f>
        <v>1879</v>
      </c>
      <c r="C750" s="15">
        <f>IF(Categorias_Registro[[#This Row],[Puntos]]&lt;=ROUND(Piso,0),Piso,IF(Categorias_Registro[[#This Row],[Puntos]]&lt;D751,C751,D751+1))</f>
        <v>1637</v>
      </c>
      <c r="D750" s="15">
        <f>IF(Categorias_Registro[[#This Row],[Puntos]]=ROUND(Piso,0),ROUND(Categorias_Registro[[#This Row],[Puntos]]*(1+Categorias_Registro[[#This Row],[Amplitud]]),0),IF(Categorias_Registro[[#This Row],[Puntos]]&lt;D751,D751,ROUND(D751*(1+Categorias_Registro[[#This Row],[Amplitud]]),0)))</f>
        <v>1881</v>
      </c>
      <c r="E750" s="15">
        <f>E751+IF(D751=Categorias_Registro[[#This Row],[Máximo]],0,1)</f>
        <v>22</v>
      </c>
      <c r="F750" s="15">
        <f>ROUND(Categorias_Registro[[#This Row],[Mínimo]]+((Categorias_Registro[[#This Row],[Máximo]]-Categorias_Registro[[#This Row],[Mínimo]])/2),0)</f>
        <v>1759</v>
      </c>
      <c r="G750" s="78">
        <f>VLOOKUP(Categorias_Registro[[#This Row],[Puntos]],Categorias_Configuracion[],MATCH(Categorias_Configuracion[[#Headers],[% Amplitud]],Categorias_Configuracion[#Headers],0),TRUE)</f>
        <v>0.15</v>
      </c>
      <c r="H750" s="15" t="str">
        <f ca="1">TEXT(Categorias_Registro[[#This Row],[Mínimo]],Formato_Rango_Categorias)&amp;" - "&amp;TEXT(Categorias_Registro[[#This Row],[Máximo]],Formato_Rango_Categorias)</f>
        <v>1.637 - 1.881</v>
      </c>
    </row>
    <row r="751" spans="2:8">
      <c r="B751" s="15">
        <f>Techo - ROW() + ROW(Categorias_Registro[])</f>
        <v>1878</v>
      </c>
      <c r="C751" s="15">
        <f>IF(Categorias_Registro[[#This Row],[Puntos]]&lt;=ROUND(Piso,0),Piso,IF(Categorias_Registro[[#This Row],[Puntos]]&lt;D752,C752,D752+1))</f>
        <v>1637</v>
      </c>
      <c r="D751" s="15">
        <f>IF(Categorias_Registro[[#This Row],[Puntos]]=ROUND(Piso,0),ROUND(Categorias_Registro[[#This Row],[Puntos]]*(1+Categorias_Registro[[#This Row],[Amplitud]]),0),IF(Categorias_Registro[[#This Row],[Puntos]]&lt;D752,D752,ROUND(D752*(1+Categorias_Registro[[#This Row],[Amplitud]]),0)))</f>
        <v>1881</v>
      </c>
      <c r="E751" s="15">
        <f>E752+IF(D752=Categorias_Registro[[#This Row],[Máximo]],0,1)</f>
        <v>22</v>
      </c>
      <c r="F751" s="15">
        <f>ROUND(Categorias_Registro[[#This Row],[Mínimo]]+((Categorias_Registro[[#This Row],[Máximo]]-Categorias_Registro[[#This Row],[Mínimo]])/2),0)</f>
        <v>1759</v>
      </c>
      <c r="G751" s="78">
        <f>VLOOKUP(Categorias_Registro[[#This Row],[Puntos]],Categorias_Configuracion[],MATCH(Categorias_Configuracion[[#Headers],[% Amplitud]],Categorias_Configuracion[#Headers],0),TRUE)</f>
        <v>0.15</v>
      </c>
      <c r="H751" s="15" t="str">
        <f ca="1">TEXT(Categorias_Registro[[#This Row],[Mínimo]],Formato_Rango_Categorias)&amp;" - "&amp;TEXT(Categorias_Registro[[#This Row],[Máximo]],Formato_Rango_Categorias)</f>
        <v>1.637 - 1.881</v>
      </c>
    </row>
    <row r="752" spans="2:8">
      <c r="B752" s="15">
        <f>Techo - ROW() + ROW(Categorias_Registro[])</f>
        <v>1877</v>
      </c>
      <c r="C752" s="15">
        <f>IF(Categorias_Registro[[#This Row],[Puntos]]&lt;=ROUND(Piso,0),Piso,IF(Categorias_Registro[[#This Row],[Puntos]]&lt;D753,C753,D753+1))</f>
        <v>1637</v>
      </c>
      <c r="D752" s="15">
        <f>IF(Categorias_Registro[[#This Row],[Puntos]]=ROUND(Piso,0),ROUND(Categorias_Registro[[#This Row],[Puntos]]*(1+Categorias_Registro[[#This Row],[Amplitud]]),0),IF(Categorias_Registro[[#This Row],[Puntos]]&lt;D753,D753,ROUND(D753*(1+Categorias_Registro[[#This Row],[Amplitud]]),0)))</f>
        <v>1881</v>
      </c>
      <c r="E752" s="15">
        <f>E753+IF(D753=Categorias_Registro[[#This Row],[Máximo]],0,1)</f>
        <v>22</v>
      </c>
      <c r="F752" s="15">
        <f>ROUND(Categorias_Registro[[#This Row],[Mínimo]]+((Categorias_Registro[[#This Row],[Máximo]]-Categorias_Registro[[#This Row],[Mínimo]])/2),0)</f>
        <v>1759</v>
      </c>
      <c r="G752" s="78">
        <f>VLOOKUP(Categorias_Registro[[#This Row],[Puntos]],Categorias_Configuracion[],MATCH(Categorias_Configuracion[[#Headers],[% Amplitud]],Categorias_Configuracion[#Headers],0),TRUE)</f>
        <v>0.15</v>
      </c>
      <c r="H752" s="15" t="str">
        <f ca="1">TEXT(Categorias_Registro[[#This Row],[Mínimo]],Formato_Rango_Categorias)&amp;" - "&amp;TEXT(Categorias_Registro[[#This Row],[Máximo]],Formato_Rango_Categorias)</f>
        <v>1.637 - 1.881</v>
      </c>
    </row>
    <row r="753" spans="2:8">
      <c r="B753" s="15">
        <f>Techo - ROW() + ROW(Categorias_Registro[])</f>
        <v>1876</v>
      </c>
      <c r="C753" s="15">
        <f>IF(Categorias_Registro[[#This Row],[Puntos]]&lt;=ROUND(Piso,0),Piso,IF(Categorias_Registro[[#This Row],[Puntos]]&lt;D754,C754,D754+1))</f>
        <v>1637</v>
      </c>
      <c r="D753" s="15">
        <f>IF(Categorias_Registro[[#This Row],[Puntos]]=ROUND(Piso,0),ROUND(Categorias_Registro[[#This Row],[Puntos]]*(1+Categorias_Registro[[#This Row],[Amplitud]]),0),IF(Categorias_Registro[[#This Row],[Puntos]]&lt;D754,D754,ROUND(D754*(1+Categorias_Registro[[#This Row],[Amplitud]]),0)))</f>
        <v>1881</v>
      </c>
      <c r="E753" s="15">
        <f>E754+IF(D754=Categorias_Registro[[#This Row],[Máximo]],0,1)</f>
        <v>22</v>
      </c>
      <c r="F753" s="15">
        <f>ROUND(Categorias_Registro[[#This Row],[Mínimo]]+((Categorias_Registro[[#This Row],[Máximo]]-Categorias_Registro[[#This Row],[Mínimo]])/2),0)</f>
        <v>1759</v>
      </c>
      <c r="G753" s="78">
        <f>VLOOKUP(Categorias_Registro[[#This Row],[Puntos]],Categorias_Configuracion[],MATCH(Categorias_Configuracion[[#Headers],[% Amplitud]],Categorias_Configuracion[#Headers],0),TRUE)</f>
        <v>0.15</v>
      </c>
      <c r="H753" s="15" t="str">
        <f ca="1">TEXT(Categorias_Registro[[#This Row],[Mínimo]],Formato_Rango_Categorias)&amp;" - "&amp;TEXT(Categorias_Registro[[#This Row],[Máximo]],Formato_Rango_Categorias)</f>
        <v>1.637 - 1.881</v>
      </c>
    </row>
    <row r="754" spans="2:8">
      <c r="B754" s="15">
        <f>Techo - ROW() + ROW(Categorias_Registro[])</f>
        <v>1875</v>
      </c>
      <c r="C754" s="15">
        <f>IF(Categorias_Registro[[#This Row],[Puntos]]&lt;=ROUND(Piso,0),Piso,IF(Categorias_Registro[[#This Row],[Puntos]]&lt;D755,C755,D755+1))</f>
        <v>1637</v>
      </c>
      <c r="D754" s="15">
        <f>IF(Categorias_Registro[[#This Row],[Puntos]]=ROUND(Piso,0),ROUND(Categorias_Registro[[#This Row],[Puntos]]*(1+Categorias_Registro[[#This Row],[Amplitud]]),0),IF(Categorias_Registro[[#This Row],[Puntos]]&lt;D755,D755,ROUND(D755*(1+Categorias_Registro[[#This Row],[Amplitud]]),0)))</f>
        <v>1881</v>
      </c>
      <c r="E754" s="15">
        <f>E755+IF(D755=Categorias_Registro[[#This Row],[Máximo]],0,1)</f>
        <v>22</v>
      </c>
      <c r="F754" s="15">
        <f>ROUND(Categorias_Registro[[#This Row],[Mínimo]]+((Categorias_Registro[[#This Row],[Máximo]]-Categorias_Registro[[#This Row],[Mínimo]])/2),0)</f>
        <v>1759</v>
      </c>
      <c r="G754" s="78">
        <f>VLOOKUP(Categorias_Registro[[#This Row],[Puntos]],Categorias_Configuracion[],MATCH(Categorias_Configuracion[[#Headers],[% Amplitud]],Categorias_Configuracion[#Headers],0),TRUE)</f>
        <v>0.15</v>
      </c>
      <c r="H754" s="15" t="str">
        <f ca="1">TEXT(Categorias_Registro[[#This Row],[Mínimo]],Formato_Rango_Categorias)&amp;" - "&amp;TEXT(Categorias_Registro[[#This Row],[Máximo]],Formato_Rango_Categorias)</f>
        <v>1.637 - 1.881</v>
      </c>
    </row>
    <row r="755" spans="2:8">
      <c r="B755" s="15">
        <f>Techo - ROW() + ROW(Categorias_Registro[])</f>
        <v>1874</v>
      </c>
      <c r="C755" s="15">
        <f>IF(Categorias_Registro[[#This Row],[Puntos]]&lt;=ROUND(Piso,0),Piso,IF(Categorias_Registro[[#This Row],[Puntos]]&lt;D756,C756,D756+1))</f>
        <v>1637</v>
      </c>
      <c r="D755" s="15">
        <f>IF(Categorias_Registro[[#This Row],[Puntos]]=ROUND(Piso,0),ROUND(Categorias_Registro[[#This Row],[Puntos]]*(1+Categorias_Registro[[#This Row],[Amplitud]]),0),IF(Categorias_Registro[[#This Row],[Puntos]]&lt;D756,D756,ROUND(D756*(1+Categorias_Registro[[#This Row],[Amplitud]]),0)))</f>
        <v>1881</v>
      </c>
      <c r="E755" s="15">
        <f>E756+IF(D756=Categorias_Registro[[#This Row],[Máximo]],0,1)</f>
        <v>22</v>
      </c>
      <c r="F755" s="15">
        <f>ROUND(Categorias_Registro[[#This Row],[Mínimo]]+((Categorias_Registro[[#This Row],[Máximo]]-Categorias_Registro[[#This Row],[Mínimo]])/2),0)</f>
        <v>1759</v>
      </c>
      <c r="G755" s="78">
        <f>VLOOKUP(Categorias_Registro[[#This Row],[Puntos]],Categorias_Configuracion[],MATCH(Categorias_Configuracion[[#Headers],[% Amplitud]],Categorias_Configuracion[#Headers],0),TRUE)</f>
        <v>0.15</v>
      </c>
      <c r="H755" s="15" t="str">
        <f ca="1">TEXT(Categorias_Registro[[#This Row],[Mínimo]],Formato_Rango_Categorias)&amp;" - "&amp;TEXT(Categorias_Registro[[#This Row],[Máximo]],Formato_Rango_Categorias)</f>
        <v>1.637 - 1.881</v>
      </c>
    </row>
    <row r="756" spans="2:8">
      <c r="B756" s="15">
        <f>Techo - ROW() + ROW(Categorias_Registro[])</f>
        <v>1873</v>
      </c>
      <c r="C756" s="15">
        <f>IF(Categorias_Registro[[#This Row],[Puntos]]&lt;=ROUND(Piso,0),Piso,IF(Categorias_Registro[[#This Row],[Puntos]]&lt;D757,C757,D757+1))</f>
        <v>1637</v>
      </c>
      <c r="D756" s="15">
        <f>IF(Categorias_Registro[[#This Row],[Puntos]]=ROUND(Piso,0),ROUND(Categorias_Registro[[#This Row],[Puntos]]*(1+Categorias_Registro[[#This Row],[Amplitud]]),0),IF(Categorias_Registro[[#This Row],[Puntos]]&lt;D757,D757,ROUND(D757*(1+Categorias_Registro[[#This Row],[Amplitud]]),0)))</f>
        <v>1881</v>
      </c>
      <c r="E756" s="15">
        <f>E757+IF(D757=Categorias_Registro[[#This Row],[Máximo]],0,1)</f>
        <v>22</v>
      </c>
      <c r="F756" s="15">
        <f>ROUND(Categorias_Registro[[#This Row],[Mínimo]]+((Categorias_Registro[[#This Row],[Máximo]]-Categorias_Registro[[#This Row],[Mínimo]])/2),0)</f>
        <v>1759</v>
      </c>
      <c r="G756" s="78">
        <f>VLOOKUP(Categorias_Registro[[#This Row],[Puntos]],Categorias_Configuracion[],MATCH(Categorias_Configuracion[[#Headers],[% Amplitud]],Categorias_Configuracion[#Headers],0),TRUE)</f>
        <v>0.15</v>
      </c>
      <c r="H756" s="15" t="str">
        <f ca="1">TEXT(Categorias_Registro[[#This Row],[Mínimo]],Formato_Rango_Categorias)&amp;" - "&amp;TEXT(Categorias_Registro[[#This Row],[Máximo]],Formato_Rango_Categorias)</f>
        <v>1.637 - 1.881</v>
      </c>
    </row>
    <row r="757" spans="2:8">
      <c r="B757" s="15">
        <f>Techo - ROW() + ROW(Categorias_Registro[])</f>
        <v>1872</v>
      </c>
      <c r="C757" s="15">
        <f>IF(Categorias_Registro[[#This Row],[Puntos]]&lt;=ROUND(Piso,0),Piso,IF(Categorias_Registro[[#This Row],[Puntos]]&lt;D758,C758,D758+1))</f>
        <v>1637</v>
      </c>
      <c r="D757" s="15">
        <f>IF(Categorias_Registro[[#This Row],[Puntos]]=ROUND(Piso,0),ROUND(Categorias_Registro[[#This Row],[Puntos]]*(1+Categorias_Registro[[#This Row],[Amplitud]]),0),IF(Categorias_Registro[[#This Row],[Puntos]]&lt;D758,D758,ROUND(D758*(1+Categorias_Registro[[#This Row],[Amplitud]]),0)))</f>
        <v>1881</v>
      </c>
      <c r="E757" s="15">
        <f>E758+IF(D758=Categorias_Registro[[#This Row],[Máximo]],0,1)</f>
        <v>22</v>
      </c>
      <c r="F757" s="15">
        <f>ROUND(Categorias_Registro[[#This Row],[Mínimo]]+((Categorias_Registro[[#This Row],[Máximo]]-Categorias_Registro[[#This Row],[Mínimo]])/2),0)</f>
        <v>1759</v>
      </c>
      <c r="G757" s="78">
        <f>VLOOKUP(Categorias_Registro[[#This Row],[Puntos]],Categorias_Configuracion[],MATCH(Categorias_Configuracion[[#Headers],[% Amplitud]],Categorias_Configuracion[#Headers],0),TRUE)</f>
        <v>0.15</v>
      </c>
      <c r="H757" s="15" t="str">
        <f ca="1">TEXT(Categorias_Registro[[#This Row],[Mínimo]],Formato_Rango_Categorias)&amp;" - "&amp;TEXT(Categorias_Registro[[#This Row],[Máximo]],Formato_Rango_Categorias)</f>
        <v>1.637 - 1.881</v>
      </c>
    </row>
    <row r="758" spans="2:8">
      <c r="B758" s="15">
        <f>Techo - ROW() + ROW(Categorias_Registro[])</f>
        <v>1871</v>
      </c>
      <c r="C758" s="15">
        <f>IF(Categorias_Registro[[#This Row],[Puntos]]&lt;=ROUND(Piso,0),Piso,IF(Categorias_Registro[[#This Row],[Puntos]]&lt;D759,C759,D759+1))</f>
        <v>1637</v>
      </c>
      <c r="D758" s="15">
        <f>IF(Categorias_Registro[[#This Row],[Puntos]]=ROUND(Piso,0),ROUND(Categorias_Registro[[#This Row],[Puntos]]*(1+Categorias_Registro[[#This Row],[Amplitud]]),0),IF(Categorias_Registro[[#This Row],[Puntos]]&lt;D759,D759,ROUND(D759*(1+Categorias_Registro[[#This Row],[Amplitud]]),0)))</f>
        <v>1881</v>
      </c>
      <c r="E758" s="15">
        <f>E759+IF(D759=Categorias_Registro[[#This Row],[Máximo]],0,1)</f>
        <v>22</v>
      </c>
      <c r="F758" s="15">
        <f>ROUND(Categorias_Registro[[#This Row],[Mínimo]]+((Categorias_Registro[[#This Row],[Máximo]]-Categorias_Registro[[#This Row],[Mínimo]])/2),0)</f>
        <v>1759</v>
      </c>
      <c r="G758" s="78">
        <f>VLOOKUP(Categorias_Registro[[#This Row],[Puntos]],Categorias_Configuracion[],MATCH(Categorias_Configuracion[[#Headers],[% Amplitud]],Categorias_Configuracion[#Headers],0),TRUE)</f>
        <v>0.15</v>
      </c>
      <c r="H758" s="15" t="str">
        <f ca="1">TEXT(Categorias_Registro[[#This Row],[Mínimo]],Formato_Rango_Categorias)&amp;" - "&amp;TEXT(Categorias_Registro[[#This Row],[Máximo]],Formato_Rango_Categorias)</f>
        <v>1.637 - 1.881</v>
      </c>
    </row>
    <row r="759" spans="2:8">
      <c r="B759" s="15">
        <f>Techo - ROW() + ROW(Categorias_Registro[])</f>
        <v>1870</v>
      </c>
      <c r="C759" s="15">
        <f>IF(Categorias_Registro[[#This Row],[Puntos]]&lt;=ROUND(Piso,0),Piso,IF(Categorias_Registro[[#This Row],[Puntos]]&lt;D760,C760,D760+1))</f>
        <v>1637</v>
      </c>
      <c r="D759" s="15">
        <f>IF(Categorias_Registro[[#This Row],[Puntos]]=ROUND(Piso,0),ROUND(Categorias_Registro[[#This Row],[Puntos]]*(1+Categorias_Registro[[#This Row],[Amplitud]]),0),IF(Categorias_Registro[[#This Row],[Puntos]]&lt;D760,D760,ROUND(D760*(1+Categorias_Registro[[#This Row],[Amplitud]]),0)))</f>
        <v>1881</v>
      </c>
      <c r="E759" s="15">
        <f>E760+IF(D760=Categorias_Registro[[#This Row],[Máximo]],0,1)</f>
        <v>22</v>
      </c>
      <c r="F759" s="15">
        <f>ROUND(Categorias_Registro[[#This Row],[Mínimo]]+((Categorias_Registro[[#This Row],[Máximo]]-Categorias_Registro[[#This Row],[Mínimo]])/2),0)</f>
        <v>1759</v>
      </c>
      <c r="G759" s="78">
        <f>VLOOKUP(Categorias_Registro[[#This Row],[Puntos]],Categorias_Configuracion[],MATCH(Categorias_Configuracion[[#Headers],[% Amplitud]],Categorias_Configuracion[#Headers],0),TRUE)</f>
        <v>0.15</v>
      </c>
      <c r="H759" s="15" t="str">
        <f ca="1">TEXT(Categorias_Registro[[#This Row],[Mínimo]],Formato_Rango_Categorias)&amp;" - "&amp;TEXT(Categorias_Registro[[#This Row],[Máximo]],Formato_Rango_Categorias)</f>
        <v>1.637 - 1.881</v>
      </c>
    </row>
    <row r="760" spans="2:8">
      <c r="B760" s="15">
        <f>Techo - ROW() + ROW(Categorias_Registro[])</f>
        <v>1869</v>
      </c>
      <c r="C760" s="15">
        <f>IF(Categorias_Registro[[#This Row],[Puntos]]&lt;=ROUND(Piso,0),Piso,IF(Categorias_Registro[[#This Row],[Puntos]]&lt;D761,C761,D761+1))</f>
        <v>1637</v>
      </c>
      <c r="D760" s="15">
        <f>IF(Categorias_Registro[[#This Row],[Puntos]]=ROUND(Piso,0),ROUND(Categorias_Registro[[#This Row],[Puntos]]*(1+Categorias_Registro[[#This Row],[Amplitud]]),0),IF(Categorias_Registro[[#This Row],[Puntos]]&lt;D761,D761,ROUND(D761*(1+Categorias_Registro[[#This Row],[Amplitud]]),0)))</f>
        <v>1881</v>
      </c>
      <c r="E760" s="15">
        <f>E761+IF(D761=Categorias_Registro[[#This Row],[Máximo]],0,1)</f>
        <v>22</v>
      </c>
      <c r="F760" s="15">
        <f>ROUND(Categorias_Registro[[#This Row],[Mínimo]]+((Categorias_Registro[[#This Row],[Máximo]]-Categorias_Registro[[#This Row],[Mínimo]])/2),0)</f>
        <v>1759</v>
      </c>
      <c r="G760" s="78">
        <f>VLOOKUP(Categorias_Registro[[#This Row],[Puntos]],Categorias_Configuracion[],MATCH(Categorias_Configuracion[[#Headers],[% Amplitud]],Categorias_Configuracion[#Headers],0),TRUE)</f>
        <v>0.15</v>
      </c>
      <c r="H760" s="15" t="str">
        <f ca="1">TEXT(Categorias_Registro[[#This Row],[Mínimo]],Formato_Rango_Categorias)&amp;" - "&amp;TEXT(Categorias_Registro[[#This Row],[Máximo]],Formato_Rango_Categorias)</f>
        <v>1.637 - 1.881</v>
      </c>
    </row>
    <row r="761" spans="2:8">
      <c r="B761" s="15">
        <f>Techo - ROW() + ROW(Categorias_Registro[])</f>
        <v>1868</v>
      </c>
      <c r="C761" s="15">
        <f>IF(Categorias_Registro[[#This Row],[Puntos]]&lt;=ROUND(Piso,0),Piso,IF(Categorias_Registro[[#This Row],[Puntos]]&lt;D762,C762,D762+1))</f>
        <v>1637</v>
      </c>
      <c r="D761" s="15">
        <f>IF(Categorias_Registro[[#This Row],[Puntos]]=ROUND(Piso,0),ROUND(Categorias_Registro[[#This Row],[Puntos]]*(1+Categorias_Registro[[#This Row],[Amplitud]]),0),IF(Categorias_Registro[[#This Row],[Puntos]]&lt;D762,D762,ROUND(D762*(1+Categorias_Registro[[#This Row],[Amplitud]]),0)))</f>
        <v>1881</v>
      </c>
      <c r="E761" s="15">
        <f>E762+IF(D762=Categorias_Registro[[#This Row],[Máximo]],0,1)</f>
        <v>22</v>
      </c>
      <c r="F761" s="15">
        <f>ROUND(Categorias_Registro[[#This Row],[Mínimo]]+((Categorias_Registro[[#This Row],[Máximo]]-Categorias_Registro[[#This Row],[Mínimo]])/2),0)</f>
        <v>1759</v>
      </c>
      <c r="G761" s="78">
        <f>VLOOKUP(Categorias_Registro[[#This Row],[Puntos]],Categorias_Configuracion[],MATCH(Categorias_Configuracion[[#Headers],[% Amplitud]],Categorias_Configuracion[#Headers],0),TRUE)</f>
        <v>0.15</v>
      </c>
      <c r="H761" s="15" t="str">
        <f ca="1">TEXT(Categorias_Registro[[#This Row],[Mínimo]],Formato_Rango_Categorias)&amp;" - "&amp;TEXT(Categorias_Registro[[#This Row],[Máximo]],Formato_Rango_Categorias)</f>
        <v>1.637 - 1.881</v>
      </c>
    </row>
    <row r="762" spans="2:8">
      <c r="B762" s="15">
        <f>Techo - ROW() + ROW(Categorias_Registro[])</f>
        <v>1867</v>
      </c>
      <c r="C762" s="15">
        <f>IF(Categorias_Registro[[#This Row],[Puntos]]&lt;=ROUND(Piso,0),Piso,IF(Categorias_Registro[[#This Row],[Puntos]]&lt;D763,C763,D763+1))</f>
        <v>1637</v>
      </c>
      <c r="D762" s="15">
        <f>IF(Categorias_Registro[[#This Row],[Puntos]]=ROUND(Piso,0),ROUND(Categorias_Registro[[#This Row],[Puntos]]*(1+Categorias_Registro[[#This Row],[Amplitud]]),0),IF(Categorias_Registro[[#This Row],[Puntos]]&lt;D763,D763,ROUND(D763*(1+Categorias_Registro[[#This Row],[Amplitud]]),0)))</f>
        <v>1881</v>
      </c>
      <c r="E762" s="15">
        <f>E763+IF(D763=Categorias_Registro[[#This Row],[Máximo]],0,1)</f>
        <v>22</v>
      </c>
      <c r="F762" s="15">
        <f>ROUND(Categorias_Registro[[#This Row],[Mínimo]]+((Categorias_Registro[[#This Row],[Máximo]]-Categorias_Registro[[#This Row],[Mínimo]])/2),0)</f>
        <v>1759</v>
      </c>
      <c r="G762" s="78">
        <f>VLOOKUP(Categorias_Registro[[#This Row],[Puntos]],Categorias_Configuracion[],MATCH(Categorias_Configuracion[[#Headers],[% Amplitud]],Categorias_Configuracion[#Headers],0),TRUE)</f>
        <v>0.15</v>
      </c>
      <c r="H762" s="15" t="str">
        <f ca="1">TEXT(Categorias_Registro[[#This Row],[Mínimo]],Formato_Rango_Categorias)&amp;" - "&amp;TEXT(Categorias_Registro[[#This Row],[Máximo]],Formato_Rango_Categorias)</f>
        <v>1.637 - 1.881</v>
      </c>
    </row>
    <row r="763" spans="2:8">
      <c r="B763" s="15">
        <f>Techo - ROW() + ROW(Categorias_Registro[])</f>
        <v>1866</v>
      </c>
      <c r="C763" s="15">
        <f>IF(Categorias_Registro[[#This Row],[Puntos]]&lt;=ROUND(Piso,0),Piso,IF(Categorias_Registro[[#This Row],[Puntos]]&lt;D764,C764,D764+1))</f>
        <v>1637</v>
      </c>
      <c r="D763" s="15">
        <f>IF(Categorias_Registro[[#This Row],[Puntos]]=ROUND(Piso,0),ROUND(Categorias_Registro[[#This Row],[Puntos]]*(1+Categorias_Registro[[#This Row],[Amplitud]]),0),IF(Categorias_Registro[[#This Row],[Puntos]]&lt;D764,D764,ROUND(D764*(1+Categorias_Registro[[#This Row],[Amplitud]]),0)))</f>
        <v>1881</v>
      </c>
      <c r="E763" s="15">
        <f>E764+IF(D764=Categorias_Registro[[#This Row],[Máximo]],0,1)</f>
        <v>22</v>
      </c>
      <c r="F763" s="15">
        <f>ROUND(Categorias_Registro[[#This Row],[Mínimo]]+((Categorias_Registro[[#This Row],[Máximo]]-Categorias_Registro[[#This Row],[Mínimo]])/2),0)</f>
        <v>1759</v>
      </c>
      <c r="G763" s="78">
        <f>VLOOKUP(Categorias_Registro[[#This Row],[Puntos]],Categorias_Configuracion[],MATCH(Categorias_Configuracion[[#Headers],[% Amplitud]],Categorias_Configuracion[#Headers],0),TRUE)</f>
        <v>0.15</v>
      </c>
      <c r="H763" s="15" t="str">
        <f ca="1">TEXT(Categorias_Registro[[#This Row],[Mínimo]],Formato_Rango_Categorias)&amp;" - "&amp;TEXT(Categorias_Registro[[#This Row],[Máximo]],Formato_Rango_Categorias)</f>
        <v>1.637 - 1.881</v>
      </c>
    </row>
    <row r="764" spans="2:8">
      <c r="B764" s="15">
        <f>Techo - ROW() + ROW(Categorias_Registro[])</f>
        <v>1865</v>
      </c>
      <c r="C764" s="15">
        <f>IF(Categorias_Registro[[#This Row],[Puntos]]&lt;=ROUND(Piso,0),Piso,IF(Categorias_Registro[[#This Row],[Puntos]]&lt;D765,C765,D765+1))</f>
        <v>1637</v>
      </c>
      <c r="D764" s="15">
        <f>IF(Categorias_Registro[[#This Row],[Puntos]]=ROUND(Piso,0),ROUND(Categorias_Registro[[#This Row],[Puntos]]*(1+Categorias_Registro[[#This Row],[Amplitud]]),0),IF(Categorias_Registro[[#This Row],[Puntos]]&lt;D765,D765,ROUND(D765*(1+Categorias_Registro[[#This Row],[Amplitud]]),0)))</f>
        <v>1881</v>
      </c>
      <c r="E764" s="15">
        <f>E765+IF(D765=Categorias_Registro[[#This Row],[Máximo]],0,1)</f>
        <v>22</v>
      </c>
      <c r="F764" s="15">
        <f>ROUND(Categorias_Registro[[#This Row],[Mínimo]]+((Categorias_Registro[[#This Row],[Máximo]]-Categorias_Registro[[#This Row],[Mínimo]])/2),0)</f>
        <v>1759</v>
      </c>
      <c r="G764" s="78">
        <f>VLOOKUP(Categorias_Registro[[#This Row],[Puntos]],Categorias_Configuracion[],MATCH(Categorias_Configuracion[[#Headers],[% Amplitud]],Categorias_Configuracion[#Headers],0),TRUE)</f>
        <v>0.15</v>
      </c>
      <c r="H764" s="15" t="str">
        <f ca="1">TEXT(Categorias_Registro[[#This Row],[Mínimo]],Formato_Rango_Categorias)&amp;" - "&amp;TEXT(Categorias_Registro[[#This Row],[Máximo]],Formato_Rango_Categorias)</f>
        <v>1.637 - 1.881</v>
      </c>
    </row>
    <row r="765" spans="2:8">
      <c r="B765" s="15">
        <f>Techo - ROW() + ROW(Categorias_Registro[])</f>
        <v>1864</v>
      </c>
      <c r="C765" s="15">
        <f>IF(Categorias_Registro[[#This Row],[Puntos]]&lt;=ROUND(Piso,0),Piso,IF(Categorias_Registro[[#This Row],[Puntos]]&lt;D766,C766,D766+1))</f>
        <v>1637</v>
      </c>
      <c r="D765" s="15">
        <f>IF(Categorias_Registro[[#This Row],[Puntos]]=ROUND(Piso,0),ROUND(Categorias_Registro[[#This Row],[Puntos]]*(1+Categorias_Registro[[#This Row],[Amplitud]]),0),IF(Categorias_Registro[[#This Row],[Puntos]]&lt;D766,D766,ROUND(D766*(1+Categorias_Registro[[#This Row],[Amplitud]]),0)))</f>
        <v>1881</v>
      </c>
      <c r="E765" s="15">
        <f>E766+IF(D766=Categorias_Registro[[#This Row],[Máximo]],0,1)</f>
        <v>22</v>
      </c>
      <c r="F765" s="15">
        <f>ROUND(Categorias_Registro[[#This Row],[Mínimo]]+((Categorias_Registro[[#This Row],[Máximo]]-Categorias_Registro[[#This Row],[Mínimo]])/2),0)</f>
        <v>1759</v>
      </c>
      <c r="G765" s="78">
        <f>VLOOKUP(Categorias_Registro[[#This Row],[Puntos]],Categorias_Configuracion[],MATCH(Categorias_Configuracion[[#Headers],[% Amplitud]],Categorias_Configuracion[#Headers],0),TRUE)</f>
        <v>0.15</v>
      </c>
      <c r="H765" s="15" t="str">
        <f ca="1">TEXT(Categorias_Registro[[#This Row],[Mínimo]],Formato_Rango_Categorias)&amp;" - "&amp;TEXT(Categorias_Registro[[#This Row],[Máximo]],Formato_Rango_Categorias)</f>
        <v>1.637 - 1.881</v>
      </c>
    </row>
    <row r="766" spans="2:8">
      <c r="B766" s="15">
        <f>Techo - ROW() + ROW(Categorias_Registro[])</f>
        <v>1863</v>
      </c>
      <c r="C766" s="15">
        <f>IF(Categorias_Registro[[#This Row],[Puntos]]&lt;=ROUND(Piso,0),Piso,IF(Categorias_Registro[[#This Row],[Puntos]]&lt;D767,C767,D767+1))</f>
        <v>1637</v>
      </c>
      <c r="D766" s="15">
        <f>IF(Categorias_Registro[[#This Row],[Puntos]]=ROUND(Piso,0),ROUND(Categorias_Registro[[#This Row],[Puntos]]*(1+Categorias_Registro[[#This Row],[Amplitud]]),0),IF(Categorias_Registro[[#This Row],[Puntos]]&lt;D767,D767,ROUND(D767*(1+Categorias_Registro[[#This Row],[Amplitud]]),0)))</f>
        <v>1881</v>
      </c>
      <c r="E766" s="15">
        <f>E767+IF(D767=Categorias_Registro[[#This Row],[Máximo]],0,1)</f>
        <v>22</v>
      </c>
      <c r="F766" s="15">
        <f>ROUND(Categorias_Registro[[#This Row],[Mínimo]]+((Categorias_Registro[[#This Row],[Máximo]]-Categorias_Registro[[#This Row],[Mínimo]])/2),0)</f>
        <v>1759</v>
      </c>
      <c r="G766" s="78">
        <f>VLOOKUP(Categorias_Registro[[#This Row],[Puntos]],Categorias_Configuracion[],MATCH(Categorias_Configuracion[[#Headers],[% Amplitud]],Categorias_Configuracion[#Headers],0),TRUE)</f>
        <v>0.15</v>
      </c>
      <c r="H766" s="15" t="str">
        <f ca="1">TEXT(Categorias_Registro[[#This Row],[Mínimo]],Formato_Rango_Categorias)&amp;" - "&amp;TEXT(Categorias_Registro[[#This Row],[Máximo]],Formato_Rango_Categorias)</f>
        <v>1.637 - 1.881</v>
      </c>
    </row>
    <row r="767" spans="2:8">
      <c r="B767" s="15">
        <f>Techo - ROW() + ROW(Categorias_Registro[])</f>
        <v>1862</v>
      </c>
      <c r="C767" s="15">
        <f>IF(Categorias_Registro[[#This Row],[Puntos]]&lt;=ROUND(Piso,0),Piso,IF(Categorias_Registro[[#This Row],[Puntos]]&lt;D768,C768,D768+1))</f>
        <v>1637</v>
      </c>
      <c r="D767" s="15">
        <f>IF(Categorias_Registro[[#This Row],[Puntos]]=ROUND(Piso,0),ROUND(Categorias_Registro[[#This Row],[Puntos]]*(1+Categorias_Registro[[#This Row],[Amplitud]]),0),IF(Categorias_Registro[[#This Row],[Puntos]]&lt;D768,D768,ROUND(D768*(1+Categorias_Registro[[#This Row],[Amplitud]]),0)))</f>
        <v>1881</v>
      </c>
      <c r="E767" s="15">
        <f>E768+IF(D768=Categorias_Registro[[#This Row],[Máximo]],0,1)</f>
        <v>22</v>
      </c>
      <c r="F767" s="15">
        <f>ROUND(Categorias_Registro[[#This Row],[Mínimo]]+((Categorias_Registro[[#This Row],[Máximo]]-Categorias_Registro[[#This Row],[Mínimo]])/2),0)</f>
        <v>1759</v>
      </c>
      <c r="G767" s="78">
        <f>VLOOKUP(Categorias_Registro[[#This Row],[Puntos]],Categorias_Configuracion[],MATCH(Categorias_Configuracion[[#Headers],[% Amplitud]],Categorias_Configuracion[#Headers],0),TRUE)</f>
        <v>0.15</v>
      </c>
      <c r="H767" s="15" t="str">
        <f ca="1">TEXT(Categorias_Registro[[#This Row],[Mínimo]],Formato_Rango_Categorias)&amp;" - "&amp;TEXT(Categorias_Registro[[#This Row],[Máximo]],Formato_Rango_Categorias)</f>
        <v>1.637 - 1.881</v>
      </c>
    </row>
    <row r="768" spans="2:8">
      <c r="B768" s="15">
        <f>Techo - ROW() + ROW(Categorias_Registro[])</f>
        <v>1861</v>
      </c>
      <c r="C768" s="15">
        <f>IF(Categorias_Registro[[#This Row],[Puntos]]&lt;=ROUND(Piso,0),Piso,IF(Categorias_Registro[[#This Row],[Puntos]]&lt;D769,C769,D769+1))</f>
        <v>1637</v>
      </c>
      <c r="D768" s="15">
        <f>IF(Categorias_Registro[[#This Row],[Puntos]]=ROUND(Piso,0),ROUND(Categorias_Registro[[#This Row],[Puntos]]*(1+Categorias_Registro[[#This Row],[Amplitud]]),0),IF(Categorias_Registro[[#This Row],[Puntos]]&lt;D769,D769,ROUND(D769*(1+Categorias_Registro[[#This Row],[Amplitud]]),0)))</f>
        <v>1881</v>
      </c>
      <c r="E768" s="15">
        <f>E769+IF(D769=Categorias_Registro[[#This Row],[Máximo]],0,1)</f>
        <v>22</v>
      </c>
      <c r="F768" s="15">
        <f>ROUND(Categorias_Registro[[#This Row],[Mínimo]]+((Categorias_Registro[[#This Row],[Máximo]]-Categorias_Registro[[#This Row],[Mínimo]])/2),0)</f>
        <v>1759</v>
      </c>
      <c r="G768" s="78">
        <f>VLOOKUP(Categorias_Registro[[#This Row],[Puntos]],Categorias_Configuracion[],MATCH(Categorias_Configuracion[[#Headers],[% Amplitud]],Categorias_Configuracion[#Headers],0),TRUE)</f>
        <v>0.15</v>
      </c>
      <c r="H768" s="15" t="str">
        <f ca="1">TEXT(Categorias_Registro[[#This Row],[Mínimo]],Formato_Rango_Categorias)&amp;" - "&amp;TEXT(Categorias_Registro[[#This Row],[Máximo]],Formato_Rango_Categorias)</f>
        <v>1.637 - 1.881</v>
      </c>
    </row>
    <row r="769" spans="2:8">
      <c r="B769" s="15">
        <f>Techo - ROW() + ROW(Categorias_Registro[])</f>
        <v>1860</v>
      </c>
      <c r="C769" s="15">
        <f>IF(Categorias_Registro[[#This Row],[Puntos]]&lt;=ROUND(Piso,0),Piso,IF(Categorias_Registro[[#This Row],[Puntos]]&lt;D770,C770,D770+1))</f>
        <v>1637</v>
      </c>
      <c r="D769" s="15">
        <f>IF(Categorias_Registro[[#This Row],[Puntos]]=ROUND(Piso,0),ROUND(Categorias_Registro[[#This Row],[Puntos]]*(1+Categorias_Registro[[#This Row],[Amplitud]]),0),IF(Categorias_Registro[[#This Row],[Puntos]]&lt;D770,D770,ROUND(D770*(1+Categorias_Registro[[#This Row],[Amplitud]]),0)))</f>
        <v>1881</v>
      </c>
      <c r="E769" s="15">
        <f>E770+IF(D770=Categorias_Registro[[#This Row],[Máximo]],0,1)</f>
        <v>22</v>
      </c>
      <c r="F769" s="15">
        <f>ROUND(Categorias_Registro[[#This Row],[Mínimo]]+((Categorias_Registro[[#This Row],[Máximo]]-Categorias_Registro[[#This Row],[Mínimo]])/2),0)</f>
        <v>1759</v>
      </c>
      <c r="G769" s="78">
        <f>VLOOKUP(Categorias_Registro[[#This Row],[Puntos]],Categorias_Configuracion[],MATCH(Categorias_Configuracion[[#Headers],[% Amplitud]],Categorias_Configuracion[#Headers],0),TRUE)</f>
        <v>0.15</v>
      </c>
      <c r="H769" s="15" t="str">
        <f ca="1">TEXT(Categorias_Registro[[#This Row],[Mínimo]],Formato_Rango_Categorias)&amp;" - "&amp;TEXT(Categorias_Registro[[#This Row],[Máximo]],Formato_Rango_Categorias)</f>
        <v>1.637 - 1.881</v>
      </c>
    </row>
    <row r="770" spans="2:8">
      <c r="B770" s="15">
        <f>Techo - ROW() + ROW(Categorias_Registro[])</f>
        <v>1859</v>
      </c>
      <c r="C770" s="15">
        <f>IF(Categorias_Registro[[#This Row],[Puntos]]&lt;=ROUND(Piso,0),Piso,IF(Categorias_Registro[[#This Row],[Puntos]]&lt;D771,C771,D771+1))</f>
        <v>1637</v>
      </c>
      <c r="D770" s="15">
        <f>IF(Categorias_Registro[[#This Row],[Puntos]]=ROUND(Piso,0),ROUND(Categorias_Registro[[#This Row],[Puntos]]*(1+Categorias_Registro[[#This Row],[Amplitud]]),0),IF(Categorias_Registro[[#This Row],[Puntos]]&lt;D771,D771,ROUND(D771*(1+Categorias_Registro[[#This Row],[Amplitud]]),0)))</f>
        <v>1881</v>
      </c>
      <c r="E770" s="15">
        <f>E771+IF(D771=Categorias_Registro[[#This Row],[Máximo]],0,1)</f>
        <v>22</v>
      </c>
      <c r="F770" s="15">
        <f>ROUND(Categorias_Registro[[#This Row],[Mínimo]]+((Categorias_Registro[[#This Row],[Máximo]]-Categorias_Registro[[#This Row],[Mínimo]])/2),0)</f>
        <v>1759</v>
      </c>
      <c r="G770" s="78">
        <f>VLOOKUP(Categorias_Registro[[#This Row],[Puntos]],Categorias_Configuracion[],MATCH(Categorias_Configuracion[[#Headers],[% Amplitud]],Categorias_Configuracion[#Headers],0),TRUE)</f>
        <v>0.15</v>
      </c>
      <c r="H770" s="15" t="str">
        <f ca="1">TEXT(Categorias_Registro[[#This Row],[Mínimo]],Formato_Rango_Categorias)&amp;" - "&amp;TEXT(Categorias_Registro[[#This Row],[Máximo]],Formato_Rango_Categorias)</f>
        <v>1.637 - 1.881</v>
      </c>
    </row>
    <row r="771" spans="2:8">
      <c r="B771" s="15">
        <f>Techo - ROW() + ROW(Categorias_Registro[])</f>
        <v>1858</v>
      </c>
      <c r="C771" s="15">
        <f>IF(Categorias_Registro[[#This Row],[Puntos]]&lt;=ROUND(Piso,0),Piso,IF(Categorias_Registro[[#This Row],[Puntos]]&lt;D772,C772,D772+1))</f>
        <v>1637</v>
      </c>
      <c r="D771" s="15">
        <f>IF(Categorias_Registro[[#This Row],[Puntos]]=ROUND(Piso,0),ROUND(Categorias_Registro[[#This Row],[Puntos]]*(1+Categorias_Registro[[#This Row],[Amplitud]]),0),IF(Categorias_Registro[[#This Row],[Puntos]]&lt;D772,D772,ROUND(D772*(1+Categorias_Registro[[#This Row],[Amplitud]]),0)))</f>
        <v>1881</v>
      </c>
      <c r="E771" s="15">
        <f>E772+IF(D772=Categorias_Registro[[#This Row],[Máximo]],0,1)</f>
        <v>22</v>
      </c>
      <c r="F771" s="15">
        <f>ROUND(Categorias_Registro[[#This Row],[Mínimo]]+((Categorias_Registro[[#This Row],[Máximo]]-Categorias_Registro[[#This Row],[Mínimo]])/2),0)</f>
        <v>1759</v>
      </c>
      <c r="G771" s="78">
        <f>VLOOKUP(Categorias_Registro[[#This Row],[Puntos]],Categorias_Configuracion[],MATCH(Categorias_Configuracion[[#Headers],[% Amplitud]],Categorias_Configuracion[#Headers],0),TRUE)</f>
        <v>0.15</v>
      </c>
      <c r="H771" s="15" t="str">
        <f ca="1">TEXT(Categorias_Registro[[#This Row],[Mínimo]],Formato_Rango_Categorias)&amp;" - "&amp;TEXT(Categorias_Registro[[#This Row],[Máximo]],Formato_Rango_Categorias)</f>
        <v>1.637 - 1.881</v>
      </c>
    </row>
    <row r="772" spans="2:8">
      <c r="B772" s="15">
        <f>Techo - ROW() + ROW(Categorias_Registro[])</f>
        <v>1857</v>
      </c>
      <c r="C772" s="15">
        <f>IF(Categorias_Registro[[#This Row],[Puntos]]&lt;=ROUND(Piso,0),Piso,IF(Categorias_Registro[[#This Row],[Puntos]]&lt;D773,C773,D773+1))</f>
        <v>1637</v>
      </c>
      <c r="D772" s="15">
        <f>IF(Categorias_Registro[[#This Row],[Puntos]]=ROUND(Piso,0),ROUND(Categorias_Registro[[#This Row],[Puntos]]*(1+Categorias_Registro[[#This Row],[Amplitud]]),0),IF(Categorias_Registro[[#This Row],[Puntos]]&lt;D773,D773,ROUND(D773*(1+Categorias_Registro[[#This Row],[Amplitud]]),0)))</f>
        <v>1881</v>
      </c>
      <c r="E772" s="15">
        <f>E773+IF(D773=Categorias_Registro[[#This Row],[Máximo]],0,1)</f>
        <v>22</v>
      </c>
      <c r="F772" s="15">
        <f>ROUND(Categorias_Registro[[#This Row],[Mínimo]]+((Categorias_Registro[[#This Row],[Máximo]]-Categorias_Registro[[#This Row],[Mínimo]])/2),0)</f>
        <v>1759</v>
      </c>
      <c r="G772" s="78">
        <f>VLOOKUP(Categorias_Registro[[#This Row],[Puntos]],Categorias_Configuracion[],MATCH(Categorias_Configuracion[[#Headers],[% Amplitud]],Categorias_Configuracion[#Headers],0),TRUE)</f>
        <v>0.15</v>
      </c>
      <c r="H772" s="15" t="str">
        <f ca="1">TEXT(Categorias_Registro[[#This Row],[Mínimo]],Formato_Rango_Categorias)&amp;" - "&amp;TEXT(Categorias_Registro[[#This Row],[Máximo]],Formato_Rango_Categorias)</f>
        <v>1.637 - 1.881</v>
      </c>
    </row>
    <row r="773" spans="2:8">
      <c r="B773" s="15">
        <f>Techo - ROW() + ROW(Categorias_Registro[])</f>
        <v>1856</v>
      </c>
      <c r="C773" s="15">
        <f>IF(Categorias_Registro[[#This Row],[Puntos]]&lt;=ROUND(Piso,0),Piso,IF(Categorias_Registro[[#This Row],[Puntos]]&lt;D774,C774,D774+1))</f>
        <v>1637</v>
      </c>
      <c r="D773" s="15">
        <f>IF(Categorias_Registro[[#This Row],[Puntos]]=ROUND(Piso,0),ROUND(Categorias_Registro[[#This Row],[Puntos]]*(1+Categorias_Registro[[#This Row],[Amplitud]]),0),IF(Categorias_Registro[[#This Row],[Puntos]]&lt;D774,D774,ROUND(D774*(1+Categorias_Registro[[#This Row],[Amplitud]]),0)))</f>
        <v>1881</v>
      </c>
      <c r="E773" s="15">
        <f>E774+IF(D774=Categorias_Registro[[#This Row],[Máximo]],0,1)</f>
        <v>22</v>
      </c>
      <c r="F773" s="15">
        <f>ROUND(Categorias_Registro[[#This Row],[Mínimo]]+((Categorias_Registro[[#This Row],[Máximo]]-Categorias_Registro[[#This Row],[Mínimo]])/2),0)</f>
        <v>1759</v>
      </c>
      <c r="G773" s="78">
        <f>VLOOKUP(Categorias_Registro[[#This Row],[Puntos]],Categorias_Configuracion[],MATCH(Categorias_Configuracion[[#Headers],[% Amplitud]],Categorias_Configuracion[#Headers],0),TRUE)</f>
        <v>0.15</v>
      </c>
      <c r="H773" s="15" t="str">
        <f ca="1">TEXT(Categorias_Registro[[#This Row],[Mínimo]],Formato_Rango_Categorias)&amp;" - "&amp;TEXT(Categorias_Registro[[#This Row],[Máximo]],Formato_Rango_Categorias)</f>
        <v>1.637 - 1.881</v>
      </c>
    </row>
    <row r="774" spans="2:8">
      <c r="B774" s="15">
        <f>Techo - ROW() + ROW(Categorias_Registro[])</f>
        <v>1855</v>
      </c>
      <c r="C774" s="15">
        <f>IF(Categorias_Registro[[#This Row],[Puntos]]&lt;=ROUND(Piso,0),Piso,IF(Categorias_Registro[[#This Row],[Puntos]]&lt;D775,C775,D775+1))</f>
        <v>1637</v>
      </c>
      <c r="D774" s="15">
        <f>IF(Categorias_Registro[[#This Row],[Puntos]]=ROUND(Piso,0),ROUND(Categorias_Registro[[#This Row],[Puntos]]*(1+Categorias_Registro[[#This Row],[Amplitud]]),0),IF(Categorias_Registro[[#This Row],[Puntos]]&lt;D775,D775,ROUND(D775*(1+Categorias_Registro[[#This Row],[Amplitud]]),0)))</f>
        <v>1881</v>
      </c>
      <c r="E774" s="15">
        <f>E775+IF(D775=Categorias_Registro[[#This Row],[Máximo]],0,1)</f>
        <v>22</v>
      </c>
      <c r="F774" s="15">
        <f>ROUND(Categorias_Registro[[#This Row],[Mínimo]]+((Categorias_Registro[[#This Row],[Máximo]]-Categorias_Registro[[#This Row],[Mínimo]])/2),0)</f>
        <v>1759</v>
      </c>
      <c r="G774" s="78">
        <f>VLOOKUP(Categorias_Registro[[#This Row],[Puntos]],Categorias_Configuracion[],MATCH(Categorias_Configuracion[[#Headers],[% Amplitud]],Categorias_Configuracion[#Headers],0),TRUE)</f>
        <v>0.15</v>
      </c>
      <c r="H774" s="15" t="str">
        <f ca="1">TEXT(Categorias_Registro[[#This Row],[Mínimo]],Formato_Rango_Categorias)&amp;" - "&amp;TEXT(Categorias_Registro[[#This Row],[Máximo]],Formato_Rango_Categorias)</f>
        <v>1.637 - 1.881</v>
      </c>
    </row>
    <row r="775" spans="2:8">
      <c r="B775" s="15">
        <f>Techo - ROW() + ROW(Categorias_Registro[])</f>
        <v>1854</v>
      </c>
      <c r="C775" s="15">
        <f>IF(Categorias_Registro[[#This Row],[Puntos]]&lt;=ROUND(Piso,0),Piso,IF(Categorias_Registro[[#This Row],[Puntos]]&lt;D776,C776,D776+1))</f>
        <v>1637</v>
      </c>
      <c r="D775" s="15">
        <f>IF(Categorias_Registro[[#This Row],[Puntos]]=ROUND(Piso,0),ROUND(Categorias_Registro[[#This Row],[Puntos]]*(1+Categorias_Registro[[#This Row],[Amplitud]]),0),IF(Categorias_Registro[[#This Row],[Puntos]]&lt;D776,D776,ROUND(D776*(1+Categorias_Registro[[#This Row],[Amplitud]]),0)))</f>
        <v>1881</v>
      </c>
      <c r="E775" s="15">
        <f>E776+IF(D776=Categorias_Registro[[#This Row],[Máximo]],0,1)</f>
        <v>22</v>
      </c>
      <c r="F775" s="15">
        <f>ROUND(Categorias_Registro[[#This Row],[Mínimo]]+((Categorias_Registro[[#This Row],[Máximo]]-Categorias_Registro[[#This Row],[Mínimo]])/2),0)</f>
        <v>1759</v>
      </c>
      <c r="G775" s="78">
        <f>VLOOKUP(Categorias_Registro[[#This Row],[Puntos]],Categorias_Configuracion[],MATCH(Categorias_Configuracion[[#Headers],[% Amplitud]],Categorias_Configuracion[#Headers],0),TRUE)</f>
        <v>0.15</v>
      </c>
      <c r="H775" s="15" t="str">
        <f ca="1">TEXT(Categorias_Registro[[#This Row],[Mínimo]],Formato_Rango_Categorias)&amp;" - "&amp;TEXT(Categorias_Registro[[#This Row],[Máximo]],Formato_Rango_Categorias)</f>
        <v>1.637 - 1.881</v>
      </c>
    </row>
    <row r="776" spans="2:8">
      <c r="B776" s="15">
        <f>Techo - ROW() + ROW(Categorias_Registro[])</f>
        <v>1853</v>
      </c>
      <c r="C776" s="15">
        <f>IF(Categorias_Registro[[#This Row],[Puntos]]&lt;=ROUND(Piso,0),Piso,IF(Categorias_Registro[[#This Row],[Puntos]]&lt;D777,C777,D777+1))</f>
        <v>1637</v>
      </c>
      <c r="D776" s="15">
        <f>IF(Categorias_Registro[[#This Row],[Puntos]]=ROUND(Piso,0),ROUND(Categorias_Registro[[#This Row],[Puntos]]*(1+Categorias_Registro[[#This Row],[Amplitud]]),0),IF(Categorias_Registro[[#This Row],[Puntos]]&lt;D777,D777,ROUND(D777*(1+Categorias_Registro[[#This Row],[Amplitud]]),0)))</f>
        <v>1881</v>
      </c>
      <c r="E776" s="15">
        <f>E777+IF(D777=Categorias_Registro[[#This Row],[Máximo]],0,1)</f>
        <v>22</v>
      </c>
      <c r="F776" s="15">
        <f>ROUND(Categorias_Registro[[#This Row],[Mínimo]]+((Categorias_Registro[[#This Row],[Máximo]]-Categorias_Registro[[#This Row],[Mínimo]])/2),0)</f>
        <v>1759</v>
      </c>
      <c r="G776" s="78">
        <f>VLOOKUP(Categorias_Registro[[#This Row],[Puntos]],Categorias_Configuracion[],MATCH(Categorias_Configuracion[[#Headers],[% Amplitud]],Categorias_Configuracion[#Headers],0),TRUE)</f>
        <v>0.15</v>
      </c>
      <c r="H776" s="15" t="str">
        <f ca="1">TEXT(Categorias_Registro[[#This Row],[Mínimo]],Formato_Rango_Categorias)&amp;" - "&amp;TEXT(Categorias_Registro[[#This Row],[Máximo]],Formato_Rango_Categorias)</f>
        <v>1.637 - 1.881</v>
      </c>
    </row>
    <row r="777" spans="2:8">
      <c r="B777" s="15">
        <f>Techo - ROW() + ROW(Categorias_Registro[])</f>
        <v>1852</v>
      </c>
      <c r="C777" s="15">
        <f>IF(Categorias_Registro[[#This Row],[Puntos]]&lt;=ROUND(Piso,0),Piso,IF(Categorias_Registro[[#This Row],[Puntos]]&lt;D778,C778,D778+1))</f>
        <v>1637</v>
      </c>
      <c r="D777" s="15">
        <f>IF(Categorias_Registro[[#This Row],[Puntos]]=ROUND(Piso,0),ROUND(Categorias_Registro[[#This Row],[Puntos]]*(1+Categorias_Registro[[#This Row],[Amplitud]]),0),IF(Categorias_Registro[[#This Row],[Puntos]]&lt;D778,D778,ROUND(D778*(1+Categorias_Registro[[#This Row],[Amplitud]]),0)))</f>
        <v>1881</v>
      </c>
      <c r="E777" s="15">
        <f>E778+IF(D778=Categorias_Registro[[#This Row],[Máximo]],0,1)</f>
        <v>22</v>
      </c>
      <c r="F777" s="15">
        <f>ROUND(Categorias_Registro[[#This Row],[Mínimo]]+((Categorias_Registro[[#This Row],[Máximo]]-Categorias_Registro[[#This Row],[Mínimo]])/2),0)</f>
        <v>1759</v>
      </c>
      <c r="G777" s="78">
        <f>VLOOKUP(Categorias_Registro[[#This Row],[Puntos]],Categorias_Configuracion[],MATCH(Categorias_Configuracion[[#Headers],[% Amplitud]],Categorias_Configuracion[#Headers],0),TRUE)</f>
        <v>0.15</v>
      </c>
      <c r="H777" s="15" t="str">
        <f ca="1">TEXT(Categorias_Registro[[#This Row],[Mínimo]],Formato_Rango_Categorias)&amp;" - "&amp;TEXT(Categorias_Registro[[#This Row],[Máximo]],Formato_Rango_Categorias)</f>
        <v>1.637 - 1.881</v>
      </c>
    </row>
    <row r="778" spans="2:8">
      <c r="B778" s="15">
        <f>Techo - ROW() + ROW(Categorias_Registro[])</f>
        <v>1851</v>
      </c>
      <c r="C778" s="15">
        <f>IF(Categorias_Registro[[#This Row],[Puntos]]&lt;=ROUND(Piso,0),Piso,IF(Categorias_Registro[[#This Row],[Puntos]]&lt;D779,C779,D779+1))</f>
        <v>1637</v>
      </c>
      <c r="D778" s="15">
        <f>IF(Categorias_Registro[[#This Row],[Puntos]]=ROUND(Piso,0),ROUND(Categorias_Registro[[#This Row],[Puntos]]*(1+Categorias_Registro[[#This Row],[Amplitud]]),0),IF(Categorias_Registro[[#This Row],[Puntos]]&lt;D779,D779,ROUND(D779*(1+Categorias_Registro[[#This Row],[Amplitud]]),0)))</f>
        <v>1881</v>
      </c>
      <c r="E778" s="15">
        <f>E779+IF(D779=Categorias_Registro[[#This Row],[Máximo]],0,1)</f>
        <v>22</v>
      </c>
      <c r="F778" s="15">
        <f>ROUND(Categorias_Registro[[#This Row],[Mínimo]]+((Categorias_Registro[[#This Row],[Máximo]]-Categorias_Registro[[#This Row],[Mínimo]])/2),0)</f>
        <v>1759</v>
      </c>
      <c r="G778" s="78">
        <f>VLOOKUP(Categorias_Registro[[#This Row],[Puntos]],Categorias_Configuracion[],MATCH(Categorias_Configuracion[[#Headers],[% Amplitud]],Categorias_Configuracion[#Headers],0),TRUE)</f>
        <v>0.15</v>
      </c>
      <c r="H778" s="15" t="str">
        <f ca="1">TEXT(Categorias_Registro[[#This Row],[Mínimo]],Formato_Rango_Categorias)&amp;" - "&amp;TEXT(Categorias_Registro[[#This Row],[Máximo]],Formato_Rango_Categorias)</f>
        <v>1.637 - 1.881</v>
      </c>
    </row>
    <row r="779" spans="2:8">
      <c r="B779" s="15">
        <f>Techo - ROW() + ROW(Categorias_Registro[])</f>
        <v>1850</v>
      </c>
      <c r="C779" s="15">
        <f>IF(Categorias_Registro[[#This Row],[Puntos]]&lt;=ROUND(Piso,0),Piso,IF(Categorias_Registro[[#This Row],[Puntos]]&lt;D780,C780,D780+1))</f>
        <v>1637</v>
      </c>
      <c r="D779" s="15">
        <f>IF(Categorias_Registro[[#This Row],[Puntos]]=ROUND(Piso,0),ROUND(Categorias_Registro[[#This Row],[Puntos]]*(1+Categorias_Registro[[#This Row],[Amplitud]]),0),IF(Categorias_Registro[[#This Row],[Puntos]]&lt;D780,D780,ROUND(D780*(1+Categorias_Registro[[#This Row],[Amplitud]]),0)))</f>
        <v>1881</v>
      </c>
      <c r="E779" s="15">
        <f>E780+IF(D780=Categorias_Registro[[#This Row],[Máximo]],0,1)</f>
        <v>22</v>
      </c>
      <c r="F779" s="15">
        <f>ROUND(Categorias_Registro[[#This Row],[Mínimo]]+((Categorias_Registro[[#This Row],[Máximo]]-Categorias_Registro[[#This Row],[Mínimo]])/2),0)</f>
        <v>1759</v>
      </c>
      <c r="G779" s="78">
        <f>VLOOKUP(Categorias_Registro[[#This Row],[Puntos]],Categorias_Configuracion[],MATCH(Categorias_Configuracion[[#Headers],[% Amplitud]],Categorias_Configuracion[#Headers],0),TRUE)</f>
        <v>0.15</v>
      </c>
      <c r="H779" s="15" t="str">
        <f ca="1">TEXT(Categorias_Registro[[#This Row],[Mínimo]],Formato_Rango_Categorias)&amp;" - "&amp;TEXT(Categorias_Registro[[#This Row],[Máximo]],Formato_Rango_Categorias)</f>
        <v>1.637 - 1.881</v>
      </c>
    </row>
    <row r="780" spans="2:8">
      <c r="B780" s="15">
        <f>Techo - ROW() + ROW(Categorias_Registro[])</f>
        <v>1849</v>
      </c>
      <c r="C780" s="15">
        <f>IF(Categorias_Registro[[#This Row],[Puntos]]&lt;=ROUND(Piso,0),Piso,IF(Categorias_Registro[[#This Row],[Puntos]]&lt;D781,C781,D781+1))</f>
        <v>1637</v>
      </c>
      <c r="D780" s="15">
        <f>IF(Categorias_Registro[[#This Row],[Puntos]]=ROUND(Piso,0),ROUND(Categorias_Registro[[#This Row],[Puntos]]*(1+Categorias_Registro[[#This Row],[Amplitud]]),0),IF(Categorias_Registro[[#This Row],[Puntos]]&lt;D781,D781,ROUND(D781*(1+Categorias_Registro[[#This Row],[Amplitud]]),0)))</f>
        <v>1881</v>
      </c>
      <c r="E780" s="15">
        <f>E781+IF(D781=Categorias_Registro[[#This Row],[Máximo]],0,1)</f>
        <v>22</v>
      </c>
      <c r="F780" s="15">
        <f>ROUND(Categorias_Registro[[#This Row],[Mínimo]]+((Categorias_Registro[[#This Row],[Máximo]]-Categorias_Registro[[#This Row],[Mínimo]])/2),0)</f>
        <v>1759</v>
      </c>
      <c r="G780" s="78">
        <f>VLOOKUP(Categorias_Registro[[#This Row],[Puntos]],Categorias_Configuracion[],MATCH(Categorias_Configuracion[[#Headers],[% Amplitud]],Categorias_Configuracion[#Headers],0),TRUE)</f>
        <v>0.15</v>
      </c>
      <c r="H780" s="15" t="str">
        <f ca="1">TEXT(Categorias_Registro[[#This Row],[Mínimo]],Formato_Rango_Categorias)&amp;" - "&amp;TEXT(Categorias_Registro[[#This Row],[Máximo]],Formato_Rango_Categorias)</f>
        <v>1.637 - 1.881</v>
      </c>
    </row>
    <row r="781" spans="2:8">
      <c r="B781" s="15">
        <f>Techo - ROW() + ROW(Categorias_Registro[])</f>
        <v>1848</v>
      </c>
      <c r="C781" s="15">
        <f>IF(Categorias_Registro[[#This Row],[Puntos]]&lt;=ROUND(Piso,0),Piso,IF(Categorias_Registro[[#This Row],[Puntos]]&lt;D782,C782,D782+1))</f>
        <v>1637</v>
      </c>
      <c r="D781" s="15">
        <f>IF(Categorias_Registro[[#This Row],[Puntos]]=ROUND(Piso,0),ROUND(Categorias_Registro[[#This Row],[Puntos]]*(1+Categorias_Registro[[#This Row],[Amplitud]]),0),IF(Categorias_Registro[[#This Row],[Puntos]]&lt;D782,D782,ROUND(D782*(1+Categorias_Registro[[#This Row],[Amplitud]]),0)))</f>
        <v>1881</v>
      </c>
      <c r="E781" s="15">
        <f>E782+IF(D782=Categorias_Registro[[#This Row],[Máximo]],0,1)</f>
        <v>22</v>
      </c>
      <c r="F781" s="15">
        <f>ROUND(Categorias_Registro[[#This Row],[Mínimo]]+((Categorias_Registro[[#This Row],[Máximo]]-Categorias_Registro[[#This Row],[Mínimo]])/2),0)</f>
        <v>1759</v>
      </c>
      <c r="G781" s="78">
        <f>VLOOKUP(Categorias_Registro[[#This Row],[Puntos]],Categorias_Configuracion[],MATCH(Categorias_Configuracion[[#Headers],[% Amplitud]],Categorias_Configuracion[#Headers],0),TRUE)</f>
        <v>0.15</v>
      </c>
      <c r="H781" s="15" t="str">
        <f ca="1">TEXT(Categorias_Registro[[#This Row],[Mínimo]],Formato_Rango_Categorias)&amp;" - "&amp;TEXT(Categorias_Registro[[#This Row],[Máximo]],Formato_Rango_Categorias)</f>
        <v>1.637 - 1.881</v>
      </c>
    </row>
    <row r="782" spans="2:8">
      <c r="B782" s="15">
        <f>Techo - ROW() + ROW(Categorias_Registro[])</f>
        <v>1847</v>
      </c>
      <c r="C782" s="15">
        <f>IF(Categorias_Registro[[#This Row],[Puntos]]&lt;=ROUND(Piso,0),Piso,IF(Categorias_Registro[[#This Row],[Puntos]]&lt;D783,C783,D783+1))</f>
        <v>1637</v>
      </c>
      <c r="D782" s="15">
        <f>IF(Categorias_Registro[[#This Row],[Puntos]]=ROUND(Piso,0),ROUND(Categorias_Registro[[#This Row],[Puntos]]*(1+Categorias_Registro[[#This Row],[Amplitud]]),0),IF(Categorias_Registro[[#This Row],[Puntos]]&lt;D783,D783,ROUND(D783*(1+Categorias_Registro[[#This Row],[Amplitud]]),0)))</f>
        <v>1881</v>
      </c>
      <c r="E782" s="15">
        <f>E783+IF(D783=Categorias_Registro[[#This Row],[Máximo]],0,1)</f>
        <v>22</v>
      </c>
      <c r="F782" s="15">
        <f>ROUND(Categorias_Registro[[#This Row],[Mínimo]]+((Categorias_Registro[[#This Row],[Máximo]]-Categorias_Registro[[#This Row],[Mínimo]])/2),0)</f>
        <v>1759</v>
      </c>
      <c r="G782" s="78">
        <f>VLOOKUP(Categorias_Registro[[#This Row],[Puntos]],Categorias_Configuracion[],MATCH(Categorias_Configuracion[[#Headers],[% Amplitud]],Categorias_Configuracion[#Headers],0),TRUE)</f>
        <v>0.15</v>
      </c>
      <c r="H782" s="15" t="str">
        <f ca="1">TEXT(Categorias_Registro[[#This Row],[Mínimo]],Formato_Rango_Categorias)&amp;" - "&amp;TEXT(Categorias_Registro[[#This Row],[Máximo]],Formato_Rango_Categorias)</f>
        <v>1.637 - 1.881</v>
      </c>
    </row>
    <row r="783" spans="2:8">
      <c r="B783" s="15">
        <f>Techo - ROW() + ROW(Categorias_Registro[])</f>
        <v>1846</v>
      </c>
      <c r="C783" s="15">
        <f>IF(Categorias_Registro[[#This Row],[Puntos]]&lt;=ROUND(Piso,0),Piso,IF(Categorias_Registro[[#This Row],[Puntos]]&lt;D784,C784,D784+1))</f>
        <v>1637</v>
      </c>
      <c r="D783" s="15">
        <f>IF(Categorias_Registro[[#This Row],[Puntos]]=ROUND(Piso,0),ROUND(Categorias_Registro[[#This Row],[Puntos]]*(1+Categorias_Registro[[#This Row],[Amplitud]]),0),IF(Categorias_Registro[[#This Row],[Puntos]]&lt;D784,D784,ROUND(D784*(1+Categorias_Registro[[#This Row],[Amplitud]]),0)))</f>
        <v>1881</v>
      </c>
      <c r="E783" s="15">
        <f>E784+IF(D784=Categorias_Registro[[#This Row],[Máximo]],0,1)</f>
        <v>22</v>
      </c>
      <c r="F783" s="15">
        <f>ROUND(Categorias_Registro[[#This Row],[Mínimo]]+((Categorias_Registro[[#This Row],[Máximo]]-Categorias_Registro[[#This Row],[Mínimo]])/2),0)</f>
        <v>1759</v>
      </c>
      <c r="G783" s="78">
        <f>VLOOKUP(Categorias_Registro[[#This Row],[Puntos]],Categorias_Configuracion[],MATCH(Categorias_Configuracion[[#Headers],[% Amplitud]],Categorias_Configuracion[#Headers],0),TRUE)</f>
        <v>0.15</v>
      </c>
      <c r="H783" s="15" t="str">
        <f ca="1">TEXT(Categorias_Registro[[#This Row],[Mínimo]],Formato_Rango_Categorias)&amp;" - "&amp;TEXT(Categorias_Registro[[#This Row],[Máximo]],Formato_Rango_Categorias)</f>
        <v>1.637 - 1.881</v>
      </c>
    </row>
    <row r="784" spans="2:8">
      <c r="B784" s="15">
        <f>Techo - ROW() + ROW(Categorias_Registro[])</f>
        <v>1845</v>
      </c>
      <c r="C784" s="15">
        <f>IF(Categorias_Registro[[#This Row],[Puntos]]&lt;=ROUND(Piso,0),Piso,IF(Categorias_Registro[[#This Row],[Puntos]]&lt;D785,C785,D785+1))</f>
        <v>1637</v>
      </c>
      <c r="D784" s="15">
        <f>IF(Categorias_Registro[[#This Row],[Puntos]]=ROUND(Piso,0),ROUND(Categorias_Registro[[#This Row],[Puntos]]*(1+Categorias_Registro[[#This Row],[Amplitud]]),0),IF(Categorias_Registro[[#This Row],[Puntos]]&lt;D785,D785,ROUND(D785*(1+Categorias_Registro[[#This Row],[Amplitud]]),0)))</f>
        <v>1881</v>
      </c>
      <c r="E784" s="15">
        <f>E785+IF(D785=Categorias_Registro[[#This Row],[Máximo]],0,1)</f>
        <v>22</v>
      </c>
      <c r="F784" s="15">
        <f>ROUND(Categorias_Registro[[#This Row],[Mínimo]]+((Categorias_Registro[[#This Row],[Máximo]]-Categorias_Registro[[#This Row],[Mínimo]])/2),0)</f>
        <v>1759</v>
      </c>
      <c r="G784" s="78">
        <f>VLOOKUP(Categorias_Registro[[#This Row],[Puntos]],Categorias_Configuracion[],MATCH(Categorias_Configuracion[[#Headers],[% Amplitud]],Categorias_Configuracion[#Headers],0),TRUE)</f>
        <v>0.15</v>
      </c>
      <c r="H784" s="15" t="str">
        <f ca="1">TEXT(Categorias_Registro[[#This Row],[Mínimo]],Formato_Rango_Categorias)&amp;" - "&amp;TEXT(Categorias_Registro[[#This Row],[Máximo]],Formato_Rango_Categorias)</f>
        <v>1.637 - 1.881</v>
      </c>
    </row>
    <row r="785" spans="2:8">
      <c r="B785" s="15">
        <f>Techo - ROW() + ROW(Categorias_Registro[])</f>
        <v>1844</v>
      </c>
      <c r="C785" s="15">
        <f>IF(Categorias_Registro[[#This Row],[Puntos]]&lt;=ROUND(Piso,0),Piso,IF(Categorias_Registro[[#This Row],[Puntos]]&lt;D786,C786,D786+1))</f>
        <v>1637</v>
      </c>
      <c r="D785" s="15">
        <f>IF(Categorias_Registro[[#This Row],[Puntos]]=ROUND(Piso,0),ROUND(Categorias_Registro[[#This Row],[Puntos]]*(1+Categorias_Registro[[#This Row],[Amplitud]]),0),IF(Categorias_Registro[[#This Row],[Puntos]]&lt;D786,D786,ROUND(D786*(1+Categorias_Registro[[#This Row],[Amplitud]]),0)))</f>
        <v>1881</v>
      </c>
      <c r="E785" s="15">
        <f>E786+IF(D786=Categorias_Registro[[#This Row],[Máximo]],0,1)</f>
        <v>22</v>
      </c>
      <c r="F785" s="15">
        <f>ROUND(Categorias_Registro[[#This Row],[Mínimo]]+((Categorias_Registro[[#This Row],[Máximo]]-Categorias_Registro[[#This Row],[Mínimo]])/2),0)</f>
        <v>1759</v>
      </c>
      <c r="G785" s="78">
        <f>VLOOKUP(Categorias_Registro[[#This Row],[Puntos]],Categorias_Configuracion[],MATCH(Categorias_Configuracion[[#Headers],[% Amplitud]],Categorias_Configuracion[#Headers],0),TRUE)</f>
        <v>0.15</v>
      </c>
      <c r="H785" s="15" t="str">
        <f ca="1">TEXT(Categorias_Registro[[#This Row],[Mínimo]],Formato_Rango_Categorias)&amp;" - "&amp;TEXT(Categorias_Registro[[#This Row],[Máximo]],Formato_Rango_Categorias)</f>
        <v>1.637 - 1.881</v>
      </c>
    </row>
    <row r="786" spans="2:8">
      <c r="B786" s="15">
        <f>Techo - ROW() + ROW(Categorias_Registro[])</f>
        <v>1843</v>
      </c>
      <c r="C786" s="15">
        <f>IF(Categorias_Registro[[#This Row],[Puntos]]&lt;=ROUND(Piso,0),Piso,IF(Categorias_Registro[[#This Row],[Puntos]]&lt;D787,C787,D787+1))</f>
        <v>1637</v>
      </c>
      <c r="D786" s="15">
        <f>IF(Categorias_Registro[[#This Row],[Puntos]]=ROUND(Piso,0),ROUND(Categorias_Registro[[#This Row],[Puntos]]*(1+Categorias_Registro[[#This Row],[Amplitud]]),0),IF(Categorias_Registro[[#This Row],[Puntos]]&lt;D787,D787,ROUND(D787*(1+Categorias_Registro[[#This Row],[Amplitud]]),0)))</f>
        <v>1881</v>
      </c>
      <c r="E786" s="15">
        <f>E787+IF(D787=Categorias_Registro[[#This Row],[Máximo]],0,1)</f>
        <v>22</v>
      </c>
      <c r="F786" s="15">
        <f>ROUND(Categorias_Registro[[#This Row],[Mínimo]]+((Categorias_Registro[[#This Row],[Máximo]]-Categorias_Registro[[#This Row],[Mínimo]])/2),0)</f>
        <v>1759</v>
      </c>
      <c r="G786" s="78">
        <f>VLOOKUP(Categorias_Registro[[#This Row],[Puntos]],Categorias_Configuracion[],MATCH(Categorias_Configuracion[[#Headers],[% Amplitud]],Categorias_Configuracion[#Headers],0),TRUE)</f>
        <v>0.15</v>
      </c>
      <c r="H786" s="15" t="str">
        <f ca="1">TEXT(Categorias_Registro[[#This Row],[Mínimo]],Formato_Rango_Categorias)&amp;" - "&amp;TEXT(Categorias_Registro[[#This Row],[Máximo]],Formato_Rango_Categorias)</f>
        <v>1.637 - 1.881</v>
      </c>
    </row>
    <row r="787" spans="2:8">
      <c r="B787" s="15">
        <f>Techo - ROW() + ROW(Categorias_Registro[])</f>
        <v>1842</v>
      </c>
      <c r="C787" s="15">
        <f>IF(Categorias_Registro[[#This Row],[Puntos]]&lt;=ROUND(Piso,0),Piso,IF(Categorias_Registro[[#This Row],[Puntos]]&lt;D788,C788,D788+1))</f>
        <v>1637</v>
      </c>
      <c r="D787" s="15">
        <f>IF(Categorias_Registro[[#This Row],[Puntos]]=ROUND(Piso,0),ROUND(Categorias_Registro[[#This Row],[Puntos]]*(1+Categorias_Registro[[#This Row],[Amplitud]]),0),IF(Categorias_Registro[[#This Row],[Puntos]]&lt;D788,D788,ROUND(D788*(1+Categorias_Registro[[#This Row],[Amplitud]]),0)))</f>
        <v>1881</v>
      </c>
      <c r="E787" s="15">
        <f>E788+IF(D788=Categorias_Registro[[#This Row],[Máximo]],0,1)</f>
        <v>22</v>
      </c>
      <c r="F787" s="15">
        <f>ROUND(Categorias_Registro[[#This Row],[Mínimo]]+((Categorias_Registro[[#This Row],[Máximo]]-Categorias_Registro[[#This Row],[Mínimo]])/2),0)</f>
        <v>1759</v>
      </c>
      <c r="G787" s="78">
        <f>VLOOKUP(Categorias_Registro[[#This Row],[Puntos]],Categorias_Configuracion[],MATCH(Categorias_Configuracion[[#Headers],[% Amplitud]],Categorias_Configuracion[#Headers],0),TRUE)</f>
        <v>0.15</v>
      </c>
      <c r="H787" s="15" t="str">
        <f ca="1">TEXT(Categorias_Registro[[#This Row],[Mínimo]],Formato_Rango_Categorias)&amp;" - "&amp;TEXT(Categorias_Registro[[#This Row],[Máximo]],Formato_Rango_Categorias)</f>
        <v>1.637 - 1.881</v>
      </c>
    </row>
    <row r="788" spans="2:8">
      <c r="B788" s="15">
        <f>Techo - ROW() + ROW(Categorias_Registro[])</f>
        <v>1841</v>
      </c>
      <c r="C788" s="15">
        <f>IF(Categorias_Registro[[#This Row],[Puntos]]&lt;=ROUND(Piso,0),Piso,IF(Categorias_Registro[[#This Row],[Puntos]]&lt;D789,C789,D789+1))</f>
        <v>1637</v>
      </c>
      <c r="D788" s="15">
        <f>IF(Categorias_Registro[[#This Row],[Puntos]]=ROUND(Piso,0),ROUND(Categorias_Registro[[#This Row],[Puntos]]*(1+Categorias_Registro[[#This Row],[Amplitud]]),0),IF(Categorias_Registro[[#This Row],[Puntos]]&lt;D789,D789,ROUND(D789*(1+Categorias_Registro[[#This Row],[Amplitud]]),0)))</f>
        <v>1881</v>
      </c>
      <c r="E788" s="15">
        <f>E789+IF(D789=Categorias_Registro[[#This Row],[Máximo]],0,1)</f>
        <v>22</v>
      </c>
      <c r="F788" s="15">
        <f>ROUND(Categorias_Registro[[#This Row],[Mínimo]]+((Categorias_Registro[[#This Row],[Máximo]]-Categorias_Registro[[#This Row],[Mínimo]])/2),0)</f>
        <v>1759</v>
      </c>
      <c r="G788" s="78">
        <f>VLOOKUP(Categorias_Registro[[#This Row],[Puntos]],Categorias_Configuracion[],MATCH(Categorias_Configuracion[[#Headers],[% Amplitud]],Categorias_Configuracion[#Headers],0),TRUE)</f>
        <v>0.15</v>
      </c>
      <c r="H788" s="15" t="str">
        <f ca="1">TEXT(Categorias_Registro[[#This Row],[Mínimo]],Formato_Rango_Categorias)&amp;" - "&amp;TEXT(Categorias_Registro[[#This Row],[Máximo]],Formato_Rango_Categorias)</f>
        <v>1.637 - 1.881</v>
      </c>
    </row>
    <row r="789" spans="2:8">
      <c r="B789" s="15">
        <f>Techo - ROW() + ROW(Categorias_Registro[])</f>
        <v>1840</v>
      </c>
      <c r="C789" s="15">
        <f>IF(Categorias_Registro[[#This Row],[Puntos]]&lt;=ROUND(Piso,0),Piso,IF(Categorias_Registro[[#This Row],[Puntos]]&lt;D790,C790,D790+1))</f>
        <v>1637</v>
      </c>
      <c r="D789" s="15">
        <f>IF(Categorias_Registro[[#This Row],[Puntos]]=ROUND(Piso,0),ROUND(Categorias_Registro[[#This Row],[Puntos]]*(1+Categorias_Registro[[#This Row],[Amplitud]]),0),IF(Categorias_Registro[[#This Row],[Puntos]]&lt;D790,D790,ROUND(D790*(1+Categorias_Registro[[#This Row],[Amplitud]]),0)))</f>
        <v>1881</v>
      </c>
      <c r="E789" s="15">
        <f>E790+IF(D790=Categorias_Registro[[#This Row],[Máximo]],0,1)</f>
        <v>22</v>
      </c>
      <c r="F789" s="15">
        <f>ROUND(Categorias_Registro[[#This Row],[Mínimo]]+((Categorias_Registro[[#This Row],[Máximo]]-Categorias_Registro[[#This Row],[Mínimo]])/2),0)</f>
        <v>1759</v>
      </c>
      <c r="G789" s="78">
        <f>VLOOKUP(Categorias_Registro[[#This Row],[Puntos]],Categorias_Configuracion[],MATCH(Categorias_Configuracion[[#Headers],[% Amplitud]],Categorias_Configuracion[#Headers],0),TRUE)</f>
        <v>0.15</v>
      </c>
      <c r="H789" s="15" t="str">
        <f ca="1">TEXT(Categorias_Registro[[#This Row],[Mínimo]],Formato_Rango_Categorias)&amp;" - "&amp;TEXT(Categorias_Registro[[#This Row],[Máximo]],Formato_Rango_Categorias)</f>
        <v>1.637 - 1.881</v>
      </c>
    </row>
    <row r="790" spans="2:8">
      <c r="B790" s="15">
        <f>Techo - ROW() + ROW(Categorias_Registro[])</f>
        <v>1839</v>
      </c>
      <c r="C790" s="15">
        <f>IF(Categorias_Registro[[#This Row],[Puntos]]&lt;=ROUND(Piso,0),Piso,IF(Categorias_Registro[[#This Row],[Puntos]]&lt;D791,C791,D791+1))</f>
        <v>1637</v>
      </c>
      <c r="D790" s="15">
        <f>IF(Categorias_Registro[[#This Row],[Puntos]]=ROUND(Piso,0),ROUND(Categorias_Registro[[#This Row],[Puntos]]*(1+Categorias_Registro[[#This Row],[Amplitud]]),0),IF(Categorias_Registro[[#This Row],[Puntos]]&lt;D791,D791,ROUND(D791*(1+Categorias_Registro[[#This Row],[Amplitud]]),0)))</f>
        <v>1881</v>
      </c>
      <c r="E790" s="15">
        <f>E791+IF(D791=Categorias_Registro[[#This Row],[Máximo]],0,1)</f>
        <v>22</v>
      </c>
      <c r="F790" s="15">
        <f>ROUND(Categorias_Registro[[#This Row],[Mínimo]]+((Categorias_Registro[[#This Row],[Máximo]]-Categorias_Registro[[#This Row],[Mínimo]])/2),0)</f>
        <v>1759</v>
      </c>
      <c r="G790" s="78">
        <f>VLOOKUP(Categorias_Registro[[#This Row],[Puntos]],Categorias_Configuracion[],MATCH(Categorias_Configuracion[[#Headers],[% Amplitud]],Categorias_Configuracion[#Headers],0),TRUE)</f>
        <v>0.15</v>
      </c>
      <c r="H790" s="15" t="str">
        <f ca="1">TEXT(Categorias_Registro[[#This Row],[Mínimo]],Formato_Rango_Categorias)&amp;" - "&amp;TEXT(Categorias_Registro[[#This Row],[Máximo]],Formato_Rango_Categorias)</f>
        <v>1.637 - 1.881</v>
      </c>
    </row>
    <row r="791" spans="2:8">
      <c r="B791" s="15">
        <f>Techo - ROW() + ROW(Categorias_Registro[])</f>
        <v>1838</v>
      </c>
      <c r="C791" s="15">
        <f>IF(Categorias_Registro[[#This Row],[Puntos]]&lt;=ROUND(Piso,0),Piso,IF(Categorias_Registro[[#This Row],[Puntos]]&lt;D792,C792,D792+1))</f>
        <v>1637</v>
      </c>
      <c r="D791" s="15">
        <f>IF(Categorias_Registro[[#This Row],[Puntos]]=ROUND(Piso,0),ROUND(Categorias_Registro[[#This Row],[Puntos]]*(1+Categorias_Registro[[#This Row],[Amplitud]]),0),IF(Categorias_Registro[[#This Row],[Puntos]]&lt;D792,D792,ROUND(D792*(1+Categorias_Registro[[#This Row],[Amplitud]]),0)))</f>
        <v>1881</v>
      </c>
      <c r="E791" s="15">
        <f>E792+IF(D792=Categorias_Registro[[#This Row],[Máximo]],0,1)</f>
        <v>22</v>
      </c>
      <c r="F791" s="15">
        <f>ROUND(Categorias_Registro[[#This Row],[Mínimo]]+((Categorias_Registro[[#This Row],[Máximo]]-Categorias_Registro[[#This Row],[Mínimo]])/2),0)</f>
        <v>1759</v>
      </c>
      <c r="G791" s="78">
        <f>VLOOKUP(Categorias_Registro[[#This Row],[Puntos]],Categorias_Configuracion[],MATCH(Categorias_Configuracion[[#Headers],[% Amplitud]],Categorias_Configuracion[#Headers],0),TRUE)</f>
        <v>0.15</v>
      </c>
      <c r="H791" s="15" t="str">
        <f ca="1">TEXT(Categorias_Registro[[#This Row],[Mínimo]],Formato_Rango_Categorias)&amp;" - "&amp;TEXT(Categorias_Registro[[#This Row],[Máximo]],Formato_Rango_Categorias)</f>
        <v>1.637 - 1.881</v>
      </c>
    </row>
    <row r="792" spans="2:8">
      <c r="B792" s="15">
        <f>Techo - ROW() + ROW(Categorias_Registro[])</f>
        <v>1837</v>
      </c>
      <c r="C792" s="15">
        <f>IF(Categorias_Registro[[#This Row],[Puntos]]&lt;=ROUND(Piso,0),Piso,IF(Categorias_Registro[[#This Row],[Puntos]]&lt;D793,C793,D793+1))</f>
        <v>1637</v>
      </c>
      <c r="D792" s="15">
        <f>IF(Categorias_Registro[[#This Row],[Puntos]]=ROUND(Piso,0),ROUND(Categorias_Registro[[#This Row],[Puntos]]*(1+Categorias_Registro[[#This Row],[Amplitud]]),0),IF(Categorias_Registro[[#This Row],[Puntos]]&lt;D793,D793,ROUND(D793*(1+Categorias_Registro[[#This Row],[Amplitud]]),0)))</f>
        <v>1881</v>
      </c>
      <c r="E792" s="15">
        <f>E793+IF(D793=Categorias_Registro[[#This Row],[Máximo]],0,1)</f>
        <v>22</v>
      </c>
      <c r="F792" s="15">
        <f>ROUND(Categorias_Registro[[#This Row],[Mínimo]]+((Categorias_Registro[[#This Row],[Máximo]]-Categorias_Registro[[#This Row],[Mínimo]])/2),0)</f>
        <v>1759</v>
      </c>
      <c r="G792" s="78">
        <f>VLOOKUP(Categorias_Registro[[#This Row],[Puntos]],Categorias_Configuracion[],MATCH(Categorias_Configuracion[[#Headers],[% Amplitud]],Categorias_Configuracion[#Headers],0),TRUE)</f>
        <v>0.15</v>
      </c>
      <c r="H792" s="15" t="str">
        <f ca="1">TEXT(Categorias_Registro[[#This Row],[Mínimo]],Formato_Rango_Categorias)&amp;" - "&amp;TEXT(Categorias_Registro[[#This Row],[Máximo]],Formato_Rango_Categorias)</f>
        <v>1.637 - 1.881</v>
      </c>
    </row>
    <row r="793" spans="2:8">
      <c r="B793" s="15">
        <f>Techo - ROW() + ROW(Categorias_Registro[])</f>
        <v>1836</v>
      </c>
      <c r="C793" s="15">
        <f>IF(Categorias_Registro[[#This Row],[Puntos]]&lt;=ROUND(Piso,0),Piso,IF(Categorias_Registro[[#This Row],[Puntos]]&lt;D794,C794,D794+1))</f>
        <v>1637</v>
      </c>
      <c r="D793" s="15">
        <f>IF(Categorias_Registro[[#This Row],[Puntos]]=ROUND(Piso,0),ROUND(Categorias_Registro[[#This Row],[Puntos]]*(1+Categorias_Registro[[#This Row],[Amplitud]]),0),IF(Categorias_Registro[[#This Row],[Puntos]]&lt;D794,D794,ROUND(D794*(1+Categorias_Registro[[#This Row],[Amplitud]]),0)))</f>
        <v>1881</v>
      </c>
      <c r="E793" s="15">
        <f>E794+IF(D794=Categorias_Registro[[#This Row],[Máximo]],0,1)</f>
        <v>22</v>
      </c>
      <c r="F793" s="15">
        <f>ROUND(Categorias_Registro[[#This Row],[Mínimo]]+((Categorias_Registro[[#This Row],[Máximo]]-Categorias_Registro[[#This Row],[Mínimo]])/2),0)</f>
        <v>1759</v>
      </c>
      <c r="G793" s="78">
        <f>VLOOKUP(Categorias_Registro[[#This Row],[Puntos]],Categorias_Configuracion[],MATCH(Categorias_Configuracion[[#Headers],[% Amplitud]],Categorias_Configuracion[#Headers],0),TRUE)</f>
        <v>0.15</v>
      </c>
      <c r="H793" s="15" t="str">
        <f ca="1">TEXT(Categorias_Registro[[#This Row],[Mínimo]],Formato_Rango_Categorias)&amp;" - "&amp;TEXT(Categorias_Registro[[#This Row],[Máximo]],Formato_Rango_Categorias)</f>
        <v>1.637 - 1.881</v>
      </c>
    </row>
    <row r="794" spans="2:8">
      <c r="B794" s="15">
        <f>Techo - ROW() + ROW(Categorias_Registro[])</f>
        <v>1835</v>
      </c>
      <c r="C794" s="15">
        <f>IF(Categorias_Registro[[#This Row],[Puntos]]&lt;=ROUND(Piso,0),Piso,IF(Categorias_Registro[[#This Row],[Puntos]]&lt;D795,C795,D795+1))</f>
        <v>1637</v>
      </c>
      <c r="D794" s="15">
        <f>IF(Categorias_Registro[[#This Row],[Puntos]]=ROUND(Piso,0),ROUND(Categorias_Registro[[#This Row],[Puntos]]*(1+Categorias_Registro[[#This Row],[Amplitud]]),0),IF(Categorias_Registro[[#This Row],[Puntos]]&lt;D795,D795,ROUND(D795*(1+Categorias_Registro[[#This Row],[Amplitud]]),0)))</f>
        <v>1881</v>
      </c>
      <c r="E794" s="15">
        <f>E795+IF(D795=Categorias_Registro[[#This Row],[Máximo]],0,1)</f>
        <v>22</v>
      </c>
      <c r="F794" s="15">
        <f>ROUND(Categorias_Registro[[#This Row],[Mínimo]]+((Categorias_Registro[[#This Row],[Máximo]]-Categorias_Registro[[#This Row],[Mínimo]])/2),0)</f>
        <v>1759</v>
      </c>
      <c r="G794" s="78">
        <f>VLOOKUP(Categorias_Registro[[#This Row],[Puntos]],Categorias_Configuracion[],MATCH(Categorias_Configuracion[[#Headers],[% Amplitud]],Categorias_Configuracion[#Headers],0),TRUE)</f>
        <v>0.15</v>
      </c>
      <c r="H794" s="15" t="str">
        <f ca="1">TEXT(Categorias_Registro[[#This Row],[Mínimo]],Formato_Rango_Categorias)&amp;" - "&amp;TEXT(Categorias_Registro[[#This Row],[Máximo]],Formato_Rango_Categorias)</f>
        <v>1.637 - 1.881</v>
      </c>
    </row>
    <row r="795" spans="2:8">
      <c r="B795" s="15">
        <f>Techo - ROW() + ROW(Categorias_Registro[])</f>
        <v>1834</v>
      </c>
      <c r="C795" s="15">
        <f>IF(Categorias_Registro[[#This Row],[Puntos]]&lt;=ROUND(Piso,0),Piso,IF(Categorias_Registro[[#This Row],[Puntos]]&lt;D796,C796,D796+1))</f>
        <v>1637</v>
      </c>
      <c r="D795" s="15">
        <f>IF(Categorias_Registro[[#This Row],[Puntos]]=ROUND(Piso,0),ROUND(Categorias_Registro[[#This Row],[Puntos]]*(1+Categorias_Registro[[#This Row],[Amplitud]]),0),IF(Categorias_Registro[[#This Row],[Puntos]]&lt;D796,D796,ROUND(D796*(1+Categorias_Registro[[#This Row],[Amplitud]]),0)))</f>
        <v>1881</v>
      </c>
      <c r="E795" s="15">
        <f>E796+IF(D796=Categorias_Registro[[#This Row],[Máximo]],0,1)</f>
        <v>22</v>
      </c>
      <c r="F795" s="15">
        <f>ROUND(Categorias_Registro[[#This Row],[Mínimo]]+((Categorias_Registro[[#This Row],[Máximo]]-Categorias_Registro[[#This Row],[Mínimo]])/2),0)</f>
        <v>1759</v>
      </c>
      <c r="G795" s="78">
        <f>VLOOKUP(Categorias_Registro[[#This Row],[Puntos]],Categorias_Configuracion[],MATCH(Categorias_Configuracion[[#Headers],[% Amplitud]],Categorias_Configuracion[#Headers],0),TRUE)</f>
        <v>0.15</v>
      </c>
      <c r="H795" s="15" t="str">
        <f ca="1">TEXT(Categorias_Registro[[#This Row],[Mínimo]],Formato_Rango_Categorias)&amp;" - "&amp;TEXT(Categorias_Registro[[#This Row],[Máximo]],Formato_Rango_Categorias)</f>
        <v>1.637 - 1.881</v>
      </c>
    </row>
    <row r="796" spans="2:8">
      <c r="B796" s="15">
        <f>Techo - ROW() + ROW(Categorias_Registro[])</f>
        <v>1833</v>
      </c>
      <c r="C796" s="15">
        <f>IF(Categorias_Registro[[#This Row],[Puntos]]&lt;=ROUND(Piso,0),Piso,IF(Categorias_Registro[[#This Row],[Puntos]]&lt;D797,C797,D797+1))</f>
        <v>1637</v>
      </c>
      <c r="D796" s="15">
        <f>IF(Categorias_Registro[[#This Row],[Puntos]]=ROUND(Piso,0),ROUND(Categorias_Registro[[#This Row],[Puntos]]*(1+Categorias_Registro[[#This Row],[Amplitud]]),0),IF(Categorias_Registro[[#This Row],[Puntos]]&lt;D797,D797,ROUND(D797*(1+Categorias_Registro[[#This Row],[Amplitud]]),0)))</f>
        <v>1881</v>
      </c>
      <c r="E796" s="15">
        <f>E797+IF(D797=Categorias_Registro[[#This Row],[Máximo]],0,1)</f>
        <v>22</v>
      </c>
      <c r="F796" s="15">
        <f>ROUND(Categorias_Registro[[#This Row],[Mínimo]]+((Categorias_Registro[[#This Row],[Máximo]]-Categorias_Registro[[#This Row],[Mínimo]])/2),0)</f>
        <v>1759</v>
      </c>
      <c r="G796" s="78">
        <f>VLOOKUP(Categorias_Registro[[#This Row],[Puntos]],Categorias_Configuracion[],MATCH(Categorias_Configuracion[[#Headers],[% Amplitud]],Categorias_Configuracion[#Headers],0),TRUE)</f>
        <v>0.15</v>
      </c>
      <c r="H796" s="15" t="str">
        <f ca="1">TEXT(Categorias_Registro[[#This Row],[Mínimo]],Formato_Rango_Categorias)&amp;" - "&amp;TEXT(Categorias_Registro[[#This Row],[Máximo]],Formato_Rango_Categorias)</f>
        <v>1.637 - 1.881</v>
      </c>
    </row>
    <row r="797" spans="2:8">
      <c r="B797" s="15">
        <f>Techo - ROW() + ROW(Categorias_Registro[])</f>
        <v>1832</v>
      </c>
      <c r="C797" s="15">
        <f>IF(Categorias_Registro[[#This Row],[Puntos]]&lt;=ROUND(Piso,0),Piso,IF(Categorias_Registro[[#This Row],[Puntos]]&lt;D798,C798,D798+1))</f>
        <v>1637</v>
      </c>
      <c r="D797" s="15">
        <f>IF(Categorias_Registro[[#This Row],[Puntos]]=ROUND(Piso,0),ROUND(Categorias_Registro[[#This Row],[Puntos]]*(1+Categorias_Registro[[#This Row],[Amplitud]]),0),IF(Categorias_Registro[[#This Row],[Puntos]]&lt;D798,D798,ROUND(D798*(1+Categorias_Registro[[#This Row],[Amplitud]]),0)))</f>
        <v>1881</v>
      </c>
      <c r="E797" s="15">
        <f>E798+IF(D798=Categorias_Registro[[#This Row],[Máximo]],0,1)</f>
        <v>22</v>
      </c>
      <c r="F797" s="15">
        <f>ROUND(Categorias_Registro[[#This Row],[Mínimo]]+((Categorias_Registro[[#This Row],[Máximo]]-Categorias_Registro[[#This Row],[Mínimo]])/2),0)</f>
        <v>1759</v>
      </c>
      <c r="G797" s="78">
        <f>VLOOKUP(Categorias_Registro[[#This Row],[Puntos]],Categorias_Configuracion[],MATCH(Categorias_Configuracion[[#Headers],[% Amplitud]],Categorias_Configuracion[#Headers],0),TRUE)</f>
        <v>0.15</v>
      </c>
      <c r="H797" s="15" t="str">
        <f ca="1">TEXT(Categorias_Registro[[#This Row],[Mínimo]],Formato_Rango_Categorias)&amp;" - "&amp;TEXT(Categorias_Registro[[#This Row],[Máximo]],Formato_Rango_Categorias)</f>
        <v>1.637 - 1.881</v>
      </c>
    </row>
    <row r="798" spans="2:8">
      <c r="B798" s="15">
        <f>Techo - ROW() + ROW(Categorias_Registro[])</f>
        <v>1831</v>
      </c>
      <c r="C798" s="15">
        <f>IF(Categorias_Registro[[#This Row],[Puntos]]&lt;=ROUND(Piso,0),Piso,IF(Categorias_Registro[[#This Row],[Puntos]]&lt;D799,C799,D799+1))</f>
        <v>1637</v>
      </c>
      <c r="D798" s="15">
        <f>IF(Categorias_Registro[[#This Row],[Puntos]]=ROUND(Piso,0),ROUND(Categorias_Registro[[#This Row],[Puntos]]*(1+Categorias_Registro[[#This Row],[Amplitud]]),0),IF(Categorias_Registro[[#This Row],[Puntos]]&lt;D799,D799,ROUND(D799*(1+Categorias_Registro[[#This Row],[Amplitud]]),0)))</f>
        <v>1881</v>
      </c>
      <c r="E798" s="15">
        <f>E799+IF(D799=Categorias_Registro[[#This Row],[Máximo]],0,1)</f>
        <v>22</v>
      </c>
      <c r="F798" s="15">
        <f>ROUND(Categorias_Registro[[#This Row],[Mínimo]]+((Categorias_Registro[[#This Row],[Máximo]]-Categorias_Registro[[#This Row],[Mínimo]])/2),0)</f>
        <v>1759</v>
      </c>
      <c r="G798" s="78">
        <f>VLOOKUP(Categorias_Registro[[#This Row],[Puntos]],Categorias_Configuracion[],MATCH(Categorias_Configuracion[[#Headers],[% Amplitud]],Categorias_Configuracion[#Headers],0),TRUE)</f>
        <v>0.15</v>
      </c>
      <c r="H798" s="15" t="str">
        <f ca="1">TEXT(Categorias_Registro[[#This Row],[Mínimo]],Formato_Rango_Categorias)&amp;" - "&amp;TEXT(Categorias_Registro[[#This Row],[Máximo]],Formato_Rango_Categorias)</f>
        <v>1.637 - 1.881</v>
      </c>
    </row>
    <row r="799" spans="2:8">
      <c r="B799" s="15">
        <f>Techo - ROW() + ROW(Categorias_Registro[])</f>
        <v>1830</v>
      </c>
      <c r="C799" s="15">
        <f>IF(Categorias_Registro[[#This Row],[Puntos]]&lt;=ROUND(Piso,0),Piso,IF(Categorias_Registro[[#This Row],[Puntos]]&lt;D800,C800,D800+1))</f>
        <v>1637</v>
      </c>
      <c r="D799" s="15">
        <f>IF(Categorias_Registro[[#This Row],[Puntos]]=ROUND(Piso,0),ROUND(Categorias_Registro[[#This Row],[Puntos]]*(1+Categorias_Registro[[#This Row],[Amplitud]]),0),IF(Categorias_Registro[[#This Row],[Puntos]]&lt;D800,D800,ROUND(D800*(1+Categorias_Registro[[#This Row],[Amplitud]]),0)))</f>
        <v>1881</v>
      </c>
      <c r="E799" s="15">
        <f>E800+IF(D800=Categorias_Registro[[#This Row],[Máximo]],0,1)</f>
        <v>22</v>
      </c>
      <c r="F799" s="15">
        <f>ROUND(Categorias_Registro[[#This Row],[Mínimo]]+((Categorias_Registro[[#This Row],[Máximo]]-Categorias_Registro[[#This Row],[Mínimo]])/2),0)</f>
        <v>1759</v>
      </c>
      <c r="G799" s="78">
        <f>VLOOKUP(Categorias_Registro[[#This Row],[Puntos]],Categorias_Configuracion[],MATCH(Categorias_Configuracion[[#Headers],[% Amplitud]],Categorias_Configuracion[#Headers],0),TRUE)</f>
        <v>0.15</v>
      </c>
      <c r="H799" s="15" t="str">
        <f ca="1">TEXT(Categorias_Registro[[#This Row],[Mínimo]],Formato_Rango_Categorias)&amp;" - "&amp;TEXT(Categorias_Registro[[#This Row],[Máximo]],Formato_Rango_Categorias)</f>
        <v>1.637 - 1.881</v>
      </c>
    </row>
    <row r="800" spans="2:8">
      <c r="B800" s="15">
        <f>Techo - ROW() + ROW(Categorias_Registro[])</f>
        <v>1829</v>
      </c>
      <c r="C800" s="15">
        <f>IF(Categorias_Registro[[#This Row],[Puntos]]&lt;=ROUND(Piso,0),Piso,IF(Categorias_Registro[[#This Row],[Puntos]]&lt;D801,C801,D801+1))</f>
        <v>1637</v>
      </c>
      <c r="D800" s="15">
        <f>IF(Categorias_Registro[[#This Row],[Puntos]]=ROUND(Piso,0),ROUND(Categorias_Registro[[#This Row],[Puntos]]*(1+Categorias_Registro[[#This Row],[Amplitud]]),0),IF(Categorias_Registro[[#This Row],[Puntos]]&lt;D801,D801,ROUND(D801*(1+Categorias_Registro[[#This Row],[Amplitud]]),0)))</f>
        <v>1881</v>
      </c>
      <c r="E800" s="15">
        <f>E801+IF(D801=Categorias_Registro[[#This Row],[Máximo]],0,1)</f>
        <v>22</v>
      </c>
      <c r="F800" s="15">
        <f>ROUND(Categorias_Registro[[#This Row],[Mínimo]]+((Categorias_Registro[[#This Row],[Máximo]]-Categorias_Registro[[#This Row],[Mínimo]])/2),0)</f>
        <v>1759</v>
      </c>
      <c r="G800" s="78">
        <f>VLOOKUP(Categorias_Registro[[#This Row],[Puntos]],Categorias_Configuracion[],MATCH(Categorias_Configuracion[[#Headers],[% Amplitud]],Categorias_Configuracion[#Headers],0),TRUE)</f>
        <v>0.15</v>
      </c>
      <c r="H800" s="15" t="str">
        <f ca="1">TEXT(Categorias_Registro[[#This Row],[Mínimo]],Formato_Rango_Categorias)&amp;" - "&amp;TEXT(Categorias_Registro[[#This Row],[Máximo]],Formato_Rango_Categorias)</f>
        <v>1.637 - 1.881</v>
      </c>
    </row>
    <row r="801" spans="2:8">
      <c r="B801" s="15">
        <f>Techo - ROW() + ROW(Categorias_Registro[])</f>
        <v>1828</v>
      </c>
      <c r="C801" s="15">
        <f>IF(Categorias_Registro[[#This Row],[Puntos]]&lt;=ROUND(Piso,0),Piso,IF(Categorias_Registro[[#This Row],[Puntos]]&lt;D802,C802,D802+1))</f>
        <v>1637</v>
      </c>
      <c r="D801" s="15">
        <f>IF(Categorias_Registro[[#This Row],[Puntos]]=ROUND(Piso,0),ROUND(Categorias_Registro[[#This Row],[Puntos]]*(1+Categorias_Registro[[#This Row],[Amplitud]]),0),IF(Categorias_Registro[[#This Row],[Puntos]]&lt;D802,D802,ROUND(D802*(1+Categorias_Registro[[#This Row],[Amplitud]]),0)))</f>
        <v>1881</v>
      </c>
      <c r="E801" s="15">
        <f>E802+IF(D802=Categorias_Registro[[#This Row],[Máximo]],0,1)</f>
        <v>22</v>
      </c>
      <c r="F801" s="15">
        <f>ROUND(Categorias_Registro[[#This Row],[Mínimo]]+((Categorias_Registro[[#This Row],[Máximo]]-Categorias_Registro[[#This Row],[Mínimo]])/2),0)</f>
        <v>1759</v>
      </c>
      <c r="G801" s="78">
        <f>VLOOKUP(Categorias_Registro[[#This Row],[Puntos]],Categorias_Configuracion[],MATCH(Categorias_Configuracion[[#Headers],[% Amplitud]],Categorias_Configuracion[#Headers],0),TRUE)</f>
        <v>0.15</v>
      </c>
      <c r="H801" s="15" t="str">
        <f ca="1">TEXT(Categorias_Registro[[#This Row],[Mínimo]],Formato_Rango_Categorias)&amp;" - "&amp;TEXT(Categorias_Registro[[#This Row],[Máximo]],Formato_Rango_Categorias)</f>
        <v>1.637 - 1.881</v>
      </c>
    </row>
    <row r="802" spans="2:8">
      <c r="B802" s="15">
        <f>Techo - ROW() + ROW(Categorias_Registro[])</f>
        <v>1827</v>
      </c>
      <c r="C802" s="15">
        <f>IF(Categorias_Registro[[#This Row],[Puntos]]&lt;=ROUND(Piso,0),Piso,IF(Categorias_Registro[[#This Row],[Puntos]]&lt;D803,C803,D803+1))</f>
        <v>1637</v>
      </c>
      <c r="D802" s="15">
        <f>IF(Categorias_Registro[[#This Row],[Puntos]]=ROUND(Piso,0),ROUND(Categorias_Registro[[#This Row],[Puntos]]*(1+Categorias_Registro[[#This Row],[Amplitud]]),0),IF(Categorias_Registro[[#This Row],[Puntos]]&lt;D803,D803,ROUND(D803*(1+Categorias_Registro[[#This Row],[Amplitud]]),0)))</f>
        <v>1881</v>
      </c>
      <c r="E802" s="15">
        <f>E803+IF(D803=Categorias_Registro[[#This Row],[Máximo]],0,1)</f>
        <v>22</v>
      </c>
      <c r="F802" s="15">
        <f>ROUND(Categorias_Registro[[#This Row],[Mínimo]]+((Categorias_Registro[[#This Row],[Máximo]]-Categorias_Registro[[#This Row],[Mínimo]])/2),0)</f>
        <v>1759</v>
      </c>
      <c r="G802" s="78">
        <f>VLOOKUP(Categorias_Registro[[#This Row],[Puntos]],Categorias_Configuracion[],MATCH(Categorias_Configuracion[[#Headers],[% Amplitud]],Categorias_Configuracion[#Headers],0),TRUE)</f>
        <v>0.15</v>
      </c>
      <c r="H802" s="15" t="str">
        <f ca="1">TEXT(Categorias_Registro[[#This Row],[Mínimo]],Formato_Rango_Categorias)&amp;" - "&amp;TEXT(Categorias_Registro[[#This Row],[Máximo]],Formato_Rango_Categorias)</f>
        <v>1.637 - 1.881</v>
      </c>
    </row>
    <row r="803" spans="2:8">
      <c r="B803" s="15">
        <f>Techo - ROW() + ROW(Categorias_Registro[])</f>
        <v>1826</v>
      </c>
      <c r="C803" s="15">
        <f>IF(Categorias_Registro[[#This Row],[Puntos]]&lt;=ROUND(Piso,0),Piso,IF(Categorias_Registro[[#This Row],[Puntos]]&lt;D804,C804,D804+1))</f>
        <v>1637</v>
      </c>
      <c r="D803" s="15">
        <f>IF(Categorias_Registro[[#This Row],[Puntos]]=ROUND(Piso,0),ROUND(Categorias_Registro[[#This Row],[Puntos]]*(1+Categorias_Registro[[#This Row],[Amplitud]]),0),IF(Categorias_Registro[[#This Row],[Puntos]]&lt;D804,D804,ROUND(D804*(1+Categorias_Registro[[#This Row],[Amplitud]]),0)))</f>
        <v>1881</v>
      </c>
      <c r="E803" s="15">
        <f>E804+IF(D804=Categorias_Registro[[#This Row],[Máximo]],0,1)</f>
        <v>22</v>
      </c>
      <c r="F803" s="15">
        <f>ROUND(Categorias_Registro[[#This Row],[Mínimo]]+((Categorias_Registro[[#This Row],[Máximo]]-Categorias_Registro[[#This Row],[Mínimo]])/2),0)</f>
        <v>1759</v>
      </c>
      <c r="G803" s="78">
        <f>VLOOKUP(Categorias_Registro[[#This Row],[Puntos]],Categorias_Configuracion[],MATCH(Categorias_Configuracion[[#Headers],[% Amplitud]],Categorias_Configuracion[#Headers],0),TRUE)</f>
        <v>0.15</v>
      </c>
      <c r="H803" s="15" t="str">
        <f ca="1">TEXT(Categorias_Registro[[#This Row],[Mínimo]],Formato_Rango_Categorias)&amp;" - "&amp;TEXT(Categorias_Registro[[#This Row],[Máximo]],Formato_Rango_Categorias)</f>
        <v>1.637 - 1.881</v>
      </c>
    </row>
    <row r="804" spans="2:8">
      <c r="B804" s="15">
        <f>Techo - ROW() + ROW(Categorias_Registro[])</f>
        <v>1825</v>
      </c>
      <c r="C804" s="15">
        <f>IF(Categorias_Registro[[#This Row],[Puntos]]&lt;=ROUND(Piso,0),Piso,IF(Categorias_Registro[[#This Row],[Puntos]]&lt;D805,C805,D805+1))</f>
        <v>1637</v>
      </c>
      <c r="D804" s="15">
        <f>IF(Categorias_Registro[[#This Row],[Puntos]]=ROUND(Piso,0),ROUND(Categorias_Registro[[#This Row],[Puntos]]*(1+Categorias_Registro[[#This Row],[Amplitud]]),0),IF(Categorias_Registro[[#This Row],[Puntos]]&lt;D805,D805,ROUND(D805*(1+Categorias_Registro[[#This Row],[Amplitud]]),0)))</f>
        <v>1881</v>
      </c>
      <c r="E804" s="15">
        <f>E805+IF(D805=Categorias_Registro[[#This Row],[Máximo]],0,1)</f>
        <v>22</v>
      </c>
      <c r="F804" s="15">
        <f>ROUND(Categorias_Registro[[#This Row],[Mínimo]]+((Categorias_Registro[[#This Row],[Máximo]]-Categorias_Registro[[#This Row],[Mínimo]])/2),0)</f>
        <v>1759</v>
      </c>
      <c r="G804" s="78">
        <f>VLOOKUP(Categorias_Registro[[#This Row],[Puntos]],Categorias_Configuracion[],MATCH(Categorias_Configuracion[[#Headers],[% Amplitud]],Categorias_Configuracion[#Headers],0),TRUE)</f>
        <v>0.15</v>
      </c>
      <c r="H804" s="15" t="str">
        <f ca="1">TEXT(Categorias_Registro[[#This Row],[Mínimo]],Formato_Rango_Categorias)&amp;" - "&amp;TEXT(Categorias_Registro[[#This Row],[Máximo]],Formato_Rango_Categorias)</f>
        <v>1.637 - 1.881</v>
      </c>
    </row>
    <row r="805" spans="2:8">
      <c r="B805" s="15">
        <f>Techo - ROW() + ROW(Categorias_Registro[])</f>
        <v>1824</v>
      </c>
      <c r="C805" s="15">
        <f>IF(Categorias_Registro[[#This Row],[Puntos]]&lt;=ROUND(Piso,0),Piso,IF(Categorias_Registro[[#This Row],[Puntos]]&lt;D806,C806,D806+1))</f>
        <v>1637</v>
      </c>
      <c r="D805" s="15">
        <f>IF(Categorias_Registro[[#This Row],[Puntos]]=ROUND(Piso,0),ROUND(Categorias_Registro[[#This Row],[Puntos]]*(1+Categorias_Registro[[#This Row],[Amplitud]]),0),IF(Categorias_Registro[[#This Row],[Puntos]]&lt;D806,D806,ROUND(D806*(1+Categorias_Registro[[#This Row],[Amplitud]]),0)))</f>
        <v>1881</v>
      </c>
      <c r="E805" s="15">
        <f>E806+IF(D806=Categorias_Registro[[#This Row],[Máximo]],0,1)</f>
        <v>22</v>
      </c>
      <c r="F805" s="15">
        <f>ROUND(Categorias_Registro[[#This Row],[Mínimo]]+((Categorias_Registro[[#This Row],[Máximo]]-Categorias_Registro[[#This Row],[Mínimo]])/2),0)</f>
        <v>1759</v>
      </c>
      <c r="G805" s="78">
        <f>VLOOKUP(Categorias_Registro[[#This Row],[Puntos]],Categorias_Configuracion[],MATCH(Categorias_Configuracion[[#Headers],[% Amplitud]],Categorias_Configuracion[#Headers],0),TRUE)</f>
        <v>0.15</v>
      </c>
      <c r="H805" s="15" t="str">
        <f ca="1">TEXT(Categorias_Registro[[#This Row],[Mínimo]],Formato_Rango_Categorias)&amp;" - "&amp;TEXT(Categorias_Registro[[#This Row],[Máximo]],Formato_Rango_Categorias)</f>
        <v>1.637 - 1.881</v>
      </c>
    </row>
    <row r="806" spans="2:8">
      <c r="B806" s="15">
        <f>Techo - ROW() + ROW(Categorias_Registro[])</f>
        <v>1823</v>
      </c>
      <c r="C806" s="15">
        <f>IF(Categorias_Registro[[#This Row],[Puntos]]&lt;=ROUND(Piso,0),Piso,IF(Categorias_Registro[[#This Row],[Puntos]]&lt;D807,C807,D807+1))</f>
        <v>1637</v>
      </c>
      <c r="D806" s="15">
        <f>IF(Categorias_Registro[[#This Row],[Puntos]]=ROUND(Piso,0),ROUND(Categorias_Registro[[#This Row],[Puntos]]*(1+Categorias_Registro[[#This Row],[Amplitud]]),0),IF(Categorias_Registro[[#This Row],[Puntos]]&lt;D807,D807,ROUND(D807*(1+Categorias_Registro[[#This Row],[Amplitud]]),0)))</f>
        <v>1881</v>
      </c>
      <c r="E806" s="15">
        <f>E807+IF(D807=Categorias_Registro[[#This Row],[Máximo]],0,1)</f>
        <v>22</v>
      </c>
      <c r="F806" s="15">
        <f>ROUND(Categorias_Registro[[#This Row],[Mínimo]]+((Categorias_Registro[[#This Row],[Máximo]]-Categorias_Registro[[#This Row],[Mínimo]])/2),0)</f>
        <v>1759</v>
      </c>
      <c r="G806" s="78">
        <f>VLOOKUP(Categorias_Registro[[#This Row],[Puntos]],Categorias_Configuracion[],MATCH(Categorias_Configuracion[[#Headers],[% Amplitud]],Categorias_Configuracion[#Headers],0),TRUE)</f>
        <v>0.15</v>
      </c>
      <c r="H806" s="15" t="str">
        <f ca="1">TEXT(Categorias_Registro[[#This Row],[Mínimo]],Formato_Rango_Categorias)&amp;" - "&amp;TEXT(Categorias_Registro[[#This Row],[Máximo]],Formato_Rango_Categorias)</f>
        <v>1.637 - 1.881</v>
      </c>
    </row>
    <row r="807" spans="2:8">
      <c r="B807" s="15">
        <f>Techo - ROW() + ROW(Categorias_Registro[])</f>
        <v>1822</v>
      </c>
      <c r="C807" s="15">
        <f>IF(Categorias_Registro[[#This Row],[Puntos]]&lt;=ROUND(Piso,0),Piso,IF(Categorias_Registro[[#This Row],[Puntos]]&lt;D808,C808,D808+1))</f>
        <v>1637</v>
      </c>
      <c r="D807" s="15">
        <f>IF(Categorias_Registro[[#This Row],[Puntos]]=ROUND(Piso,0),ROUND(Categorias_Registro[[#This Row],[Puntos]]*(1+Categorias_Registro[[#This Row],[Amplitud]]),0),IF(Categorias_Registro[[#This Row],[Puntos]]&lt;D808,D808,ROUND(D808*(1+Categorias_Registro[[#This Row],[Amplitud]]),0)))</f>
        <v>1881</v>
      </c>
      <c r="E807" s="15">
        <f>E808+IF(D808=Categorias_Registro[[#This Row],[Máximo]],0,1)</f>
        <v>22</v>
      </c>
      <c r="F807" s="15">
        <f>ROUND(Categorias_Registro[[#This Row],[Mínimo]]+((Categorias_Registro[[#This Row],[Máximo]]-Categorias_Registro[[#This Row],[Mínimo]])/2),0)</f>
        <v>1759</v>
      </c>
      <c r="G807" s="78">
        <f>VLOOKUP(Categorias_Registro[[#This Row],[Puntos]],Categorias_Configuracion[],MATCH(Categorias_Configuracion[[#Headers],[% Amplitud]],Categorias_Configuracion[#Headers],0),TRUE)</f>
        <v>0.15</v>
      </c>
      <c r="H807" s="15" t="str">
        <f ca="1">TEXT(Categorias_Registro[[#This Row],[Mínimo]],Formato_Rango_Categorias)&amp;" - "&amp;TEXT(Categorias_Registro[[#This Row],[Máximo]],Formato_Rango_Categorias)</f>
        <v>1.637 - 1.881</v>
      </c>
    </row>
    <row r="808" spans="2:8">
      <c r="B808" s="15">
        <f>Techo - ROW() + ROW(Categorias_Registro[])</f>
        <v>1821</v>
      </c>
      <c r="C808" s="15">
        <f>IF(Categorias_Registro[[#This Row],[Puntos]]&lt;=ROUND(Piso,0),Piso,IF(Categorias_Registro[[#This Row],[Puntos]]&lt;D809,C809,D809+1))</f>
        <v>1637</v>
      </c>
      <c r="D808" s="15">
        <f>IF(Categorias_Registro[[#This Row],[Puntos]]=ROUND(Piso,0),ROUND(Categorias_Registro[[#This Row],[Puntos]]*(1+Categorias_Registro[[#This Row],[Amplitud]]),0),IF(Categorias_Registro[[#This Row],[Puntos]]&lt;D809,D809,ROUND(D809*(1+Categorias_Registro[[#This Row],[Amplitud]]),0)))</f>
        <v>1881</v>
      </c>
      <c r="E808" s="15">
        <f>E809+IF(D809=Categorias_Registro[[#This Row],[Máximo]],0,1)</f>
        <v>22</v>
      </c>
      <c r="F808" s="15">
        <f>ROUND(Categorias_Registro[[#This Row],[Mínimo]]+((Categorias_Registro[[#This Row],[Máximo]]-Categorias_Registro[[#This Row],[Mínimo]])/2),0)</f>
        <v>1759</v>
      </c>
      <c r="G808" s="78">
        <f>VLOOKUP(Categorias_Registro[[#This Row],[Puntos]],Categorias_Configuracion[],MATCH(Categorias_Configuracion[[#Headers],[% Amplitud]],Categorias_Configuracion[#Headers],0),TRUE)</f>
        <v>0.15</v>
      </c>
      <c r="H808" s="15" t="str">
        <f ca="1">TEXT(Categorias_Registro[[#This Row],[Mínimo]],Formato_Rango_Categorias)&amp;" - "&amp;TEXT(Categorias_Registro[[#This Row],[Máximo]],Formato_Rango_Categorias)</f>
        <v>1.637 - 1.881</v>
      </c>
    </row>
    <row r="809" spans="2:8">
      <c r="B809" s="15">
        <f>Techo - ROW() + ROW(Categorias_Registro[])</f>
        <v>1820</v>
      </c>
      <c r="C809" s="15">
        <f>IF(Categorias_Registro[[#This Row],[Puntos]]&lt;=ROUND(Piso,0),Piso,IF(Categorias_Registro[[#This Row],[Puntos]]&lt;D810,C810,D810+1))</f>
        <v>1637</v>
      </c>
      <c r="D809" s="15">
        <f>IF(Categorias_Registro[[#This Row],[Puntos]]=ROUND(Piso,0),ROUND(Categorias_Registro[[#This Row],[Puntos]]*(1+Categorias_Registro[[#This Row],[Amplitud]]),0),IF(Categorias_Registro[[#This Row],[Puntos]]&lt;D810,D810,ROUND(D810*(1+Categorias_Registro[[#This Row],[Amplitud]]),0)))</f>
        <v>1881</v>
      </c>
      <c r="E809" s="15">
        <f>E810+IF(D810=Categorias_Registro[[#This Row],[Máximo]],0,1)</f>
        <v>22</v>
      </c>
      <c r="F809" s="15">
        <f>ROUND(Categorias_Registro[[#This Row],[Mínimo]]+((Categorias_Registro[[#This Row],[Máximo]]-Categorias_Registro[[#This Row],[Mínimo]])/2),0)</f>
        <v>1759</v>
      </c>
      <c r="G809" s="78">
        <f>VLOOKUP(Categorias_Registro[[#This Row],[Puntos]],Categorias_Configuracion[],MATCH(Categorias_Configuracion[[#Headers],[% Amplitud]],Categorias_Configuracion[#Headers],0),TRUE)</f>
        <v>0.15</v>
      </c>
      <c r="H809" s="15" t="str">
        <f ca="1">TEXT(Categorias_Registro[[#This Row],[Mínimo]],Formato_Rango_Categorias)&amp;" - "&amp;TEXT(Categorias_Registro[[#This Row],[Máximo]],Formato_Rango_Categorias)</f>
        <v>1.637 - 1.881</v>
      </c>
    </row>
    <row r="810" spans="2:8">
      <c r="B810" s="15">
        <f>Techo - ROW() + ROW(Categorias_Registro[])</f>
        <v>1819</v>
      </c>
      <c r="C810" s="15">
        <f>IF(Categorias_Registro[[#This Row],[Puntos]]&lt;=ROUND(Piso,0),Piso,IF(Categorias_Registro[[#This Row],[Puntos]]&lt;D811,C811,D811+1))</f>
        <v>1637</v>
      </c>
      <c r="D810" s="15">
        <f>IF(Categorias_Registro[[#This Row],[Puntos]]=ROUND(Piso,0),ROUND(Categorias_Registro[[#This Row],[Puntos]]*(1+Categorias_Registro[[#This Row],[Amplitud]]),0),IF(Categorias_Registro[[#This Row],[Puntos]]&lt;D811,D811,ROUND(D811*(1+Categorias_Registro[[#This Row],[Amplitud]]),0)))</f>
        <v>1881</v>
      </c>
      <c r="E810" s="15">
        <f>E811+IF(D811=Categorias_Registro[[#This Row],[Máximo]],0,1)</f>
        <v>22</v>
      </c>
      <c r="F810" s="15">
        <f>ROUND(Categorias_Registro[[#This Row],[Mínimo]]+((Categorias_Registro[[#This Row],[Máximo]]-Categorias_Registro[[#This Row],[Mínimo]])/2),0)</f>
        <v>1759</v>
      </c>
      <c r="G810" s="78">
        <f>VLOOKUP(Categorias_Registro[[#This Row],[Puntos]],Categorias_Configuracion[],MATCH(Categorias_Configuracion[[#Headers],[% Amplitud]],Categorias_Configuracion[#Headers],0),TRUE)</f>
        <v>0.15</v>
      </c>
      <c r="H810" s="15" t="str">
        <f ca="1">TEXT(Categorias_Registro[[#This Row],[Mínimo]],Formato_Rango_Categorias)&amp;" - "&amp;TEXT(Categorias_Registro[[#This Row],[Máximo]],Formato_Rango_Categorias)</f>
        <v>1.637 - 1.881</v>
      </c>
    </row>
    <row r="811" spans="2:8">
      <c r="B811" s="15">
        <f>Techo - ROW() + ROW(Categorias_Registro[])</f>
        <v>1818</v>
      </c>
      <c r="C811" s="15">
        <f>IF(Categorias_Registro[[#This Row],[Puntos]]&lt;=ROUND(Piso,0),Piso,IF(Categorias_Registro[[#This Row],[Puntos]]&lt;D812,C812,D812+1))</f>
        <v>1637</v>
      </c>
      <c r="D811" s="15">
        <f>IF(Categorias_Registro[[#This Row],[Puntos]]=ROUND(Piso,0),ROUND(Categorias_Registro[[#This Row],[Puntos]]*(1+Categorias_Registro[[#This Row],[Amplitud]]),0),IF(Categorias_Registro[[#This Row],[Puntos]]&lt;D812,D812,ROUND(D812*(1+Categorias_Registro[[#This Row],[Amplitud]]),0)))</f>
        <v>1881</v>
      </c>
      <c r="E811" s="15">
        <f>E812+IF(D812=Categorias_Registro[[#This Row],[Máximo]],0,1)</f>
        <v>22</v>
      </c>
      <c r="F811" s="15">
        <f>ROUND(Categorias_Registro[[#This Row],[Mínimo]]+((Categorias_Registro[[#This Row],[Máximo]]-Categorias_Registro[[#This Row],[Mínimo]])/2),0)</f>
        <v>1759</v>
      </c>
      <c r="G811" s="78">
        <f>VLOOKUP(Categorias_Registro[[#This Row],[Puntos]],Categorias_Configuracion[],MATCH(Categorias_Configuracion[[#Headers],[% Amplitud]],Categorias_Configuracion[#Headers],0),TRUE)</f>
        <v>0.15</v>
      </c>
      <c r="H811" s="15" t="str">
        <f ca="1">TEXT(Categorias_Registro[[#This Row],[Mínimo]],Formato_Rango_Categorias)&amp;" - "&amp;TEXT(Categorias_Registro[[#This Row],[Máximo]],Formato_Rango_Categorias)</f>
        <v>1.637 - 1.881</v>
      </c>
    </row>
    <row r="812" spans="2:8">
      <c r="B812" s="15">
        <f>Techo - ROW() + ROW(Categorias_Registro[])</f>
        <v>1817</v>
      </c>
      <c r="C812" s="15">
        <f>IF(Categorias_Registro[[#This Row],[Puntos]]&lt;=ROUND(Piso,0),Piso,IF(Categorias_Registro[[#This Row],[Puntos]]&lt;D813,C813,D813+1))</f>
        <v>1637</v>
      </c>
      <c r="D812" s="15">
        <f>IF(Categorias_Registro[[#This Row],[Puntos]]=ROUND(Piso,0),ROUND(Categorias_Registro[[#This Row],[Puntos]]*(1+Categorias_Registro[[#This Row],[Amplitud]]),0),IF(Categorias_Registro[[#This Row],[Puntos]]&lt;D813,D813,ROUND(D813*(1+Categorias_Registro[[#This Row],[Amplitud]]),0)))</f>
        <v>1881</v>
      </c>
      <c r="E812" s="15">
        <f>E813+IF(D813=Categorias_Registro[[#This Row],[Máximo]],0,1)</f>
        <v>22</v>
      </c>
      <c r="F812" s="15">
        <f>ROUND(Categorias_Registro[[#This Row],[Mínimo]]+((Categorias_Registro[[#This Row],[Máximo]]-Categorias_Registro[[#This Row],[Mínimo]])/2),0)</f>
        <v>1759</v>
      </c>
      <c r="G812" s="78">
        <f>VLOOKUP(Categorias_Registro[[#This Row],[Puntos]],Categorias_Configuracion[],MATCH(Categorias_Configuracion[[#Headers],[% Amplitud]],Categorias_Configuracion[#Headers],0),TRUE)</f>
        <v>0.15</v>
      </c>
      <c r="H812" s="15" t="str">
        <f ca="1">TEXT(Categorias_Registro[[#This Row],[Mínimo]],Formato_Rango_Categorias)&amp;" - "&amp;TEXT(Categorias_Registro[[#This Row],[Máximo]],Formato_Rango_Categorias)</f>
        <v>1.637 - 1.881</v>
      </c>
    </row>
    <row r="813" spans="2:8">
      <c r="B813" s="15">
        <f>Techo - ROW() + ROW(Categorias_Registro[])</f>
        <v>1816</v>
      </c>
      <c r="C813" s="15">
        <f>IF(Categorias_Registro[[#This Row],[Puntos]]&lt;=ROUND(Piso,0),Piso,IF(Categorias_Registro[[#This Row],[Puntos]]&lt;D814,C814,D814+1))</f>
        <v>1637</v>
      </c>
      <c r="D813" s="15">
        <f>IF(Categorias_Registro[[#This Row],[Puntos]]=ROUND(Piso,0),ROUND(Categorias_Registro[[#This Row],[Puntos]]*(1+Categorias_Registro[[#This Row],[Amplitud]]),0),IF(Categorias_Registro[[#This Row],[Puntos]]&lt;D814,D814,ROUND(D814*(1+Categorias_Registro[[#This Row],[Amplitud]]),0)))</f>
        <v>1881</v>
      </c>
      <c r="E813" s="15">
        <f>E814+IF(D814=Categorias_Registro[[#This Row],[Máximo]],0,1)</f>
        <v>22</v>
      </c>
      <c r="F813" s="15">
        <f>ROUND(Categorias_Registro[[#This Row],[Mínimo]]+((Categorias_Registro[[#This Row],[Máximo]]-Categorias_Registro[[#This Row],[Mínimo]])/2),0)</f>
        <v>1759</v>
      </c>
      <c r="G813" s="78">
        <f>VLOOKUP(Categorias_Registro[[#This Row],[Puntos]],Categorias_Configuracion[],MATCH(Categorias_Configuracion[[#Headers],[% Amplitud]],Categorias_Configuracion[#Headers],0),TRUE)</f>
        <v>0.15</v>
      </c>
      <c r="H813" s="15" t="str">
        <f ca="1">TEXT(Categorias_Registro[[#This Row],[Mínimo]],Formato_Rango_Categorias)&amp;" - "&amp;TEXT(Categorias_Registro[[#This Row],[Máximo]],Formato_Rango_Categorias)</f>
        <v>1.637 - 1.881</v>
      </c>
    </row>
    <row r="814" spans="2:8">
      <c r="B814" s="15">
        <f>Techo - ROW() + ROW(Categorias_Registro[])</f>
        <v>1815</v>
      </c>
      <c r="C814" s="15">
        <f>IF(Categorias_Registro[[#This Row],[Puntos]]&lt;=ROUND(Piso,0),Piso,IF(Categorias_Registro[[#This Row],[Puntos]]&lt;D815,C815,D815+1))</f>
        <v>1637</v>
      </c>
      <c r="D814" s="15">
        <f>IF(Categorias_Registro[[#This Row],[Puntos]]=ROUND(Piso,0),ROUND(Categorias_Registro[[#This Row],[Puntos]]*(1+Categorias_Registro[[#This Row],[Amplitud]]),0),IF(Categorias_Registro[[#This Row],[Puntos]]&lt;D815,D815,ROUND(D815*(1+Categorias_Registro[[#This Row],[Amplitud]]),0)))</f>
        <v>1881</v>
      </c>
      <c r="E814" s="15">
        <f>E815+IF(D815=Categorias_Registro[[#This Row],[Máximo]],0,1)</f>
        <v>22</v>
      </c>
      <c r="F814" s="15">
        <f>ROUND(Categorias_Registro[[#This Row],[Mínimo]]+((Categorias_Registro[[#This Row],[Máximo]]-Categorias_Registro[[#This Row],[Mínimo]])/2),0)</f>
        <v>1759</v>
      </c>
      <c r="G814" s="78">
        <f>VLOOKUP(Categorias_Registro[[#This Row],[Puntos]],Categorias_Configuracion[],MATCH(Categorias_Configuracion[[#Headers],[% Amplitud]],Categorias_Configuracion[#Headers],0),TRUE)</f>
        <v>0.15</v>
      </c>
      <c r="H814" s="15" t="str">
        <f ca="1">TEXT(Categorias_Registro[[#This Row],[Mínimo]],Formato_Rango_Categorias)&amp;" - "&amp;TEXT(Categorias_Registro[[#This Row],[Máximo]],Formato_Rango_Categorias)</f>
        <v>1.637 - 1.881</v>
      </c>
    </row>
    <row r="815" spans="2:8">
      <c r="B815" s="15">
        <f>Techo - ROW() + ROW(Categorias_Registro[])</f>
        <v>1814</v>
      </c>
      <c r="C815" s="15">
        <f>IF(Categorias_Registro[[#This Row],[Puntos]]&lt;=ROUND(Piso,0),Piso,IF(Categorias_Registro[[#This Row],[Puntos]]&lt;D816,C816,D816+1))</f>
        <v>1637</v>
      </c>
      <c r="D815" s="15">
        <f>IF(Categorias_Registro[[#This Row],[Puntos]]=ROUND(Piso,0),ROUND(Categorias_Registro[[#This Row],[Puntos]]*(1+Categorias_Registro[[#This Row],[Amplitud]]),0),IF(Categorias_Registro[[#This Row],[Puntos]]&lt;D816,D816,ROUND(D816*(1+Categorias_Registro[[#This Row],[Amplitud]]),0)))</f>
        <v>1881</v>
      </c>
      <c r="E815" s="15">
        <f>E816+IF(D816=Categorias_Registro[[#This Row],[Máximo]],0,1)</f>
        <v>22</v>
      </c>
      <c r="F815" s="15">
        <f>ROUND(Categorias_Registro[[#This Row],[Mínimo]]+((Categorias_Registro[[#This Row],[Máximo]]-Categorias_Registro[[#This Row],[Mínimo]])/2),0)</f>
        <v>1759</v>
      </c>
      <c r="G815" s="78">
        <f>VLOOKUP(Categorias_Registro[[#This Row],[Puntos]],Categorias_Configuracion[],MATCH(Categorias_Configuracion[[#Headers],[% Amplitud]],Categorias_Configuracion[#Headers],0),TRUE)</f>
        <v>0.15</v>
      </c>
      <c r="H815" s="15" t="str">
        <f ca="1">TEXT(Categorias_Registro[[#This Row],[Mínimo]],Formato_Rango_Categorias)&amp;" - "&amp;TEXT(Categorias_Registro[[#This Row],[Máximo]],Formato_Rango_Categorias)</f>
        <v>1.637 - 1.881</v>
      </c>
    </row>
    <row r="816" spans="2:8">
      <c r="B816" s="15">
        <f>Techo - ROW() + ROW(Categorias_Registro[])</f>
        <v>1813</v>
      </c>
      <c r="C816" s="15">
        <f>IF(Categorias_Registro[[#This Row],[Puntos]]&lt;=ROUND(Piso,0),Piso,IF(Categorias_Registro[[#This Row],[Puntos]]&lt;D817,C817,D817+1))</f>
        <v>1637</v>
      </c>
      <c r="D816" s="15">
        <f>IF(Categorias_Registro[[#This Row],[Puntos]]=ROUND(Piso,0),ROUND(Categorias_Registro[[#This Row],[Puntos]]*(1+Categorias_Registro[[#This Row],[Amplitud]]),0),IF(Categorias_Registro[[#This Row],[Puntos]]&lt;D817,D817,ROUND(D817*(1+Categorias_Registro[[#This Row],[Amplitud]]),0)))</f>
        <v>1881</v>
      </c>
      <c r="E816" s="15">
        <f>E817+IF(D817=Categorias_Registro[[#This Row],[Máximo]],0,1)</f>
        <v>22</v>
      </c>
      <c r="F816" s="15">
        <f>ROUND(Categorias_Registro[[#This Row],[Mínimo]]+((Categorias_Registro[[#This Row],[Máximo]]-Categorias_Registro[[#This Row],[Mínimo]])/2),0)</f>
        <v>1759</v>
      </c>
      <c r="G816" s="78">
        <f>VLOOKUP(Categorias_Registro[[#This Row],[Puntos]],Categorias_Configuracion[],MATCH(Categorias_Configuracion[[#Headers],[% Amplitud]],Categorias_Configuracion[#Headers],0),TRUE)</f>
        <v>0.15</v>
      </c>
      <c r="H816" s="15" t="str">
        <f ca="1">TEXT(Categorias_Registro[[#This Row],[Mínimo]],Formato_Rango_Categorias)&amp;" - "&amp;TEXT(Categorias_Registro[[#This Row],[Máximo]],Formato_Rango_Categorias)</f>
        <v>1.637 - 1.881</v>
      </c>
    </row>
    <row r="817" spans="2:8">
      <c r="B817" s="15">
        <f>Techo - ROW() + ROW(Categorias_Registro[])</f>
        <v>1812</v>
      </c>
      <c r="C817" s="15">
        <f>IF(Categorias_Registro[[#This Row],[Puntos]]&lt;=ROUND(Piso,0),Piso,IF(Categorias_Registro[[#This Row],[Puntos]]&lt;D818,C818,D818+1))</f>
        <v>1637</v>
      </c>
      <c r="D817" s="15">
        <f>IF(Categorias_Registro[[#This Row],[Puntos]]=ROUND(Piso,0),ROUND(Categorias_Registro[[#This Row],[Puntos]]*(1+Categorias_Registro[[#This Row],[Amplitud]]),0),IF(Categorias_Registro[[#This Row],[Puntos]]&lt;D818,D818,ROUND(D818*(1+Categorias_Registro[[#This Row],[Amplitud]]),0)))</f>
        <v>1881</v>
      </c>
      <c r="E817" s="15">
        <f>E818+IF(D818=Categorias_Registro[[#This Row],[Máximo]],0,1)</f>
        <v>22</v>
      </c>
      <c r="F817" s="15">
        <f>ROUND(Categorias_Registro[[#This Row],[Mínimo]]+((Categorias_Registro[[#This Row],[Máximo]]-Categorias_Registro[[#This Row],[Mínimo]])/2),0)</f>
        <v>1759</v>
      </c>
      <c r="G817" s="78">
        <f>VLOOKUP(Categorias_Registro[[#This Row],[Puntos]],Categorias_Configuracion[],MATCH(Categorias_Configuracion[[#Headers],[% Amplitud]],Categorias_Configuracion[#Headers],0),TRUE)</f>
        <v>0.15</v>
      </c>
      <c r="H817" s="15" t="str">
        <f ca="1">TEXT(Categorias_Registro[[#This Row],[Mínimo]],Formato_Rango_Categorias)&amp;" - "&amp;TEXT(Categorias_Registro[[#This Row],[Máximo]],Formato_Rango_Categorias)</f>
        <v>1.637 - 1.881</v>
      </c>
    </row>
    <row r="818" spans="2:8">
      <c r="B818" s="15">
        <f>Techo - ROW() + ROW(Categorias_Registro[])</f>
        <v>1811</v>
      </c>
      <c r="C818" s="15">
        <f>IF(Categorias_Registro[[#This Row],[Puntos]]&lt;=ROUND(Piso,0),Piso,IF(Categorias_Registro[[#This Row],[Puntos]]&lt;D819,C819,D819+1))</f>
        <v>1637</v>
      </c>
      <c r="D818" s="15">
        <f>IF(Categorias_Registro[[#This Row],[Puntos]]=ROUND(Piso,0),ROUND(Categorias_Registro[[#This Row],[Puntos]]*(1+Categorias_Registro[[#This Row],[Amplitud]]),0),IF(Categorias_Registro[[#This Row],[Puntos]]&lt;D819,D819,ROUND(D819*(1+Categorias_Registro[[#This Row],[Amplitud]]),0)))</f>
        <v>1881</v>
      </c>
      <c r="E818" s="15">
        <f>E819+IF(D819=Categorias_Registro[[#This Row],[Máximo]],0,1)</f>
        <v>22</v>
      </c>
      <c r="F818" s="15">
        <f>ROUND(Categorias_Registro[[#This Row],[Mínimo]]+((Categorias_Registro[[#This Row],[Máximo]]-Categorias_Registro[[#This Row],[Mínimo]])/2),0)</f>
        <v>1759</v>
      </c>
      <c r="G818" s="78">
        <f>VLOOKUP(Categorias_Registro[[#This Row],[Puntos]],Categorias_Configuracion[],MATCH(Categorias_Configuracion[[#Headers],[% Amplitud]],Categorias_Configuracion[#Headers],0),TRUE)</f>
        <v>0.15</v>
      </c>
      <c r="H818" s="15" t="str">
        <f ca="1">TEXT(Categorias_Registro[[#This Row],[Mínimo]],Formato_Rango_Categorias)&amp;" - "&amp;TEXT(Categorias_Registro[[#This Row],[Máximo]],Formato_Rango_Categorias)</f>
        <v>1.637 - 1.881</v>
      </c>
    </row>
    <row r="819" spans="2:8">
      <c r="B819" s="15">
        <f>Techo - ROW() + ROW(Categorias_Registro[])</f>
        <v>1810</v>
      </c>
      <c r="C819" s="15">
        <f>IF(Categorias_Registro[[#This Row],[Puntos]]&lt;=ROUND(Piso,0),Piso,IF(Categorias_Registro[[#This Row],[Puntos]]&lt;D820,C820,D820+1))</f>
        <v>1637</v>
      </c>
      <c r="D819" s="15">
        <f>IF(Categorias_Registro[[#This Row],[Puntos]]=ROUND(Piso,0),ROUND(Categorias_Registro[[#This Row],[Puntos]]*(1+Categorias_Registro[[#This Row],[Amplitud]]),0),IF(Categorias_Registro[[#This Row],[Puntos]]&lt;D820,D820,ROUND(D820*(1+Categorias_Registro[[#This Row],[Amplitud]]),0)))</f>
        <v>1881</v>
      </c>
      <c r="E819" s="15">
        <f>E820+IF(D820=Categorias_Registro[[#This Row],[Máximo]],0,1)</f>
        <v>22</v>
      </c>
      <c r="F819" s="15">
        <f>ROUND(Categorias_Registro[[#This Row],[Mínimo]]+((Categorias_Registro[[#This Row],[Máximo]]-Categorias_Registro[[#This Row],[Mínimo]])/2),0)</f>
        <v>1759</v>
      </c>
      <c r="G819" s="78">
        <f>VLOOKUP(Categorias_Registro[[#This Row],[Puntos]],Categorias_Configuracion[],MATCH(Categorias_Configuracion[[#Headers],[% Amplitud]],Categorias_Configuracion[#Headers],0),TRUE)</f>
        <v>0.15</v>
      </c>
      <c r="H819" s="15" t="str">
        <f ca="1">TEXT(Categorias_Registro[[#This Row],[Mínimo]],Formato_Rango_Categorias)&amp;" - "&amp;TEXT(Categorias_Registro[[#This Row],[Máximo]],Formato_Rango_Categorias)</f>
        <v>1.637 - 1.881</v>
      </c>
    </row>
    <row r="820" spans="2:8">
      <c r="B820" s="15">
        <f>Techo - ROW() + ROW(Categorias_Registro[])</f>
        <v>1809</v>
      </c>
      <c r="C820" s="15">
        <f>IF(Categorias_Registro[[#This Row],[Puntos]]&lt;=ROUND(Piso,0),Piso,IF(Categorias_Registro[[#This Row],[Puntos]]&lt;D821,C821,D821+1))</f>
        <v>1637</v>
      </c>
      <c r="D820" s="15">
        <f>IF(Categorias_Registro[[#This Row],[Puntos]]=ROUND(Piso,0),ROUND(Categorias_Registro[[#This Row],[Puntos]]*(1+Categorias_Registro[[#This Row],[Amplitud]]),0),IF(Categorias_Registro[[#This Row],[Puntos]]&lt;D821,D821,ROUND(D821*(1+Categorias_Registro[[#This Row],[Amplitud]]),0)))</f>
        <v>1881</v>
      </c>
      <c r="E820" s="15">
        <f>E821+IF(D821=Categorias_Registro[[#This Row],[Máximo]],0,1)</f>
        <v>22</v>
      </c>
      <c r="F820" s="15">
        <f>ROUND(Categorias_Registro[[#This Row],[Mínimo]]+((Categorias_Registro[[#This Row],[Máximo]]-Categorias_Registro[[#This Row],[Mínimo]])/2),0)</f>
        <v>1759</v>
      </c>
      <c r="G820" s="78">
        <f>VLOOKUP(Categorias_Registro[[#This Row],[Puntos]],Categorias_Configuracion[],MATCH(Categorias_Configuracion[[#Headers],[% Amplitud]],Categorias_Configuracion[#Headers],0),TRUE)</f>
        <v>0.15</v>
      </c>
      <c r="H820" s="15" t="str">
        <f ca="1">TEXT(Categorias_Registro[[#This Row],[Mínimo]],Formato_Rango_Categorias)&amp;" - "&amp;TEXT(Categorias_Registro[[#This Row],[Máximo]],Formato_Rango_Categorias)</f>
        <v>1.637 - 1.881</v>
      </c>
    </row>
    <row r="821" spans="2:8">
      <c r="B821" s="15">
        <f>Techo - ROW() + ROW(Categorias_Registro[])</f>
        <v>1808</v>
      </c>
      <c r="C821" s="15">
        <f>IF(Categorias_Registro[[#This Row],[Puntos]]&lt;=ROUND(Piso,0),Piso,IF(Categorias_Registro[[#This Row],[Puntos]]&lt;D822,C822,D822+1))</f>
        <v>1637</v>
      </c>
      <c r="D821" s="15">
        <f>IF(Categorias_Registro[[#This Row],[Puntos]]=ROUND(Piso,0),ROUND(Categorias_Registro[[#This Row],[Puntos]]*(1+Categorias_Registro[[#This Row],[Amplitud]]),0),IF(Categorias_Registro[[#This Row],[Puntos]]&lt;D822,D822,ROUND(D822*(1+Categorias_Registro[[#This Row],[Amplitud]]),0)))</f>
        <v>1881</v>
      </c>
      <c r="E821" s="15">
        <f>E822+IF(D822=Categorias_Registro[[#This Row],[Máximo]],0,1)</f>
        <v>22</v>
      </c>
      <c r="F821" s="15">
        <f>ROUND(Categorias_Registro[[#This Row],[Mínimo]]+((Categorias_Registro[[#This Row],[Máximo]]-Categorias_Registro[[#This Row],[Mínimo]])/2),0)</f>
        <v>1759</v>
      </c>
      <c r="G821" s="78">
        <f>VLOOKUP(Categorias_Registro[[#This Row],[Puntos]],Categorias_Configuracion[],MATCH(Categorias_Configuracion[[#Headers],[% Amplitud]],Categorias_Configuracion[#Headers],0),TRUE)</f>
        <v>0.15</v>
      </c>
      <c r="H821" s="15" t="str">
        <f ca="1">TEXT(Categorias_Registro[[#This Row],[Mínimo]],Formato_Rango_Categorias)&amp;" - "&amp;TEXT(Categorias_Registro[[#This Row],[Máximo]],Formato_Rango_Categorias)</f>
        <v>1.637 - 1.881</v>
      </c>
    </row>
    <row r="822" spans="2:8">
      <c r="B822" s="15">
        <f>Techo - ROW() + ROW(Categorias_Registro[])</f>
        <v>1807</v>
      </c>
      <c r="C822" s="15">
        <f>IF(Categorias_Registro[[#This Row],[Puntos]]&lt;=ROUND(Piso,0),Piso,IF(Categorias_Registro[[#This Row],[Puntos]]&lt;D823,C823,D823+1))</f>
        <v>1637</v>
      </c>
      <c r="D822" s="15">
        <f>IF(Categorias_Registro[[#This Row],[Puntos]]=ROUND(Piso,0),ROUND(Categorias_Registro[[#This Row],[Puntos]]*(1+Categorias_Registro[[#This Row],[Amplitud]]),0),IF(Categorias_Registro[[#This Row],[Puntos]]&lt;D823,D823,ROUND(D823*(1+Categorias_Registro[[#This Row],[Amplitud]]),0)))</f>
        <v>1881</v>
      </c>
      <c r="E822" s="15">
        <f>E823+IF(D823=Categorias_Registro[[#This Row],[Máximo]],0,1)</f>
        <v>22</v>
      </c>
      <c r="F822" s="15">
        <f>ROUND(Categorias_Registro[[#This Row],[Mínimo]]+((Categorias_Registro[[#This Row],[Máximo]]-Categorias_Registro[[#This Row],[Mínimo]])/2),0)</f>
        <v>1759</v>
      </c>
      <c r="G822" s="78">
        <f>VLOOKUP(Categorias_Registro[[#This Row],[Puntos]],Categorias_Configuracion[],MATCH(Categorias_Configuracion[[#Headers],[% Amplitud]],Categorias_Configuracion[#Headers],0),TRUE)</f>
        <v>0.15</v>
      </c>
      <c r="H822" s="15" t="str">
        <f ca="1">TEXT(Categorias_Registro[[#This Row],[Mínimo]],Formato_Rango_Categorias)&amp;" - "&amp;TEXT(Categorias_Registro[[#This Row],[Máximo]],Formato_Rango_Categorias)</f>
        <v>1.637 - 1.881</v>
      </c>
    </row>
    <row r="823" spans="2:8">
      <c r="B823" s="15">
        <f>Techo - ROW() + ROW(Categorias_Registro[])</f>
        <v>1806</v>
      </c>
      <c r="C823" s="15">
        <f>IF(Categorias_Registro[[#This Row],[Puntos]]&lt;=ROUND(Piso,0),Piso,IF(Categorias_Registro[[#This Row],[Puntos]]&lt;D824,C824,D824+1))</f>
        <v>1637</v>
      </c>
      <c r="D823" s="15">
        <f>IF(Categorias_Registro[[#This Row],[Puntos]]=ROUND(Piso,0),ROUND(Categorias_Registro[[#This Row],[Puntos]]*(1+Categorias_Registro[[#This Row],[Amplitud]]),0),IF(Categorias_Registro[[#This Row],[Puntos]]&lt;D824,D824,ROUND(D824*(1+Categorias_Registro[[#This Row],[Amplitud]]),0)))</f>
        <v>1881</v>
      </c>
      <c r="E823" s="15">
        <f>E824+IF(D824=Categorias_Registro[[#This Row],[Máximo]],0,1)</f>
        <v>22</v>
      </c>
      <c r="F823" s="15">
        <f>ROUND(Categorias_Registro[[#This Row],[Mínimo]]+((Categorias_Registro[[#This Row],[Máximo]]-Categorias_Registro[[#This Row],[Mínimo]])/2),0)</f>
        <v>1759</v>
      </c>
      <c r="G823" s="78">
        <f>VLOOKUP(Categorias_Registro[[#This Row],[Puntos]],Categorias_Configuracion[],MATCH(Categorias_Configuracion[[#Headers],[% Amplitud]],Categorias_Configuracion[#Headers],0),TRUE)</f>
        <v>0.15</v>
      </c>
      <c r="H823" s="15" t="str">
        <f ca="1">TEXT(Categorias_Registro[[#This Row],[Mínimo]],Formato_Rango_Categorias)&amp;" - "&amp;TEXT(Categorias_Registro[[#This Row],[Máximo]],Formato_Rango_Categorias)</f>
        <v>1.637 - 1.881</v>
      </c>
    </row>
    <row r="824" spans="2:8">
      <c r="B824" s="15">
        <f>Techo - ROW() + ROW(Categorias_Registro[])</f>
        <v>1805</v>
      </c>
      <c r="C824" s="15">
        <f>IF(Categorias_Registro[[#This Row],[Puntos]]&lt;=ROUND(Piso,0),Piso,IF(Categorias_Registro[[#This Row],[Puntos]]&lt;D825,C825,D825+1))</f>
        <v>1637</v>
      </c>
      <c r="D824" s="15">
        <f>IF(Categorias_Registro[[#This Row],[Puntos]]=ROUND(Piso,0),ROUND(Categorias_Registro[[#This Row],[Puntos]]*(1+Categorias_Registro[[#This Row],[Amplitud]]),0),IF(Categorias_Registro[[#This Row],[Puntos]]&lt;D825,D825,ROUND(D825*(1+Categorias_Registro[[#This Row],[Amplitud]]),0)))</f>
        <v>1881</v>
      </c>
      <c r="E824" s="15">
        <f>E825+IF(D825=Categorias_Registro[[#This Row],[Máximo]],0,1)</f>
        <v>22</v>
      </c>
      <c r="F824" s="15">
        <f>ROUND(Categorias_Registro[[#This Row],[Mínimo]]+((Categorias_Registro[[#This Row],[Máximo]]-Categorias_Registro[[#This Row],[Mínimo]])/2),0)</f>
        <v>1759</v>
      </c>
      <c r="G824" s="78">
        <f>VLOOKUP(Categorias_Registro[[#This Row],[Puntos]],Categorias_Configuracion[],MATCH(Categorias_Configuracion[[#Headers],[% Amplitud]],Categorias_Configuracion[#Headers],0),TRUE)</f>
        <v>0.15</v>
      </c>
      <c r="H824" s="15" t="str">
        <f ca="1">TEXT(Categorias_Registro[[#This Row],[Mínimo]],Formato_Rango_Categorias)&amp;" - "&amp;TEXT(Categorias_Registro[[#This Row],[Máximo]],Formato_Rango_Categorias)</f>
        <v>1.637 - 1.881</v>
      </c>
    </row>
    <row r="825" spans="2:8">
      <c r="B825" s="15">
        <f>Techo - ROW() + ROW(Categorias_Registro[])</f>
        <v>1804</v>
      </c>
      <c r="C825" s="15">
        <f>IF(Categorias_Registro[[#This Row],[Puntos]]&lt;=ROUND(Piso,0),Piso,IF(Categorias_Registro[[#This Row],[Puntos]]&lt;D826,C826,D826+1))</f>
        <v>1637</v>
      </c>
      <c r="D825" s="15">
        <f>IF(Categorias_Registro[[#This Row],[Puntos]]=ROUND(Piso,0),ROUND(Categorias_Registro[[#This Row],[Puntos]]*(1+Categorias_Registro[[#This Row],[Amplitud]]),0),IF(Categorias_Registro[[#This Row],[Puntos]]&lt;D826,D826,ROUND(D826*(1+Categorias_Registro[[#This Row],[Amplitud]]),0)))</f>
        <v>1881</v>
      </c>
      <c r="E825" s="15">
        <f>E826+IF(D826=Categorias_Registro[[#This Row],[Máximo]],0,1)</f>
        <v>22</v>
      </c>
      <c r="F825" s="15">
        <f>ROUND(Categorias_Registro[[#This Row],[Mínimo]]+((Categorias_Registro[[#This Row],[Máximo]]-Categorias_Registro[[#This Row],[Mínimo]])/2),0)</f>
        <v>1759</v>
      </c>
      <c r="G825" s="78">
        <f>VLOOKUP(Categorias_Registro[[#This Row],[Puntos]],Categorias_Configuracion[],MATCH(Categorias_Configuracion[[#Headers],[% Amplitud]],Categorias_Configuracion[#Headers],0),TRUE)</f>
        <v>0.15</v>
      </c>
      <c r="H825" s="15" t="str">
        <f ca="1">TEXT(Categorias_Registro[[#This Row],[Mínimo]],Formato_Rango_Categorias)&amp;" - "&amp;TEXT(Categorias_Registro[[#This Row],[Máximo]],Formato_Rango_Categorias)</f>
        <v>1.637 - 1.881</v>
      </c>
    </row>
    <row r="826" spans="2:8">
      <c r="B826" s="15">
        <f>Techo - ROW() + ROW(Categorias_Registro[])</f>
        <v>1803</v>
      </c>
      <c r="C826" s="15">
        <f>IF(Categorias_Registro[[#This Row],[Puntos]]&lt;=ROUND(Piso,0),Piso,IF(Categorias_Registro[[#This Row],[Puntos]]&lt;D827,C827,D827+1))</f>
        <v>1637</v>
      </c>
      <c r="D826" s="15">
        <f>IF(Categorias_Registro[[#This Row],[Puntos]]=ROUND(Piso,0),ROUND(Categorias_Registro[[#This Row],[Puntos]]*(1+Categorias_Registro[[#This Row],[Amplitud]]),0),IF(Categorias_Registro[[#This Row],[Puntos]]&lt;D827,D827,ROUND(D827*(1+Categorias_Registro[[#This Row],[Amplitud]]),0)))</f>
        <v>1881</v>
      </c>
      <c r="E826" s="15">
        <f>E827+IF(D827=Categorias_Registro[[#This Row],[Máximo]],0,1)</f>
        <v>22</v>
      </c>
      <c r="F826" s="15">
        <f>ROUND(Categorias_Registro[[#This Row],[Mínimo]]+((Categorias_Registro[[#This Row],[Máximo]]-Categorias_Registro[[#This Row],[Mínimo]])/2),0)</f>
        <v>1759</v>
      </c>
      <c r="G826" s="78">
        <f>VLOOKUP(Categorias_Registro[[#This Row],[Puntos]],Categorias_Configuracion[],MATCH(Categorias_Configuracion[[#Headers],[% Amplitud]],Categorias_Configuracion[#Headers],0),TRUE)</f>
        <v>0.15</v>
      </c>
      <c r="H826" s="15" t="str">
        <f ca="1">TEXT(Categorias_Registro[[#This Row],[Mínimo]],Formato_Rango_Categorias)&amp;" - "&amp;TEXT(Categorias_Registro[[#This Row],[Máximo]],Formato_Rango_Categorias)</f>
        <v>1.637 - 1.881</v>
      </c>
    </row>
    <row r="827" spans="2:8">
      <c r="B827" s="15">
        <f>Techo - ROW() + ROW(Categorias_Registro[])</f>
        <v>1802</v>
      </c>
      <c r="C827" s="15">
        <f>IF(Categorias_Registro[[#This Row],[Puntos]]&lt;=ROUND(Piso,0),Piso,IF(Categorias_Registro[[#This Row],[Puntos]]&lt;D828,C828,D828+1))</f>
        <v>1637</v>
      </c>
      <c r="D827" s="15">
        <f>IF(Categorias_Registro[[#This Row],[Puntos]]=ROUND(Piso,0),ROUND(Categorias_Registro[[#This Row],[Puntos]]*(1+Categorias_Registro[[#This Row],[Amplitud]]),0),IF(Categorias_Registro[[#This Row],[Puntos]]&lt;D828,D828,ROUND(D828*(1+Categorias_Registro[[#This Row],[Amplitud]]),0)))</f>
        <v>1881</v>
      </c>
      <c r="E827" s="15">
        <f>E828+IF(D828=Categorias_Registro[[#This Row],[Máximo]],0,1)</f>
        <v>22</v>
      </c>
      <c r="F827" s="15">
        <f>ROUND(Categorias_Registro[[#This Row],[Mínimo]]+((Categorias_Registro[[#This Row],[Máximo]]-Categorias_Registro[[#This Row],[Mínimo]])/2),0)</f>
        <v>1759</v>
      </c>
      <c r="G827" s="78">
        <f>VLOOKUP(Categorias_Registro[[#This Row],[Puntos]],Categorias_Configuracion[],MATCH(Categorias_Configuracion[[#Headers],[% Amplitud]],Categorias_Configuracion[#Headers],0),TRUE)</f>
        <v>0.15</v>
      </c>
      <c r="H827" s="15" t="str">
        <f ca="1">TEXT(Categorias_Registro[[#This Row],[Mínimo]],Formato_Rango_Categorias)&amp;" - "&amp;TEXT(Categorias_Registro[[#This Row],[Máximo]],Formato_Rango_Categorias)</f>
        <v>1.637 - 1.881</v>
      </c>
    </row>
    <row r="828" spans="2:8">
      <c r="B828" s="15">
        <f>Techo - ROW() + ROW(Categorias_Registro[])</f>
        <v>1801</v>
      </c>
      <c r="C828" s="15">
        <f>IF(Categorias_Registro[[#This Row],[Puntos]]&lt;=ROUND(Piso,0),Piso,IF(Categorias_Registro[[#This Row],[Puntos]]&lt;D829,C829,D829+1))</f>
        <v>1637</v>
      </c>
      <c r="D828" s="15">
        <f>IF(Categorias_Registro[[#This Row],[Puntos]]=ROUND(Piso,0),ROUND(Categorias_Registro[[#This Row],[Puntos]]*(1+Categorias_Registro[[#This Row],[Amplitud]]),0),IF(Categorias_Registro[[#This Row],[Puntos]]&lt;D829,D829,ROUND(D829*(1+Categorias_Registro[[#This Row],[Amplitud]]),0)))</f>
        <v>1881</v>
      </c>
      <c r="E828" s="15">
        <f>E829+IF(D829=Categorias_Registro[[#This Row],[Máximo]],0,1)</f>
        <v>22</v>
      </c>
      <c r="F828" s="15">
        <f>ROUND(Categorias_Registro[[#This Row],[Mínimo]]+((Categorias_Registro[[#This Row],[Máximo]]-Categorias_Registro[[#This Row],[Mínimo]])/2),0)</f>
        <v>1759</v>
      </c>
      <c r="G828" s="78">
        <f>VLOOKUP(Categorias_Registro[[#This Row],[Puntos]],Categorias_Configuracion[],MATCH(Categorias_Configuracion[[#Headers],[% Amplitud]],Categorias_Configuracion[#Headers],0),TRUE)</f>
        <v>0.15</v>
      </c>
      <c r="H828" s="15" t="str">
        <f ca="1">TEXT(Categorias_Registro[[#This Row],[Mínimo]],Formato_Rango_Categorias)&amp;" - "&amp;TEXT(Categorias_Registro[[#This Row],[Máximo]],Formato_Rango_Categorias)</f>
        <v>1.637 - 1.881</v>
      </c>
    </row>
    <row r="829" spans="2:8">
      <c r="B829" s="15">
        <f>Techo - ROW() + ROW(Categorias_Registro[])</f>
        <v>1800</v>
      </c>
      <c r="C829" s="15">
        <f>IF(Categorias_Registro[[#This Row],[Puntos]]&lt;=ROUND(Piso,0),Piso,IF(Categorias_Registro[[#This Row],[Puntos]]&lt;D830,C830,D830+1))</f>
        <v>1637</v>
      </c>
      <c r="D829" s="15">
        <f>IF(Categorias_Registro[[#This Row],[Puntos]]=ROUND(Piso,0),ROUND(Categorias_Registro[[#This Row],[Puntos]]*(1+Categorias_Registro[[#This Row],[Amplitud]]),0),IF(Categorias_Registro[[#This Row],[Puntos]]&lt;D830,D830,ROUND(D830*(1+Categorias_Registro[[#This Row],[Amplitud]]),0)))</f>
        <v>1881</v>
      </c>
      <c r="E829" s="15">
        <f>E830+IF(D830=Categorias_Registro[[#This Row],[Máximo]],0,1)</f>
        <v>22</v>
      </c>
      <c r="F829" s="15">
        <f>ROUND(Categorias_Registro[[#This Row],[Mínimo]]+((Categorias_Registro[[#This Row],[Máximo]]-Categorias_Registro[[#This Row],[Mínimo]])/2),0)</f>
        <v>1759</v>
      </c>
      <c r="G829" s="78">
        <f>VLOOKUP(Categorias_Registro[[#This Row],[Puntos]],Categorias_Configuracion[],MATCH(Categorias_Configuracion[[#Headers],[% Amplitud]],Categorias_Configuracion[#Headers],0),TRUE)</f>
        <v>0.15</v>
      </c>
      <c r="H829" s="15" t="str">
        <f ca="1">TEXT(Categorias_Registro[[#This Row],[Mínimo]],Formato_Rango_Categorias)&amp;" - "&amp;TEXT(Categorias_Registro[[#This Row],[Máximo]],Formato_Rango_Categorias)</f>
        <v>1.637 - 1.881</v>
      </c>
    </row>
    <row r="830" spans="2:8">
      <c r="B830" s="15">
        <f>Techo - ROW() + ROW(Categorias_Registro[])</f>
        <v>1799</v>
      </c>
      <c r="C830" s="15">
        <f>IF(Categorias_Registro[[#This Row],[Puntos]]&lt;=ROUND(Piso,0),Piso,IF(Categorias_Registro[[#This Row],[Puntos]]&lt;D831,C831,D831+1))</f>
        <v>1637</v>
      </c>
      <c r="D830" s="15">
        <f>IF(Categorias_Registro[[#This Row],[Puntos]]=ROUND(Piso,0),ROUND(Categorias_Registro[[#This Row],[Puntos]]*(1+Categorias_Registro[[#This Row],[Amplitud]]),0),IF(Categorias_Registro[[#This Row],[Puntos]]&lt;D831,D831,ROUND(D831*(1+Categorias_Registro[[#This Row],[Amplitud]]),0)))</f>
        <v>1881</v>
      </c>
      <c r="E830" s="15">
        <f>E831+IF(D831=Categorias_Registro[[#This Row],[Máximo]],0,1)</f>
        <v>22</v>
      </c>
      <c r="F830" s="15">
        <f>ROUND(Categorias_Registro[[#This Row],[Mínimo]]+((Categorias_Registro[[#This Row],[Máximo]]-Categorias_Registro[[#This Row],[Mínimo]])/2),0)</f>
        <v>1759</v>
      </c>
      <c r="G830" s="78">
        <f>VLOOKUP(Categorias_Registro[[#This Row],[Puntos]],Categorias_Configuracion[],MATCH(Categorias_Configuracion[[#Headers],[% Amplitud]],Categorias_Configuracion[#Headers],0),TRUE)</f>
        <v>0.15</v>
      </c>
      <c r="H830" s="15" t="str">
        <f ca="1">TEXT(Categorias_Registro[[#This Row],[Mínimo]],Formato_Rango_Categorias)&amp;" - "&amp;TEXT(Categorias_Registro[[#This Row],[Máximo]],Formato_Rango_Categorias)</f>
        <v>1.637 - 1.881</v>
      </c>
    </row>
    <row r="831" spans="2:8">
      <c r="B831" s="15">
        <f>Techo - ROW() + ROW(Categorias_Registro[])</f>
        <v>1798</v>
      </c>
      <c r="C831" s="15">
        <f>IF(Categorias_Registro[[#This Row],[Puntos]]&lt;=ROUND(Piso,0),Piso,IF(Categorias_Registro[[#This Row],[Puntos]]&lt;D832,C832,D832+1))</f>
        <v>1637</v>
      </c>
      <c r="D831" s="15">
        <f>IF(Categorias_Registro[[#This Row],[Puntos]]=ROUND(Piso,0),ROUND(Categorias_Registro[[#This Row],[Puntos]]*(1+Categorias_Registro[[#This Row],[Amplitud]]),0),IF(Categorias_Registro[[#This Row],[Puntos]]&lt;D832,D832,ROUND(D832*(1+Categorias_Registro[[#This Row],[Amplitud]]),0)))</f>
        <v>1881</v>
      </c>
      <c r="E831" s="15">
        <f>E832+IF(D832=Categorias_Registro[[#This Row],[Máximo]],0,1)</f>
        <v>22</v>
      </c>
      <c r="F831" s="15">
        <f>ROUND(Categorias_Registro[[#This Row],[Mínimo]]+((Categorias_Registro[[#This Row],[Máximo]]-Categorias_Registro[[#This Row],[Mínimo]])/2),0)</f>
        <v>1759</v>
      </c>
      <c r="G831" s="78">
        <f>VLOOKUP(Categorias_Registro[[#This Row],[Puntos]],Categorias_Configuracion[],MATCH(Categorias_Configuracion[[#Headers],[% Amplitud]],Categorias_Configuracion[#Headers],0),TRUE)</f>
        <v>0.15</v>
      </c>
      <c r="H831" s="15" t="str">
        <f ca="1">TEXT(Categorias_Registro[[#This Row],[Mínimo]],Formato_Rango_Categorias)&amp;" - "&amp;TEXT(Categorias_Registro[[#This Row],[Máximo]],Formato_Rango_Categorias)</f>
        <v>1.637 - 1.881</v>
      </c>
    </row>
    <row r="832" spans="2:8">
      <c r="B832" s="15">
        <f>Techo - ROW() + ROW(Categorias_Registro[])</f>
        <v>1797</v>
      </c>
      <c r="C832" s="15">
        <f>IF(Categorias_Registro[[#This Row],[Puntos]]&lt;=ROUND(Piso,0),Piso,IF(Categorias_Registro[[#This Row],[Puntos]]&lt;D833,C833,D833+1))</f>
        <v>1637</v>
      </c>
      <c r="D832" s="15">
        <f>IF(Categorias_Registro[[#This Row],[Puntos]]=ROUND(Piso,0),ROUND(Categorias_Registro[[#This Row],[Puntos]]*(1+Categorias_Registro[[#This Row],[Amplitud]]),0),IF(Categorias_Registro[[#This Row],[Puntos]]&lt;D833,D833,ROUND(D833*(1+Categorias_Registro[[#This Row],[Amplitud]]),0)))</f>
        <v>1881</v>
      </c>
      <c r="E832" s="15">
        <f>E833+IF(D833=Categorias_Registro[[#This Row],[Máximo]],0,1)</f>
        <v>22</v>
      </c>
      <c r="F832" s="15">
        <f>ROUND(Categorias_Registro[[#This Row],[Mínimo]]+((Categorias_Registro[[#This Row],[Máximo]]-Categorias_Registro[[#This Row],[Mínimo]])/2),0)</f>
        <v>1759</v>
      </c>
      <c r="G832" s="78">
        <f>VLOOKUP(Categorias_Registro[[#This Row],[Puntos]],Categorias_Configuracion[],MATCH(Categorias_Configuracion[[#Headers],[% Amplitud]],Categorias_Configuracion[#Headers],0),TRUE)</f>
        <v>0.15</v>
      </c>
      <c r="H832" s="15" t="str">
        <f ca="1">TEXT(Categorias_Registro[[#This Row],[Mínimo]],Formato_Rango_Categorias)&amp;" - "&amp;TEXT(Categorias_Registro[[#This Row],[Máximo]],Formato_Rango_Categorias)</f>
        <v>1.637 - 1.881</v>
      </c>
    </row>
    <row r="833" spans="2:8">
      <c r="B833" s="15">
        <f>Techo - ROW() + ROW(Categorias_Registro[])</f>
        <v>1796</v>
      </c>
      <c r="C833" s="15">
        <f>IF(Categorias_Registro[[#This Row],[Puntos]]&lt;=ROUND(Piso,0),Piso,IF(Categorias_Registro[[#This Row],[Puntos]]&lt;D834,C834,D834+1))</f>
        <v>1637</v>
      </c>
      <c r="D833" s="15">
        <f>IF(Categorias_Registro[[#This Row],[Puntos]]=ROUND(Piso,0),ROUND(Categorias_Registro[[#This Row],[Puntos]]*(1+Categorias_Registro[[#This Row],[Amplitud]]),0),IF(Categorias_Registro[[#This Row],[Puntos]]&lt;D834,D834,ROUND(D834*(1+Categorias_Registro[[#This Row],[Amplitud]]),0)))</f>
        <v>1881</v>
      </c>
      <c r="E833" s="15">
        <f>E834+IF(D834=Categorias_Registro[[#This Row],[Máximo]],0,1)</f>
        <v>22</v>
      </c>
      <c r="F833" s="15">
        <f>ROUND(Categorias_Registro[[#This Row],[Mínimo]]+((Categorias_Registro[[#This Row],[Máximo]]-Categorias_Registro[[#This Row],[Mínimo]])/2),0)</f>
        <v>1759</v>
      </c>
      <c r="G833" s="78">
        <f>VLOOKUP(Categorias_Registro[[#This Row],[Puntos]],Categorias_Configuracion[],MATCH(Categorias_Configuracion[[#Headers],[% Amplitud]],Categorias_Configuracion[#Headers],0),TRUE)</f>
        <v>0.15</v>
      </c>
      <c r="H833" s="15" t="str">
        <f ca="1">TEXT(Categorias_Registro[[#This Row],[Mínimo]],Formato_Rango_Categorias)&amp;" - "&amp;TEXT(Categorias_Registro[[#This Row],[Máximo]],Formato_Rango_Categorias)</f>
        <v>1.637 - 1.881</v>
      </c>
    </row>
    <row r="834" spans="2:8">
      <c r="B834" s="15">
        <f>Techo - ROW() + ROW(Categorias_Registro[])</f>
        <v>1795</v>
      </c>
      <c r="C834" s="15">
        <f>IF(Categorias_Registro[[#This Row],[Puntos]]&lt;=ROUND(Piso,0),Piso,IF(Categorias_Registro[[#This Row],[Puntos]]&lt;D835,C835,D835+1))</f>
        <v>1637</v>
      </c>
      <c r="D834" s="15">
        <f>IF(Categorias_Registro[[#This Row],[Puntos]]=ROUND(Piso,0),ROUND(Categorias_Registro[[#This Row],[Puntos]]*(1+Categorias_Registro[[#This Row],[Amplitud]]),0),IF(Categorias_Registro[[#This Row],[Puntos]]&lt;D835,D835,ROUND(D835*(1+Categorias_Registro[[#This Row],[Amplitud]]),0)))</f>
        <v>1881</v>
      </c>
      <c r="E834" s="15">
        <f>E835+IF(D835=Categorias_Registro[[#This Row],[Máximo]],0,1)</f>
        <v>22</v>
      </c>
      <c r="F834" s="15">
        <f>ROUND(Categorias_Registro[[#This Row],[Mínimo]]+((Categorias_Registro[[#This Row],[Máximo]]-Categorias_Registro[[#This Row],[Mínimo]])/2),0)</f>
        <v>1759</v>
      </c>
      <c r="G834" s="78">
        <f>VLOOKUP(Categorias_Registro[[#This Row],[Puntos]],Categorias_Configuracion[],MATCH(Categorias_Configuracion[[#Headers],[% Amplitud]],Categorias_Configuracion[#Headers],0),TRUE)</f>
        <v>0.15</v>
      </c>
      <c r="H834" s="15" t="str">
        <f ca="1">TEXT(Categorias_Registro[[#This Row],[Mínimo]],Formato_Rango_Categorias)&amp;" - "&amp;TEXT(Categorias_Registro[[#This Row],[Máximo]],Formato_Rango_Categorias)</f>
        <v>1.637 - 1.881</v>
      </c>
    </row>
    <row r="835" spans="2:8">
      <c r="B835" s="15">
        <f>Techo - ROW() + ROW(Categorias_Registro[])</f>
        <v>1794</v>
      </c>
      <c r="C835" s="15">
        <f>IF(Categorias_Registro[[#This Row],[Puntos]]&lt;=ROUND(Piso,0),Piso,IF(Categorias_Registro[[#This Row],[Puntos]]&lt;D836,C836,D836+1))</f>
        <v>1637</v>
      </c>
      <c r="D835" s="15">
        <f>IF(Categorias_Registro[[#This Row],[Puntos]]=ROUND(Piso,0),ROUND(Categorias_Registro[[#This Row],[Puntos]]*(1+Categorias_Registro[[#This Row],[Amplitud]]),0),IF(Categorias_Registro[[#This Row],[Puntos]]&lt;D836,D836,ROUND(D836*(1+Categorias_Registro[[#This Row],[Amplitud]]),0)))</f>
        <v>1881</v>
      </c>
      <c r="E835" s="15">
        <f>E836+IF(D836=Categorias_Registro[[#This Row],[Máximo]],0,1)</f>
        <v>22</v>
      </c>
      <c r="F835" s="15">
        <f>ROUND(Categorias_Registro[[#This Row],[Mínimo]]+((Categorias_Registro[[#This Row],[Máximo]]-Categorias_Registro[[#This Row],[Mínimo]])/2),0)</f>
        <v>1759</v>
      </c>
      <c r="G835" s="78">
        <f>VLOOKUP(Categorias_Registro[[#This Row],[Puntos]],Categorias_Configuracion[],MATCH(Categorias_Configuracion[[#Headers],[% Amplitud]],Categorias_Configuracion[#Headers],0),TRUE)</f>
        <v>0.15</v>
      </c>
      <c r="H835" s="15" t="str">
        <f ca="1">TEXT(Categorias_Registro[[#This Row],[Mínimo]],Formato_Rango_Categorias)&amp;" - "&amp;TEXT(Categorias_Registro[[#This Row],[Máximo]],Formato_Rango_Categorias)</f>
        <v>1.637 - 1.881</v>
      </c>
    </row>
    <row r="836" spans="2:8">
      <c r="B836" s="15">
        <f>Techo - ROW() + ROW(Categorias_Registro[])</f>
        <v>1793</v>
      </c>
      <c r="C836" s="15">
        <f>IF(Categorias_Registro[[#This Row],[Puntos]]&lt;=ROUND(Piso,0),Piso,IF(Categorias_Registro[[#This Row],[Puntos]]&lt;D837,C837,D837+1))</f>
        <v>1637</v>
      </c>
      <c r="D836" s="15">
        <f>IF(Categorias_Registro[[#This Row],[Puntos]]=ROUND(Piso,0),ROUND(Categorias_Registro[[#This Row],[Puntos]]*(1+Categorias_Registro[[#This Row],[Amplitud]]),0),IF(Categorias_Registro[[#This Row],[Puntos]]&lt;D837,D837,ROUND(D837*(1+Categorias_Registro[[#This Row],[Amplitud]]),0)))</f>
        <v>1881</v>
      </c>
      <c r="E836" s="15">
        <f>E837+IF(D837=Categorias_Registro[[#This Row],[Máximo]],0,1)</f>
        <v>22</v>
      </c>
      <c r="F836" s="15">
        <f>ROUND(Categorias_Registro[[#This Row],[Mínimo]]+((Categorias_Registro[[#This Row],[Máximo]]-Categorias_Registro[[#This Row],[Mínimo]])/2),0)</f>
        <v>1759</v>
      </c>
      <c r="G836" s="78">
        <f>VLOOKUP(Categorias_Registro[[#This Row],[Puntos]],Categorias_Configuracion[],MATCH(Categorias_Configuracion[[#Headers],[% Amplitud]],Categorias_Configuracion[#Headers],0),TRUE)</f>
        <v>0.15</v>
      </c>
      <c r="H836" s="15" t="str">
        <f ca="1">TEXT(Categorias_Registro[[#This Row],[Mínimo]],Formato_Rango_Categorias)&amp;" - "&amp;TEXT(Categorias_Registro[[#This Row],[Máximo]],Formato_Rango_Categorias)</f>
        <v>1.637 - 1.881</v>
      </c>
    </row>
    <row r="837" spans="2:8">
      <c r="B837" s="15">
        <f>Techo - ROW() + ROW(Categorias_Registro[])</f>
        <v>1792</v>
      </c>
      <c r="C837" s="15">
        <f>IF(Categorias_Registro[[#This Row],[Puntos]]&lt;=ROUND(Piso,0),Piso,IF(Categorias_Registro[[#This Row],[Puntos]]&lt;D838,C838,D838+1))</f>
        <v>1637</v>
      </c>
      <c r="D837" s="15">
        <f>IF(Categorias_Registro[[#This Row],[Puntos]]=ROUND(Piso,0),ROUND(Categorias_Registro[[#This Row],[Puntos]]*(1+Categorias_Registro[[#This Row],[Amplitud]]),0),IF(Categorias_Registro[[#This Row],[Puntos]]&lt;D838,D838,ROUND(D838*(1+Categorias_Registro[[#This Row],[Amplitud]]),0)))</f>
        <v>1881</v>
      </c>
      <c r="E837" s="15">
        <f>E838+IF(D838=Categorias_Registro[[#This Row],[Máximo]],0,1)</f>
        <v>22</v>
      </c>
      <c r="F837" s="15">
        <f>ROUND(Categorias_Registro[[#This Row],[Mínimo]]+((Categorias_Registro[[#This Row],[Máximo]]-Categorias_Registro[[#This Row],[Mínimo]])/2),0)</f>
        <v>1759</v>
      </c>
      <c r="G837" s="78">
        <f>VLOOKUP(Categorias_Registro[[#This Row],[Puntos]],Categorias_Configuracion[],MATCH(Categorias_Configuracion[[#Headers],[% Amplitud]],Categorias_Configuracion[#Headers],0),TRUE)</f>
        <v>0.15</v>
      </c>
      <c r="H837" s="15" t="str">
        <f ca="1">TEXT(Categorias_Registro[[#This Row],[Mínimo]],Formato_Rango_Categorias)&amp;" - "&amp;TEXT(Categorias_Registro[[#This Row],[Máximo]],Formato_Rango_Categorias)</f>
        <v>1.637 - 1.881</v>
      </c>
    </row>
    <row r="838" spans="2:8">
      <c r="B838" s="15">
        <f>Techo - ROW() + ROW(Categorias_Registro[])</f>
        <v>1791</v>
      </c>
      <c r="C838" s="15">
        <f>IF(Categorias_Registro[[#This Row],[Puntos]]&lt;=ROUND(Piso,0),Piso,IF(Categorias_Registro[[#This Row],[Puntos]]&lt;D839,C839,D839+1))</f>
        <v>1637</v>
      </c>
      <c r="D838" s="15">
        <f>IF(Categorias_Registro[[#This Row],[Puntos]]=ROUND(Piso,0),ROUND(Categorias_Registro[[#This Row],[Puntos]]*(1+Categorias_Registro[[#This Row],[Amplitud]]),0),IF(Categorias_Registro[[#This Row],[Puntos]]&lt;D839,D839,ROUND(D839*(1+Categorias_Registro[[#This Row],[Amplitud]]),0)))</f>
        <v>1881</v>
      </c>
      <c r="E838" s="15">
        <f>E839+IF(D839=Categorias_Registro[[#This Row],[Máximo]],0,1)</f>
        <v>22</v>
      </c>
      <c r="F838" s="15">
        <f>ROUND(Categorias_Registro[[#This Row],[Mínimo]]+((Categorias_Registro[[#This Row],[Máximo]]-Categorias_Registro[[#This Row],[Mínimo]])/2),0)</f>
        <v>1759</v>
      </c>
      <c r="G838" s="78">
        <f>VLOOKUP(Categorias_Registro[[#This Row],[Puntos]],Categorias_Configuracion[],MATCH(Categorias_Configuracion[[#Headers],[% Amplitud]],Categorias_Configuracion[#Headers],0),TRUE)</f>
        <v>0.15</v>
      </c>
      <c r="H838" s="15" t="str">
        <f ca="1">TEXT(Categorias_Registro[[#This Row],[Mínimo]],Formato_Rango_Categorias)&amp;" - "&amp;TEXT(Categorias_Registro[[#This Row],[Máximo]],Formato_Rango_Categorias)</f>
        <v>1.637 - 1.881</v>
      </c>
    </row>
    <row r="839" spans="2:8">
      <c r="B839" s="15">
        <f>Techo - ROW() + ROW(Categorias_Registro[])</f>
        <v>1790</v>
      </c>
      <c r="C839" s="15">
        <f>IF(Categorias_Registro[[#This Row],[Puntos]]&lt;=ROUND(Piso,0),Piso,IF(Categorias_Registro[[#This Row],[Puntos]]&lt;D840,C840,D840+1))</f>
        <v>1637</v>
      </c>
      <c r="D839" s="15">
        <f>IF(Categorias_Registro[[#This Row],[Puntos]]=ROUND(Piso,0),ROUND(Categorias_Registro[[#This Row],[Puntos]]*(1+Categorias_Registro[[#This Row],[Amplitud]]),0),IF(Categorias_Registro[[#This Row],[Puntos]]&lt;D840,D840,ROUND(D840*(1+Categorias_Registro[[#This Row],[Amplitud]]),0)))</f>
        <v>1881</v>
      </c>
      <c r="E839" s="15">
        <f>E840+IF(D840=Categorias_Registro[[#This Row],[Máximo]],0,1)</f>
        <v>22</v>
      </c>
      <c r="F839" s="15">
        <f>ROUND(Categorias_Registro[[#This Row],[Mínimo]]+((Categorias_Registro[[#This Row],[Máximo]]-Categorias_Registro[[#This Row],[Mínimo]])/2),0)</f>
        <v>1759</v>
      </c>
      <c r="G839" s="78">
        <f>VLOOKUP(Categorias_Registro[[#This Row],[Puntos]],Categorias_Configuracion[],MATCH(Categorias_Configuracion[[#Headers],[% Amplitud]],Categorias_Configuracion[#Headers],0),TRUE)</f>
        <v>0.15</v>
      </c>
      <c r="H839" s="15" t="str">
        <f ca="1">TEXT(Categorias_Registro[[#This Row],[Mínimo]],Formato_Rango_Categorias)&amp;" - "&amp;TEXT(Categorias_Registro[[#This Row],[Máximo]],Formato_Rango_Categorias)</f>
        <v>1.637 - 1.881</v>
      </c>
    </row>
    <row r="840" spans="2:8">
      <c r="B840" s="15">
        <f>Techo - ROW() + ROW(Categorias_Registro[])</f>
        <v>1789</v>
      </c>
      <c r="C840" s="15">
        <f>IF(Categorias_Registro[[#This Row],[Puntos]]&lt;=ROUND(Piso,0),Piso,IF(Categorias_Registro[[#This Row],[Puntos]]&lt;D841,C841,D841+1))</f>
        <v>1637</v>
      </c>
      <c r="D840" s="15">
        <f>IF(Categorias_Registro[[#This Row],[Puntos]]=ROUND(Piso,0),ROUND(Categorias_Registro[[#This Row],[Puntos]]*(1+Categorias_Registro[[#This Row],[Amplitud]]),0),IF(Categorias_Registro[[#This Row],[Puntos]]&lt;D841,D841,ROUND(D841*(1+Categorias_Registro[[#This Row],[Amplitud]]),0)))</f>
        <v>1881</v>
      </c>
      <c r="E840" s="15">
        <f>E841+IF(D841=Categorias_Registro[[#This Row],[Máximo]],0,1)</f>
        <v>22</v>
      </c>
      <c r="F840" s="15">
        <f>ROUND(Categorias_Registro[[#This Row],[Mínimo]]+((Categorias_Registro[[#This Row],[Máximo]]-Categorias_Registro[[#This Row],[Mínimo]])/2),0)</f>
        <v>1759</v>
      </c>
      <c r="G840" s="78">
        <f>VLOOKUP(Categorias_Registro[[#This Row],[Puntos]],Categorias_Configuracion[],MATCH(Categorias_Configuracion[[#Headers],[% Amplitud]],Categorias_Configuracion[#Headers],0),TRUE)</f>
        <v>0.15</v>
      </c>
      <c r="H840" s="15" t="str">
        <f ca="1">TEXT(Categorias_Registro[[#This Row],[Mínimo]],Formato_Rango_Categorias)&amp;" - "&amp;TEXT(Categorias_Registro[[#This Row],[Máximo]],Formato_Rango_Categorias)</f>
        <v>1.637 - 1.881</v>
      </c>
    </row>
    <row r="841" spans="2:8">
      <c r="B841" s="15">
        <f>Techo - ROW() + ROW(Categorias_Registro[])</f>
        <v>1788</v>
      </c>
      <c r="C841" s="15">
        <f>IF(Categorias_Registro[[#This Row],[Puntos]]&lt;=ROUND(Piso,0),Piso,IF(Categorias_Registro[[#This Row],[Puntos]]&lt;D842,C842,D842+1))</f>
        <v>1637</v>
      </c>
      <c r="D841" s="15">
        <f>IF(Categorias_Registro[[#This Row],[Puntos]]=ROUND(Piso,0),ROUND(Categorias_Registro[[#This Row],[Puntos]]*(1+Categorias_Registro[[#This Row],[Amplitud]]),0),IF(Categorias_Registro[[#This Row],[Puntos]]&lt;D842,D842,ROUND(D842*(1+Categorias_Registro[[#This Row],[Amplitud]]),0)))</f>
        <v>1881</v>
      </c>
      <c r="E841" s="15">
        <f>E842+IF(D842=Categorias_Registro[[#This Row],[Máximo]],0,1)</f>
        <v>22</v>
      </c>
      <c r="F841" s="15">
        <f>ROUND(Categorias_Registro[[#This Row],[Mínimo]]+((Categorias_Registro[[#This Row],[Máximo]]-Categorias_Registro[[#This Row],[Mínimo]])/2),0)</f>
        <v>1759</v>
      </c>
      <c r="G841" s="78">
        <f>VLOOKUP(Categorias_Registro[[#This Row],[Puntos]],Categorias_Configuracion[],MATCH(Categorias_Configuracion[[#Headers],[% Amplitud]],Categorias_Configuracion[#Headers],0),TRUE)</f>
        <v>0.15</v>
      </c>
      <c r="H841" s="15" t="str">
        <f ca="1">TEXT(Categorias_Registro[[#This Row],[Mínimo]],Formato_Rango_Categorias)&amp;" - "&amp;TEXT(Categorias_Registro[[#This Row],[Máximo]],Formato_Rango_Categorias)</f>
        <v>1.637 - 1.881</v>
      </c>
    </row>
    <row r="842" spans="2:8">
      <c r="B842" s="15">
        <f>Techo - ROW() + ROW(Categorias_Registro[])</f>
        <v>1787</v>
      </c>
      <c r="C842" s="15">
        <f>IF(Categorias_Registro[[#This Row],[Puntos]]&lt;=ROUND(Piso,0),Piso,IF(Categorias_Registro[[#This Row],[Puntos]]&lt;D843,C843,D843+1))</f>
        <v>1637</v>
      </c>
      <c r="D842" s="15">
        <f>IF(Categorias_Registro[[#This Row],[Puntos]]=ROUND(Piso,0),ROUND(Categorias_Registro[[#This Row],[Puntos]]*(1+Categorias_Registro[[#This Row],[Amplitud]]),0),IF(Categorias_Registro[[#This Row],[Puntos]]&lt;D843,D843,ROUND(D843*(1+Categorias_Registro[[#This Row],[Amplitud]]),0)))</f>
        <v>1881</v>
      </c>
      <c r="E842" s="15">
        <f>E843+IF(D843=Categorias_Registro[[#This Row],[Máximo]],0,1)</f>
        <v>22</v>
      </c>
      <c r="F842" s="15">
        <f>ROUND(Categorias_Registro[[#This Row],[Mínimo]]+((Categorias_Registro[[#This Row],[Máximo]]-Categorias_Registro[[#This Row],[Mínimo]])/2),0)</f>
        <v>1759</v>
      </c>
      <c r="G842" s="78">
        <f>VLOOKUP(Categorias_Registro[[#This Row],[Puntos]],Categorias_Configuracion[],MATCH(Categorias_Configuracion[[#Headers],[% Amplitud]],Categorias_Configuracion[#Headers],0),TRUE)</f>
        <v>0.15</v>
      </c>
      <c r="H842" s="15" t="str">
        <f ca="1">TEXT(Categorias_Registro[[#This Row],[Mínimo]],Formato_Rango_Categorias)&amp;" - "&amp;TEXT(Categorias_Registro[[#This Row],[Máximo]],Formato_Rango_Categorias)</f>
        <v>1.637 - 1.881</v>
      </c>
    </row>
    <row r="843" spans="2:8">
      <c r="B843" s="15">
        <f>Techo - ROW() + ROW(Categorias_Registro[])</f>
        <v>1786</v>
      </c>
      <c r="C843" s="15">
        <f>IF(Categorias_Registro[[#This Row],[Puntos]]&lt;=ROUND(Piso,0),Piso,IF(Categorias_Registro[[#This Row],[Puntos]]&lt;D844,C844,D844+1))</f>
        <v>1637</v>
      </c>
      <c r="D843" s="15">
        <f>IF(Categorias_Registro[[#This Row],[Puntos]]=ROUND(Piso,0),ROUND(Categorias_Registro[[#This Row],[Puntos]]*(1+Categorias_Registro[[#This Row],[Amplitud]]),0),IF(Categorias_Registro[[#This Row],[Puntos]]&lt;D844,D844,ROUND(D844*(1+Categorias_Registro[[#This Row],[Amplitud]]),0)))</f>
        <v>1881</v>
      </c>
      <c r="E843" s="15">
        <f>E844+IF(D844=Categorias_Registro[[#This Row],[Máximo]],0,1)</f>
        <v>22</v>
      </c>
      <c r="F843" s="15">
        <f>ROUND(Categorias_Registro[[#This Row],[Mínimo]]+((Categorias_Registro[[#This Row],[Máximo]]-Categorias_Registro[[#This Row],[Mínimo]])/2),0)</f>
        <v>1759</v>
      </c>
      <c r="G843" s="78">
        <f>VLOOKUP(Categorias_Registro[[#This Row],[Puntos]],Categorias_Configuracion[],MATCH(Categorias_Configuracion[[#Headers],[% Amplitud]],Categorias_Configuracion[#Headers],0),TRUE)</f>
        <v>0.15</v>
      </c>
      <c r="H843" s="15" t="str">
        <f ca="1">TEXT(Categorias_Registro[[#This Row],[Mínimo]],Formato_Rango_Categorias)&amp;" - "&amp;TEXT(Categorias_Registro[[#This Row],[Máximo]],Formato_Rango_Categorias)</f>
        <v>1.637 - 1.881</v>
      </c>
    </row>
    <row r="844" spans="2:8">
      <c r="B844" s="15">
        <f>Techo - ROW() + ROW(Categorias_Registro[])</f>
        <v>1785</v>
      </c>
      <c r="C844" s="15">
        <f>IF(Categorias_Registro[[#This Row],[Puntos]]&lt;=ROUND(Piso,0),Piso,IF(Categorias_Registro[[#This Row],[Puntos]]&lt;D845,C845,D845+1))</f>
        <v>1637</v>
      </c>
      <c r="D844" s="15">
        <f>IF(Categorias_Registro[[#This Row],[Puntos]]=ROUND(Piso,0),ROUND(Categorias_Registro[[#This Row],[Puntos]]*(1+Categorias_Registro[[#This Row],[Amplitud]]),0),IF(Categorias_Registro[[#This Row],[Puntos]]&lt;D845,D845,ROUND(D845*(1+Categorias_Registro[[#This Row],[Amplitud]]),0)))</f>
        <v>1881</v>
      </c>
      <c r="E844" s="15">
        <f>E845+IF(D845=Categorias_Registro[[#This Row],[Máximo]],0,1)</f>
        <v>22</v>
      </c>
      <c r="F844" s="15">
        <f>ROUND(Categorias_Registro[[#This Row],[Mínimo]]+((Categorias_Registro[[#This Row],[Máximo]]-Categorias_Registro[[#This Row],[Mínimo]])/2),0)</f>
        <v>1759</v>
      </c>
      <c r="G844" s="78">
        <f>VLOOKUP(Categorias_Registro[[#This Row],[Puntos]],Categorias_Configuracion[],MATCH(Categorias_Configuracion[[#Headers],[% Amplitud]],Categorias_Configuracion[#Headers],0),TRUE)</f>
        <v>0.15</v>
      </c>
      <c r="H844" s="15" t="str">
        <f ca="1">TEXT(Categorias_Registro[[#This Row],[Mínimo]],Formato_Rango_Categorias)&amp;" - "&amp;TEXT(Categorias_Registro[[#This Row],[Máximo]],Formato_Rango_Categorias)</f>
        <v>1.637 - 1.881</v>
      </c>
    </row>
    <row r="845" spans="2:8">
      <c r="B845" s="15">
        <f>Techo - ROW() + ROW(Categorias_Registro[])</f>
        <v>1784</v>
      </c>
      <c r="C845" s="15">
        <f>IF(Categorias_Registro[[#This Row],[Puntos]]&lt;=ROUND(Piso,0),Piso,IF(Categorias_Registro[[#This Row],[Puntos]]&lt;D846,C846,D846+1))</f>
        <v>1637</v>
      </c>
      <c r="D845" s="15">
        <f>IF(Categorias_Registro[[#This Row],[Puntos]]=ROUND(Piso,0),ROUND(Categorias_Registro[[#This Row],[Puntos]]*(1+Categorias_Registro[[#This Row],[Amplitud]]),0),IF(Categorias_Registro[[#This Row],[Puntos]]&lt;D846,D846,ROUND(D846*(1+Categorias_Registro[[#This Row],[Amplitud]]),0)))</f>
        <v>1881</v>
      </c>
      <c r="E845" s="15">
        <f>E846+IF(D846=Categorias_Registro[[#This Row],[Máximo]],0,1)</f>
        <v>22</v>
      </c>
      <c r="F845" s="15">
        <f>ROUND(Categorias_Registro[[#This Row],[Mínimo]]+((Categorias_Registro[[#This Row],[Máximo]]-Categorias_Registro[[#This Row],[Mínimo]])/2),0)</f>
        <v>1759</v>
      </c>
      <c r="G845" s="78">
        <f>VLOOKUP(Categorias_Registro[[#This Row],[Puntos]],Categorias_Configuracion[],MATCH(Categorias_Configuracion[[#Headers],[% Amplitud]],Categorias_Configuracion[#Headers],0),TRUE)</f>
        <v>0.15</v>
      </c>
      <c r="H845" s="15" t="str">
        <f ca="1">TEXT(Categorias_Registro[[#This Row],[Mínimo]],Formato_Rango_Categorias)&amp;" - "&amp;TEXT(Categorias_Registro[[#This Row],[Máximo]],Formato_Rango_Categorias)</f>
        <v>1.637 - 1.881</v>
      </c>
    </row>
    <row r="846" spans="2:8">
      <c r="B846" s="15">
        <f>Techo - ROW() + ROW(Categorias_Registro[])</f>
        <v>1783</v>
      </c>
      <c r="C846" s="15">
        <f>IF(Categorias_Registro[[#This Row],[Puntos]]&lt;=ROUND(Piso,0),Piso,IF(Categorias_Registro[[#This Row],[Puntos]]&lt;D847,C847,D847+1))</f>
        <v>1637</v>
      </c>
      <c r="D846" s="15">
        <f>IF(Categorias_Registro[[#This Row],[Puntos]]=ROUND(Piso,0),ROUND(Categorias_Registro[[#This Row],[Puntos]]*(1+Categorias_Registro[[#This Row],[Amplitud]]),0),IF(Categorias_Registro[[#This Row],[Puntos]]&lt;D847,D847,ROUND(D847*(1+Categorias_Registro[[#This Row],[Amplitud]]),0)))</f>
        <v>1881</v>
      </c>
      <c r="E846" s="15">
        <f>E847+IF(D847=Categorias_Registro[[#This Row],[Máximo]],0,1)</f>
        <v>22</v>
      </c>
      <c r="F846" s="15">
        <f>ROUND(Categorias_Registro[[#This Row],[Mínimo]]+((Categorias_Registro[[#This Row],[Máximo]]-Categorias_Registro[[#This Row],[Mínimo]])/2),0)</f>
        <v>1759</v>
      </c>
      <c r="G846" s="78">
        <f>VLOOKUP(Categorias_Registro[[#This Row],[Puntos]],Categorias_Configuracion[],MATCH(Categorias_Configuracion[[#Headers],[% Amplitud]],Categorias_Configuracion[#Headers],0),TRUE)</f>
        <v>0.15</v>
      </c>
      <c r="H846" s="15" t="str">
        <f ca="1">TEXT(Categorias_Registro[[#This Row],[Mínimo]],Formato_Rango_Categorias)&amp;" - "&amp;TEXT(Categorias_Registro[[#This Row],[Máximo]],Formato_Rango_Categorias)</f>
        <v>1.637 - 1.881</v>
      </c>
    </row>
    <row r="847" spans="2:8">
      <c r="B847" s="15">
        <f>Techo - ROW() + ROW(Categorias_Registro[])</f>
        <v>1782</v>
      </c>
      <c r="C847" s="15">
        <f>IF(Categorias_Registro[[#This Row],[Puntos]]&lt;=ROUND(Piso,0),Piso,IF(Categorias_Registro[[#This Row],[Puntos]]&lt;D848,C848,D848+1))</f>
        <v>1637</v>
      </c>
      <c r="D847" s="15">
        <f>IF(Categorias_Registro[[#This Row],[Puntos]]=ROUND(Piso,0),ROUND(Categorias_Registro[[#This Row],[Puntos]]*(1+Categorias_Registro[[#This Row],[Amplitud]]),0),IF(Categorias_Registro[[#This Row],[Puntos]]&lt;D848,D848,ROUND(D848*(1+Categorias_Registro[[#This Row],[Amplitud]]),0)))</f>
        <v>1881</v>
      </c>
      <c r="E847" s="15">
        <f>E848+IF(D848=Categorias_Registro[[#This Row],[Máximo]],0,1)</f>
        <v>22</v>
      </c>
      <c r="F847" s="15">
        <f>ROUND(Categorias_Registro[[#This Row],[Mínimo]]+((Categorias_Registro[[#This Row],[Máximo]]-Categorias_Registro[[#This Row],[Mínimo]])/2),0)</f>
        <v>1759</v>
      </c>
      <c r="G847" s="78">
        <f>VLOOKUP(Categorias_Registro[[#This Row],[Puntos]],Categorias_Configuracion[],MATCH(Categorias_Configuracion[[#Headers],[% Amplitud]],Categorias_Configuracion[#Headers],0),TRUE)</f>
        <v>0.15</v>
      </c>
      <c r="H847" s="15" t="str">
        <f ca="1">TEXT(Categorias_Registro[[#This Row],[Mínimo]],Formato_Rango_Categorias)&amp;" - "&amp;TEXT(Categorias_Registro[[#This Row],[Máximo]],Formato_Rango_Categorias)</f>
        <v>1.637 - 1.881</v>
      </c>
    </row>
    <row r="848" spans="2:8">
      <c r="B848" s="15">
        <f>Techo - ROW() + ROW(Categorias_Registro[])</f>
        <v>1781</v>
      </c>
      <c r="C848" s="15">
        <f>IF(Categorias_Registro[[#This Row],[Puntos]]&lt;=ROUND(Piso,0),Piso,IF(Categorias_Registro[[#This Row],[Puntos]]&lt;D849,C849,D849+1))</f>
        <v>1637</v>
      </c>
      <c r="D848" s="15">
        <f>IF(Categorias_Registro[[#This Row],[Puntos]]=ROUND(Piso,0),ROUND(Categorias_Registro[[#This Row],[Puntos]]*(1+Categorias_Registro[[#This Row],[Amplitud]]),0),IF(Categorias_Registro[[#This Row],[Puntos]]&lt;D849,D849,ROUND(D849*(1+Categorias_Registro[[#This Row],[Amplitud]]),0)))</f>
        <v>1881</v>
      </c>
      <c r="E848" s="15">
        <f>E849+IF(D849=Categorias_Registro[[#This Row],[Máximo]],0,1)</f>
        <v>22</v>
      </c>
      <c r="F848" s="15">
        <f>ROUND(Categorias_Registro[[#This Row],[Mínimo]]+((Categorias_Registro[[#This Row],[Máximo]]-Categorias_Registro[[#This Row],[Mínimo]])/2),0)</f>
        <v>1759</v>
      </c>
      <c r="G848" s="78">
        <f>VLOOKUP(Categorias_Registro[[#This Row],[Puntos]],Categorias_Configuracion[],MATCH(Categorias_Configuracion[[#Headers],[% Amplitud]],Categorias_Configuracion[#Headers],0),TRUE)</f>
        <v>0.15</v>
      </c>
      <c r="H848" s="15" t="str">
        <f ca="1">TEXT(Categorias_Registro[[#This Row],[Mínimo]],Formato_Rango_Categorias)&amp;" - "&amp;TEXT(Categorias_Registro[[#This Row],[Máximo]],Formato_Rango_Categorias)</f>
        <v>1.637 - 1.881</v>
      </c>
    </row>
    <row r="849" spans="2:8">
      <c r="B849" s="15">
        <f>Techo - ROW() + ROW(Categorias_Registro[])</f>
        <v>1780</v>
      </c>
      <c r="C849" s="15">
        <f>IF(Categorias_Registro[[#This Row],[Puntos]]&lt;=ROUND(Piso,0),Piso,IF(Categorias_Registro[[#This Row],[Puntos]]&lt;D850,C850,D850+1))</f>
        <v>1637</v>
      </c>
      <c r="D849" s="15">
        <f>IF(Categorias_Registro[[#This Row],[Puntos]]=ROUND(Piso,0),ROUND(Categorias_Registro[[#This Row],[Puntos]]*(1+Categorias_Registro[[#This Row],[Amplitud]]),0),IF(Categorias_Registro[[#This Row],[Puntos]]&lt;D850,D850,ROUND(D850*(1+Categorias_Registro[[#This Row],[Amplitud]]),0)))</f>
        <v>1881</v>
      </c>
      <c r="E849" s="15">
        <f>E850+IF(D850=Categorias_Registro[[#This Row],[Máximo]],0,1)</f>
        <v>22</v>
      </c>
      <c r="F849" s="15">
        <f>ROUND(Categorias_Registro[[#This Row],[Mínimo]]+((Categorias_Registro[[#This Row],[Máximo]]-Categorias_Registro[[#This Row],[Mínimo]])/2),0)</f>
        <v>1759</v>
      </c>
      <c r="G849" s="78">
        <f>VLOOKUP(Categorias_Registro[[#This Row],[Puntos]],Categorias_Configuracion[],MATCH(Categorias_Configuracion[[#Headers],[% Amplitud]],Categorias_Configuracion[#Headers],0),TRUE)</f>
        <v>0.15</v>
      </c>
      <c r="H849" s="15" t="str">
        <f ca="1">TEXT(Categorias_Registro[[#This Row],[Mínimo]],Formato_Rango_Categorias)&amp;" - "&amp;TEXT(Categorias_Registro[[#This Row],[Máximo]],Formato_Rango_Categorias)</f>
        <v>1.637 - 1.881</v>
      </c>
    </row>
    <row r="850" spans="2:8">
      <c r="B850" s="15">
        <f>Techo - ROW() + ROW(Categorias_Registro[])</f>
        <v>1779</v>
      </c>
      <c r="C850" s="15">
        <f>IF(Categorias_Registro[[#This Row],[Puntos]]&lt;=ROUND(Piso,0),Piso,IF(Categorias_Registro[[#This Row],[Puntos]]&lt;D851,C851,D851+1))</f>
        <v>1637</v>
      </c>
      <c r="D850" s="15">
        <f>IF(Categorias_Registro[[#This Row],[Puntos]]=ROUND(Piso,0),ROUND(Categorias_Registro[[#This Row],[Puntos]]*(1+Categorias_Registro[[#This Row],[Amplitud]]),0),IF(Categorias_Registro[[#This Row],[Puntos]]&lt;D851,D851,ROUND(D851*(1+Categorias_Registro[[#This Row],[Amplitud]]),0)))</f>
        <v>1881</v>
      </c>
      <c r="E850" s="15">
        <f>E851+IF(D851=Categorias_Registro[[#This Row],[Máximo]],0,1)</f>
        <v>22</v>
      </c>
      <c r="F850" s="15">
        <f>ROUND(Categorias_Registro[[#This Row],[Mínimo]]+((Categorias_Registro[[#This Row],[Máximo]]-Categorias_Registro[[#This Row],[Mínimo]])/2),0)</f>
        <v>1759</v>
      </c>
      <c r="G850" s="78">
        <f>VLOOKUP(Categorias_Registro[[#This Row],[Puntos]],Categorias_Configuracion[],MATCH(Categorias_Configuracion[[#Headers],[% Amplitud]],Categorias_Configuracion[#Headers],0),TRUE)</f>
        <v>0.15</v>
      </c>
      <c r="H850" s="15" t="str">
        <f ca="1">TEXT(Categorias_Registro[[#This Row],[Mínimo]],Formato_Rango_Categorias)&amp;" - "&amp;TEXT(Categorias_Registro[[#This Row],[Máximo]],Formato_Rango_Categorias)</f>
        <v>1.637 - 1.881</v>
      </c>
    </row>
    <row r="851" spans="2:8">
      <c r="B851" s="15">
        <f>Techo - ROW() + ROW(Categorias_Registro[])</f>
        <v>1778</v>
      </c>
      <c r="C851" s="15">
        <f>IF(Categorias_Registro[[#This Row],[Puntos]]&lt;=ROUND(Piso,0),Piso,IF(Categorias_Registro[[#This Row],[Puntos]]&lt;D852,C852,D852+1))</f>
        <v>1637</v>
      </c>
      <c r="D851" s="15">
        <f>IF(Categorias_Registro[[#This Row],[Puntos]]=ROUND(Piso,0),ROUND(Categorias_Registro[[#This Row],[Puntos]]*(1+Categorias_Registro[[#This Row],[Amplitud]]),0),IF(Categorias_Registro[[#This Row],[Puntos]]&lt;D852,D852,ROUND(D852*(1+Categorias_Registro[[#This Row],[Amplitud]]),0)))</f>
        <v>1881</v>
      </c>
      <c r="E851" s="15">
        <f>E852+IF(D852=Categorias_Registro[[#This Row],[Máximo]],0,1)</f>
        <v>22</v>
      </c>
      <c r="F851" s="15">
        <f>ROUND(Categorias_Registro[[#This Row],[Mínimo]]+((Categorias_Registro[[#This Row],[Máximo]]-Categorias_Registro[[#This Row],[Mínimo]])/2),0)</f>
        <v>1759</v>
      </c>
      <c r="G851" s="78">
        <f>VLOOKUP(Categorias_Registro[[#This Row],[Puntos]],Categorias_Configuracion[],MATCH(Categorias_Configuracion[[#Headers],[% Amplitud]],Categorias_Configuracion[#Headers],0),TRUE)</f>
        <v>0.15</v>
      </c>
      <c r="H851" s="15" t="str">
        <f ca="1">TEXT(Categorias_Registro[[#This Row],[Mínimo]],Formato_Rango_Categorias)&amp;" - "&amp;TEXT(Categorias_Registro[[#This Row],[Máximo]],Formato_Rango_Categorias)</f>
        <v>1.637 - 1.881</v>
      </c>
    </row>
    <row r="852" spans="2:8">
      <c r="B852" s="15">
        <f>Techo - ROW() + ROW(Categorias_Registro[])</f>
        <v>1777</v>
      </c>
      <c r="C852" s="15">
        <f>IF(Categorias_Registro[[#This Row],[Puntos]]&lt;=ROUND(Piso,0),Piso,IF(Categorias_Registro[[#This Row],[Puntos]]&lt;D853,C853,D853+1))</f>
        <v>1637</v>
      </c>
      <c r="D852" s="15">
        <f>IF(Categorias_Registro[[#This Row],[Puntos]]=ROUND(Piso,0),ROUND(Categorias_Registro[[#This Row],[Puntos]]*(1+Categorias_Registro[[#This Row],[Amplitud]]),0),IF(Categorias_Registro[[#This Row],[Puntos]]&lt;D853,D853,ROUND(D853*(1+Categorias_Registro[[#This Row],[Amplitud]]),0)))</f>
        <v>1881</v>
      </c>
      <c r="E852" s="15">
        <f>E853+IF(D853=Categorias_Registro[[#This Row],[Máximo]],0,1)</f>
        <v>22</v>
      </c>
      <c r="F852" s="15">
        <f>ROUND(Categorias_Registro[[#This Row],[Mínimo]]+((Categorias_Registro[[#This Row],[Máximo]]-Categorias_Registro[[#This Row],[Mínimo]])/2),0)</f>
        <v>1759</v>
      </c>
      <c r="G852" s="78">
        <f>VLOOKUP(Categorias_Registro[[#This Row],[Puntos]],Categorias_Configuracion[],MATCH(Categorias_Configuracion[[#Headers],[% Amplitud]],Categorias_Configuracion[#Headers],0),TRUE)</f>
        <v>0.15</v>
      </c>
      <c r="H852" s="15" t="str">
        <f ca="1">TEXT(Categorias_Registro[[#This Row],[Mínimo]],Formato_Rango_Categorias)&amp;" - "&amp;TEXT(Categorias_Registro[[#This Row],[Máximo]],Formato_Rango_Categorias)</f>
        <v>1.637 - 1.881</v>
      </c>
    </row>
    <row r="853" spans="2:8">
      <c r="B853" s="15">
        <f>Techo - ROW() + ROW(Categorias_Registro[])</f>
        <v>1776</v>
      </c>
      <c r="C853" s="15">
        <f>IF(Categorias_Registro[[#This Row],[Puntos]]&lt;=ROUND(Piso,0),Piso,IF(Categorias_Registro[[#This Row],[Puntos]]&lt;D854,C854,D854+1))</f>
        <v>1637</v>
      </c>
      <c r="D853" s="15">
        <f>IF(Categorias_Registro[[#This Row],[Puntos]]=ROUND(Piso,0),ROUND(Categorias_Registro[[#This Row],[Puntos]]*(1+Categorias_Registro[[#This Row],[Amplitud]]),0),IF(Categorias_Registro[[#This Row],[Puntos]]&lt;D854,D854,ROUND(D854*(1+Categorias_Registro[[#This Row],[Amplitud]]),0)))</f>
        <v>1881</v>
      </c>
      <c r="E853" s="15">
        <f>E854+IF(D854=Categorias_Registro[[#This Row],[Máximo]],0,1)</f>
        <v>22</v>
      </c>
      <c r="F853" s="15">
        <f>ROUND(Categorias_Registro[[#This Row],[Mínimo]]+((Categorias_Registro[[#This Row],[Máximo]]-Categorias_Registro[[#This Row],[Mínimo]])/2),0)</f>
        <v>1759</v>
      </c>
      <c r="G853" s="78">
        <f>VLOOKUP(Categorias_Registro[[#This Row],[Puntos]],Categorias_Configuracion[],MATCH(Categorias_Configuracion[[#Headers],[% Amplitud]],Categorias_Configuracion[#Headers],0),TRUE)</f>
        <v>0.15</v>
      </c>
      <c r="H853" s="15" t="str">
        <f ca="1">TEXT(Categorias_Registro[[#This Row],[Mínimo]],Formato_Rango_Categorias)&amp;" - "&amp;TEXT(Categorias_Registro[[#This Row],[Máximo]],Formato_Rango_Categorias)</f>
        <v>1.637 - 1.881</v>
      </c>
    </row>
    <row r="854" spans="2:8">
      <c r="B854" s="15">
        <f>Techo - ROW() + ROW(Categorias_Registro[])</f>
        <v>1775</v>
      </c>
      <c r="C854" s="15">
        <f>IF(Categorias_Registro[[#This Row],[Puntos]]&lt;=ROUND(Piso,0),Piso,IF(Categorias_Registro[[#This Row],[Puntos]]&lt;D855,C855,D855+1))</f>
        <v>1637</v>
      </c>
      <c r="D854" s="15">
        <f>IF(Categorias_Registro[[#This Row],[Puntos]]=ROUND(Piso,0),ROUND(Categorias_Registro[[#This Row],[Puntos]]*(1+Categorias_Registro[[#This Row],[Amplitud]]),0),IF(Categorias_Registro[[#This Row],[Puntos]]&lt;D855,D855,ROUND(D855*(1+Categorias_Registro[[#This Row],[Amplitud]]),0)))</f>
        <v>1881</v>
      </c>
      <c r="E854" s="15">
        <f>E855+IF(D855=Categorias_Registro[[#This Row],[Máximo]],0,1)</f>
        <v>22</v>
      </c>
      <c r="F854" s="15">
        <f>ROUND(Categorias_Registro[[#This Row],[Mínimo]]+((Categorias_Registro[[#This Row],[Máximo]]-Categorias_Registro[[#This Row],[Mínimo]])/2),0)</f>
        <v>1759</v>
      </c>
      <c r="G854" s="78">
        <f>VLOOKUP(Categorias_Registro[[#This Row],[Puntos]],Categorias_Configuracion[],MATCH(Categorias_Configuracion[[#Headers],[% Amplitud]],Categorias_Configuracion[#Headers],0),TRUE)</f>
        <v>0.15</v>
      </c>
      <c r="H854" s="15" t="str">
        <f ca="1">TEXT(Categorias_Registro[[#This Row],[Mínimo]],Formato_Rango_Categorias)&amp;" - "&amp;TEXT(Categorias_Registro[[#This Row],[Máximo]],Formato_Rango_Categorias)</f>
        <v>1.637 - 1.881</v>
      </c>
    </row>
    <row r="855" spans="2:8">
      <c r="B855" s="15">
        <f>Techo - ROW() + ROW(Categorias_Registro[])</f>
        <v>1774</v>
      </c>
      <c r="C855" s="15">
        <f>IF(Categorias_Registro[[#This Row],[Puntos]]&lt;=ROUND(Piso,0),Piso,IF(Categorias_Registro[[#This Row],[Puntos]]&lt;D856,C856,D856+1))</f>
        <v>1637</v>
      </c>
      <c r="D855" s="15">
        <f>IF(Categorias_Registro[[#This Row],[Puntos]]=ROUND(Piso,0),ROUND(Categorias_Registro[[#This Row],[Puntos]]*(1+Categorias_Registro[[#This Row],[Amplitud]]),0),IF(Categorias_Registro[[#This Row],[Puntos]]&lt;D856,D856,ROUND(D856*(1+Categorias_Registro[[#This Row],[Amplitud]]),0)))</f>
        <v>1881</v>
      </c>
      <c r="E855" s="15">
        <f>E856+IF(D856=Categorias_Registro[[#This Row],[Máximo]],0,1)</f>
        <v>22</v>
      </c>
      <c r="F855" s="15">
        <f>ROUND(Categorias_Registro[[#This Row],[Mínimo]]+((Categorias_Registro[[#This Row],[Máximo]]-Categorias_Registro[[#This Row],[Mínimo]])/2),0)</f>
        <v>1759</v>
      </c>
      <c r="G855" s="78">
        <f>VLOOKUP(Categorias_Registro[[#This Row],[Puntos]],Categorias_Configuracion[],MATCH(Categorias_Configuracion[[#Headers],[% Amplitud]],Categorias_Configuracion[#Headers],0),TRUE)</f>
        <v>0.15</v>
      </c>
      <c r="H855" s="15" t="str">
        <f ca="1">TEXT(Categorias_Registro[[#This Row],[Mínimo]],Formato_Rango_Categorias)&amp;" - "&amp;TEXT(Categorias_Registro[[#This Row],[Máximo]],Formato_Rango_Categorias)</f>
        <v>1.637 - 1.881</v>
      </c>
    </row>
    <row r="856" spans="2:8">
      <c r="B856" s="15">
        <f>Techo - ROW() + ROW(Categorias_Registro[])</f>
        <v>1773</v>
      </c>
      <c r="C856" s="15">
        <f>IF(Categorias_Registro[[#This Row],[Puntos]]&lt;=ROUND(Piso,0),Piso,IF(Categorias_Registro[[#This Row],[Puntos]]&lt;D857,C857,D857+1))</f>
        <v>1637</v>
      </c>
      <c r="D856" s="15">
        <f>IF(Categorias_Registro[[#This Row],[Puntos]]=ROUND(Piso,0),ROUND(Categorias_Registro[[#This Row],[Puntos]]*(1+Categorias_Registro[[#This Row],[Amplitud]]),0),IF(Categorias_Registro[[#This Row],[Puntos]]&lt;D857,D857,ROUND(D857*(1+Categorias_Registro[[#This Row],[Amplitud]]),0)))</f>
        <v>1881</v>
      </c>
      <c r="E856" s="15">
        <f>E857+IF(D857=Categorias_Registro[[#This Row],[Máximo]],0,1)</f>
        <v>22</v>
      </c>
      <c r="F856" s="15">
        <f>ROUND(Categorias_Registro[[#This Row],[Mínimo]]+((Categorias_Registro[[#This Row],[Máximo]]-Categorias_Registro[[#This Row],[Mínimo]])/2),0)</f>
        <v>1759</v>
      </c>
      <c r="G856" s="78">
        <f>VLOOKUP(Categorias_Registro[[#This Row],[Puntos]],Categorias_Configuracion[],MATCH(Categorias_Configuracion[[#Headers],[% Amplitud]],Categorias_Configuracion[#Headers],0),TRUE)</f>
        <v>0.15</v>
      </c>
      <c r="H856" s="15" t="str">
        <f ca="1">TEXT(Categorias_Registro[[#This Row],[Mínimo]],Formato_Rango_Categorias)&amp;" - "&amp;TEXT(Categorias_Registro[[#This Row],[Máximo]],Formato_Rango_Categorias)</f>
        <v>1.637 - 1.881</v>
      </c>
    </row>
    <row r="857" spans="2:8">
      <c r="B857" s="15">
        <f>Techo - ROW() + ROW(Categorias_Registro[])</f>
        <v>1772</v>
      </c>
      <c r="C857" s="15">
        <f>IF(Categorias_Registro[[#This Row],[Puntos]]&lt;=ROUND(Piso,0),Piso,IF(Categorias_Registro[[#This Row],[Puntos]]&lt;D858,C858,D858+1))</f>
        <v>1637</v>
      </c>
      <c r="D857" s="15">
        <f>IF(Categorias_Registro[[#This Row],[Puntos]]=ROUND(Piso,0),ROUND(Categorias_Registro[[#This Row],[Puntos]]*(1+Categorias_Registro[[#This Row],[Amplitud]]),0),IF(Categorias_Registro[[#This Row],[Puntos]]&lt;D858,D858,ROUND(D858*(1+Categorias_Registro[[#This Row],[Amplitud]]),0)))</f>
        <v>1881</v>
      </c>
      <c r="E857" s="15">
        <f>E858+IF(D858=Categorias_Registro[[#This Row],[Máximo]],0,1)</f>
        <v>22</v>
      </c>
      <c r="F857" s="15">
        <f>ROUND(Categorias_Registro[[#This Row],[Mínimo]]+((Categorias_Registro[[#This Row],[Máximo]]-Categorias_Registro[[#This Row],[Mínimo]])/2),0)</f>
        <v>1759</v>
      </c>
      <c r="G857" s="78">
        <f>VLOOKUP(Categorias_Registro[[#This Row],[Puntos]],Categorias_Configuracion[],MATCH(Categorias_Configuracion[[#Headers],[% Amplitud]],Categorias_Configuracion[#Headers],0),TRUE)</f>
        <v>0.15</v>
      </c>
      <c r="H857" s="15" t="str">
        <f ca="1">TEXT(Categorias_Registro[[#This Row],[Mínimo]],Formato_Rango_Categorias)&amp;" - "&amp;TEXT(Categorias_Registro[[#This Row],[Máximo]],Formato_Rango_Categorias)</f>
        <v>1.637 - 1.881</v>
      </c>
    </row>
    <row r="858" spans="2:8">
      <c r="B858" s="15">
        <f>Techo - ROW() + ROW(Categorias_Registro[])</f>
        <v>1771</v>
      </c>
      <c r="C858" s="15">
        <f>IF(Categorias_Registro[[#This Row],[Puntos]]&lt;=ROUND(Piso,0),Piso,IF(Categorias_Registro[[#This Row],[Puntos]]&lt;D859,C859,D859+1))</f>
        <v>1637</v>
      </c>
      <c r="D858" s="15">
        <f>IF(Categorias_Registro[[#This Row],[Puntos]]=ROUND(Piso,0),ROUND(Categorias_Registro[[#This Row],[Puntos]]*(1+Categorias_Registro[[#This Row],[Amplitud]]),0),IF(Categorias_Registro[[#This Row],[Puntos]]&lt;D859,D859,ROUND(D859*(1+Categorias_Registro[[#This Row],[Amplitud]]),0)))</f>
        <v>1881</v>
      </c>
      <c r="E858" s="15">
        <f>E859+IF(D859=Categorias_Registro[[#This Row],[Máximo]],0,1)</f>
        <v>22</v>
      </c>
      <c r="F858" s="15">
        <f>ROUND(Categorias_Registro[[#This Row],[Mínimo]]+((Categorias_Registro[[#This Row],[Máximo]]-Categorias_Registro[[#This Row],[Mínimo]])/2),0)</f>
        <v>1759</v>
      </c>
      <c r="G858" s="78">
        <f>VLOOKUP(Categorias_Registro[[#This Row],[Puntos]],Categorias_Configuracion[],MATCH(Categorias_Configuracion[[#Headers],[% Amplitud]],Categorias_Configuracion[#Headers],0),TRUE)</f>
        <v>0.15</v>
      </c>
      <c r="H858" s="15" t="str">
        <f ca="1">TEXT(Categorias_Registro[[#This Row],[Mínimo]],Formato_Rango_Categorias)&amp;" - "&amp;TEXT(Categorias_Registro[[#This Row],[Máximo]],Formato_Rango_Categorias)</f>
        <v>1.637 - 1.881</v>
      </c>
    </row>
    <row r="859" spans="2:8">
      <c r="B859" s="15">
        <f>Techo - ROW() + ROW(Categorias_Registro[])</f>
        <v>1770</v>
      </c>
      <c r="C859" s="15">
        <f>IF(Categorias_Registro[[#This Row],[Puntos]]&lt;=ROUND(Piso,0),Piso,IF(Categorias_Registro[[#This Row],[Puntos]]&lt;D860,C860,D860+1))</f>
        <v>1637</v>
      </c>
      <c r="D859" s="15">
        <f>IF(Categorias_Registro[[#This Row],[Puntos]]=ROUND(Piso,0),ROUND(Categorias_Registro[[#This Row],[Puntos]]*(1+Categorias_Registro[[#This Row],[Amplitud]]),0),IF(Categorias_Registro[[#This Row],[Puntos]]&lt;D860,D860,ROUND(D860*(1+Categorias_Registro[[#This Row],[Amplitud]]),0)))</f>
        <v>1881</v>
      </c>
      <c r="E859" s="15">
        <f>E860+IF(D860=Categorias_Registro[[#This Row],[Máximo]],0,1)</f>
        <v>22</v>
      </c>
      <c r="F859" s="15">
        <f>ROUND(Categorias_Registro[[#This Row],[Mínimo]]+((Categorias_Registro[[#This Row],[Máximo]]-Categorias_Registro[[#This Row],[Mínimo]])/2),0)</f>
        <v>1759</v>
      </c>
      <c r="G859" s="78">
        <f>VLOOKUP(Categorias_Registro[[#This Row],[Puntos]],Categorias_Configuracion[],MATCH(Categorias_Configuracion[[#Headers],[% Amplitud]],Categorias_Configuracion[#Headers],0),TRUE)</f>
        <v>0.15</v>
      </c>
      <c r="H859" s="15" t="str">
        <f ca="1">TEXT(Categorias_Registro[[#This Row],[Mínimo]],Formato_Rango_Categorias)&amp;" - "&amp;TEXT(Categorias_Registro[[#This Row],[Máximo]],Formato_Rango_Categorias)</f>
        <v>1.637 - 1.881</v>
      </c>
    </row>
    <row r="860" spans="2:8">
      <c r="B860" s="15">
        <f>Techo - ROW() + ROW(Categorias_Registro[])</f>
        <v>1769</v>
      </c>
      <c r="C860" s="15">
        <f>IF(Categorias_Registro[[#This Row],[Puntos]]&lt;=ROUND(Piso,0),Piso,IF(Categorias_Registro[[#This Row],[Puntos]]&lt;D861,C861,D861+1))</f>
        <v>1637</v>
      </c>
      <c r="D860" s="15">
        <f>IF(Categorias_Registro[[#This Row],[Puntos]]=ROUND(Piso,0),ROUND(Categorias_Registro[[#This Row],[Puntos]]*(1+Categorias_Registro[[#This Row],[Amplitud]]),0),IF(Categorias_Registro[[#This Row],[Puntos]]&lt;D861,D861,ROUND(D861*(1+Categorias_Registro[[#This Row],[Amplitud]]),0)))</f>
        <v>1881</v>
      </c>
      <c r="E860" s="15">
        <f>E861+IF(D861=Categorias_Registro[[#This Row],[Máximo]],0,1)</f>
        <v>22</v>
      </c>
      <c r="F860" s="15">
        <f>ROUND(Categorias_Registro[[#This Row],[Mínimo]]+((Categorias_Registro[[#This Row],[Máximo]]-Categorias_Registro[[#This Row],[Mínimo]])/2),0)</f>
        <v>1759</v>
      </c>
      <c r="G860" s="78">
        <f>VLOOKUP(Categorias_Registro[[#This Row],[Puntos]],Categorias_Configuracion[],MATCH(Categorias_Configuracion[[#Headers],[% Amplitud]],Categorias_Configuracion[#Headers],0),TRUE)</f>
        <v>0.15</v>
      </c>
      <c r="H860" s="15" t="str">
        <f ca="1">TEXT(Categorias_Registro[[#This Row],[Mínimo]],Formato_Rango_Categorias)&amp;" - "&amp;TEXT(Categorias_Registro[[#This Row],[Máximo]],Formato_Rango_Categorias)</f>
        <v>1.637 - 1.881</v>
      </c>
    </row>
    <row r="861" spans="2:8">
      <c r="B861" s="15">
        <f>Techo - ROW() + ROW(Categorias_Registro[])</f>
        <v>1768</v>
      </c>
      <c r="C861" s="15">
        <f>IF(Categorias_Registro[[#This Row],[Puntos]]&lt;=ROUND(Piso,0),Piso,IF(Categorias_Registro[[#This Row],[Puntos]]&lt;D862,C862,D862+1))</f>
        <v>1637</v>
      </c>
      <c r="D861" s="15">
        <f>IF(Categorias_Registro[[#This Row],[Puntos]]=ROUND(Piso,0),ROUND(Categorias_Registro[[#This Row],[Puntos]]*(1+Categorias_Registro[[#This Row],[Amplitud]]),0),IF(Categorias_Registro[[#This Row],[Puntos]]&lt;D862,D862,ROUND(D862*(1+Categorias_Registro[[#This Row],[Amplitud]]),0)))</f>
        <v>1881</v>
      </c>
      <c r="E861" s="15">
        <f>E862+IF(D862=Categorias_Registro[[#This Row],[Máximo]],0,1)</f>
        <v>22</v>
      </c>
      <c r="F861" s="15">
        <f>ROUND(Categorias_Registro[[#This Row],[Mínimo]]+((Categorias_Registro[[#This Row],[Máximo]]-Categorias_Registro[[#This Row],[Mínimo]])/2),0)</f>
        <v>1759</v>
      </c>
      <c r="G861" s="78">
        <f>VLOOKUP(Categorias_Registro[[#This Row],[Puntos]],Categorias_Configuracion[],MATCH(Categorias_Configuracion[[#Headers],[% Amplitud]],Categorias_Configuracion[#Headers],0),TRUE)</f>
        <v>0.15</v>
      </c>
      <c r="H861" s="15" t="str">
        <f ca="1">TEXT(Categorias_Registro[[#This Row],[Mínimo]],Formato_Rango_Categorias)&amp;" - "&amp;TEXT(Categorias_Registro[[#This Row],[Máximo]],Formato_Rango_Categorias)</f>
        <v>1.637 - 1.881</v>
      </c>
    </row>
    <row r="862" spans="2:8">
      <c r="B862" s="15">
        <f>Techo - ROW() + ROW(Categorias_Registro[])</f>
        <v>1767</v>
      </c>
      <c r="C862" s="15">
        <f>IF(Categorias_Registro[[#This Row],[Puntos]]&lt;=ROUND(Piso,0),Piso,IF(Categorias_Registro[[#This Row],[Puntos]]&lt;D863,C863,D863+1))</f>
        <v>1637</v>
      </c>
      <c r="D862" s="15">
        <f>IF(Categorias_Registro[[#This Row],[Puntos]]=ROUND(Piso,0),ROUND(Categorias_Registro[[#This Row],[Puntos]]*(1+Categorias_Registro[[#This Row],[Amplitud]]),0),IF(Categorias_Registro[[#This Row],[Puntos]]&lt;D863,D863,ROUND(D863*(1+Categorias_Registro[[#This Row],[Amplitud]]),0)))</f>
        <v>1881</v>
      </c>
      <c r="E862" s="15">
        <f>E863+IF(D863=Categorias_Registro[[#This Row],[Máximo]],0,1)</f>
        <v>22</v>
      </c>
      <c r="F862" s="15">
        <f>ROUND(Categorias_Registro[[#This Row],[Mínimo]]+((Categorias_Registro[[#This Row],[Máximo]]-Categorias_Registro[[#This Row],[Mínimo]])/2),0)</f>
        <v>1759</v>
      </c>
      <c r="G862" s="78">
        <f>VLOOKUP(Categorias_Registro[[#This Row],[Puntos]],Categorias_Configuracion[],MATCH(Categorias_Configuracion[[#Headers],[% Amplitud]],Categorias_Configuracion[#Headers],0),TRUE)</f>
        <v>0.15</v>
      </c>
      <c r="H862" s="15" t="str">
        <f ca="1">TEXT(Categorias_Registro[[#This Row],[Mínimo]],Formato_Rango_Categorias)&amp;" - "&amp;TEXT(Categorias_Registro[[#This Row],[Máximo]],Formato_Rango_Categorias)</f>
        <v>1.637 - 1.881</v>
      </c>
    </row>
    <row r="863" spans="2:8">
      <c r="B863" s="15">
        <f>Techo - ROW() + ROW(Categorias_Registro[])</f>
        <v>1766</v>
      </c>
      <c r="C863" s="15">
        <f>IF(Categorias_Registro[[#This Row],[Puntos]]&lt;=ROUND(Piso,0),Piso,IF(Categorias_Registro[[#This Row],[Puntos]]&lt;D864,C864,D864+1))</f>
        <v>1637</v>
      </c>
      <c r="D863" s="15">
        <f>IF(Categorias_Registro[[#This Row],[Puntos]]=ROUND(Piso,0),ROUND(Categorias_Registro[[#This Row],[Puntos]]*(1+Categorias_Registro[[#This Row],[Amplitud]]),0),IF(Categorias_Registro[[#This Row],[Puntos]]&lt;D864,D864,ROUND(D864*(1+Categorias_Registro[[#This Row],[Amplitud]]),0)))</f>
        <v>1881</v>
      </c>
      <c r="E863" s="15">
        <f>E864+IF(D864=Categorias_Registro[[#This Row],[Máximo]],0,1)</f>
        <v>22</v>
      </c>
      <c r="F863" s="15">
        <f>ROUND(Categorias_Registro[[#This Row],[Mínimo]]+((Categorias_Registro[[#This Row],[Máximo]]-Categorias_Registro[[#This Row],[Mínimo]])/2),0)</f>
        <v>1759</v>
      </c>
      <c r="G863" s="78">
        <f>VLOOKUP(Categorias_Registro[[#This Row],[Puntos]],Categorias_Configuracion[],MATCH(Categorias_Configuracion[[#Headers],[% Amplitud]],Categorias_Configuracion[#Headers],0),TRUE)</f>
        <v>0.15</v>
      </c>
      <c r="H863" s="15" t="str">
        <f ca="1">TEXT(Categorias_Registro[[#This Row],[Mínimo]],Formato_Rango_Categorias)&amp;" - "&amp;TEXT(Categorias_Registro[[#This Row],[Máximo]],Formato_Rango_Categorias)</f>
        <v>1.637 - 1.881</v>
      </c>
    </row>
    <row r="864" spans="2:8">
      <c r="B864" s="15">
        <f>Techo - ROW() + ROW(Categorias_Registro[])</f>
        <v>1765</v>
      </c>
      <c r="C864" s="15">
        <f>IF(Categorias_Registro[[#This Row],[Puntos]]&lt;=ROUND(Piso,0),Piso,IF(Categorias_Registro[[#This Row],[Puntos]]&lt;D865,C865,D865+1))</f>
        <v>1637</v>
      </c>
      <c r="D864" s="15">
        <f>IF(Categorias_Registro[[#This Row],[Puntos]]=ROUND(Piso,0),ROUND(Categorias_Registro[[#This Row],[Puntos]]*(1+Categorias_Registro[[#This Row],[Amplitud]]),0),IF(Categorias_Registro[[#This Row],[Puntos]]&lt;D865,D865,ROUND(D865*(1+Categorias_Registro[[#This Row],[Amplitud]]),0)))</f>
        <v>1881</v>
      </c>
      <c r="E864" s="15">
        <f>E865+IF(D865=Categorias_Registro[[#This Row],[Máximo]],0,1)</f>
        <v>22</v>
      </c>
      <c r="F864" s="15">
        <f>ROUND(Categorias_Registro[[#This Row],[Mínimo]]+((Categorias_Registro[[#This Row],[Máximo]]-Categorias_Registro[[#This Row],[Mínimo]])/2),0)</f>
        <v>1759</v>
      </c>
      <c r="G864" s="78">
        <f>VLOOKUP(Categorias_Registro[[#This Row],[Puntos]],Categorias_Configuracion[],MATCH(Categorias_Configuracion[[#Headers],[% Amplitud]],Categorias_Configuracion[#Headers],0),TRUE)</f>
        <v>0.15</v>
      </c>
      <c r="H864" s="15" t="str">
        <f ca="1">TEXT(Categorias_Registro[[#This Row],[Mínimo]],Formato_Rango_Categorias)&amp;" - "&amp;TEXT(Categorias_Registro[[#This Row],[Máximo]],Formato_Rango_Categorias)</f>
        <v>1.637 - 1.881</v>
      </c>
    </row>
    <row r="865" spans="2:8">
      <c r="B865" s="15">
        <f>Techo - ROW() + ROW(Categorias_Registro[])</f>
        <v>1764</v>
      </c>
      <c r="C865" s="15">
        <f>IF(Categorias_Registro[[#This Row],[Puntos]]&lt;=ROUND(Piso,0),Piso,IF(Categorias_Registro[[#This Row],[Puntos]]&lt;D866,C866,D866+1))</f>
        <v>1637</v>
      </c>
      <c r="D865" s="15">
        <f>IF(Categorias_Registro[[#This Row],[Puntos]]=ROUND(Piso,0),ROUND(Categorias_Registro[[#This Row],[Puntos]]*(1+Categorias_Registro[[#This Row],[Amplitud]]),0),IF(Categorias_Registro[[#This Row],[Puntos]]&lt;D866,D866,ROUND(D866*(1+Categorias_Registro[[#This Row],[Amplitud]]),0)))</f>
        <v>1881</v>
      </c>
      <c r="E865" s="15">
        <f>E866+IF(D866=Categorias_Registro[[#This Row],[Máximo]],0,1)</f>
        <v>22</v>
      </c>
      <c r="F865" s="15">
        <f>ROUND(Categorias_Registro[[#This Row],[Mínimo]]+((Categorias_Registro[[#This Row],[Máximo]]-Categorias_Registro[[#This Row],[Mínimo]])/2),0)</f>
        <v>1759</v>
      </c>
      <c r="G865" s="78">
        <f>VLOOKUP(Categorias_Registro[[#This Row],[Puntos]],Categorias_Configuracion[],MATCH(Categorias_Configuracion[[#Headers],[% Amplitud]],Categorias_Configuracion[#Headers],0),TRUE)</f>
        <v>0.15</v>
      </c>
      <c r="H865" s="15" t="str">
        <f ca="1">TEXT(Categorias_Registro[[#This Row],[Mínimo]],Formato_Rango_Categorias)&amp;" - "&amp;TEXT(Categorias_Registro[[#This Row],[Máximo]],Formato_Rango_Categorias)</f>
        <v>1.637 - 1.881</v>
      </c>
    </row>
    <row r="866" spans="2:8">
      <c r="B866" s="15">
        <f>Techo - ROW() + ROW(Categorias_Registro[])</f>
        <v>1763</v>
      </c>
      <c r="C866" s="15">
        <f>IF(Categorias_Registro[[#This Row],[Puntos]]&lt;=ROUND(Piso,0),Piso,IF(Categorias_Registro[[#This Row],[Puntos]]&lt;D867,C867,D867+1))</f>
        <v>1637</v>
      </c>
      <c r="D866" s="15">
        <f>IF(Categorias_Registro[[#This Row],[Puntos]]=ROUND(Piso,0),ROUND(Categorias_Registro[[#This Row],[Puntos]]*(1+Categorias_Registro[[#This Row],[Amplitud]]),0),IF(Categorias_Registro[[#This Row],[Puntos]]&lt;D867,D867,ROUND(D867*(1+Categorias_Registro[[#This Row],[Amplitud]]),0)))</f>
        <v>1881</v>
      </c>
      <c r="E866" s="15">
        <f>E867+IF(D867=Categorias_Registro[[#This Row],[Máximo]],0,1)</f>
        <v>22</v>
      </c>
      <c r="F866" s="15">
        <f>ROUND(Categorias_Registro[[#This Row],[Mínimo]]+((Categorias_Registro[[#This Row],[Máximo]]-Categorias_Registro[[#This Row],[Mínimo]])/2),0)</f>
        <v>1759</v>
      </c>
      <c r="G866" s="78">
        <f>VLOOKUP(Categorias_Registro[[#This Row],[Puntos]],Categorias_Configuracion[],MATCH(Categorias_Configuracion[[#Headers],[% Amplitud]],Categorias_Configuracion[#Headers],0),TRUE)</f>
        <v>0.15</v>
      </c>
      <c r="H866" s="15" t="str">
        <f ca="1">TEXT(Categorias_Registro[[#This Row],[Mínimo]],Formato_Rango_Categorias)&amp;" - "&amp;TEXT(Categorias_Registro[[#This Row],[Máximo]],Formato_Rango_Categorias)</f>
        <v>1.637 - 1.881</v>
      </c>
    </row>
    <row r="867" spans="2:8">
      <c r="B867" s="15">
        <f>Techo - ROW() + ROW(Categorias_Registro[])</f>
        <v>1762</v>
      </c>
      <c r="C867" s="15">
        <f>IF(Categorias_Registro[[#This Row],[Puntos]]&lt;=ROUND(Piso,0),Piso,IF(Categorias_Registro[[#This Row],[Puntos]]&lt;D868,C868,D868+1))</f>
        <v>1637</v>
      </c>
      <c r="D867" s="15">
        <f>IF(Categorias_Registro[[#This Row],[Puntos]]=ROUND(Piso,0),ROUND(Categorias_Registro[[#This Row],[Puntos]]*(1+Categorias_Registro[[#This Row],[Amplitud]]),0),IF(Categorias_Registro[[#This Row],[Puntos]]&lt;D868,D868,ROUND(D868*(1+Categorias_Registro[[#This Row],[Amplitud]]),0)))</f>
        <v>1881</v>
      </c>
      <c r="E867" s="15">
        <f>E868+IF(D868=Categorias_Registro[[#This Row],[Máximo]],0,1)</f>
        <v>22</v>
      </c>
      <c r="F867" s="15">
        <f>ROUND(Categorias_Registro[[#This Row],[Mínimo]]+((Categorias_Registro[[#This Row],[Máximo]]-Categorias_Registro[[#This Row],[Mínimo]])/2),0)</f>
        <v>1759</v>
      </c>
      <c r="G867" s="78">
        <f>VLOOKUP(Categorias_Registro[[#This Row],[Puntos]],Categorias_Configuracion[],MATCH(Categorias_Configuracion[[#Headers],[% Amplitud]],Categorias_Configuracion[#Headers],0),TRUE)</f>
        <v>0.15</v>
      </c>
      <c r="H867" s="15" t="str">
        <f ca="1">TEXT(Categorias_Registro[[#This Row],[Mínimo]],Formato_Rango_Categorias)&amp;" - "&amp;TEXT(Categorias_Registro[[#This Row],[Máximo]],Formato_Rango_Categorias)</f>
        <v>1.637 - 1.881</v>
      </c>
    </row>
    <row r="868" spans="2:8">
      <c r="B868" s="15">
        <f>Techo - ROW() + ROW(Categorias_Registro[])</f>
        <v>1761</v>
      </c>
      <c r="C868" s="15">
        <f>IF(Categorias_Registro[[#This Row],[Puntos]]&lt;=ROUND(Piso,0),Piso,IF(Categorias_Registro[[#This Row],[Puntos]]&lt;D869,C869,D869+1))</f>
        <v>1637</v>
      </c>
      <c r="D868" s="15">
        <f>IF(Categorias_Registro[[#This Row],[Puntos]]=ROUND(Piso,0),ROUND(Categorias_Registro[[#This Row],[Puntos]]*(1+Categorias_Registro[[#This Row],[Amplitud]]),0),IF(Categorias_Registro[[#This Row],[Puntos]]&lt;D869,D869,ROUND(D869*(1+Categorias_Registro[[#This Row],[Amplitud]]),0)))</f>
        <v>1881</v>
      </c>
      <c r="E868" s="15">
        <f>E869+IF(D869=Categorias_Registro[[#This Row],[Máximo]],0,1)</f>
        <v>22</v>
      </c>
      <c r="F868" s="15">
        <f>ROUND(Categorias_Registro[[#This Row],[Mínimo]]+((Categorias_Registro[[#This Row],[Máximo]]-Categorias_Registro[[#This Row],[Mínimo]])/2),0)</f>
        <v>1759</v>
      </c>
      <c r="G868" s="78">
        <f>VLOOKUP(Categorias_Registro[[#This Row],[Puntos]],Categorias_Configuracion[],MATCH(Categorias_Configuracion[[#Headers],[% Amplitud]],Categorias_Configuracion[#Headers],0),TRUE)</f>
        <v>0.15</v>
      </c>
      <c r="H868" s="15" t="str">
        <f ca="1">TEXT(Categorias_Registro[[#This Row],[Mínimo]],Formato_Rango_Categorias)&amp;" - "&amp;TEXT(Categorias_Registro[[#This Row],[Máximo]],Formato_Rango_Categorias)</f>
        <v>1.637 - 1.881</v>
      </c>
    </row>
    <row r="869" spans="2:8">
      <c r="B869" s="15">
        <f>Techo - ROW() + ROW(Categorias_Registro[])</f>
        <v>1760</v>
      </c>
      <c r="C869" s="15">
        <f>IF(Categorias_Registro[[#This Row],[Puntos]]&lt;=ROUND(Piso,0),Piso,IF(Categorias_Registro[[#This Row],[Puntos]]&lt;D870,C870,D870+1))</f>
        <v>1637</v>
      </c>
      <c r="D869" s="15">
        <f>IF(Categorias_Registro[[#This Row],[Puntos]]=ROUND(Piso,0),ROUND(Categorias_Registro[[#This Row],[Puntos]]*(1+Categorias_Registro[[#This Row],[Amplitud]]),0),IF(Categorias_Registro[[#This Row],[Puntos]]&lt;D870,D870,ROUND(D870*(1+Categorias_Registro[[#This Row],[Amplitud]]),0)))</f>
        <v>1881</v>
      </c>
      <c r="E869" s="15">
        <f>E870+IF(D870=Categorias_Registro[[#This Row],[Máximo]],0,1)</f>
        <v>22</v>
      </c>
      <c r="F869" s="15">
        <f>ROUND(Categorias_Registro[[#This Row],[Mínimo]]+((Categorias_Registro[[#This Row],[Máximo]]-Categorias_Registro[[#This Row],[Mínimo]])/2),0)</f>
        <v>1759</v>
      </c>
      <c r="G869" s="78">
        <f>VLOOKUP(Categorias_Registro[[#This Row],[Puntos]],Categorias_Configuracion[],MATCH(Categorias_Configuracion[[#Headers],[% Amplitud]],Categorias_Configuracion[#Headers],0),TRUE)</f>
        <v>0.15</v>
      </c>
      <c r="H869" s="15" t="str">
        <f ca="1">TEXT(Categorias_Registro[[#This Row],[Mínimo]],Formato_Rango_Categorias)&amp;" - "&amp;TEXT(Categorias_Registro[[#This Row],[Máximo]],Formato_Rango_Categorias)</f>
        <v>1.637 - 1.881</v>
      </c>
    </row>
    <row r="870" spans="2:8">
      <c r="B870" s="15">
        <f>Techo - ROW() + ROW(Categorias_Registro[])</f>
        <v>1759</v>
      </c>
      <c r="C870" s="15">
        <f>IF(Categorias_Registro[[#This Row],[Puntos]]&lt;=ROUND(Piso,0),Piso,IF(Categorias_Registro[[#This Row],[Puntos]]&lt;D871,C871,D871+1))</f>
        <v>1637</v>
      </c>
      <c r="D870" s="15">
        <f>IF(Categorias_Registro[[#This Row],[Puntos]]=ROUND(Piso,0),ROUND(Categorias_Registro[[#This Row],[Puntos]]*(1+Categorias_Registro[[#This Row],[Amplitud]]),0),IF(Categorias_Registro[[#This Row],[Puntos]]&lt;D871,D871,ROUND(D871*(1+Categorias_Registro[[#This Row],[Amplitud]]),0)))</f>
        <v>1881</v>
      </c>
      <c r="E870" s="15">
        <f>E871+IF(D871=Categorias_Registro[[#This Row],[Máximo]],0,1)</f>
        <v>22</v>
      </c>
      <c r="F870" s="15">
        <f>ROUND(Categorias_Registro[[#This Row],[Mínimo]]+((Categorias_Registro[[#This Row],[Máximo]]-Categorias_Registro[[#This Row],[Mínimo]])/2),0)</f>
        <v>1759</v>
      </c>
      <c r="G870" s="78">
        <f>VLOOKUP(Categorias_Registro[[#This Row],[Puntos]],Categorias_Configuracion[],MATCH(Categorias_Configuracion[[#Headers],[% Amplitud]],Categorias_Configuracion[#Headers],0),TRUE)</f>
        <v>0.15</v>
      </c>
      <c r="H870" s="15" t="str">
        <f ca="1">TEXT(Categorias_Registro[[#This Row],[Mínimo]],Formato_Rango_Categorias)&amp;" - "&amp;TEXT(Categorias_Registro[[#This Row],[Máximo]],Formato_Rango_Categorias)</f>
        <v>1.637 - 1.881</v>
      </c>
    </row>
    <row r="871" spans="2:8">
      <c r="B871" s="15">
        <f>Techo - ROW() + ROW(Categorias_Registro[])</f>
        <v>1758</v>
      </c>
      <c r="C871" s="15">
        <f>IF(Categorias_Registro[[#This Row],[Puntos]]&lt;=ROUND(Piso,0),Piso,IF(Categorias_Registro[[#This Row],[Puntos]]&lt;D872,C872,D872+1))</f>
        <v>1637</v>
      </c>
      <c r="D871" s="15">
        <f>IF(Categorias_Registro[[#This Row],[Puntos]]=ROUND(Piso,0),ROUND(Categorias_Registro[[#This Row],[Puntos]]*(1+Categorias_Registro[[#This Row],[Amplitud]]),0),IF(Categorias_Registro[[#This Row],[Puntos]]&lt;D872,D872,ROUND(D872*(1+Categorias_Registro[[#This Row],[Amplitud]]),0)))</f>
        <v>1881</v>
      </c>
      <c r="E871" s="15">
        <f>E872+IF(D872=Categorias_Registro[[#This Row],[Máximo]],0,1)</f>
        <v>22</v>
      </c>
      <c r="F871" s="15">
        <f>ROUND(Categorias_Registro[[#This Row],[Mínimo]]+((Categorias_Registro[[#This Row],[Máximo]]-Categorias_Registro[[#This Row],[Mínimo]])/2),0)</f>
        <v>1759</v>
      </c>
      <c r="G871" s="78">
        <f>VLOOKUP(Categorias_Registro[[#This Row],[Puntos]],Categorias_Configuracion[],MATCH(Categorias_Configuracion[[#Headers],[% Amplitud]],Categorias_Configuracion[#Headers],0),TRUE)</f>
        <v>0.15</v>
      </c>
      <c r="H871" s="15" t="str">
        <f ca="1">TEXT(Categorias_Registro[[#This Row],[Mínimo]],Formato_Rango_Categorias)&amp;" - "&amp;TEXT(Categorias_Registro[[#This Row],[Máximo]],Formato_Rango_Categorias)</f>
        <v>1.637 - 1.881</v>
      </c>
    </row>
    <row r="872" spans="2:8">
      <c r="B872" s="15">
        <f>Techo - ROW() + ROW(Categorias_Registro[])</f>
        <v>1757</v>
      </c>
      <c r="C872" s="15">
        <f>IF(Categorias_Registro[[#This Row],[Puntos]]&lt;=ROUND(Piso,0),Piso,IF(Categorias_Registro[[#This Row],[Puntos]]&lt;D873,C873,D873+1))</f>
        <v>1637</v>
      </c>
      <c r="D872" s="15">
        <f>IF(Categorias_Registro[[#This Row],[Puntos]]=ROUND(Piso,0),ROUND(Categorias_Registro[[#This Row],[Puntos]]*(1+Categorias_Registro[[#This Row],[Amplitud]]),0),IF(Categorias_Registro[[#This Row],[Puntos]]&lt;D873,D873,ROUND(D873*(1+Categorias_Registro[[#This Row],[Amplitud]]),0)))</f>
        <v>1881</v>
      </c>
      <c r="E872" s="15">
        <f>E873+IF(D873=Categorias_Registro[[#This Row],[Máximo]],0,1)</f>
        <v>22</v>
      </c>
      <c r="F872" s="15">
        <f>ROUND(Categorias_Registro[[#This Row],[Mínimo]]+((Categorias_Registro[[#This Row],[Máximo]]-Categorias_Registro[[#This Row],[Mínimo]])/2),0)</f>
        <v>1759</v>
      </c>
      <c r="G872" s="78">
        <f>VLOOKUP(Categorias_Registro[[#This Row],[Puntos]],Categorias_Configuracion[],MATCH(Categorias_Configuracion[[#Headers],[% Amplitud]],Categorias_Configuracion[#Headers],0),TRUE)</f>
        <v>0.15</v>
      </c>
      <c r="H872" s="15" t="str">
        <f ca="1">TEXT(Categorias_Registro[[#This Row],[Mínimo]],Formato_Rango_Categorias)&amp;" - "&amp;TEXT(Categorias_Registro[[#This Row],[Máximo]],Formato_Rango_Categorias)</f>
        <v>1.637 - 1.881</v>
      </c>
    </row>
    <row r="873" spans="2:8">
      <c r="B873" s="15">
        <f>Techo - ROW() + ROW(Categorias_Registro[])</f>
        <v>1756</v>
      </c>
      <c r="C873" s="15">
        <f>IF(Categorias_Registro[[#This Row],[Puntos]]&lt;=ROUND(Piso,0),Piso,IF(Categorias_Registro[[#This Row],[Puntos]]&lt;D874,C874,D874+1))</f>
        <v>1637</v>
      </c>
      <c r="D873" s="15">
        <f>IF(Categorias_Registro[[#This Row],[Puntos]]=ROUND(Piso,0),ROUND(Categorias_Registro[[#This Row],[Puntos]]*(1+Categorias_Registro[[#This Row],[Amplitud]]),0),IF(Categorias_Registro[[#This Row],[Puntos]]&lt;D874,D874,ROUND(D874*(1+Categorias_Registro[[#This Row],[Amplitud]]),0)))</f>
        <v>1881</v>
      </c>
      <c r="E873" s="15">
        <f>E874+IF(D874=Categorias_Registro[[#This Row],[Máximo]],0,1)</f>
        <v>22</v>
      </c>
      <c r="F873" s="15">
        <f>ROUND(Categorias_Registro[[#This Row],[Mínimo]]+((Categorias_Registro[[#This Row],[Máximo]]-Categorias_Registro[[#This Row],[Mínimo]])/2),0)</f>
        <v>1759</v>
      </c>
      <c r="G873" s="78">
        <f>VLOOKUP(Categorias_Registro[[#This Row],[Puntos]],Categorias_Configuracion[],MATCH(Categorias_Configuracion[[#Headers],[% Amplitud]],Categorias_Configuracion[#Headers],0),TRUE)</f>
        <v>0.15</v>
      </c>
      <c r="H873" s="15" t="str">
        <f ca="1">TEXT(Categorias_Registro[[#This Row],[Mínimo]],Formato_Rango_Categorias)&amp;" - "&amp;TEXT(Categorias_Registro[[#This Row],[Máximo]],Formato_Rango_Categorias)</f>
        <v>1.637 - 1.881</v>
      </c>
    </row>
    <row r="874" spans="2:8">
      <c r="B874" s="15">
        <f>Techo - ROW() + ROW(Categorias_Registro[])</f>
        <v>1755</v>
      </c>
      <c r="C874" s="15">
        <f>IF(Categorias_Registro[[#This Row],[Puntos]]&lt;=ROUND(Piso,0),Piso,IF(Categorias_Registro[[#This Row],[Puntos]]&lt;D875,C875,D875+1))</f>
        <v>1637</v>
      </c>
      <c r="D874" s="15">
        <f>IF(Categorias_Registro[[#This Row],[Puntos]]=ROUND(Piso,0),ROUND(Categorias_Registro[[#This Row],[Puntos]]*(1+Categorias_Registro[[#This Row],[Amplitud]]),0),IF(Categorias_Registro[[#This Row],[Puntos]]&lt;D875,D875,ROUND(D875*(1+Categorias_Registro[[#This Row],[Amplitud]]),0)))</f>
        <v>1881</v>
      </c>
      <c r="E874" s="15">
        <f>E875+IF(D875=Categorias_Registro[[#This Row],[Máximo]],0,1)</f>
        <v>22</v>
      </c>
      <c r="F874" s="15">
        <f>ROUND(Categorias_Registro[[#This Row],[Mínimo]]+((Categorias_Registro[[#This Row],[Máximo]]-Categorias_Registro[[#This Row],[Mínimo]])/2),0)</f>
        <v>1759</v>
      </c>
      <c r="G874" s="78">
        <f>VLOOKUP(Categorias_Registro[[#This Row],[Puntos]],Categorias_Configuracion[],MATCH(Categorias_Configuracion[[#Headers],[% Amplitud]],Categorias_Configuracion[#Headers],0),TRUE)</f>
        <v>0.15</v>
      </c>
      <c r="H874" s="15" t="str">
        <f ca="1">TEXT(Categorias_Registro[[#This Row],[Mínimo]],Formato_Rango_Categorias)&amp;" - "&amp;TEXT(Categorias_Registro[[#This Row],[Máximo]],Formato_Rango_Categorias)</f>
        <v>1.637 - 1.881</v>
      </c>
    </row>
    <row r="875" spans="2:8">
      <c r="B875" s="15">
        <f>Techo - ROW() + ROW(Categorias_Registro[])</f>
        <v>1754</v>
      </c>
      <c r="C875" s="15">
        <f>IF(Categorias_Registro[[#This Row],[Puntos]]&lt;=ROUND(Piso,0),Piso,IF(Categorias_Registro[[#This Row],[Puntos]]&lt;D876,C876,D876+1))</f>
        <v>1637</v>
      </c>
      <c r="D875" s="15">
        <f>IF(Categorias_Registro[[#This Row],[Puntos]]=ROUND(Piso,0),ROUND(Categorias_Registro[[#This Row],[Puntos]]*(1+Categorias_Registro[[#This Row],[Amplitud]]),0),IF(Categorias_Registro[[#This Row],[Puntos]]&lt;D876,D876,ROUND(D876*(1+Categorias_Registro[[#This Row],[Amplitud]]),0)))</f>
        <v>1881</v>
      </c>
      <c r="E875" s="15">
        <f>E876+IF(D876=Categorias_Registro[[#This Row],[Máximo]],0,1)</f>
        <v>22</v>
      </c>
      <c r="F875" s="15">
        <f>ROUND(Categorias_Registro[[#This Row],[Mínimo]]+((Categorias_Registro[[#This Row],[Máximo]]-Categorias_Registro[[#This Row],[Mínimo]])/2),0)</f>
        <v>1759</v>
      </c>
      <c r="G875" s="78">
        <f>VLOOKUP(Categorias_Registro[[#This Row],[Puntos]],Categorias_Configuracion[],MATCH(Categorias_Configuracion[[#Headers],[% Amplitud]],Categorias_Configuracion[#Headers],0),TRUE)</f>
        <v>0.15</v>
      </c>
      <c r="H875" s="15" t="str">
        <f ca="1">TEXT(Categorias_Registro[[#This Row],[Mínimo]],Formato_Rango_Categorias)&amp;" - "&amp;TEXT(Categorias_Registro[[#This Row],[Máximo]],Formato_Rango_Categorias)</f>
        <v>1.637 - 1.881</v>
      </c>
    </row>
    <row r="876" spans="2:8">
      <c r="B876" s="15">
        <f>Techo - ROW() + ROW(Categorias_Registro[])</f>
        <v>1753</v>
      </c>
      <c r="C876" s="15">
        <f>IF(Categorias_Registro[[#This Row],[Puntos]]&lt;=ROUND(Piso,0),Piso,IF(Categorias_Registro[[#This Row],[Puntos]]&lt;D877,C877,D877+1))</f>
        <v>1637</v>
      </c>
      <c r="D876" s="15">
        <f>IF(Categorias_Registro[[#This Row],[Puntos]]=ROUND(Piso,0),ROUND(Categorias_Registro[[#This Row],[Puntos]]*(1+Categorias_Registro[[#This Row],[Amplitud]]),0),IF(Categorias_Registro[[#This Row],[Puntos]]&lt;D877,D877,ROUND(D877*(1+Categorias_Registro[[#This Row],[Amplitud]]),0)))</f>
        <v>1881</v>
      </c>
      <c r="E876" s="15">
        <f>E877+IF(D877=Categorias_Registro[[#This Row],[Máximo]],0,1)</f>
        <v>22</v>
      </c>
      <c r="F876" s="15">
        <f>ROUND(Categorias_Registro[[#This Row],[Mínimo]]+((Categorias_Registro[[#This Row],[Máximo]]-Categorias_Registro[[#This Row],[Mínimo]])/2),0)</f>
        <v>1759</v>
      </c>
      <c r="G876" s="78">
        <f>VLOOKUP(Categorias_Registro[[#This Row],[Puntos]],Categorias_Configuracion[],MATCH(Categorias_Configuracion[[#Headers],[% Amplitud]],Categorias_Configuracion[#Headers],0),TRUE)</f>
        <v>0.15</v>
      </c>
      <c r="H876" s="15" t="str">
        <f ca="1">TEXT(Categorias_Registro[[#This Row],[Mínimo]],Formato_Rango_Categorias)&amp;" - "&amp;TEXT(Categorias_Registro[[#This Row],[Máximo]],Formato_Rango_Categorias)</f>
        <v>1.637 - 1.881</v>
      </c>
    </row>
    <row r="877" spans="2:8">
      <c r="B877" s="15">
        <f>Techo - ROW() + ROW(Categorias_Registro[])</f>
        <v>1752</v>
      </c>
      <c r="C877" s="15">
        <f>IF(Categorias_Registro[[#This Row],[Puntos]]&lt;=ROUND(Piso,0),Piso,IF(Categorias_Registro[[#This Row],[Puntos]]&lt;D878,C878,D878+1))</f>
        <v>1637</v>
      </c>
      <c r="D877" s="15">
        <f>IF(Categorias_Registro[[#This Row],[Puntos]]=ROUND(Piso,0),ROUND(Categorias_Registro[[#This Row],[Puntos]]*(1+Categorias_Registro[[#This Row],[Amplitud]]),0),IF(Categorias_Registro[[#This Row],[Puntos]]&lt;D878,D878,ROUND(D878*(1+Categorias_Registro[[#This Row],[Amplitud]]),0)))</f>
        <v>1881</v>
      </c>
      <c r="E877" s="15">
        <f>E878+IF(D878=Categorias_Registro[[#This Row],[Máximo]],0,1)</f>
        <v>22</v>
      </c>
      <c r="F877" s="15">
        <f>ROUND(Categorias_Registro[[#This Row],[Mínimo]]+((Categorias_Registro[[#This Row],[Máximo]]-Categorias_Registro[[#This Row],[Mínimo]])/2),0)</f>
        <v>1759</v>
      </c>
      <c r="G877" s="78">
        <f>VLOOKUP(Categorias_Registro[[#This Row],[Puntos]],Categorias_Configuracion[],MATCH(Categorias_Configuracion[[#Headers],[% Amplitud]],Categorias_Configuracion[#Headers],0),TRUE)</f>
        <v>0.15</v>
      </c>
      <c r="H877" s="15" t="str">
        <f ca="1">TEXT(Categorias_Registro[[#This Row],[Mínimo]],Formato_Rango_Categorias)&amp;" - "&amp;TEXT(Categorias_Registro[[#This Row],[Máximo]],Formato_Rango_Categorias)</f>
        <v>1.637 - 1.881</v>
      </c>
    </row>
    <row r="878" spans="2:8">
      <c r="B878" s="15">
        <f>Techo - ROW() + ROW(Categorias_Registro[])</f>
        <v>1751</v>
      </c>
      <c r="C878" s="15">
        <f>IF(Categorias_Registro[[#This Row],[Puntos]]&lt;=ROUND(Piso,0),Piso,IF(Categorias_Registro[[#This Row],[Puntos]]&lt;D879,C879,D879+1))</f>
        <v>1637</v>
      </c>
      <c r="D878" s="15">
        <f>IF(Categorias_Registro[[#This Row],[Puntos]]=ROUND(Piso,0),ROUND(Categorias_Registro[[#This Row],[Puntos]]*(1+Categorias_Registro[[#This Row],[Amplitud]]),0),IF(Categorias_Registro[[#This Row],[Puntos]]&lt;D879,D879,ROUND(D879*(1+Categorias_Registro[[#This Row],[Amplitud]]),0)))</f>
        <v>1881</v>
      </c>
      <c r="E878" s="15">
        <f>E879+IF(D879=Categorias_Registro[[#This Row],[Máximo]],0,1)</f>
        <v>22</v>
      </c>
      <c r="F878" s="15">
        <f>ROUND(Categorias_Registro[[#This Row],[Mínimo]]+((Categorias_Registro[[#This Row],[Máximo]]-Categorias_Registro[[#This Row],[Mínimo]])/2),0)</f>
        <v>1759</v>
      </c>
      <c r="G878" s="78">
        <f>VLOOKUP(Categorias_Registro[[#This Row],[Puntos]],Categorias_Configuracion[],MATCH(Categorias_Configuracion[[#Headers],[% Amplitud]],Categorias_Configuracion[#Headers],0),TRUE)</f>
        <v>0.15</v>
      </c>
      <c r="H878" s="15" t="str">
        <f ca="1">TEXT(Categorias_Registro[[#This Row],[Mínimo]],Formato_Rango_Categorias)&amp;" - "&amp;TEXT(Categorias_Registro[[#This Row],[Máximo]],Formato_Rango_Categorias)</f>
        <v>1.637 - 1.881</v>
      </c>
    </row>
    <row r="879" spans="2:8">
      <c r="B879" s="15">
        <f>Techo - ROW() + ROW(Categorias_Registro[])</f>
        <v>1750</v>
      </c>
      <c r="C879" s="15">
        <f>IF(Categorias_Registro[[#This Row],[Puntos]]&lt;=ROUND(Piso,0),Piso,IF(Categorias_Registro[[#This Row],[Puntos]]&lt;D880,C880,D880+1))</f>
        <v>1637</v>
      </c>
      <c r="D879" s="15">
        <f>IF(Categorias_Registro[[#This Row],[Puntos]]=ROUND(Piso,0),ROUND(Categorias_Registro[[#This Row],[Puntos]]*(1+Categorias_Registro[[#This Row],[Amplitud]]),0),IF(Categorias_Registro[[#This Row],[Puntos]]&lt;D880,D880,ROUND(D880*(1+Categorias_Registro[[#This Row],[Amplitud]]),0)))</f>
        <v>1881</v>
      </c>
      <c r="E879" s="15">
        <f>E880+IF(D880=Categorias_Registro[[#This Row],[Máximo]],0,1)</f>
        <v>22</v>
      </c>
      <c r="F879" s="15">
        <f>ROUND(Categorias_Registro[[#This Row],[Mínimo]]+((Categorias_Registro[[#This Row],[Máximo]]-Categorias_Registro[[#This Row],[Mínimo]])/2),0)</f>
        <v>1759</v>
      </c>
      <c r="G879" s="78">
        <f>VLOOKUP(Categorias_Registro[[#This Row],[Puntos]],Categorias_Configuracion[],MATCH(Categorias_Configuracion[[#Headers],[% Amplitud]],Categorias_Configuracion[#Headers],0),TRUE)</f>
        <v>0.15</v>
      </c>
      <c r="H879" s="15" t="str">
        <f ca="1">TEXT(Categorias_Registro[[#This Row],[Mínimo]],Formato_Rango_Categorias)&amp;" - "&amp;TEXT(Categorias_Registro[[#This Row],[Máximo]],Formato_Rango_Categorias)</f>
        <v>1.637 - 1.881</v>
      </c>
    </row>
    <row r="880" spans="2:8">
      <c r="B880" s="15">
        <f>Techo - ROW() + ROW(Categorias_Registro[])</f>
        <v>1749</v>
      </c>
      <c r="C880" s="15">
        <f>IF(Categorias_Registro[[#This Row],[Puntos]]&lt;=ROUND(Piso,0),Piso,IF(Categorias_Registro[[#This Row],[Puntos]]&lt;D881,C881,D881+1))</f>
        <v>1637</v>
      </c>
      <c r="D880" s="15">
        <f>IF(Categorias_Registro[[#This Row],[Puntos]]=ROUND(Piso,0),ROUND(Categorias_Registro[[#This Row],[Puntos]]*(1+Categorias_Registro[[#This Row],[Amplitud]]),0),IF(Categorias_Registro[[#This Row],[Puntos]]&lt;D881,D881,ROUND(D881*(1+Categorias_Registro[[#This Row],[Amplitud]]),0)))</f>
        <v>1881</v>
      </c>
      <c r="E880" s="15">
        <f>E881+IF(D881=Categorias_Registro[[#This Row],[Máximo]],0,1)</f>
        <v>22</v>
      </c>
      <c r="F880" s="15">
        <f>ROUND(Categorias_Registro[[#This Row],[Mínimo]]+((Categorias_Registro[[#This Row],[Máximo]]-Categorias_Registro[[#This Row],[Mínimo]])/2),0)</f>
        <v>1759</v>
      </c>
      <c r="G880" s="78">
        <f>VLOOKUP(Categorias_Registro[[#This Row],[Puntos]],Categorias_Configuracion[],MATCH(Categorias_Configuracion[[#Headers],[% Amplitud]],Categorias_Configuracion[#Headers],0),TRUE)</f>
        <v>0.15</v>
      </c>
      <c r="H880" s="15" t="str">
        <f ca="1">TEXT(Categorias_Registro[[#This Row],[Mínimo]],Formato_Rango_Categorias)&amp;" - "&amp;TEXT(Categorias_Registro[[#This Row],[Máximo]],Formato_Rango_Categorias)</f>
        <v>1.637 - 1.881</v>
      </c>
    </row>
    <row r="881" spans="2:8">
      <c r="B881" s="15">
        <f>Techo - ROW() + ROW(Categorias_Registro[])</f>
        <v>1748</v>
      </c>
      <c r="C881" s="15">
        <f>IF(Categorias_Registro[[#This Row],[Puntos]]&lt;=ROUND(Piso,0),Piso,IF(Categorias_Registro[[#This Row],[Puntos]]&lt;D882,C882,D882+1))</f>
        <v>1637</v>
      </c>
      <c r="D881" s="15">
        <f>IF(Categorias_Registro[[#This Row],[Puntos]]=ROUND(Piso,0),ROUND(Categorias_Registro[[#This Row],[Puntos]]*(1+Categorias_Registro[[#This Row],[Amplitud]]),0),IF(Categorias_Registro[[#This Row],[Puntos]]&lt;D882,D882,ROUND(D882*(1+Categorias_Registro[[#This Row],[Amplitud]]),0)))</f>
        <v>1881</v>
      </c>
      <c r="E881" s="15">
        <f>E882+IF(D882=Categorias_Registro[[#This Row],[Máximo]],0,1)</f>
        <v>22</v>
      </c>
      <c r="F881" s="15">
        <f>ROUND(Categorias_Registro[[#This Row],[Mínimo]]+((Categorias_Registro[[#This Row],[Máximo]]-Categorias_Registro[[#This Row],[Mínimo]])/2),0)</f>
        <v>1759</v>
      </c>
      <c r="G881" s="78">
        <f>VLOOKUP(Categorias_Registro[[#This Row],[Puntos]],Categorias_Configuracion[],MATCH(Categorias_Configuracion[[#Headers],[% Amplitud]],Categorias_Configuracion[#Headers],0),TRUE)</f>
        <v>0.15</v>
      </c>
      <c r="H881" s="15" t="str">
        <f ca="1">TEXT(Categorias_Registro[[#This Row],[Mínimo]],Formato_Rango_Categorias)&amp;" - "&amp;TEXT(Categorias_Registro[[#This Row],[Máximo]],Formato_Rango_Categorias)</f>
        <v>1.637 - 1.881</v>
      </c>
    </row>
    <row r="882" spans="2:8">
      <c r="B882" s="15">
        <f>Techo - ROW() + ROW(Categorias_Registro[])</f>
        <v>1747</v>
      </c>
      <c r="C882" s="15">
        <f>IF(Categorias_Registro[[#This Row],[Puntos]]&lt;=ROUND(Piso,0),Piso,IF(Categorias_Registro[[#This Row],[Puntos]]&lt;D883,C883,D883+1))</f>
        <v>1637</v>
      </c>
      <c r="D882" s="15">
        <f>IF(Categorias_Registro[[#This Row],[Puntos]]=ROUND(Piso,0),ROUND(Categorias_Registro[[#This Row],[Puntos]]*(1+Categorias_Registro[[#This Row],[Amplitud]]),0),IF(Categorias_Registro[[#This Row],[Puntos]]&lt;D883,D883,ROUND(D883*(1+Categorias_Registro[[#This Row],[Amplitud]]),0)))</f>
        <v>1881</v>
      </c>
      <c r="E882" s="15">
        <f>E883+IF(D883=Categorias_Registro[[#This Row],[Máximo]],0,1)</f>
        <v>22</v>
      </c>
      <c r="F882" s="15">
        <f>ROUND(Categorias_Registro[[#This Row],[Mínimo]]+((Categorias_Registro[[#This Row],[Máximo]]-Categorias_Registro[[#This Row],[Mínimo]])/2),0)</f>
        <v>1759</v>
      </c>
      <c r="G882" s="78">
        <f>VLOOKUP(Categorias_Registro[[#This Row],[Puntos]],Categorias_Configuracion[],MATCH(Categorias_Configuracion[[#Headers],[% Amplitud]],Categorias_Configuracion[#Headers],0),TRUE)</f>
        <v>0.15</v>
      </c>
      <c r="H882" s="15" t="str">
        <f ca="1">TEXT(Categorias_Registro[[#This Row],[Mínimo]],Formato_Rango_Categorias)&amp;" - "&amp;TEXT(Categorias_Registro[[#This Row],[Máximo]],Formato_Rango_Categorias)</f>
        <v>1.637 - 1.881</v>
      </c>
    </row>
    <row r="883" spans="2:8">
      <c r="B883" s="15">
        <f>Techo - ROW() + ROW(Categorias_Registro[])</f>
        <v>1746</v>
      </c>
      <c r="C883" s="15">
        <f>IF(Categorias_Registro[[#This Row],[Puntos]]&lt;=ROUND(Piso,0),Piso,IF(Categorias_Registro[[#This Row],[Puntos]]&lt;D884,C884,D884+1))</f>
        <v>1637</v>
      </c>
      <c r="D883" s="15">
        <f>IF(Categorias_Registro[[#This Row],[Puntos]]=ROUND(Piso,0),ROUND(Categorias_Registro[[#This Row],[Puntos]]*(1+Categorias_Registro[[#This Row],[Amplitud]]),0),IF(Categorias_Registro[[#This Row],[Puntos]]&lt;D884,D884,ROUND(D884*(1+Categorias_Registro[[#This Row],[Amplitud]]),0)))</f>
        <v>1881</v>
      </c>
      <c r="E883" s="15">
        <f>E884+IF(D884=Categorias_Registro[[#This Row],[Máximo]],0,1)</f>
        <v>22</v>
      </c>
      <c r="F883" s="15">
        <f>ROUND(Categorias_Registro[[#This Row],[Mínimo]]+((Categorias_Registro[[#This Row],[Máximo]]-Categorias_Registro[[#This Row],[Mínimo]])/2),0)</f>
        <v>1759</v>
      </c>
      <c r="G883" s="78">
        <f>VLOOKUP(Categorias_Registro[[#This Row],[Puntos]],Categorias_Configuracion[],MATCH(Categorias_Configuracion[[#Headers],[% Amplitud]],Categorias_Configuracion[#Headers],0),TRUE)</f>
        <v>0.15</v>
      </c>
      <c r="H883" s="15" t="str">
        <f ca="1">TEXT(Categorias_Registro[[#This Row],[Mínimo]],Formato_Rango_Categorias)&amp;" - "&amp;TEXT(Categorias_Registro[[#This Row],[Máximo]],Formato_Rango_Categorias)</f>
        <v>1.637 - 1.881</v>
      </c>
    </row>
    <row r="884" spans="2:8">
      <c r="B884" s="15">
        <f>Techo - ROW() + ROW(Categorias_Registro[])</f>
        <v>1745</v>
      </c>
      <c r="C884" s="15">
        <f>IF(Categorias_Registro[[#This Row],[Puntos]]&lt;=ROUND(Piso,0),Piso,IF(Categorias_Registro[[#This Row],[Puntos]]&lt;D885,C885,D885+1))</f>
        <v>1637</v>
      </c>
      <c r="D884" s="15">
        <f>IF(Categorias_Registro[[#This Row],[Puntos]]=ROUND(Piso,0),ROUND(Categorias_Registro[[#This Row],[Puntos]]*(1+Categorias_Registro[[#This Row],[Amplitud]]),0),IF(Categorias_Registro[[#This Row],[Puntos]]&lt;D885,D885,ROUND(D885*(1+Categorias_Registro[[#This Row],[Amplitud]]),0)))</f>
        <v>1881</v>
      </c>
      <c r="E884" s="15">
        <f>E885+IF(D885=Categorias_Registro[[#This Row],[Máximo]],0,1)</f>
        <v>22</v>
      </c>
      <c r="F884" s="15">
        <f>ROUND(Categorias_Registro[[#This Row],[Mínimo]]+((Categorias_Registro[[#This Row],[Máximo]]-Categorias_Registro[[#This Row],[Mínimo]])/2),0)</f>
        <v>1759</v>
      </c>
      <c r="G884" s="78">
        <f>VLOOKUP(Categorias_Registro[[#This Row],[Puntos]],Categorias_Configuracion[],MATCH(Categorias_Configuracion[[#Headers],[% Amplitud]],Categorias_Configuracion[#Headers],0),TRUE)</f>
        <v>0.15</v>
      </c>
      <c r="H884" s="15" t="str">
        <f ca="1">TEXT(Categorias_Registro[[#This Row],[Mínimo]],Formato_Rango_Categorias)&amp;" - "&amp;TEXT(Categorias_Registro[[#This Row],[Máximo]],Formato_Rango_Categorias)</f>
        <v>1.637 - 1.881</v>
      </c>
    </row>
    <row r="885" spans="2:8">
      <c r="B885" s="15">
        <f>Techo - ROW() + ROW(Categorias_Registro[])</f>
        <v>1744</v>
      </c>
      <c r="C885" s="15">
        <f>IF(Categorias_Registro[[#This Row],[Puntos]]&lt;=ROUND(Piso,0),Piso,IF(Categorias_Registro[[#This Row],[Puntos]]&lt;D886,C886,D886+1))</f>
        <v>1637</v>
      </c>
      <c r="D885" s="15">
        <f>IF(Categorias_Registro[[#This Row],[Puntos]]=ROUND(Piso,0),ROUND(Categorias_Registro[[#This Row],[Puntos]]*(1+Categorias_Registro[[#This Row],[Amplitud]]),0),IF(Categorias_Registro[[#This Row],[Puntos]]&lt;D886,D886,ROUND(D886*(1+Categorias_Registro[[#This Row],[Amplitud]]),0)))</f>
        <v>1881</v>
      </c>
      <c r="E885" s="15">
        <f>E886+IF(D886=Categorias_Registro[[#This Row],[Máximo]],0,1)</f>
        <v>22</v>
      </c>
      <c r="F885" s="15">
        <f>ROUND(Categorias_Registro[[#This Row],[Mínimo]]+((Categorias_Registro[[#This Row],[Máximo]]-Categorias_Registro[[#This Row],[Mínimo]])/2),0)</f>
        <v>1759</v>
      </c>
      <c r="G885" s="78">
        <f>VLOOKUP(Categorias_Registro[[#This Row],[Puntos]],Categorias_Configuracion[],MATCH(Categorias_Configuracion[[#Headers],[% Amplitud]],Categorias_Configuracion[#Headers],0),TRUE)</f>
        <v>0.15</v>
      </c>
      <c r="H885" s="15" t="str">
        <f ca="1">TEXT(Categorias_Registro[[#This Row],[Mínimo]],Formato_Rango_Categorias)&amp;" - "&amp;TEXT(Categorias_Registro[[#This Row],[Máximo]],Formato_Rango_Categorias)</f>
        <v>1.637 - 1.881</v>
      </c>
    </row>
    <row r="886" spans="2:8">
      <c r="B886" s="15">
        <f>Techo - ROW() + ROW(Categorias_Registro[])</f>
        <v>1743</v>
      </c>
      <c r="C886" s="15">
        <f>IF(Categorias_Registro[[#This Row],[Puntos]]&lt;=ROUND(Piso,0),Piso,IF(Categorias_Registro[[#This Row],[Puntos]]&lt;D887,C887,D887+1))</f>
        <v>1637</v>
      </c>
      <c r="D886" s="15">
        <f>IF(Categorias_Registro[[#This Row],[Puntos]]=ROUND(Piso,0),ROUND(Categorias_Registro[[#This Row],[Puntos]]*(1+Categorias_Registro[[#This Row],[Amplitud]]),0),IF(Categorias_Registro[[#This Row],[Puntos]]&lt;D887,D887,ROUND(D887*(1+Categorias_Registro[[#This Row],[Amplitud]]),0)))</f>
        <v>1881</v>
      </c>
      <c r="E886" s="15">
        <f>E887+IF(D887=Categorias_Registro[[#This Row],[Máximo]],0,1)</f>
        <v>22</v>
      </c>
      <c r="F886" s="15">
        <f>ROUND(Categorias_Registro[[#This Row],[Mínimo]]+((Categorias_Registro[[#This Row],[Máximo]]-Categorias_Registro[[#This Row],[Mínimo]])/2),0)</f>
        <v>1759</v>
      </c>
      <c r="G886" s="78">
        <f>VLOOKUP(Categorias_Registro[[#This Row],[Puntos]],Categorias_Configuracion[],MATCH(Categorias_Configuracion[[#Headers],[% Amplitud]],Categorias_Configuracion[#Headers],0),TRUE)</f>
        <v>0.15</v>
      </c>
      <c r="H886" s="15" t="str">
        <f ca="1">TEXT(Categorias_Registro[[#This Row],[Mínimo]],Formato_Rango_Categorias)&amp;" - "&amp;TEXT(Categorias_Registro[[#This Row],[Máximo]],Formato_Rango_Categorias)</f>
        <v>1.637 - 1.881</v>
      </c>
    </row>
    <row r="887" spans="2:8">
      <c r="B887" s="15">
        <f>Techo - ROW() + ROW(Categorias_Registro[])</f>
        <v>1742</v>
      </c>
      <c r="C887" s="15">
        <f>IF(Categorias_Registro[[#This Row],[Puntos]]&lt;=ROUND(Piso,0),Piso,IF(Categorias_Registro[[#This Row],[Puntos]]&lt;D888,C888,D888+1))</f>
        <v>1637</v>
      </c>
      <c r="D887" s="15">
        <f>IF(Categorias_Registro[[#This Row],[Puntos]]=ROUND(Piso,0),ROUND(Categorias_Registro[[#This Row],[Puntos]]*(1+Categorias_Registro[[#This Row],[Amplitud]]),0),IF(Categorias_Registro[[#This Row],[Puntos]]&lt;D888,D888,ROUND(D888*(1+Categorias_Registro[[#This Row],[Amplitud]]),0)))</f>
        <v>1881</v>
      </c>
      <c r="E887" s="15">
        <f>E888+IF(D888=Categorias_Registro[[#This Row],[Máximo]],0,1)</f>
        <v>22</v>
      </c>
      <c r="F887" s="15">
        <f>ROUND(Categorias_Registro[[#This Row],[Mínimo]]+((Categorias_Registro[[#This Row],[Máximo]]-Categorias_Registro[[#This Row],[Mínimo]])/2),0)</f>
        <v>1759</v>
      </c>
      <c r="G887" s="78">
        <f>VLOOKUP(Categorias_Registro[[#This Row],[Puntos]],Categorias_Configuracion[],MATCH(Categorias_Configuracion[[#Headers],[% Amplitud]],Categorias_Configuracion[#Headers],0),TRUE)</f>
        <v>0.15</v>
      </c>
      <c r="H887" s="15" t="str">
        <f ca="1">TEXT(Categorias_Registro[[#This Row],[Mínimo]],Formato_Rango_Categorias)&amp;" - "&amp;TEXT(Categorias_Registro[[#This Row],[Máximo]],Formato_Rango_Categorias)</f>
        <v>1.637 - 1.881</v>
      </c>
    </row>
    <row r="888" spans="2:8">
      <c r="B888" s="15">
        <f>Techo - ROW() + ROW(Categorias_Registro[])</f>
        <v>1741</v>
      </c>
      <c r="C888" s="15">
        <f>IF(Categorias_Registro[[#This Row],[Puntos]]&lt;=ROUND(Piso,0),Piso,IF(Categorias_Registro[[#This Row],[Puntos]]&lt;D889,C889,D889+1))</f>
        <v>1637</v>
      </c>
      <c r="D888" s="15">
        <f>IF(Categorias_Registro[[#This Row],[Puntos]]=ROUND(Piso,0),ROUND(Categorias_Registro[[#This Row],[Puntos]]*(1+Categorias_Registro[[#This Row],[Amplitud]]),0),IF(Categorias_Registro[[#This Row],[Puntos]]&lt;D889,D889,ROUND(D889*(1+Categorias_Registro[[#This Row],[Amplitud]]),0)))</f>
        <v>1881</v>
      </c>
      <c r="E888" s="15">
        <f>E889+IF(D889=Categorias_Registro[[#This Row],[Máximo]],0,1)</f>
        <v>22</v>
      </c>
      <c r="F888" s="15">
        <f>ROUND(Categorias_Registro[[#This Row],[Mínimo]]+((Categorias_Registro[[#This Row],[Máximo]]-Categorias_Registro[[#This Row],[Mínimo]])/2),0)</f>
        <v>1759</v>
      </c>
      <c r="G888" s="78">
        <f>VLOOKUP(Categorias_Registro[[#This Row],[Puntos]],Categorias_Configuracion[],MATCH(Categorias_Configuracion[[#Headers],[% Amplitud]],Categorias_Configuracion[#Headers],0),TRUE)</f>
        <v>0.15</v>
      </c>
      <c r="H888" s="15" t="str">
        <f ca="1">TEXT(Categorias_Registro[[#This Row],[Mínimo]],Formato_Rango_Categorias)&amp;" - "&amp;TEXT(Categorias_Registro[[#This Row],[Máximo]],Formato_Rango_Categorias)</f>
        <v>1.637 - 1.881</v>
      </c>
    </row>
    <row r="889" spans="2:8">
      <c r="B889" s="15">
        <f>Techo - ROW() + ROW(Categorias_Registro[])</f>
        <v>1740</v>
      </c>
      <c r="C889" s="15">
        <f>IF(Categorias_Registro[[#This Row],[Puntos]]&lt;=ROUND(Piso,0),Piso,IF(Categorias_Registro[[#This Row],[Puntos]]&lt;D890,C890,D890+1))</f>
        <v>1637</v>
      </c>
      <c r="D889" s="15">
        <f>IF(Categorias_Registro[[#This Row],[Puntos]]=ROUND(Piso,0),ROUND(Categorias_Registro[[#This Row],[Puntos]]*(1+Categorias_Registro[[#This Row],[Amplitud]]),0),IF(Categorias_Registro[[#This Row],[Puntos]]&lt;D890,D890,ROUND(D890*(1+Categorias_Registro[[#This Row],[Amplitud]]),0)))</f>
        <v>1881</v>
      </c>
      <c r="E889" s="15">
        <f>E890+IF(D890=Categorias_Registro[[#This Row],[Máximo]],0,1)</f>
        <v>22</v>
      </c>
      <c r="F889" s="15">
        <f>ROUND(Categorias_Registro[[#This Row],[Mínimo]]+((Categorias_Registro[[#This Row],[Máximo]]-Categorias_Registro[[#This Row],[Mínimo]])/2),0)</f>
        <v>1759</v>
      </c>
      <c r="G889" s="78">
        <f>VLOOKUP(Categorias_Registro[[#This Row],[Puntos]],Categorias_Configuracion[],MATCH(Categorias_Configuracion[[#Headers],[% Amplitud]],Categorias_Configuracion[#Headers],0),TRUE)</f>
        <v>0.15</v>
      </c>
      <c r="H889" s="15" t="str">
        <f ca="1">TEXT(Categorias_Registro[[#This Row],[Mínimo]],Formato_Rango_Categorias)&amp;" - "&amp;TEXT(Categorias_Registro[[#This Row],[Máximo]],Formato_Rango_Categorias)</f>
        <v>1.637 - 1.881</v>
      </c>
    </row>
    <row r="890" spans="2:8">
      <c r="B890" s="15">
        <f>Techo - ROW() + ROW(Categorias_Registro[])</f>
        <v>1739</v>
      </c>
      <c r="C890" s="15">
        <f>IF(Categorias_Registro[[#This Row],[Puntos]]&lt;=ROUND(Piso,0),Piso,IF(Categorias_Registro[[#This Row],[Puntos]]&lt;D891,C891,D891+1))</f>
        <v>1637</v>
      </c>
      <c r="D890" s="15">
        <f>IF(Categorias_Registro[[#This Row],[Puntos]]=ROUND(Piso,0),ROUND(Categorias_Registro[[#This Row],[Puntos]]*(1+Categorias_Registro[[#This Row],[Amplitud]]),0),IF(Categorias_Registro[[#This Row],[Puntos]]&lt;D891,D891,ROUND(D891*(1+Categorias_Registro[[#This Row],[Amplitud]]),0)))</f>
        <v>1881</v>
      </c>
      <c r="E890" s="15">
        <f>E891+IF(D891=Categorias_Registro[[#This Row],[Máximo]],0,1)</f>
        <v>22</v>
      </c>
      <c r="F890" s="15">
        <f>ROUND(Categorias_Registro[[#This Row],[Mínimo]]+((Categorias_Registro[[#This Row],[Máximo]]-Categorias_Registro[[#This Row],[Mínimo]])/2),0)</f>
        <v>1759</v>
      </c>
      <c r="G890" s="78">
        <f>VLOOKUP(Categorias_Registro[[#This Row],[Puntos]],Categorias_Configuracion[],MATCH(Categorias_Configuracion[[#Headers],[% Amplitud]],Categorias_Configuracion[#Headers],0),TRUE)</f>
        <v>0.15</v>
      </c>
      <c r="H890" s="15" t="str">
        <f ca="1">TEXT(Categorias_Registro[[#This Row],[Mínimo]],Formato_Rango_Categorias)&amp;" - "&amp;TEXT(Categorias_Registro[[#This Row],[Máximo]],Formato_Rango_Categorias)</f>
        <v>1.637 - 1.881</v>
      </c>
    </row>
    <row r="891" spans="2:8">
      <c r="B891" s="15">
        <f>Techo - ROW() + ROW(Categorias_Registro[])</f>
        <v>1738</v>
      </c>
      <c r="C891" s="15">
        <f>IF(Categorias_Registro[[#This Row],[Puntos]]&lt;=ROUND(Piso,0),Piso,IF(Categorias_Registro[[#This Row],[Puntos]]&lt;D892,C892,D892+1))</f>
        <v>1637</v>
      </c>
      <c r="D891" s="15">
        <f>IF(Categorias_Registro[[#This Row],[Puntos]]=ROUND(Piso,0),ROUND(Categorias_Registro[[#This Row],[Puntos]]*(1+Categorias_Registro[[#This Row],[Amplitud]]),0),IF(Categorias_Registro[[#This Row],[Puntos]]&lt;D892,D892,ROUND(D892*(1+Categorias_Registro[[#This Row],[Amplitud]]),0)))</f>
        <v>1881</v>
      </c>
      <c r="E891" s="15">
        <f>E892+IF(D892=Categorias_Registro[[#This Row],[Máximo]],0,1)</f>
        <v>22</v>
      </c>
      <c r="F891" s="15">
        <f>ROUND(Categorias_Registro[[#This Row],[Mínimo]]+((Categorias_Registro[[#This Row],[Máximo]]-Categorias_Registro[[#This Row],[Mínimo]])/2),0)</f>
        <v>1759</v>
      </c>
      <c r="G891" s="78">
        <f>VLOOKUP(Categorias_Registro[[#This Row],[Puntos]],Categorias_Configuracion[],MATCH(Categorias_Configuracion[[#Headers],[% Amplitud]],Categorias_Configuracion[#Headers],0),TRUE)</f>
        <v>0.15</v>
      </c>
      <c r="H891" s="15" t="str">
        <f ca="1">TEXT(Categorias_Registro[[#This Row],[Mínimo]],Formato_Rango_Categorias)&amp;" - "&amp;TEXT(Categorias_Registro[[#This Row],[Máximo]],Formato_Rango_Categorias)</f>
        <v>1.637 - 1.881</v>
      </c>
    </row>
    <row r="892" spans="2:8">
      <c r="B892" s="15">
        <f>Techo - ROW() + ROW(Categorias_Registro[])</f>
        <v>1737</v>
      </c>
      <c r="C892" s="15">
        <f>IF(Categorias_Registro[[#This Row],[Puntos]]&lt;=ROUND(Piso,0),Piso,IF(Categorias_Registro[[#This Row],[Puntos]]&lt;D893,C893,D893+1))</f>
        <v>1637</v>
      </c>
      <c r="D892" s="15">
        <f>IF(Categorias_Registro[[#This Row],[Puntos]]=ROUND(Piso,0),ROUND(Categorias_Registro[[#This Row],[Puntos]]*(1+Categorias_Registro[[#This Row],[Amplitud]]),0),IF(Categorias_Registro[[#This Row],[Puntos]]&lt;D893,D893,ROUND(D893*(1+Categorias_Registro[[#This Row],[Amplitud]]),0)))</f>
        <v>1881</v>
      </c>
      <c r="E892" s="15">
        <f>E893+IF(D893=Categorias_Registro[[#This Row],[Máximo]],0,1)</f>
        <v>22</v>
      </c>
      <c r="F892" s="15">
        <f>ROUND(Categorias_Registro[[#This Row],[Mínimo]]+((Categorias_Registro[[#This Row],[Máximo]]-Categorias_Registro[[#This Row],[Mínimo]])/2),0)</f>
        <v>1759</v>
      </c>
      <c r="G892" s="78">
        <f>VLOOKUP(Categorias_Registro[[#This Row],[Puntos]],Categorias_Configuracion[],MATCH(Categorias_Configuracion[[#Headers],[% Amplitud]],Categorias_Configuracion[#Headers],0),TRUE)</f>
        <v>0.15</v>
      </c>
      <c r="H892" s="15" t="str">
        <f ca="1">TEXT(Categorias_Registro[[#This Row],[Mínimo]],Formato_Rango_Categorias)&amp;" - "&amp;TEXT(Categorias_Registro[[#This Row],[Máximo]],Formato_Rango_Categorias)</f>
        <v>1.637 - 1.881</v>
      </c>
    </row>
    <row r="893" spans="2:8">
      <c r="B893" s="15">
        <f>Techo - ROW() + ROW(Categorias_Registro[])</f>
        <v>1736</v>
      </c>
      <c r="C893" s="15">
        <f>IF(Categorias_Registro[[#This Row],[Puntos]]&lt;=ROUND(Piso,0),Piso,IF(Categorias_Registro[[#This Row],[Puntos]]&lt;D894,C894,D894+1))</f>
        <v>1637</v>
      </c>
      <c r="D893" s="15">
        <f>IF(Categorias_Registro[[#This Row],[Puntos]]=ROUND(Piso,0),ROUND(Categorias_Registro[[#This Row],[Puntos]]*(1+Categorias_Registro[[#This Row],[Amplitud]]),0),IF(Categorias_Registro[[#This Row],[Puntos]]&lt;D894,D894,ROUND(D894*(1+Categorias_Registro[[#This Row],[Amplitud]]),0)))</f>
        <v>1881</v>
      </c>
      <c r="E893" s="15">
        <f>E894+IF(D894=Categorias_Registro[[#This Row],[Máximo]],0,1)</f>
        <v>22</v>
      </c>
      <c r="F893" s="15">
        <f>ROUND(Categorias_Registro[[#This Row],[Mínimo]]+((Categorias_Registro[[#This Row],[Máximo]]-Categorias_Registro[[#This Row],[Mínimo]])/2),0)</f>
        <v>1759</v>
      </c>
      <c r="G893" s="78">
        <f>VLOOKUP(Categorias_Registro[[#This Row],[Puntos]],Categorias_Configuracion[],MATCH(Categorias_Configuracion[[#Headers],[% Amplitud]],Categorias_Configuracion[#Headers],0),TRUE)</f>
        <v>0.15</v>
      </c>
      <c r="H893" s="15" t="str">
        <f ca="1">TEXT(Categorias_Registro[[#This Row],[Mínimo]],Formato_Rango_Categorias)&amp;" - "&amp;TEXT(Categorias_Registro[[#This Row],[Máximo]],Formato_Rango_Categorias)</f>
        <v>1.637 - 1.881</v>
      </c>
    </row>
    <row r="894" spans="2:8">
      <c r="B894" s="15">
        <f>Techo - ROW() + ROW(Categorias_Registro[])</f>
        <v>1735</v>
      </c>
      <c r="C894" s="15">
        <f>IF(Categorias_Registro[[#This Row],[Puntos]]&lt;=ROUND(Piso,0),Piso,IF(Categorias_Registro[[#This Row],[Puntos]]&lt;D895,C895,D895+1))</f>
        <v>1637</v>
      </c>
      <c r="D894" s="15">
        <f>IF(Categorias_Registro[[#This Row],[Puntos]]=ROUND(Piso,0),ROUND(Categorias_Registro[[#This Row],[Puntos]]*(1+Categorias_Registro[[#This Row],[Amplitud]]),0),IF(Categorias_Registro[[#This Row],[Puntos]]&lt;D895,D895,ROUND(D895*(1+Categorias_Registro[[#This Row],[Amplitud]]),0)))</f>
        <v>1881</v>
      </c>
      <c r="E894" s="15">
        <f>E895+IF(D895=Categorias_Registro[[#This Row],[Máximo]],0,1)</f>
        <v>22</v>
      </c>
      <c r="F894" s="15">
        <f>ROUND(Categorias_Registro[[#This Row],[Mínimo]]+((Categorias_Registro[[#This Row],[Máximo]]-Categorias_Registro[[#This Row],[Mínimo]])/2),0)</f>
        <v>1759</v>
      </c>
      <c r="G894" s="78">
        <f>VLOOKUP(Categorias_Registro[[#This Row],[Puntos]],Categorias_Configuracion[],MATCH(Categorias_Configuracion[[#Headers],[% Amplitud]],Categorias_Configuracion[#Headers],0),TRUE)</f>
        <v>0.15</v>
      </c>
      <c r="H894" s="15" t="str">
        <f ca="1">TEXT(Categorias_Registro[[#This Row],[Mínimo]],Formato_Rango_Categorias)&amp;" - "&amp;TEXT(Categorias_Registro[[#This Row],[Máximo]],Formato_Rango_Categorias)</f>
        <v>1.637 - 1.881</v>
      </c>
    </row>
    <row r="895" spans="2:8">
      <c r="B895" s="15">
        <f>Techo - ROW() + ROW(Categorias_Registro[])</f>
        <v>1734</v>
      </c>
      <c r="C895" s="15">
        <f>IF(Categorias_Registro[[#This Row],[Puntos]]&lt;=ROUND(Piso,0),Piso,IF(Categorias_Registro[[#This Row],[Puntos]]&lt;D896,C896,D896+1))</f>
        <v>1637</v>
      </c>
      <c r="D895" s="15">
        <f>IF(Categorias_Registro[[#This Row],[Puntos]]=ROUND(Piso,0),ROUND(Categorias_Registro[[#This Row],[Puntos]]*(1+Categorias_Registro[[#This Row],[Amplitud]]),0),IF(Categorias_Registro[[#This Row],[Puntos]]&lt;D896,D896,ROUND(D896*(1+Categorias_Registro[[#This Row],[Amplitud]]),0)))</f>
        <v>1881</v>
      </c>
      <c r="E895" s="15">
        <f>E896+IF(D896=Categorias_Registro[[#This Row],[Máximo]],0,1)</f>
        <v>22</v>
      </c>
      <c r="F895" s="15">
        <f>ROUND(Categorias_Registro[[#This Row],[Mínimo]]+((Categorias_Registro[[#This Row],[Máximo]]-Categorias_Registro[[#This Row],[Mínimo]])/2),0)</f>
        <v>1759</v>
      </c>
      <c r="G895" s="78">
        <f>VLOOKUP(Categorias_Registro[[#This Row],[Puntos]],Categorias_Configuracion[],MATCH(Categorias_Configuracion[[#Headers],[% Amplitud]],Categorias_Configuracion[#Headers],0),TRUE)</f>
        <v>0.15</v>
      </c>
      <c r="H895" s="15" t="str">
        <f ca="1">TEXT(Categorias_Registro[[#This Row],[Mínimo]],Formato_Rango_Categorias)&amp;" - "&amp;TEXT(Categorias_Registro[[#This Row],[Máximo]],Formato_Rango_Categorias)</f>
        <v>1.637 - 1.881</v>
      </c>
    </row>
    <row r="896" spans="2:8">
      <c r="B896" s="15">
        <f>Techo - ROW() + ROW(Categorias_Registro[])</f>
        <v>1733</v>
      </c>
      <c r="C896" s="15">
        <f>IF(Categorias_Registro[[#This Row],[Puntos]]&lt;=ROUND(Piso,0),Piso,IF(Categorias_Registro[[#This Row],[Puntos]]&lt;D897,C897,D897+1))</f>
        <v>1637</v>
      </c>
      <c r="D896" s="15">
        <f>IF(Categorias_Registro[[#This Row],[Puntos]]=ROUND(Piso,0),ROUND(Categorias_Registro[[#This Row],[Puntos]]*(1+Categorias_Registro[[#This Row],[Amplitud]]),0),IF(Categorias_Registro[[#This Row],[Puntos]]&lt;D897,D897,ROUND(D897*(1+Categorias_Registro[[#This Row],[Amplitud]]),0)))</f>
        <v>1881</v>
      </c>
      <c r="E896" s="15">
        <f>E897+IF(D897=Categorias_Registro[[#This Row],[Máximo]],0,1)</f>
        <v>22</v>
      </c>
      <c r="F896" s="15">
        <f>ROUND(Categorias_Registro[[#This Row],[Mínimo]]+((Categorias_Registro[[#This Row],[Máximo]]-Categorias_Registro[[#This Row],[Mínimo]])/2),0)</f>
        <v>1759</v>
      </c>
      <c r="G896" s="78">
        <f>VLOOKUP(Categorias_Registro[[#This Row],[Puntos]],Categorias_Configuracion[],MATCH(Categorias_Configuracion[[#Headers],[% Amplitud]],Categorias_Configuracion[#Headers],0),TRUE)</f>
        <v>0.15</v>
      </c>
      <c r="H896" s="15" t="str">
        <f ca="1">TEXT(Categorias_Registro[[#This Row],[Mínimo]],Formato_Rango_Categorias)&amp;" - "&amp;TEXT(Categorias_Registro[[#This Row],[Máximo]],Formato_Rango_Categorias)</f>
        <v>1.637 - 1.881</v>
      </c>
    </row>
    <row r="897" spans="2:8">
      <c r="B897" s="15">
        <f>Techo - ROW() + ROW(Categorias_Registro[])</f>
        <v>1732</v>
      </c>
      <c r="C897" s="15">
        <f>IF(Categorias_Registro[[#This Row],[Puntos]]&lt;=ROUND(Piso,0),Piso,IF(Categorias_Registro[[#This Row],[Puntos]]&lt;D898,C898,D898+1))</f>
        <v>1637</v>
      </c>
      <c r="D897" s="15">
        <f>IF(Categorias_Registro[[#This Row],[Puntos]]=ROUND(Piso,0),ROUND(Categorias_Registro[[#This Row],[Puntos]]*(1+Categorias_Registro[[#This Row],[Amplitud]]),0),IF(Categorias_Registro[[#This Row],[Puntos]]&lt;D898,D898,ROUND(D898*(1+Categorias_Registro[[#This Row],[Amplitud]]),0)))</f>
        <v>1881</v>
      </c>
      <c r="E897" s="15">
        <f>E898+IF(D898=Categorias_Registro[[#This Row],[Máximo]],0,1)</f>
        <v>22</v>
      </c>
      <c r="F897" s="15">
        <f>ROUND(Categorias_Registro[[#This Row],[Mínimo]]+((Categorias_Registro[[#This Row],[Máximo]]-Categorias_Registro[[#This Row],[Mínimo]])/2),0)</f>
        <v>1759</v>
      </c>
      <c r="G897" s="78">
        <f>VLOOKUP(Categorias_Registro[[#This Row],[Puntos]],Categorias_Configuracion[],MATCH(Categorias_Configuracion[[#Headers],[% Amplitud]],Categorias_Configuracion[#Headers],0),TRUE)</f>
        <v>0.15</v>
      </c>
      <c r="H897" s="15" t="str">
        <f ca="1">TEXT(Categorias_Registro[[#This Row],[Mínimo]],Formato_Rango_Categorias)&amp;" - "&amp;TEXT(Categorias_Registro[[#This Row],[Máximo]],Formato_Rango_Categorias)</f>
        <v>1.637 - 1.881</v>
      </c>
    </row>
    <row r="898" spans="2:8">
      <c r="B898" s="15">
        <f>Techo - ROW() + ROW(Categorias_Registro[])</f>
        <v>1731</v>
      </c>
      <c r="C898" s="15">
        <f>IF(Categorias_Registro[[#This Row],[Puntos]]&lt;=ROUND(Piso,0),Piso,IF(Categorias_Registro[[#This Row],[Puntos]]&lt;D899,C899,D899+1))</f>
        <v>1637</v>
      </c>
      <c r="D898" s="15">
        <f>IF(Categorias_Registro[[#This Row],[Puntos]]=ROUND(Piso,0),ROUND(Categorias_Registro[[#This Row],[Puntos]]*(1+Categorias_Registro[[#This Row],[Amplitud]]),0),IF(Categorias_Registro[[#This Row],[Puntos]]&lt;D899,D899,ROUND(D899*(1+Categorias_Registro[[#This Row],[Amplitud]]),0)))</f>
        <v>1881</v>
      </c>
      <c r="E898" s="15">
        <f>E899+IF(D899=Categorias_Registro[[#This Row],[Máximo]],0,1)</f>
        <v>22</v>
      </c>
      <c r="F898" s="15">
        <f>ROUND(Categorias_Registro[[#This Row],[Mínimo]]+((Categorias_Registro[[#This Row],[Máximo]]-Categorias_Registro[[#This Row],[Mínimo]])/2),0)</f>
        <v>1759</v>
      </c>
      <c r="G898" s="78">
        <f>VLOOKUP(Categorias_Registro[[#This Row],[Puntos]],Categorias_Configuracion[],MATCH(Categorias_Configuracion[[#Headers],[% Amplitud]],Categorias_Configuracion[#Headers],0),TRUE)</f>
        <v>0.15</v>
      </c>
      <c r="H898" s="15" t="str">
        <f ca="1">TEXT(Categorias_Registro[[#This Row],[Mínimo]],Formato_Rango_Categorias)&amp;" - "&amp;TEXT(Categorias_Registro[[#This Row],[Máximo]],Formato_Rango_Categorias)</f>
        <v>1.637 - 1.881</v>
      </c>
    </row>
    <row r="899" spans="2:8">
      <c r="B899" s="15">
        <f>Techo - ROW() + ROW(Categorias_Registro[])</f>
        <v>1730</v>
      </c>
      <c r="C899" s="15">
        <f>IF(Categorias_Registro[[#This Row],[Puntos]]&lt;=ROUND(Piso,0),Piso,IF(Categorias_Registro[[#This Row],[Puntos]]&lt;D900,C900,D900+1))</f>
        <v>1637</v>
      </c>
      <c r="D899" s="15">
        <f>IF(Categorias_Registro[[#This Row],[Puntos]]=ROUND(Piso,0),ROUND(Categorias_Registro[[#This Row],[Puntos]]*(1+Categorias_Registro[[#This Row],[Amplitud]]),0),IF(Categorias_Registro[[#This Row],[Puntos]]&lt;D900,D900,ROUND(D900*(1+Categorias_Registro[[#This Row],[Amplitud]]),0)))</f>
        <v>1881</v>
      </c>
      <c r="E899" s="15">
        <f>E900+IF(D900=Categorias_Registro[[#This Row],[Máximo]],0,1)</f>
        <v>22</v>
      </c>
      <c r="F899" s="15">
        <f>ROUND(Categorias_Registro[[#This Row],[Mínimo]]+((Categorias_Registro[[#This Row],[Máximo]]-Categorias_Registro[[#This Row],[Mínimo]])/2),0)</f>
        <v>1759</v>
      </c>
      <c r="G899" s="78">
        <f>VLOOKUP(Categorias_Registro[[#This Row],[Puntos]],Categorias_Configuracion[],MATCH(Categorias_Configuracion[[#Headers],[% Amplitud]],Categorias_Configuracion[#Headers],0),TRUE)</f>
        <v>0.15</v>
      </c>
      <c r="H899" s="15" t="str">
        <f ca="1">TEXT(Categorias_Registro[[#This Row],[Mínimo]],Formato_Rango_Categorias)&amp;" - "&amp;TEXT(Categorias_Registro[[#This Row],[Máximo]],Formato_Rango_Categorias)</f>
        <v>1.637 - 1.881</v>
      </c>
    </row>
    <row r="900" spans="2:8">
      <c r="B900" s="15">
        <f>Techo - ROW() + ROW(Categorias_Registro[])</f>
        <v>1729</v>
      </c>
      <c r="C900" s="15">
        <f>IF(Categorias_Registro[[#This Row],[Puntos]]&lt;=ROUND(Piso,0),Piso,IF(Categorias_Registro[[#This Row],[Puntos]]&lt;D901,C901,D901+1))</f>
        <v>1637</v>
      </c>
      <c r="D900" s="15">
        <f>IF(Categorias_Registro[[#This Row],[Puntos]]=ROUND(Piso,0),ROUND(Categorias_Registro[[#This Row],[Puntos]]*(1+Categorias_Registro[[#This Row],[Amplitud]]),0),IF(Categorias_Registro[[#This Row],[Puntos]]&lt;D901,D901,ROUND(D901*(1+Categorias_Registro[[#This Row],[Amplitud]]),0)))</f>
        <v>1881</v>
      </c>
      <c r="E900" s="15">
        <f>E901+IF(D901=Categorias_Registro[[#This Row],[Máximo]],0,1)</f>
        <v>22</v>
      </c>
      <c r="F900" s="15">
        <f>ROUND(Categorias_Registro[[#This Row],[Mínimo]]+((Categorias_Registro[[#This Row],[Máximo]]-Categorias_Registro[[#This Row],[Mínimo]])/2),0)</f>
        <v>1759</v>
      </c>
      <c r="G900" s="78">
        <f>VLOOKUP(Categorias_Registro[[#This Row],[Puntos]],Categorias_Configuracion[],MATCH(Categorias_Configuracion[[#Headers],[% Amplitud]],Categorias_Configuracion[#Headers],0),TRUE)</f>
        <v>0.15</v>
      </c>
      <c r="H900" s="15" t="str">
        <f ca="1">TEXT(Categorias_Registro[[#This Row],[Mínimo]],Formato_Rango_Categorias)&amp;" - "&amp;TEXT(Categorias_Registro[[#This Row],[Máximo]],Formato_Rango_Categorias)</f>
        <v>1.637 - 1.881</v>
      </c>
    </row>
    <row r="901" spans="2:8">
      <c r="B901" s="15">
        <f>Techo - ROW() + ROW(Categorias_Registro[])</f>
        <v>1728</v>
      </c>
      <c r="C901" s="15">
        <f>IF(Categorias_Registro[[#This Row],[Puntos]]&lt;=ROUND(Piso,0),Piso,IF(Categorias_Registro[[#This Row],[Puntos]]&lt;D902,C902,D902+1))</f>
        <v>1637</v>
      </c>
      <c r="D901" s="15">
        <f>IF(Categorias_Registro[[#This Row],[Puntos]]=ROUND(Piso,0),ROUND(Categorias_Registro[[#This Row],[Puntos]]*(1+Categorias_Registro[[#This Row],[Amplitud]]),0),IF(Categorias_Registro[[#This Row],[Puntos]]&lt;D902,D902,ROUND(D902*(1+Categorias_Registro[[#This Row],[Amplitud]]),0)))</f>
        <v>1881</v>
      </c>
      <c r="E901" s="15">
        <f>E902+IF(D902=Categorias_Registro[[#This Row],[Máximo]],0,1)</f>
        <v>22</v>
      </c>
      <c r="F901" s="15">
        <f>ROUND(Categorias_Registro[[#This Row],[Mínimo]]+((Categorias_Registro[[#This Row],[Máximo]]-Categorias_Registro[[#This Row],[Mínimo]])/2),0)</f>
        <v>1759</v>
      </c>
      <c r="G901" s="78">
        <f>VLOOKUP(Categorias_Registro[[#This Row],[Puntos]],Categorias_Configuracion[],MATCH(Categorias_Configuracion[[#Headers],[% Amplitud]],Categorias_Configuracion[#Headers],0),TRUE)</f>
        <v>0.15</v>
      </c>
      <c r="H901" s="15" t="str">
        <f ca="1">TEXT(Categorias_Registro[[#This Row],[Mínimo]],Formato_Rango_Categorias)&amp;" - "&amp;TEXT(Categorias_Registro[[#This Row],[Máximo]],Formato_Rango_Categorias)</f>
        <v>1.637 - 1.881</v>
      </c>
    </row>
    <row r="902" spans="2:8">
      <c r="B902" s="15">
        <f>Techo - ROW() + ROW(Categorias_Registro[])</f>
        <v>1727</v>
      </c>
      <c r="C902" s="15">
        <f>IF(Categorias_Registro[[#This Row],[Puntos]]&lt;=ROUND(Piso,0),Piso,IF(Categorias_Registro[[#This Row],[Puntos]]&lt;D903,C903,D903+1))</f>
        <v>1637</v>
      </c>
      <c r="D902" s="15">
        <f>IF(Categorias_Registro[[#This Row],[Puntos]]=ROUND(Piso,0),ROUND(Categorias_Registro[[#This Row],[Puntos]]*(1+Categorias_Registro[[#This Row],[Amplitud]]),0),IF(Categorias_Registro[[#This Row],[Puntos]]&lt;D903,D903,ROUND(D903*(1+Categorias_Registro[[#This Row],[Amplitud]]),0)))</f>
        <v>1881</v>
      </c>
      <c r="E902" s="15">
        <f>E903+IF(D903=Categorias_Registro[[#This Row],[Máximo]],0,1)</f>
        <v>22</v>
      </c>
      <c r="F902" s="15">
        <f>ROUND(Categorias_Registro[[#This Row],[Mínimo]]+((Categorias_Registro[[#This Row],[Máximo]]-Categorias_Registro[[#This Row],[Mínimo]])/2),0)</f>
        <v>1759</v>
      </c>
      <c r="G902" s="78">
        <f>VLOOKUP(Categorias_Registro[[#This Row],[Puntos]],Categorias_Configuracion[],MATCH(Categorias_Configuracion[[#Headers],[% Amplitud]],Categorias_Configuracion[#Headers],0),TRUE)</f>
        <v>0.15</v>
      </c>
      <c r="H902" s="15" t="str">
        <f ca="1">TEXT(Categorias_Registro[[#This Row],[Mínimo]],Formato_Rango_Categorias)&amp;" - "&amp;TEXT(Categorias_Registro[[#This Row],[Máximo]],Formato_Rango_Categorias)</f>
        <v>1.637 - 1.881</v>
      </c>
    </row>
    <row r="903" spans="2:8">
      <c r="B903" s="15">
        <f>Techo - ROW() + ROW(Categorias_Registro[])</f>
        <v>1726</v>
      </c>
      <c r="C903" s="15">
        <f>IF(Categorias_Registro[[#This Row],[Puntos]]&lt;=ROUND(Piso,0),Piso,IF(Categorias_Registro[[#This Row],[Puntos]]&lt;D904,C904,D904+1))</f>
        <v>1637</v>
      </c>
      <c r="D903" s="15">
        <f>IF(Categorias_Registro[[#This Row],[Puntos]]=ROUND(Piso,0),ROUND(Categorias_Registro[[#This Row],[Puntos]]*(1+Categorias_Registro[[#This Row],[Amplitud]]),0),IF(Categorias_Registro[[#This Row],[Puntos]]&lt;D904,D904,ROUND(D904*(1+Categorias_Registro[[#This Row],[Amplitud]]),0)))</f>
        <v>1881</v>
      </c>
      <c r="E903" s="15">
        <f>E904+IF(D904=Categorias_Registro[[#This Row],[Máximo]],0,1)</f>
        <v>22</v>
      </c>
      <c r="F903" s="15">
        <f>ROUND(Categorias_Registro[[#This Row],[Mínimo]]+((Categorias_Registro[[#This Row],[Máximo]]-Categorias_Registro[[#This Row],[Mínimo]])/2),0)</f>
        <v>1759</v>
      </c>
      <c r="G903" s="78">
        <f>VLOOKUP(Categorias_Registro[[#This Row],[Puntos]],Categorias_Configuracion[],MATCH(Categorias_Configuracion[[#Headers],[% Amplitud]],Categorias_Configuracion[#Headers],0),TRUE)</f>
        <v>0.15</v>
      </c>
      <c r="H903" s="15" t="str">
        <f ca="1">TEXT(Categorias_Registro[[#This Row],[Mínimo]],Formato_Rango_Categorias)&amp;" - "&amp;TEXT(Categorias_Registro[[#This Row],[Máximo]],Formato_Rango_Categorias)</f>
        <v>1.637 - 1.881</v>
      </c>
    </row>
    <row r="904" spans="2:8">
      <c r="B904" s="15">
        <f>Techo - ROW() + ROW(Categorias_Registro[])</f>
        <v>1725</v>
      </c>
      <c r="C904" s="15">
        <f>IF(Categorias_Registro[[#This Row],[Puntos]]&lt;=ROUND(Piso,0),Piso,IF(Categorias_Registro[[#This Row],[Puntos]]&lt;D905,C905,D905+1))</f>
        <v>1637</v>
      </c>
      <c r="D904" s="15">
        <f>IF(Categorias_Registro[[#This Row],[Puntos]]=ROUND(Piso,0),ROUND(Categorias_Registro[[#This Row],[Puntos]]*(1+Categorias_Registro[[#This Row],[Amplitud]]),0),IF(Categorias_Registro[[#This Row],[Puntos]]&lt;D905,D905,ROUND(D905*(1+Categorias_Registro[[#This Row],[Amplitud]]),0)))</f>
        <v>1881</v>
      </c>
      <c r="E904" s="15">
        <f>E905+IF(D905=Categorias_Registro[[#This Row],[Máximo]],0,1)</f>
        <v>22</v>
      </c>
      <c r="F904" s="15">
        <f>ROUND(Categorias_Registro[[#This Row],[Mínimo]]+((Categorias_Registro[[#This Row],[Máximo]]-Categorias_Registro[[#This Row],[Mínimo]])/2),0)</f>
        <v>1759</v>
      </c>
      <c r="G904" s="78">
        <f>VLOOKUP(Categorias_Registro[[#This Row],[Puntos]],Categorias_Configuracion[],MATCH(Categorias_Configuracion[[#Headers],[% Amplitud]],Categorias_Configuracion[#Headers],0),TRUE)</f>
        <v>0.15</v>
      </c>
      <c r="H904" s="15" t="str">
        <f ca="1">TEXT(Categorias_Registro[[#This Row],[Mínimo]],Formato_Rango_Categorias)&amp;" - "&amp;TEXT(Categorias_Registro[[#This Row],[Máximo]],Formato_Rango_Categorias)</f>
        <v>1.637 - 1.881</v>
      </c>
    </row>
    <row r="905" spans="2:8">
      <c r="B905" s="15">
        <f>Techo - ROW() + ROW(Categorias_Registro[])</f>
        <v>1724</v>
      </c>
      <c r="C905" s="15">
        <f>IF(Categorias_Registro[[#This Row],[Puntos]]&lt;=ROUND(Piso,0),Piso,IF(Categorias_Registro[[#This Row],[Puntos]]&lt;D906,C906,D906+1))</f>
        <v>1637</v>
      </c>
      <c r="D905" s="15">
        <f>IF(Categorias_Registro[[#This Row],[Puntos]]=ROUND(Piso,0),ROUND(Categorias_Registro[[#This Row],[Puntos]]*(1+Categorias_Registro[[#This Row],[Amplitud]]),0),IF(Categorias_Registro[[#This Row],[Puntos]]&lt;D906,D906,ROUND(D906*(1+Categorias_Registro[[#This Row],[Amplitud]]),0)))</f>
        <v>1881</v>
      </c>
      <c r="E905" s="15">
        <f>E906+IF(D906=Categorias_Registro[[#This Row],[Máximo]],0,1)</f>
        <v>22</v>
      </c>
      <c r="F905" s="15">
        <f>ROUND(Categorias_Registro[[#This Row],[Mínimo]]+((Categorias_Registro[[#This Row],[Máximo]]-Categorias_Registro[[#This Row],[Mínimo]])/2),0)</f>
        <v>1759</v>
      </c>
      <c r="G905" s="78">
        <f>VLOOKUP(Categorias_Registro[[#This Row],[Puntos]],Categorias_Configuracion[],MATCH(Categorias_Configuracion[[#Headers],[% Amplitud]],Categorias_Configuracion[#Headers],0),TRUE)</f>
        <v>0.15</v>
      </c>
      <c r="H905" s="15" t="str">
        <f ca="1">TEXT(Categorias_Registro[[#This Row],[Mínimo]],Formato_Rango_Categorias)&amp;" - "&amp;TEXT(Categorias_Registro[[#This Row],[Máximo]],Formato_Rango_Categorias)</f>
        <v>1.637 - 1.881</v>
      </c>
    </row>
    <row r="906" spans="2:8">
      <c r="B906" s="15">
        <f>Techo - ROW() + ROW(Categorias_Registro[])</f>
        <v>1723</v>
      </c>
      <c r="C906" s="15">
        <f>IF(Categorias_Registro[[#This Row],[Puntos]]&lt;=ROUND(Piso,0),Piso,IF(Categorias_Registro[[#This Row],[Puntos]]&lt;D907,C907,D907+1))</f>
        <v>1637</v>
      </c>
      <c r="D906" s="15">
        <f>IF(Categorias_Registro[[#This Row],[Puntos]]=ROUND(Piso,0),ROUND(Categorias_Registro[[#This Row],[Puntos]]*(1+Categorias_Registro[[#This Row],[Amplitud]]),0),IF(Categorias_Registro[[#This Row],[Puntos]]&lt;D907,D907,ROUND(D907*(1+Categorias_Registro[[#This Row],[Amplitud]]),0)))</f>
        <v>1881</v>
      </c>
      <c r="E906" s="15">
        <f>E907+IF(D907=Categorias_Registro[[#This Row],[Máximo]],0,1)</f>
        <v>22</v>
      </c>
      <c r="F906" s="15">
        <f>ROUND(Categorias_Registro[[#This Row],[Mínimo]]+((Categorias_Registro[[#This Row],[Máximo]]-Categorias_Registro[[#This Row],[Mínimo]])/2),0)</f>
        <v>1759</v>
      </c>
      <c r="G906" s="78">
        <f>VLOOKUP(Categorias_Registro[[#This Row],[Puntos]],Categorias_Configuracion[],MATCH(Categorias_Configuracion[[#Headers],[% Amplitud]],Categorias_Configuracion[#Headers],0),TRUE)</f>
        <v>0.15</v>
      </c>
      <c r="H906" s="15" t="str">
        <f ca="1">TEXT(Categorias_Registro[[#This Row],[Mínimo]],Formato_Rango_Categorias)&amp;" - "&amp;TEXT(Categorias_Registro[[#This Row],[Máximo]],Formato_Rango_Categorias)</f>
        <v>1.637 - 1.881</v>
      </c>
    </row>
    <row r="907" spans="2:8">
      <c r="B907" s="15">
        <f>Techo - ROW() + ROW(Categorias_Registro[])</f>
        <v>1722</v>
      </c>
      <c r="C907" s="15">
        <f>IF(Categorias_Registro[[#This Row],[Puntos]]&lt;=ROUND(Piso,0),Piso,IF(Categorias_Registro[[#This Row],[Puntos]]&lt;D908,C908,D908+1))</f>
        <v>1637</v>
      </c>
      <c r="D907" s="15">
        <f>IF(Categorias_Registro[[#This Row],[Puntos]]=ROUND(Piso,0),ROUND(Categorias_Registro[[#This Row],[Puntos]]*(1+Categorias_Registro[[#This Row],[Amplitud]]),0),IF(Categorias_Registro[[#This Row],[Puntos]]&lt;D908,D908,ROUND(D908*(1+Categorias_Registro[[#This Row],[Amplitud]]),0)))</f>
        <v>1881</v>
      </c>
      <c r="E907" s="15">
        <f>E908+IF(D908=Categorias_Registro[[#This Row],[Máximo]],0,1)</f>
        <v>22</v>
      </c>
      <c r="F907" s="15">
        <f>ROUND(Categorias_Registro[[#This Row],[Mínimo]]+((Categorias_Registro[[#This Row],[Máximo]]-Categorias_Registro[[#This Row],[Mínimo]])/2),0)</f>
        <v>1759</v>
      </c>
      <c r="G907" s="78">
        <f>VLOOKUP(Categorias_Registro[[#This Row],[Puntos]],Categorias_Configuracion[],MATCH(Categorias_Configuracion[[#Headers],[% Amplitud]],Categorias_Configuracion[#Headers],0),TRUE)</f>
        <v>0.15</v>
      </c>
      <c r="H907" s="15" t="str">
        <f ca="1">TEXT(Categorias_Registro[[#This Row],[Mínimo]],Formato_Rango_Categorias)&amp;" - "&amp;TEXT(Categorias_Registro[[#This Row],[Máximo]],Formato_Rango_Categorias)</f>
        <v>1.637 - 1.881</v>
      </c>
    </row>
    <row r="908" spans="2:8">
      <c r="B908" s="15">
        <f>Techo - ROW() + ROW(Categorias_Registro[])</f>
        <v>1721</v>
      </c>
      <c r="C908" s="15">
        <f>IF(Categorias_Registro[[#This Row],[Puntos]]&lt;=ROUND(Piso,0),Piso,IF(Categorias_Registro[[#This Row],[Puntos]]&lt;D909,C909,D909+1))</f>
        <v>1637</v>
      </c>
      <c r="D908" s="15">
        <f>IF(Categorias_Registro[[#This Row],[Puntos]]=ROUND(Piso,0),ROUND(Categorias_Registro[[#This Row],[Puntos]]*(1+Categorias_Registro[[#This Row],[Amplitud]]),0),IF(Categorias_Registro[[#This Row],[Puntos]]&lt;D909,D909,ROUND(D909*(1+Categorias_Registro[[#This Row],[Amplitud]]),0)))</f>
        <v>1881</v>
      </c>
      <c r="E908" s="15">
        <f>E909+IF(D909=Categorias_Registro[[#This Row],[Máximo]],0,1)</f>
        <v>22</v>
      </c>
      <c r="F908" s="15">
        <f>ROUND(Categorias_Registro[[#This Row],[Mínimo]]+((Categorias_Registro[[#This Row],[Máximo]]-Categorias_Registro[[#This Row],[Mínimo]])/2),0)</f>
        <v>1759</v>
      </c>
      <c r="G908" s="78">
        <f>VLOOKUP(Categorias_Registro[[#This Row],[Puntos]],Categorias_Configuracion[],MATCH(Categorias_Configuracion[[#Headers],[% Amplitud]],Categorias_Configuracion[#Headers],0),TRUE)</f>
        <v>0.15</v>
      </c>
      <c r="H908" s="15" t="str">
        <f ca="1">TEXT(Categorias_Registro[[#This Row],[Mínimo]],Formato_Rango_Categorias)&amp;" - "&amp;TEXT(Categorias_Registro[[#This Row],[Máximo]],Formato_Rango_Categorias)</f>
        <v>1.637 - 1.881</v>
      </c>
    </row>
    <row r="909" spans="2:8">
      <c r="B909" s="15">
        <f>Techo - ROW() + ROW(Categorias_Registro[])</f>
        <v>1720</v>
      </c>
      <c r="C909" s="15">
        <f>IF(Categorias_Registro[[#This Row],[Puntos]]&lt;=ROUND(Piso,0),Piso,IF(Categorias_Registro[[#This Row],[Puntos]]&lt;D910,C910,D910+1))</f>
        <v>1637</v>
      </c>
      <c r="D909" s="15">
        <f>IF(Categorias_Registro[[#This Row],[Puntos]]=ROUND(Piso,0),ROUND(Categorias_Registro[[#This Row],[Puntos]]*(1+Categorias_Registro[[#This Row],[Amplitud]]),0),IF(Categorias_Registro[[#This Row],[Puntos]]&lt;D910,D910,ROUND(D910*(1+Categorias_Registro[[#This Row],[Amplitud]]),0)))</f>
        <v>1881</v>
      </c>
      <c r="E909" s="15">
        <f>E910+IF(D910=Categorias_Registro[[#This Row],[Máximo]],0,1)</f>
        <v>22</v>
      </c>
      <c r="F909" s="15">
        <f>ROUND(Categorias_Registro[[#This Row],[Mínimo]]+((Categorias_Registro[[#This Row],[Máximo]]-Categorias_Registro[[#This Row],[Mínimo]])/2),0)</f>
        <v>1759</v>
      </c>
      <c r="G909" s="78">
        <f>VLOOKUP(Categorias_Registro[[#This Row],[Puntos]],Categorias_Configuracion[],MATCH(Categorias_Configuracion[[#Headers],[% Amplitud]],Categorias_Configuracion[#Headers],0),TRUE)</f>
        <v>0.15</v>
      </c>
      <c r="H909" s="15" t="str">
        <f ca="1">TEXT(Categorias_Registro[[#This Row],[Mínimo]],Formato_Rango_Categorias)&amp;" - "&amp;TEXT(Categorias_Registro[[#This Row],[Máximo]],Formato_Rango_Categorias)</f>
        <v>1.637 - 1.881</v>
      </c>
    </row>
    <row r="910" spans="2:8">
      <c r="B910" s="15">
        <f>Techo - ROW() + ROW(Categorias_Registro[])</f>
        <v>1719</v>
      </c>
      <c r="C910" s="15">
        <f>IF(Categorias_Registro[[#This Row],[Puntos]]&lt;=ROUND(Piso,0),Piso,IF(Categorias_Registro[[#This Row],[Puntos]]&lt;D911,C911,D911+1))</f>
        <v>1637</v>
      </c>
      <c r="D910" s="15">
        <f>IF(Categorias_Registro[[#This Row],[Puntos]]=ROUND(Piso,0),ROUND(Categorias_Registro[[#This Row],[Puntos]]*(1+Categorias_Registro[[#This Row],[Amplitud]]),0),IF(Categorias_Registro[[#This Row],[Puntos]]&lt;D911,D911,ROUND(D911*(1+Categorias_Registro[[#This Row],[Amplitud]]),0)))</f>
        <v>1881</v>
      </c>
      <c r="E910" s="15">
        <f>E911+IF(D911=Categorias_Registro[[#This Row],[Máximo]],0,1)</f>
        <v>22</v>
      </c>
      <c r="F910" s="15">
        <f>ROUND(Categorias_Registro[[#This Row],[Mínimo]]+((Categorias_Registro[[#This Row],[Máximo]]-Categorias_Registro[[#This Row],[Mínimo]])/2),0)</f>
        <v>1759</v>
      </c>
      <c r="G910" s="78">
        <f>VLOOKUP(Categorias_Registro[[#This Row],[Puntos]],Categorias_Configuracion[],MATCH(Categorias_Configuracion[[#Headers],[% Amplitud]],Categorias_Configuracion[#Headers],0),TRUE)</f>
        <v>0.15</v>
      </c>
      <c r="H910" s="15" t="str">
        <f ca="1">TEXT(Categorias_Registro[[#This Row],[Mínimo]],Formato_Rango_Categorias)&amp;" - "&amp;TEXT(Categorias_Registro[[#This Row],[Máximo]],Formato_Rango_Categorias)</f>
        <v>1.637 - 1.881</v>
      </c>
    </row>
    <row r="911" spans="2:8">
      <c r="B911" s="15">
        <f>Techo - ROW() + ROW(Categorias_Registro[])</f>
        <v>1718</v>
      </c>
      <c r="C911" s="15">
        <f>IF(Categorias_Registro[[#This Row],[Puntos]]&lt;=ROUND(Piso,0),Piso,IF(Categorias_Registro[[#This Row],[Puntos]]&lt;D912,C912,D912+1))</f>
        <v>1637</v>
      </c>
      <c r="D911" s="15">
        <f>IF(Categorias_Registro[[#This Row],[Puntos]]=ROUND(Piso,0),ROUND(Categorias_Registro[[#This Row],[Puntos]]*(1+Categorias_Registro[[#This Row],[Amplitud]]),0),IF(Categorias_Registro[[#This Row],[Puntos]]&lt;D912,D912,ROUND(D912*(1+Categorias_Registro[[#This Row],[Amplitud]]),0)))</f>
        <v>1881</v>
      </c>
      <c r="E911" s="15">
        <f>E912+IF(D912=Categorias_Registro[[#This Row],[Máximo]],0,1)</f>
        <v>22</v>
      </c>
      <c r="F911" s="15">
        <f>ROUND(Categorias_Registro[[#This Row],[Mínimo]]+((Categorias_Registro[[#This Row],[Máximo]]-Categorias_Registro[[#This Row],[Mínimo]])/2),0)</f>
        <v>1759</v>
      </c>
      <c r="G911" s="78">
        <f>VLOOKUP(Categorias_Registro[[#This Row],[Puntos]],Categorias_Configuracion[],MATCH(Categorias_Configuracion[[#Headers],[% Amplitud]],Categorias_Configuracion[#Headers],0),TRUE)</f>
        <v>0.15</v>
      </c>
      <c r="H911" s="15" t="str">
        <f ca="1">TEXT(Categorias_Registro[[#This Row],[Mínimo]],Formato_Rango_Categorias)&amp;" - "&amp;TEXT(Categorias_Registro[[#This Row],[Máximo]],Formato_Rango_Categorias)</f>
        <v>1.637 - 1.881</v>
      </c>
    </row>
    <row r="912" spans="2:8">
      <c r="B912" s="15">
        <f>Techo - ROW() + ROW(Categorias_Registro[])</f>
        <v>1717</v>
      </c>
      <c r="C912" s="15">
        <f>IF(Categorias_Registro[[#This Row],[Puntos]]&lt;=ROUND(Piso,0),Piso,IF(Categorias_Registro[[#This Row],[Puntos]]&lt;D913,C913,D913+1))</f>
        <v>1637</v>
      </c>
      <c r="D912" s="15">
        <f>IF(Categorias_Registro[[#This Row],[Puntos]]=ROUND(Piso,0),ROUND(Categorias_Registro[[#This Row],[Puntos]]*(1+Categorias_Registro[[#This Row],[Amplitud]]),0),IF(Categorias_Registro[[#This Row],[Puntos]]&lt;D913,D913,ROUND(D913*(1+Categorias_Registro[[#This Row],[Amplitud]]),0)))</f>
        <v>1881</v>
      </c>
      <c r="E912" s="15">
        <f>E913+IF(D913=Categorias_Registro[[#This Row],[Máximo]],0,1)</f>
        <v>22</v>
      </c>
      <c r="F912" s="15">
        <f>ROUND(Categorias_Registro[[#This Row],[Mínimo]]+((Categorias_Registro[[#This Row],[Máximo]]-Categorias_Registro[[#This Row],[Mínimo]])/2),0)</f>
        <v>1759</v>
      </c>
      <c r="G912" s="78">
        <f>VLOOKUP(Categorias_Registro[[#This Row],[Puntos]],Categorias_Configuracion[],MATCH(Categorias_Configuracion[[#Headers],[% Amplitud]],Categorias_Configuracion[#Headers],0),TRUE)</f>
        <v>0.15</v>
      </c>
      <c r="H912" s="15" t="str">
        <f ca="1">TEXT(Categorias_Registro[[#This Row],[Mínimo]],Formato_Rango_Categorias)&amp;" - "&amp;TEXT(Categorias_Registro[[#This Row],[Máximo]],Formato_Rango_Categorias)</f>
        <v>1.637 - 1.881</v>
      </c>
    </row>
    <row r="913" spans="2:8">
      <c r="B913" s="15">
        <f>Techo - ROW() + ROW(Categorias_Registro[])</f>
        <v>1716</v>
      </c>
      <c r="C913" s="15">
        <f>IF(Categorias_Registro[[#This Row],[Puntos]]&lt;=ROUND(Piso,0),Piso,IF(Categorias_Registro[[#This Row],[Puntos]]&lt;D914,C914,D914+1))</f>
        <v>1637</v>
      </c>
      <c r="D913" s="15">
        <f>IF(Categorias_Registro[[#This Row],[Puntos]]=ROUND(Piso,0),ROUND(Categorias_Registro[[#This Row],[Puntos]]*(1+Categorias_Registro[[#This Row],[Amplitud]]),0),IF(Categorias_Registro[[#This Row],[Puntos]]&lt;D914,D914,ROUND(D914*(1+Categorias_Registro[[#This Row],[Amplitud]]),0)))</f>
        <v>1881</v>
      </c>
      <c r="E913" s="15">
        <f>E914+IF(D914=Categorias_Registro[[#This Row],[Máximo]],0,1)</f>
        <v>22</v>
      </c>
      <c r="F913" s="15">
        <f>ROUND(Categorias_Registro[[#This Row],[Mínimo]]+((Categorias_Registro[[#This Row],[Máximo]]-Categorias_Registro[[#This Row],[Mínimo]])/2),0)</f>
        <v>1759</v>
      </c>
      <c r="G913" s="78">
        <f>VLOOKUP(Categorias_Registro[[#This Row],[Puntos]],Categorias_Configuracion[],MATCH(Categorias_Configuracion[[#Headers],[% Amplitud]],Categorias_Configuracion[#Headers],0),TRUE)</f>
        <v>0.15</v>
      </c>
      <c r="H913" s="15" t="str">
        <f ca="1">TEXT(Categorias_Registro[[#This Row],[Mínimo]],Formato_Rango_Categorias)&amp;" - "&amp;TEXT(Categorias_Registro[[#This Row],[Máximo]],Formato_Rango_Categorias)</f>
        <v>1.637 - 1.881</v>
      </c>
    </row>
    <row r="914" spans="2:8">
      <c r="B914" s="15">
        <f>Techo - ROW() + ROW(Categorias_Registro[])</f>
        <v>1715</v>
      </c>
      <c r="C914" s="15">
        <f>IF(Categorias_Registro[[#This Row],[Puntos]]&lt;=ROUND(Piso,0),Piso,IF(Categorias_Registro[[#This Row],[Puntos]]&lt;D915,C915,D915+1))</f>
        <v>1637</v>
      </c>
      <c r="D914" s="15">
        <f>IF(Categorias_Registro[[#This Row],[Puntos]]=ROUND(Piso,0),ROUND(Categorias_Registro[[#This Row],[Puntos]]*(1+Categorias_Registro[[#This Row],[Amplitud]]),0),IF(Categorias_Registro[[#This Row],[Puntos]]&lt;D915,D915,ROUND(D915*(1+Categorias_Registro[[#This Row],[Amplitud]]),0)))</f>
        <v>1881</v>
      </c>
      <c r="E914" s="15">
        <f>E915+IF(D915=Categorias_Registro[[#This Row],[Máximo]],0,1)</f>
        <v>22</v>
      </c>
      <c r="F914" s="15">
        <f>ROUND(Categorias_Registro[[#This Row],[Mínimo]]+((Categorias_Registro[[#This Row],[Máximo]]-Categorias_Registro[[#This Row],[Mínimo]])/2),0)</f>
        <v>1759</v>
      </c>
      <c r="G914" s="78">
        <f>VLOOKUP(Categorias_Registro[[#This Row],[Puntos]],Categorias_Configuracion[],MATCH(Categorias_Configuracion[[#Headers],[% Amplitud]],Categorias_Configuracion[#Headers],0),TRUE)</f>
        <v>0.15</v>
      </c>
      <c r="H914" s="15" t="str">
        <f ca="1">TEXT(Categorias_Registro[[#This Row],[Mínimo]],Formato_Rango_Categorias)&amp;" - "&amp;TEXT(Categorias_Registro[[#This Row],[Máximo]],Formato_Rango_Categorias)</f>
        <v>1.637 - 1.881</v>
      </c>
    </row>
    <row r="915" spans="2:8">
      <c r="B915" s="15">
        <f>Techo - ROW() + ROW(Categorias_Registro[])</f>
        <v>1714</v>
      </c>
      <c r="C915" s="15">
        <f>IF(Categorias_Registro[[#This Row],[Puntos]]&lt;=ROUND(Piso,0),Piso,IF(Categorias_Registro[[#This Row],[Puntos]]&lt;D916,C916,D916+1))</f>
        <v>1637</v>
      </c>
      <c r="D915" s="15">
        <f>IF(Categorias_Registro[[#This Row],[Puntos]]=ROUND(Piso,0),ROUND(Categorias_Registro[[#This Row],[Puntos]]*(1+Categorias_Registro[[#This Row],[Amplitud]]),0),IF(Categorias_Registro[[#This Row],[Puntos]]&lt;D916,D916,ROUND(D916*(1+Categorias_Registro[[#This Row],[Amplitud]]),0)))</f>
        <v>1881</v>
      </c>
      <c r="E915" s="15">
        <f>E916+IF(D916=Categorias_Registro[[#This Row],[Máximo]],0,1)</f>
        <v>22</v>
      </c>
      <c r="F915" s="15">
        <f>ROUND(Categorias_Registro[[#This Row],[Mínimo]]+((Categorias_Registro[[#This Row],[Máximo]]-Categorias_Registro[[#This Row],[Mínimo]])/2),0)</f>
        <v>1759</v>
      </c>
      <c r="G915" s="78">
        <f>VLOOKUP(Categorias_Registro[[#This Row],[Puntos]],Categorias_Configuracion[],MATCH(Categorias_Configuracion[[#Headers],[% Amplitud]],Categorias_Configuracion[#Headers],0),TRUE)</f>
        <v>0.15</v>
      </c>
      <c r="H915" s="15" t="str">
        <f ca="1">TEXT(Categorias_Registro[[#This Row],[Mínimo]],Formato_Rango_Categorias)&amp;" - "&amp;TEXT(Categorias_Registro[[#This Row],[Máximo]],Formato_Rango_Categorias)</f>
        <v>1.637 - 1.881</v>
      </c>
    </row>
    <row r="916" spans="2:8">
      <c r="B916" s="15">
        <f>Techo - ROW() + ROW(Categorias_Registro[])</f>
        <v>1713</v>
      </c>
      <c r="C916" s="15">
        <f>IF(Categorias_Registro[[#This Row],[Puntos]]&lt;=ROUND(Piso,0),Piso,IF(Categorias_Registro[[#This Row],[Puntos]]&lt;D917,C917,D917+1))</f>
        <v>1637</v>
      </c>
      <c r="D916" s="15">
        <f>IF(Categorias_Registro[[#This Row],[Puntos]]=ROUND(Piso,0),ROUND(Categorias_Registro[[#This Row],[Puntos]]*(1+Categorias_Registro[[#This Row],[Amplitud]]),0),IF(Categorias_Registro[[#This Row],[Puntos]]&lt;D917,D917,ROUND(D917*(1+Categorias_Registro[[#This Row],[Amplitud]]),0)))</f>
        <v>1881</v>
      </c>
      <c r="E916" s="15">
        <f>E917+IF(D917=Categorias_Registro[[#This Row],[Máximo]],0,1)</f>
        <v>22</v>
      </c>
      <c r="F916" s="15">
        <f>ROUND(Categorias_Registro[[#This Row],[Mínimo]]+((Categorias_Registro[[#This Row],[Máximo]]-Categorias_Registro[[#This Row],[Mínimo]])/2),0)</f>
        <v>1759</v>
      </c>
      <c r="G916" s="78">
        <f>VLOOKUP(Categorias_Registro[[#This Row],[Puntos]],Categorias_Configuracion[],MATCH(Categorias_Configuracion[[#Headers],[% Amplitud]],Categorias_Configuracion[#Headers],0),TRUE)</f>
        <v>0.15</v>
      </c>
      <c r="H916" s="15" t="str">
        <f ca="1">TEXT(Categorias_Registro[[#This Row],[Mínimo]],Formato_Rango_Categorias)&amp;" - "&amp;TEXT(Categorias_Registro[[#This Row],[Máximo]],Formato_Rango_Categorias)</f>
        <v>1.637 - 1.881</v>
      </c>
    </row>
    <row r="917" spans="2:8">
      <c r="B917" s="15">
        <f>Techo - ROW() + ROW(Categorias_Registro[])</f>
        <v>1712</v>
      </c>
      <c r="C917" s="15">
        <f>IF(Categorias_Registro[[#This Row],[Puntos]]&lt;=ROUND(Piso,0),Piso,IF(Categorias_Registro[[#This Row],[Puntos]]&lt;D918,C918,D918+1))</f>
        <v>1637</v>
      </c>
      <c r="D917" s="15">
        <f>IF(Categorias_Registro[[#This Row],[Puntos]]=ROUND(Piso,0),ROUND(Categorias_Registro[[#This Row],[Puntos]]*(1+Categorias_Registro[[#This Row],[Amplitud]]),0),IF(Categorias_Registro[[#This Row],[Puntos]]&lt;D918,D918,ROUND(D918*(1+Categorias_Registro[[#This Row],[Amplitud]]),0)))</f>
        <v>1881</v>
      </c>
      <c r="E917" s="15">
        <f>E918+IF(D918=Categorias_Registro[[#This Row],[Máximo]],0,1)</f>
        <v>22</v>
      </c>
      <c r="F917" s="15">
        <f>ROUND(Categorias_Registro[[#This Row],[Mínimo]]+((Categorias_Registro[[#This Row],[Máximo]]-Categorias_Registro[[#This Row],[Mínimo]])/2),0)</f>
        <v>1759</v>
      </c>
      <c r="G917" s="78">
        <f>VLOOKUP(Categorias_Registro[[#This Row],[Puntos]],Categorias_Configuracion[],MATCH(Categorias_Configuracion[[#Headers],[% Amplitud]],Categorias_Configuracion[#Headers],0),TRUE)</f>
        <v>0.15</v>
      </c>
      <c r="H917" s="15" t="str">
        <f ca="1">TEXT(Categorias_Registro[[#This Row],[Mínimo]],Formato_Rango_Categorias)&amp;" - "&amp;TEXT(Categorias_Registro[[#This Row],[Máximo]],Formato_Rango_Categorias)</f>
        <v>1.637 - 1.881</v>
      </c>
    </row>
    <row r="918" spans="2:8">
      <c r="B918" s="15">
        <f>Techo - ROW() + ROW(Categorias_Registro[])</f>
        <v>1711</v>
      </c>
      <c r="C918" s="15">
        <f>IF(Categorias_Registro[[#This Row],[Puntos]]&lt;=ROUND(Piso,0),Piso,IF(Categorias_Registro[[#This Row],[Puntos]]&lt;D919,C919,D919+1))</f>
        <v>1637</v>
      </c>
      <c r="D918" s="15">
        <f>IF(Categorias_Registro[[#This Row],[Puntos]]=ROUND(Piso,0),ROUND(Categorias_Registro[[#This Row],[Puntos]]*(1+Categorias_Registro[[#This Row],[Amplitud]]),0),IF(Categorias_Registro[[#This Row],[Puntos]]&lt;D919,D919,ROUND(D919*(1+Categorias_Registro[[#This Row],[Amplitud]]),0)))</f>
        <v>1881</v>
      </c>
      <c r="E918" s="15">
        <f>E919+IF(D919=Categorias_Registro[[#This Row],[Máximo]],0,1)</f>
        <v>22</v>
      </c>
      <c r="F918" s="15">
        <f>ROUND(Categorias_Registro[[#This Row],[Mínimo]]+((Categorias_Registro[[#This Row],[Máximo]]-Categorias_Registro[[#This Row],[Mínimo]])/2),0)</f>
        <v>1759</v>
      </c>
      <c r="G918" s="78">
        <f>VLOOKUP(Categorias_Registro[[#This Row],[Puntos]],Categorias_Configuracion[],MATCH(Categorias_Configuracion[[#Headers],[% Amplitud]],Categorias_Configuracion[#Headers],0),TRUE)</f>
        <v>0.15</v>
      </c>
      <c r="H918" s="15" t="str">
        <f ca="1">TEXT(Categorias_Registro[[#This Row],[Mínimo]],Formato_Rango_Categorias)&amp;" - "&amp;TEXT(Categorias_Registro[[#This Row],[Máximo]],Formato_Rango_Categorias)</f>
        <v>1.637 - 1.881</v>
      </c>
    </row>
    <row r="919" spans="2:8">
      <c r="B919" s="15">
        <f>Techo - ROW() + ROW(Categorias_Registro[])</f>
        <v>1710</v>
      </c>
      <c r="C919" s="15">
        <f>IF(Categorias_Registro[[#This Row],[Puntos]]&lt;=ROUND(Piso,0),Piso,IF(Categorias_Registro[[#This Row],[Puntos]]&lt;D920,C920,D920+1))</f>
        <v>1637</v>
      </c>
      <c r="D919" s="15">
        <f>IF(Categorias_Registro[[#This Row],[Puntos]]=ROUND(Piso,0),ROUND(Categorias_Registro[[#This Row],[Puntos]]*(1+Categorias_Registro[[#This Row],[Amplitud]]),0),IF(Categorias_Registro[[#This Row],[Puntos]]&lt;D920,D920,ROUND(D920*(1+Categorias_Registro[[#This Row],[Amplitud]]),0)))</f>
        <v>1881</v>
      </c>
      <c r="E919" s="15">
        <f>E920+IF(D920=Categorias_Registro[[#This Row],[Máximo]],0,1)</f>
        <v>22</v>
      </c>
      <c r="F919" s="15">
        <f>ROUND(Categorias_Registro[[#This Row],[Mínimo]]+((Categorias_Registro[[#This Row],[Máximo]]-Categorias_Registro[[#This Row],[Mínimo]])/2),0)</f>
        <v>1759</v>
      </c>
      <c r="G919" s="78">
        <f>VLOOKUP(Categorias_Registro[[#This Row],[Puntos]],Categorias_Configuracion[],MATCH(Categorias_Configuracion[[#Headers],[% Amplitud]],Categorias_Configuracion[#Headers],0),TRUE)</f>
        <v>0.15</v>
      </c>
      <c r="H919" s="15" t="str">
        <f ca="1">TEXT(Categorias_Registro[[#This Row],[Mínimo]],Formato_Rango_Categorias)&amp;" - "&amp;TEXT(Categorias_Registro[[#This Row],[Máximo]],Formato_Rango_Categorias)</f>
        <v>1.637 - 1.881</v>
      </c>
    </row>
    <row r="920" spans="2:8">
      <c r="B920" s="15">
        <f>Techo - ROW() + ROW(Categorias_Registro[])</f>
        <v>1709</v>
      </c>
      <c r="C920" s="15">
        <f>IF(Categorias_Registro[[#This Row],[Puntos]]&lt;=ROUND(Piso,0),Piso,IF(Categorias_Registro[[#This Row],[Puntos]]&lt;D921,C921,D921+1))</f>
        <v>1637</v>
      </c>
      <c r="D920" s="15">
        <f>IF(Categorias_Registro[[#This Row],[Puntos]]=ROUND(Piso,0),ROUND(Categorias_Registro[[#This Row],[Puntos]]*(1+Categorias_Registro[[#This Row],[Amplitud]]),0),IF(Categorias_Registro[[#This Row],[Puntos]]&lt;D921,D921,ROUND(D921*(1+Categorias_Registro[[#This Row],[Amplitud]]),0)))</f>
        <v>1881</v>
      </c>
      <c r="E920" s="15">
        <f>E921+IF(D921=Categorias_Registro[[#This Row],[Máximo]],0,1)</f>
        <v>22</v>
      </c>
      <c r="F920" s="15">
        <f>ROUND(Categorias_Registro[[#This Row],[Mínimo]]+((Categorias_Registro[[#This Row],[Máximo]]-Categorias_Registro[[#This Row],[Mínimo]])/2),0)</f>
        <v>1759</v>
      </c>
      <c r="G920" s="78">
        <f>VLOOKUP(Categorias_Registro[[#This Row],[Puntos]],Categorias_Configuracion[],MATCH(Categorias_Configuracion[[#Headers],[% Amplitud]],Categorias_Configuracion[#Headers],0),TRUE)</f>
        <v>0.15</v>
      </c>
      <c r="H920" s="15" t="str">
        <f ca="1">TEXT(Categorias_Registro[[#This Row],[Mínimo]],Formato_Rango_Categorias)&amp;" - "&amp;TEXT(Categorias_Registro[[#This Row],[Máximo]],Formato_Rango_Categorias)</f>
        <v>1.637 - 1.881</v>
      </c>
    </row>
    <row r="921" spans="2:8">
      <c r="B921" s="15">
        <f>Techo - ROW() + ROW(Categorias_Registro[])</f>
        <v>1708</v>
      </c>
      <c r="C921" s="15">
        <f>IF(Categorias_Registro[[#This Row],[Puntos]]&lt;=ROUND(Piso,0),Piso,IF(Categorias_Registro[[#This Row],[Puntos]]&lt;D922,C922,D922+1))</f>
        <v>1637</v>
      </c>
      <c r="D921" s="15">
        <f>IF(Categorias_Registro[[#This Row],[Puntos]]=ROUND(Piso,0),ROUND(Categorias_Registro[[#This Row],[Puntos]]*(1+Categorias_Registro[[#This Row],[Amplitud]]),0),IF(Categorias_Registro[[#This Row],[Puntos]]&lt;D922,D922,ROUND(D922*(1+Categorias_Registro[[#This Row],[Amplitud]]),0)))</f>
        <v>1881</v>
      </c>
      <c r="E921" s="15">
        <f>E922+IF(D922=Categorias_Registro[[#This Row],[Máximo]],0,1)</f>
        <v>22</v>
      </c>
      <c r="F921" s="15">
        <f>ROUND(Categorias_Registro[[#This Row],[Mínimo]]+((Categorias_Registro[[#This Row],[Máximo]]-Categorias_Registro[[#This Row],[Mínimo]])/2),0)</f>
        <v>1759</v>
      </c>
      <c r="G921" s="78">
        <f>VLOOKUP(Categorias_Registro[[#This Row],[Puntos]],Categorias_Configuracion[],MATCH(Categorias_Configuracion[[#Headers],[% Amplitud]],Categorias_Configuracion[#Headers],0),TRUE)</f>
        <v>0.15</v>
      </c>
      <c r="H921" s="15" t="str">
        <f ca="1">TEXT(Categorias_Registro[[#This Row],[Mínimo]],Formato_Rango_Categorias)&amp;" - "&amp;TEXT(Categorias_Registro[[#This Row],[Máximo]],Formato_Rango_Categorias)</f>
        <v>1.637 - 1.881</v>
      </c>
    </row>
    <row r="922" spans="2:8">
      <c r="B922" s="15">
        <f>Techo - ROW() + ROW(Categorias_Registro[])</f>
        <v>1707</v>
      </c>
      <c r="C922" s="15">
        <f>IF(Categorias_Registro[[#This Row],[Puntos]]&lt;=ROUND(Piso,0),Piso,IF(Categorias_Registro[[#This Row],[Puntos]]&lt;D923,C923,D923+1))</f>
        <v>1637</v>
      </c>
      <c r="D922" s="15">
        <f>IF(Categorias_Registro[[#This Row],[Puntos]]=ROUND(Piso,0),ROUND(Categorias_Registro[[#This Row],[Puntos]]*(1+Categorias_Registro[[#This Row],[Amplitud]]),0),IF(Categorias_Registro[[#This Row],[Puntos]]&lt;D923,D923,ROUND(D923*(1+Categorias_Registro[[#This Row],[Amplitud]]),0)))</f>
        <v>1881</v>
      </c>
      <c r="E922" s="15">
        <f>E923+IF(D923=Categorias_Registro[[#This Row],[Máximo]],0,1)</f>
        <v>22</v>
      </c>
      <c r="F922" s="15">
        <f>ROUND(Categorias_Registro[[#This Row],[Mínimo]]+((Categorias_Registro[[#This Row],[Máximo]]-Categorias_Registro[[#This Row],[Mínimo]])/2),0)</f>
        <v>1759</v>
      </c>
      <c r="G922" s="78">
        <f>VLOOKUP(Categorias_Registro[[#This Row],[Puntos]],Categorias_Configuracion[],MATCH(Categorias_Configuracion[[#Headers],[% Amplitud]],Categorias_Configuracion[#Headers],0),TRUE)</f>
        <v>0.15</v>
      </c>
      <c r="H922" s="15" t="str">
        <f ca="1">TEXT(Categorias_Registro[[#This Row],[Mínimo]],Formato_Rango_Categorias)&amp;" - "&amp;TEXT(Categorias_Registro[[#This Row],[Máximo]],Formato_Rango_Categorias)</f>
        <v>1.637 - 1.881</v>
      </c>
    </row>
    <row r="923" spans="2:8">
      <c r="B923" s="15">
        <f>Techo - ROW() + ROW(Categorias_Registro[])</f>
        <v>1706</v>
      </c>
      <c r="C923" s="15">
        <f>IF(Categorias_Registro[[#This Row],[Puntos]]&lt;=ROUND(Piso,0),Piso,IF(Categorias_Registro[[#This Row],[Puntos]]&lt;D924,C924,D924+1))</f>
        <v>1637</v>
      </c>
      <c r="D923" s="15">
        <f>IF(Categorias_Registro[[#This Row],[Puntos]]=ROUND(Piso,0),ROUND(Categorias_Registro[[#This Row],[Puntos]]*(1+Categorias_Registro[[#This Row],[Amplitud]]),0),IF(Categorias_Registro[[#This Row],[Puntos]]&lt;D924,D924,ROUND(D924*(1+Categorias_Registro[[#This Row],[Amplitud]]),0)))</f>
        <v>1881</v>
      </c>
      <c r="E923" s="15">
        <f>E924+IF(D924=Categorias_Registro[[#This Row],[Máximo]],0,1)</f>
        <v>22</v>
      </c>
      <c r="F923" s="15">
        <f>ROUND(Categorias_Registro[[#This Row],[Mínimo]]+((Categorias_Registro[[#This Row],[Máximo]]-Categorias_Registro[[#This Row],[Mínimo]])/2),0)</f>
        <v>1759</v>
      </c>
      <c r="G923" s="78">
        <f>VLOOKUP(Categorias_Registro[[#This Row],[Puntos]],Categorias_Configuracion[],MATCH(Categorias_Configuracion[[#Headers],[% Amplitud]],Categorias_Configuracion[#Headers],0),TRUE)</f>
        <v>0.15</v>
      </c>
      <c r="H923" s="15" t="str">
        <f ca="1">TEXT(Categorias_Registro[[#This Row],[Mínimo]],Formato_Rango_Categorias)&amp;" - "&amp;TEXT(Categorias_Registro[[#This Row],[Máximo]],Formato_Rango_Categorias)</f>
        <v>1.637 - 1.881</v>
      </c>
    </row>
    <row r="924" spans="2:8">
      <c r="B924" s="15">
        <f>Techo - ROW() + ROW(Categorias_Registro[])</f>
        <v>1705</v>
      </c>
      <c r="C924" s="15">
        <f>IF(Categorias_Registro[[#This Row],[Puntos]]&lt;=ROUND(Piso,0),Piso,IF(Categorias_Registro[[#This Row],[Puntos]]&lt;D925,C925,D925+1))</f>
        <v>1637</v>
      </c>
      <c r="D924" s="15">
        <f>IF(Categorias_Registro[[#This Row],[Puntos]]=ROUND(Piso,0),ROUND(Categorias_Registro[[#This Row],[Puntos]]*(1+Categorias_Registro[[#This Row],[Amplitud]]),0),IF(Categorias_Registro[[#This Row],[Puntos]]&lt;D925,D925,ROUND(D925*(1+Categorias_Registro[[#This Row],[Amplitud]]),0)))</f>
        <v>1881</v>
      </c>
      <c r="E924" s="15">
        <f>E925+IF(D925=Categorias_Registro[[#This Row],[Máximo]],0,1)</f>
        <v>22</v>
      </c>
      <c r="F924" s="15">
        <f>ROUND(Categorias_Registro[[#This Row],[Mínimo]]+((Categorias_Registro[[#This Row],[Máximo]]-Categorias_Registro[[#This Row],[Mínimo]])/2),0)</f>
        <v>1759</v>
      </c>
      <c r="G924" s="78">
        <f>VLOOKUP(Categorias_Registro[[#This Row],[Puntos]],Categorias_Configuracion[],MATCH(Categorias_Configuracion[[#Headers],[% Amplitud]],Categorias_Configuracion[#Headers],0),TRUE)</f>
        <v>0.15</v>
      </c>
      <c r="H924" s="15" t="str">
        <f ca="1">TEXT(Categorias_Registro[[#This Row],[Mínimo]],Formato_Rango_Categorias)&amp;" - "&amp;TEXT(Categorias_Registro[[#This Row],[Máximo]],Formato_Rango_Categorias)</f>
        <v>1.637 - 1.881</v>
      </c>
    </row>
    <row r="925" spans="2:8">
      <c r="B925" s="15">
        <f>Techo - ROW() + ROW(Categorias_Registro[])</f>
        <v>1704</v>
      </c>
      <c r="C925" s="15">
        <f>IF(Categorias_Registro[[#This Row],[Puntos]]&lt;=ROUND(Piso,0),Piso,IF(Categorias_Registro[[#This Row],[Puntos]]&lt;D926,C926,D926+1))</f>
        <v>1637</v>
      </c>
      <c r="D925" s="15">
        <f>IF(Categorias_Registro[[#This Row],[Puntos]]=ROUND(Piso,0),ROUND(Categorias_Registro[[#This Row],[Puntos]]*(1+Categorias_Registro[[#This Row],[Amplitud]]),0),IF(Categorias_Registro[[#This Row],[Puntos]]&lt;D926,D926,ROUND(D926*(1+Categorias_Registro[[#This Row],[Amplitud]]),0)))</f>
        <v>1881</v>
      </c>
      <c r="E925" s="15">
        <f>E926+IF(D926=Categorias_Registro[[#This Row],[Máximo]],0,1)</f>
        <v>22</v>
      </c>
      <c r="F925" s="15">
        <f>ROUND(Categorias_Registro[[#This Row],[Mínimo]]+((Categorias_Registro[[#This Row],[Máximo]]-Categorias_Registro[[#This Row],[Mínimo]])/2),0)</f>
        <v>1759</v>
      </c>
      <c r="G925" s="78">
        <f>VLOOKUP(Categorias_Registro[[#This Row],[Puntos]],Categorias_Configuracion[],MATCH(Categorias_Configuracion[[#Headers],[% Amplitud]],Categorias_Configuracion[#Headers],0),TRUE)</f>
        <v>0.15</v>
      </c>
      <c r="H925" s="15" t="str">
        <f ca="1">TEXT(Categorias_Registro[[#This Row],[Mínimo]],Formato_Rango_Categorias)&amp;" - "&amp;TEXT(Categorias_Registro[[#This Row],[Máximo]],Formato_Rango_Categorias)</f>
        <v>1.637 - 1.881</v>
      </c>
    </row>
    <row r="926" spans="2:8">
      <c r="B926" s="15">
        <f>Techo - ROW() + ROW(Categorias_Registro[])</f>
        <v>1703</v>
      </c>
      <c r="C926" s="15">
        <f>IF(Categorias_Registro[[#This Row],[Puntos]]&lt;=ROUND(Piso,0),Piso,IF(Categorias_Registro[[#This Row],[Puntos]]&lt;D927,C927,D927+1))</f>
        <v>1637</v>
      </c>
      <c r="D926" s="15">
        <f>IF(Categorias_Registro[[#This Row],[Puntos]]=ROUND(Piso,0),ROUND(Categorias_Registro[[#This Row],[Puntos]]*(1+Categorias_Registro[[#This Row],[Amplitud]]),0),IF(Categorias_Registro[[#This Row],[Puntos]]&lt;D927,D927,ROUND(D927*(1+Categorias_Registro[[#This Row],[Amplitud]]),0)))</f>
        <v>1881</v>
      </c>
      <c r="E926" s="15">
        <f>E927+IF(D927=Categorias_Registro[[#This Row],[Máximo]],0,1)</f>
        <v>22</v>
      </c>
      <c r="F926" s="15">
        <f>ROUND(Categorias_Registro[[#This Row],[Mínimo]]+((Categorias_Registro[[#This Row],[Máximo]]-Categorias_Registro[[#This Row],[Mínimo]])/2),0)</f>
        <v>1759</v>
      </c>
      <c r="G926" s="78">
        <f>VLOOKUP(Categorias_Registro[[#This Row],[Puntos]],Categorias_Configuracion[],MATCH(Categorias_Configuracion[[#Headers],[% Amplitud]],Categorias_Configuracion[#Headers],0),TRUE)</f>
        <v>0.15</v>
      </c>
      <c r="H926" s="15" t="str">
        <f ca="1">TEXT(Categorias_Registro[[#This Row],[Mínimo]],Formato_Rango_Categorias)&amp;" - "&amp;TEXT(Categorias_Registro[[#This Row],[Máximo]],Formato_Rango_Categorias)</f>
        <v>1.637 - 1.881</v>
      </c>
    </row>
    <row r="927" spans="2:8">
      <c r="B927" s="15">
        <f>Techo - ROW() + ROW(Categorias_Registro[])</f>
        <v>1702</v>
      </c>
      <c r="C927" s="15">
        <f>IF(Categorias_Registro[[#This Row],[Puntos]]&lt;=ROUND(Piso,0),Piso,IF(Categorias_Registro[[#This Row],[Puntos]]&lt;D928,C928,D928+1))</f>
        <v>1637</v>
      </c>
      <c r="D927" s="15">
        <f>IF(Categorias_Registro[[#This Row],[Puntos]]=ROUND(Piso,0),ROUND(Categorias_Registro[[#This Row],[Puntos]]*(1+Categorias_Registro[[#This Row],[Amplitud]]),0),IF(Categorias_Registro[[#This Row],[Puntos]]&lt;D928,D928,ROUND(D928*(1+Categorias_Registro[[#This Row],[Amplitud]]),0)))</f>
        <v>1881</v>
      </c>
      <c r="E927" s="15">
        <f>E928+IF(D928=Categorias_Registro[[#This Row],[Máximo]],0,1)</f>
        <v>22</v>
      </c>
      <c r="F927" s="15">
        <f>ROUND(Categorias_Registro[[#This Row],[Mínimo]]+((Categorias_Registro[[#This Row],[Máximo]]-Categorias_Registro[[#This Row],[Mínimo]])/2),0)</f>
        <v>1759</v>
      </c>
      <c r="G927" s="78">
        <f>VLOOKUP(Categorias_Registro[[#This Row],[Puntos]],Categorias_Configuracion[],MATCH(Categorias_Configuracion[[#Headers],[% Amplitud]],Categorias_Configuracion[#Headers],0),TRUE)</f>
        <v>0.15</v>
      </c>
      <c r="H927" s="15" t="str">
        <f ca="1">TEXT(Categorias_Registro[[#This Row],[Mínimo]],Formato_Rango_Categorias)&amp;" - "&amp;TEXT(Categorias_Registro[[#This Row],[Máximo]],Formato_Rango_Categorias)</f>
        <v>1.637 - 1.881</v>
      </c>
    </row>
    <row r="928" spans="2:8">
      <c r="B928" s="15">
        <f>Techo - ROW() + ROW(Categorias_Registro[])</f>
        <v>1701</v>
      </c>
      <c r="C928" s="15">
        <f>IF(Categorias_Registro[[#This Row],[Puntos]]&lt;=ROUND(Piso,0),Piso,IF(Categorias_Registro[[#This Row],[Puntos]]&lt;D929,C929,D929+1))</f>
        <v>1637</v>
      </c>
      <c r="D928" s="15">
        <f>IF(Categorias_Registro[[#This Row],[Puntos]]=ROUND(Piso,0),ROUND(Categorias_Registro[[#This Row],[Puntos]]*(1+Categorias_Registro[[#This Row],[Amplitud]]),0),IF(Categorias_Registro[[#This Row],[Puntos]]&lt;D929,D929,ROUND(D929*(1+Categorias_Registro[[#This Row],[Amplitud]]),0)))</f>
        <v>1881</v>
      </c>
      <c r="E928" s="15">
        <f>E929+IF(D929=Categorias_Registro[[#This Row],[Máximo]],0,1)</f>
        <v>22</v>
      </c>
      <c r="F928" s="15">
        <f>ROUND(Categorias_Registro[[#This Row],[Mínimo]]+((Categorias_Registro[[#This Row],[Máximo]]-Categorias_Registro[[#This Row],[Mínimo]])/2),0)</f>
        <v>1759</v>
      </c>
      <c r="G928" s="78">
        <f>VLOOKUP(Categorias_Registro[[#This Row],[Puntos]],Categorias_Configuracion[],MATCH(Categorias_Configuracion[[#Headers],[% Amplitud]],Categorias_Configuracion[#Headers],0),TRUE)</f>
        <v>0.15</v>
      </c>
      <c r="H928" s="15" t="str">
        <f ca="1">TEXT(Categorias_Registro[[#This Row],[Mínimo]],Formato_Rango_Categorias)&amp;" - "&amp;TEXT(Categorias_Registro[[#This Row],[Máximo]],Formato_Rango_Categorias)</f>
        <v>1.637 - 1.881</v>
      </c>
    </row>
    <row r="929" spans="2:8">
      <c r="B929" s="15">
        <f>Techo - ROW() + ROW(Categorias_Registro[])</f>
        <v>1700</v>
      </c>
      <c r="C929" s="15">
        <f>IF(Categorias_Registro[[#This Row],[Puntos]]&lt;=ROUND(Piso,0),Piso,IF(Categorias_Registro[[#This Row],[Puntos]]&lt;D930,C930,D930+1))</f>
        <v>1637</v>
      </c>
      <c r="D929" s="15">
        <f>IF(Categorias_Registro[[#This Row],[Puntos]]=ROUND(Piso,0),ROUND(Categorias_Registro[[#This Row],[Puntos]]*(1+Categorias_Registro[[#This Row],[Amplitud]]),0),IF(Categorias_Registro[[#This Row],[Puntos]]&lt;D930,D930,ROUND(D930*(1+Categorias_Registro[[#This Row],[Amplitud]]),0)))</f>
        <v>1881</v>
      </c>
      <c r="E929" s="15">
        <f>E930+IF(D930=Categorias_Registro[[#This Row],[Máximo]],0,1)</f>
        <v>22</v>
      </c>
      <c r="F929" s="15">
        <f>ROUND(Categorias_Registro[[#This Row],[Mínimo]]+((Categorias_Registro[[#This Row],[Máximo]]-Categorias_Registro[[#This Row],[Mínimo]])/2),0)</f>
        <v>1759</v>
      </c>
      <c r="G929" s="78">
        <f>VLOOKUP(Categorias_Registro[[#This Row],[Puntos]],Categorias_Configuracion[],MATCH(Categorias_Configuracion[[#Headers],[% Amplitud]],Categorias_Configuracion[#Headers],0),TRUE)</f>
        <v>0.15</v>
      </c>
      <c r="H929" s="15" t="str">
        <f ca="1">TEXT(Categorias_Registro[[#This Row],[Mínimo]],Formato_Rango_Categorias)&amp;" - "&amp;TEXT(Categorias_Registro[[#This Row],[Máximo]],Formato_Rango_Categorias)</f>
        <v>1.637 - 1.881</v>
      </c>
    </row>
    <row r="930" spans="2:8">
      <c r="B930" s="15">
        <f>Techo - ROW() + ROW(Categorias_Registro[])</f>
        <v>1699</v>
      </c>
      <c r="C930" s="15">
        <f>IF(Categorias_Registro[[#This Row],[Puntos]]&lt;=ROUND(Piso,0),Piso,IF(Categorias_Registro[[#This Row],[Puntos]]&lt;D931,C931,D931+1))</f>
        <v>1637</v>
      </c>
      <c r="D930" s="15">
        <f>IF(Categorias_Registro[[#This Row],[Puntos]]=ROUND(Piso,0),ROUND(Categorias_Registro[[#This Row],[Puntos]]*(1+Categorias_Registro[[#This Row],[Amplitud]]),0),IF(Categorias_Registro[[#This Row],[Puntos]]&lt;D931,D931,ROUND(D931*(1+Categorias_Registro[[#This Row],[Amplitud]]),0)))</f>
        <v>1881</v>
      </c>
      <c r="E930" s="15">
        <f>E931+IF(D931=Categorias_Registro[[#This Row],[Máximo]],0,1)</f>
        <v>22</v>
      </c>
      <c r="F930" s="15">
        <f>ROUND(Categorias_Registro[[#This Row],[Mínimo]]+((Categorias_Registro[[#This Row],[Máximo]]-Categorias_Registro[[#This Row],[Mínimo]])/2),0)</f>
        <v>1759</v>
      </c>
      <c r="G930" s="78">
        <f>VLOOKUP(Categorias_Registro[[#This Row],[Puntos]],Categorias_Configuracion[],MATCH(Categorias_Configuracion[[#Headers],[% Amplitud]],Categorias_Configuracion[#Headers],0),TRUE)</f>
        <v>0.15</v>
      </c>
      <c r="H930" s="15" t="str">
        <f ca="1">TEXT(Categorias_Registro[[#This Row],[Mínimo]],Formato_Rango_Categorias)&amp;" - "&amp;TEXT(Categorias_Registro[[#This Row],[Máximo]],Formato_Rango_Categorias)</f>
        <v>1.637 - 1.881</v>
      </c>
    </row>
    <row r="931" spans="2:8">
      <c r="B931" s="15">
        <f>Techo - ROW() + ROW(Categorias_Registro[])</f>
        <v>1698</v>
      </c>
      <c r="C931" s="15">
        <f>IF(Categorias_Registro[[#This Row],[Puntos]]&lt;=ROUND(Piso,0),Piso,IF(Categorias_Registro[[#This Row],[Puntos]]&lt;D932,C932,D932+1))</f>
        <v>1637</v>
      </c>
      <c r="D931" s="15">
        <f>IF(Categorias_Registro[[#This Row],[Puntos]]=ROUND(Piso,0),ROUND(Categorias_Registro[[#This Row],[Puntos]]*(1+Categorias_Registro[[#This Row],[Amplitud]]),0),IF(Categorias_Registro[[#This Row],[Puntos]]&lt;D932,D932,ROUND(D932*(1+Categorias_Registro[[#This Row],[Amplitud]]),0)))</f>
        <v>1881</v>
      </c>
      <c r="E931" s="15">
        <f>E932+IF(D932=Categorias_Registro[[#This Row],[Máximo]],0,1)</f>
        <v>22</v>
      </c>
      <c r="F931" s="15">
        <f>ROUND(Categorias_Registro[[#This Row],[Mínimo]]+((Categorias_Registro[[#This Row],[Máximo]]-Categorias_Registro[[#This Row],[Mínimo]])/2),0)</f>
        <v>1759</v>
      </c>
      <c r="G931" s="78">
        <f>VLOOKUP(Categorias_Registro[[#This Row],[Puntos]],Categorias_Configuracion[],MATCH(Categorias_Configuracion[[#Headers],[% Amplitud]],Categorias_Configuracion[#Headers],0),TRUE)</f>
        <v>0.15</v>
      </c>
      <c r="H931" s="15" t="str">
        <f ca="1">TEXT(Categorias_Registro[[#This Row],[Mínimo]],Formato_Rango_Categorias)&amp;" - "&amp;TEXT(Categorias_Registro[[#This Row],[Máximo]],Formato_Rango_Categorias)</f>
        <v>1.637 - 1.881</v>
      </c>
    </row>
    <row r="932" spans="2:8">
      <c r="B932" s="15">
        <f>Techo - ROW() + ROW(Categorias_Registro[])</f>
        <v>1697</v>
      </c>
      <c r="C932" s="15">
        <f>IF(Categorias_Registro[[#This Row],[Puntos]]&lt;=ROUND(Piso,0),Piso,IF(Categorias_Registro[[#This Row],[Puntos]]&lt;D933,C933,D933+1))</f>
        <v>1637</v>
      </c>
      <c r="D932" s="15">
        <f>IF(Categorias_Registro[[#This Row],[Puntos]]=ROUND(Piso,0),ROUND(Categorias_Registro[[#This Row],[Puntos]]*(1+Categorias_Registro[[#This Row],[Amplitud]]),0),IF(Categorias_Registro[[#This Row],[Puntos]]&lt;D933,D933,ROUND(D933*(1+Categorias_Registro[[#This Row],[Amplitud]]),0)))</f>
        <v>1881</v>
      </c>
      <c r="E932" s="15">
        <f>E933+IF(D933=Categorias_Registro[[#This Row],[Máximo]],0,1)</f>
        <v>22</v>
      </c>
      <c r="F932" s="15">
        <f>ROUND(Categorias_Registro[[#This Row],[Mínimo]]+((Categorias_Registro[[#This Row],[Máximo]]-Categorias_Registro[[#This Row],[Mínimo]])/2),0)</f>
        <v>1759</v>
      </c>
      <c r="G932" s="78">
        <f>VLOOKUP(Categorias_Registro[[#This Row],[Puntos]],Categorias_Configuracion[],MATCH(Categorias_Configuracion[[#Headers],[% Amplitud]],Categorias_Configuracion[#Headers],0),TRUE)</f>
        <v>0.15</v>
      </c>
      <c r="H932" s="15" t="str">
        <f ca="1">TEXT(Categorias_Registro[[#This Row],[Mínimo]],Formato_Rango_Categorias)&amp;" - "&amp;TEXT(Categorias_Registro[[#This Row],[Máximo]],Formato_Rango_Categorias)</f>
        <v>1.637 - 1.881</v>
      </c>
    </row>
    <row r="933" spans="2:8">
      <c r="B933" s="15">
        <f>Techo - ROW() + ROW(Categorias_Registro[])</f>
        <v>1696</v>
      </c>
      <c r="C933" s="15">
        <f>IF(Categorias_Registro[[#This Row],[Puntos]]&lt;=ROUND(Piso,0),Piso,IF(Categorias_Registro[[#This Row],[Puntos]]&lt;D934,C934,D934+1))</f>
        <v>1637</v>
      </c>
      <c r="D933" s="15">
        <f>IF(Categorias_Registro[[#This Row],[Puntos]]=ROUND(Piso,0),ROUND(Categorias_Registro[[#This Row],[Puntos]]*(1+Categorias_Registro[[#This Row],[Amplitud]]),0),IF(Categorias_Registro[[#This Row],[Puntos]]&lt;D934,D934,ROUND(D934*(1+Categorias_Registro[[#This Row],[Amplitud]]),0)))</f>
        <v>1881</v>
      </c>
      <c r="E933" s="15">
        <f>E934+IF(D934=Categorias_Registro[[#This Row],[Máximo]],0,1)</f>
        <v>22</v>
      </c>
      <c r="F933" s="15">
        <f>ROUND(Categorias_Registro[[#This Row],[Mínimo]]+((Categorias_Registro[[#This Row],[Máximo]]-Categorias_Registro[[#This Row],[Mínimo]])/2),0)</f>
        <v>1759</v>
      </c>
      <c r="G933" s="78">
        <f>VLOOKUP(Categorias_Registro[[#This Row],[Puntos]],Categorias_Configuracion[],MATCH(Categorias_Configuracion[[#Headers],[% Amplitud]],Categorias_Configuracion[#Headers],0),TRUE)</f>
        <v>0.15</v>
      </c>
      <c r="H933" s="15" t="str">
        <f ca="1">TEXT(Categorias_Registro[[#This Row],[Mínimo]],Formato_Rango_Categorias)&amp;" - "&amp;TEXT(Categorias_Registro[[#This Row],[Máximo]],Formato_Rango_Categorias)</f>
        <v>1.637 - 1.881</v>
      </c>
    </row>
    <row r="934" spans="2:8">
      <c r="B934" s="15">
        <f>Techo - ROW() + ROW(Categorias_Registro[])</f>
        <v>1695</v>
      </c>
      <c r="C934" s="15">
        <f>IF(Categorias_Registro[[#This Row],[Puntos]]&lt;=ROUND(Piso,0),Piso,IF(Categorias_Registro[[#This Row],[Puntos]]&lt;D935,C935,D935+1))</f>
        <v>1637</v>
      </c>
      <c r="D934" s="15">
        <f>IF(Categorias_Registro[[#This Row],[Puntos]]=ROUND(Piso,0),ROUND(Categorias_Registro[[#This Row],[Puntos]]*(1+Categorias_Registro[[#This Row],[Amplitud]]),0),IF(Categorias_Registro[[#This Row],[Puntos]]&lt;D935,D935,ROUND(D935*(1+Categorias_Registro[[#This Row],[Amplitud]]),0)))</f>
        <v>1881</v>
      </c>
      <c r="E934" s="15">
        <f>E935+IF(D935=Categorias_Registro[[#This Row],[Máximo]],0,1)</f>
        <v>22</v>
      </c>
      <c r="F934" s="15">
        <f>ROUND(Categorias_Registro[[#This Row],[Mínimo]]+((Categorias_Registro[[#This Row],[Máximo]]-Categorias_Registro[[#This Row],[Mínimo]])/2),0)</f>
        <v>1759</v>
      </c>
      <c r="G934" s="78">
        <f>VLOOKUP(Categorias_Registro[[#This Row],[Puntos]],Categorias_Configuracion[],MATCH(Categorias_Configuracion[[#Headers],[% Amplitud]],Categorias_Configuracion[#Headers],0),TRUE)</f>
        <v>0.15</v>
      </c>
      <c r="H934" s="15" t="str">
        <f ca="1">TEXT(Categorias_Registro[[#This Row],[Mínimo]],Formato_Rango_Categorias)&amp;" - "&amp;TEXT(Categorias_Registro[[#This Row],[Máximo]],Formato_Rango_Categorias)</f>
        <v>1.637 - 1.881</v>
      </c>
    </row>
    <row r="935" spans="2:8">
      <c r="B935" s="15">
        <f>Techo - ROW() + ROW(Categorias_Registro[])</f>
        <v>1694</v>
      </c>
      <c r="C935" s="15">
        <f>IF(Categorias_Registro[[#This Row],[Puntos]]&lt;=ROUND(Piso,0),Piso,IF(Categorias_Registro[[#This Row],[Puntos]]&lt;D936,C936,D936+1))</f>
        <v>1637</v>
      </c>
      <c r="D935" s="15">
        <f>IF(Categorias_Registro[[#This Row],[Puntos]]=ROUND(Piso,0),ROUND(Categorias_Registro[[#This Row],[Puntos]]*(1+Categorias_Registro[[#This Row],[Amplitud]]),0),IF(Categorias_Registro[[#This Row],[Puntos]]&lt;D936,D936,ROUND(D936*(1+Categorias_Registro[[#This Row],[Amplitud]]),0)))</f>
        <v>1881</v>
      </c>
      <c r="E935" s="15">
        <f>E936+IF(D936=Categorias_Registro[[#This Row],[Máximo]],0,1)</f>
        <v>22</v>
      </c>
      <c r="F935" s="15">
        <f>ROUND(Categorias_Registro[[#This Row],[Mínimo]]+((Categorias_Registro[[#This Row],[Máximo]]-Categorias_Registro[[#This Row],[Mínimo]])/2),0)</f>
        <v>1759</v>
      </c>
      <c r="G935" s="78">
        <f>VLOOKUP(Categorias_Registro[[#This Row],[Puntos]],Categorias_Configuracion[],MATCH(Categorias_Configuracion[[#Headers],[% Amplitud]],Categorias_Configuracion[#Headers],0),TRUE)</f>
        <v>0.15</v>
      </c>
      <c r="H935" s="15" t="str">
        <f ca="1">TEXT(Categorias_Registro[[#This Row],[Mínimo]],Formato_Rango_Categorias)&amp;" - "&amp;TEXT(Categorias_Registro[[#This Row],[Máximo]],Formato_Rango_Categorias)</f>
        <v>1.637 - 1.881</v>
      </c>
    </row>
    <row r="936" spans="2:8">
      <c r="B936" s="15">
        <f>Techo - ROW() + ROW(Categorias_Registro[])</f>
        <v>1693</v>
      </c>
      <c r="C936" s="15">
        <f>IF(Categorias_Registro[[#This Row],[Puntos]]&lt;=ROUND(Piso,0),Piso,IF(Categorias_Registro[[#This Row],[Puntos]]&lt;D937,C937,D937+1))</f>
        <v>1637</v>
      </c>
      <c r="D936" s="15">
        <f>IF(Categorias_Registro[[#This Row],[Puntos]]=ROUND(Piso,0),ROUND(Categorias_Registro[[#This Row],[Puntos]]*(1+Categorias_Registro[[#This Row],[Amplitud]]),0),IF(Categorias_Registro[[#This Row],[Puntos]]&lt;D937,D937,ROUND(D937*(1+Categorias_Registro[[#This Row],[Amplitud]]),0)))</f>
        <v>1881</v>
      </c>
      <c r="E936" s="15">
        <f>E937+IF(D937=Categorias_Registro[[#This Row],[Máximo]],0,1)</f>
        <v>22</v>
      </c>
      <c r="F936" s="15">
        <f>ROUND(Categorias_Registro[[#This Row],[Mínimo]]+((Categorias_Registro[[#This Row],[Máximo]]-Categorias_Registro[[#This Row],[Mínimo]])/2),0)</f>
        <v>1759</v>
      </c>
      <c r="G936" s="78">
        <f>VLOOKUP(Categorias_Registro[[#This Row],[Puntos]],Categorias_Configuracion[],MATCH(Categorias_Configuracion[[#Headers],[% Amplitud]],Categorias_Configuracion[#Headers],0),TRUE)</f>
        <v>0.15</v>
      </c>
      <c r="H936" s="15" t="str">
        <f ca="1">TEXT(Categorias_Registro[[#This Row],[Mínimo]],Formato_Rango_Categorias)&amp;" - "&amp;TEXT(Categorias_Registro[[#This Row],[Máximo]],Formato_Rango_Categorias)</f>
        <v>1.637 - 1.881</v>
      </c>
    </row>
    <row r="937" spans="2:8">
      <c r="B937" s="15">
        <f>Techo - ROW() + ROW(Categorias_Registro[])</f>
        <v>1692</v>
      </c>
      <c r="C937" s="15">
        <f>IF(Categorias_Registro[[#This Row],[Puntos]]&lt;=ROUND(Piso,0),Piso,IF(Categorias_Registro[[#This Row],[Puntos]]&lt;D938,C938,D938+1))</f>
        <v>1637</v>
      </c>
      <c r="D937" s="15">
        <f>IF(Categorias_Registro[[#This Row],[Puntos]]=ROUND(Piso,0),ROUND(Categorias_Registro[[#This Row],[Puntos]]*(1+Categorias_Registro[[#This Row],[Amplitud]]),0),IF(Categorias_Registro[[#This Row],[Puntos]]&lt;D938,D938,ROUND(D938*(1+Categorias_Registro[[#This Row],[Amplitud]]),0)))</f>
        <v>1881</v>
      </c>
      <c r="E937" s="15">
        <f>E938+IF(D938=Categorias_Registro[[#This Row],[Máximo]],0,1)</f>
        <v>22</v>
      </c>
      <c r="F937" s="15">
        <f>ROUND(Categorias_Registro[[#This Row],[Mínimo]]+((Categorias_Registro[[#This Row],[Máximo]]-Categorias_Registro[[#This Row],[Mínimo]])/2),0)</f>
        <v>1759</v>
      </c>
      <c r="G937" s="78">
        <f>VLOOKUP(Categorias_Registro[[#This Row],[Puntos]],Categorias_Configuracion[],MATCH(Categorias_Configuracion[[#Headers],[% Amplitud]],Categorias_Configuracion[#Headers],0),TRUE)</f>
        <v>0.15</v>
      </c>
      <c r="H937" s="15" t="str">
        <f ca="1">TEXT(Categorias_Registro[[#This Row],[Mínimo]],Formato_Rango_Categorias)&amp;" - "&amp;TEXT(Categorias_Registro[[#This Row],[Máximo]],Formato_Rango_Categorias)</f>
        <v>1.637 - 1.881</v>
      </c>
    </row>
    <row r="938" spans="2:8">
      <c r="B938" s="15">
        <f>Techo - ROW() + ROW(Categorias_Registro[])</f>
        <v>1691</v>
      </c>
      <c r="C938" s="15">
        <f>IF(Categorias_Registro[[#This Row],[Puntos]]&lt;=ROUND(Piso,0),Piso,IF(Categorias_Registro[[#This Row],[Puntos]]&lt;D939,C939,D939+1))</f>
        <v>1637</v>
      </c>
      <c r="D938" s="15">
        <f>IF(Categorias_Registro[[#This Row],[Puntos]]=ROUND(Piso,0),ROUND(Categorias_Registro[[#This Row],[Puntos]]*(1+Categorias_Registro[[#This Row],[Amplitud]]),0),IF(Categorias_Registro[[#This Row],[Puntos]]&lt;D939,D939,ROUND(D939*(1+Categorias_Registro[[#This Row],[Amplitud]]),0)))</f>
        <v>1881</v>
      </c>
      <c r="E938" s="15">
        <f>E939+IF(D939=Categorias_Registro[[#This Row],[Máximo]],0,1)</f>
        <v>22</v>
      </c>
      <c r="F938" s="15">
        <f>ROUND(Categorias_Registro[[#This Row],[Mínimo]]+((Categorias_Registro[[#This Row],[Máximo]]-Categorias_Registro[[#This Row],[Mínimo]])/2),0)</f>
        <v>1759</v>
      </c>
      <c r="G938" s="78">
        <f>VLOOKUP(Categorias_Registro[[#This Row],[Puntos]],Categorias_Configuracion[],MATCH(Categorias_Configuracion[[#Headers],[% Amplitud]],Categorias_Configuracion[#Headers],0),TRUE)</f>
        <v>0.15</v>
      </c>
      <c r="H938" s="15" t="str">
        <f ca="1">TEXT(Categorias_Registro[[#This Row],[Mínimo]],Formato_Rango_Categorias)&amp;" - "&amp;TEXT(Categorias_Registro[[#This Row],[Máximo]],Formato_Rango_Categorias)</f>
        <v>1.637 - 1.881</v>
      </c>
    </row>
    <row r="939" spans="2:8">
      <c r="B939" s="15">
        <f>Techo - ROW() + ROW(Categorias_Registro[])</f>
        <v>1690</v>
      </c>
      <c r="C939" s="15">
        <f>IF(Categorias_Registro[[#This Row],[Puntos]]&lt;=ROUND(Piso,0),Piso,IF(Categorias_Registro[[#This Row],[Puntos]]&lt;D940,C940,D940+1))</f>
        <v>1637</v>
      </c>
      <c r="D939" s="15">
        <f>IF(Categorias_Registro[[#This Row],[Puntos]]=ROUND(Piso,0),ROUND(Categorias_Registro[[#This Row],[Puntos]]*(1+Categorias_Registro[[#This Row],[Amplitud]]),0),IF(Categorias_Registro[[#This Row],[Puntos]]&lt;D940,D940,ROUND(D940*(1+Categorias_Registro[[#This Row],[Amplitud]]),0)))</f>
        <v>1881</v>
      </c>
      <c r="E939" s="15">
        <f>E940+IF(D940=Categorias_Registro[[#This Row],[Máximo]],0,1)</f>
        <v>22</v>
      </c>
      <c r="F939" s="15">
        <f>ROUND(Categorias_Registro[[#This Row],[Mínimo]]+((Categorias_Registro[[#This Row],[Máximo]]-Categorias_Registro[[#This Row],[Mínimo]])/2),0)</f>
        <v>1759</v>
      </c>
      <c r="G939" s="78">
        <f>VLOOKUP(Categorias_Registro[[#This Row],[Puntos]],Categorias_Configuracion[],MATCH(Categorias_Configuracion[[#Headers],[% Amplitud]],Categorias_Configuracion[#Headers],0),TRUE)</f>
        <v>0.15</v>
      </c>
      <c r="H939" s="15" t="str">
        <f ca="1">TEXT(Categorias_Registro[[#This Row],[Mínimo]],Formato_Rango_Categorias)&amp;" - "&amp;TEXT(Categorias_Registro[[#This Row],[Máximo]],Formato_Rango_Categorias)</f>
        <v>1.637 - 1.881</v>
      </c>
    </row>
    <row r="940" spans="2:8">
      <c r="B940" s="15">
        <f>Techo - ROW() + ROW(Categorias_Registro[])</f>
        <v>1689</v>
      </c>
      <c r="C940" s="15">
        <f>IF(Categorias_Registro[[#This Row],[Puntos]]&lt;=ROUND(Piso,0),Piso,IF(Categorias_Registro[[#This Row],[Puntos]]&lt;D941,C941,D941+1))</f>
        <v>1637</v>
      </c>
      <c r="D940" s="15">
        <f>IF(Categorias_Registro[[#This Row],[Puntos]]=ROUND(Piso,0),ROUND(Categorias_Registro[[#This Row],[Puntos]]*(1+Categorias_Registro[[#This Row],[Amplitud]]),0),IF(Categorias_Registro[[#This Row],[Puntos]]&lt;D941,D941,ROUND(D941*(1+Categorias_Registro[[#This Row],[Amplitud]]),0)))</f>
        <v>1881</v>
      </c>
      <c r="E940" s="15">
        <f>E941+IF(D941=Categorias_Registro[[#This Row],[Máximo]],0,1)</f>
        <v>22</v>
      </c>
      <c r="F940" s="15">
        <f>ROUND(Categorias_Registro[[#This Row],[Mínimo]]+((Categorias_Registro[[#This Row],[Máximo]]-Categorias_Registro[[#This Row],[Mínimo]])/2),0)</f>
        <v>1759</v>
      </c>
      <c r="G940" s="78">
        <f>VLOOKUP(Categorias_Registro[[#This Row],[Puntos]],Categorias_Configuracion[],MATCH(Categorias_Configuracion[[#Headers],[% Amplitud]],Categorias_Configuracion[#Headers],0),TRUE)</f>
        <v>0.15</v>
      </c>
      <c r="H940" s="15" t="str">
        <f ca="1">TEXT(Categorias_Registro[[#This Row],[Mínimo]],Formato_Rango_Categorias)&amp;" - "&amp;TEXT(Categorias_Registro[[#This Row],[Máximo]],Formato_Rango_Categorias)</f>
        <v>1.637 - 1.881</v>
      </c>
    </row>
    <row r="941" spans="2:8">
      <c r="B941" s="15">
        <f>Techo - ROW() + ROW(Categorias_Registro[])</f>
        <v>1688</v>
      </c>
      <c r="C941" s="15">
        <f>IF(Categorias_Registro[[#This Row],[Puntos]]&lt;=ROUND(Piso,0),Piso,IF(Categorias_Registro[[#This Row],[Puntos]]&lt;D942,C942,D942+1))</f>
        <v>1637</v>
      </c>
      <c r="D941" s="15">
        <f>IF(Categorias_Registro[[#This Row],[Puntos]]=ROUND(Piso,0),ROUND(Categorias_Registro[[#This Row],[Puntos]]*(1+Categorias_Registro[[#This Row],[Amplitud]]),0),IF(Categorias_Registro[[#This Row],[Puntos]]&lt;D942,D942,ROUND(D942*(1+Categorias_Registro[[#This Row],[Amplitud]]),0)))</f>
        <v>1881</v>
      </c>
      <c r="E941" s="15">
        <f>E942+IF(D942=Categorias_Registro[[#This Row],[Máximo]],0,1)</f>
        <v>22</v>
      </c>
      <c r="F941" s="15">
        <f>ROUND(Categorias_Registro[[#This Row],[Mínimo]]+((Categorias_Registro[[#This Row],[Máximo]]-Categorias_Registro[[#This Row],[Mínimo]])/2),0)</f>
        <v>1759</v>
      </c>
      <c r="G941" s="78">
        <f>VLOOKUP(Categorias_Registro[[#This Row],[Puntos]],Categorias_Configuracion[],MATCH(Categorias_Configuracion[[#Headers],[% Amplitud]],Categorias_Configuracion[#Headers],0),TRUE)</f>
        <v>0.15</v>
      </c>
      <c r="H941" s="15" t="str">
        <f ca="1">TEXT(Categorias_Registro[[#This Row],[Mínimo]],Formato_Rango_Categorias)&amp;" - "&amp;TEXT(Categorias_Registro[[#This Row],[Máximo]],Formato_Rango_Categorias)</f>
        <v>1.637 - 1.881</v>
      </c>
    </row>
    <row r="942" spans="2:8">
      <c r="B942" s="15">
        <f>Techo - ROW() + ROW(Categorias_Registro[])</f>
        <v>1687</v>
      </c>
      <c r="C942" s="15">
        <f>IF(Categorias_Registro[[#This Row],[Puntos]]&lt;=ROUND(Piso,0),Piso,IF(Categorias_Registro[[#This Row],[Puntos]]&lt;D943,C943,D943+1))</f>
        <v>1637</v>
      </c>
      <c r="D942" s="15">
        <f>IF(Categorias_Registro[[#This Row],[Puntos]]=ROUND(Piso,0),ROUND(Categorias_Registro[[#This Row],[Puntos]]*(1+Categorias_Registro[[#This Row],[Amplitud]]),0),IF(Categorias_Registro[[#This Row],[Puntos]]&lt;D943,D943,ROUND(D943*(1+Categorias_Registro[[#This Row],[Amplitud]]),0)))</f>
        <v>1881</v>
      </c>
      <c r="E942" s="15">
        <f>E943+IF(D943=Categorias_Registro[[#This Row],[Máximo]],0,1)</f>
        <v>22</v>
      </c>
      <c r="F942" s="15">
        <f>ROUND(Categorias_Registro[[#This Row],[Mínimo]]+((Categorias_Registro[[#This Row],[Máximo]]-Categorias_Registro[[#This Row],[Mínimo]])/2),0)</f>
        <v>1759</v>
      </c>
      <c r="G942" s="78">
        <f>VLOOKUP(Categorias_Registro[[#This Row],[Puntos]],Categorias_Configuracion[],MATCH(Categorias_Configuracion[[#Headers],[% Amplitud]],Categorias_Configuracion[#Headers],0),TRUE)</f>
        <v>0.15</v>
      </c>
      <c r="H942" s="15" t="str">
        <f ca="1">TEXT(Categorias_Registro[[#This Row],[Mínimo]],Formato_Rango_Categorias)&amp;" - "&amp;TEXT(Categorias_Registro[[#This Row],[Máximo]],Formato_Rango_Categorias)</f>
        <v>1.637 - 1.881</v>
      </c>
    </row>
    <row r="943" spans="2:8">
      <c r="B943" s="15">
        <f>Techo - ROW() + ROW(Categorias_Registro[])</f>
        <v>1686</v>
      </c>
      <c r="C943" s="15">
        <f>IF(Categorias_Registro[[#This Row],[Puntos]]&lt;=ROUND(Piso,0),Piso,IF(Categorias_Registro[[#This Row],[Puntos]]&lt;D944,C944,D944+1))</f>
        <v>1637</v>
      </c>
      <c r="D943" s="15">
        <f>IF(Categorias_Registro[[#This Row],[Puntos]]=ROUND(Piso,0),ROUND(Categorias_Registro[[#This Row],[Puntos]]*(1+Categorias_Registro[[#This Row],[Amplitud]]),0),IF(Categorias_Registro[[#This Row],[Puntos]]&lt;D944,D944,ROUND(D944*(1+Categorias_Registro[[#This Row],[Amplitud]]),0)))</f>
        <v>1881</v>
      </c>
      <c r="E943" s="15">
        <f>E944+IF(D944=Categorias_Registro[[#This Row],[Máximo]],0,1)</f>
        <v>22</v>
      </c>
      <c r="F943" s="15">
        <f>ROUND(Categorias_Registro[[#This Row],[Mínimo]]+((Categorias_Registro[[#This Row],[Máximo]]-Categorias_Registro[[#This Row],[Mínimo]])/2),0)</f>
        <v>1759</v>
      </c>
      <c r="G943" s="78">
        <f>VLOOKUP(Categorias_Registro[[#This Row],[Puntos]],Categorias_Configuracion[],MATCH(Categorias_Configuracion[[#Headers],[% Amplitud]],Categorias_Configuracion[#Headers],0),TRUE)</f>
        <v>0.15</v>
      </c>
      <c r="H943" s="15" t="str">
        <f ca="1">TEXT(Categorias_Registro[[#This Row],[Mínimo]],Formato_Rango_Categorias)&amp;" - "&amp;TEXT(Categorias_Registro[[#This Row],[Máximo]],Formato_Rango_Categorias)</f>
        <v>1.637 - 1.881</v>
      </c>
    </row>
    <row r="944" spans="2:8">
      <c r="B944" s="15">
        <f>Techo - ROW() + ROW(Categorias_Registro[])</f>
        <v>1685</v>
      </c>
      <c r="C944" s="15">
        <f>IF(Categorias_Registro[[#This Row],[Puntos]]&lt;=ROUND(Piso,0),Piso,IF(Categorias_Registro[[#This Row],[Puntos]]&lt;D945,C945,D945+1))</f>
        <v>1637</v>
      </c>
      <c r="D944" s="15">
        <f>IF(Categorias_Registro[[#This Row],[Puntos]]=ROUND(Piso,0),ROUND(Categorias_Registro[[#This Row],[Puntos]]*(1+Categorias_Registro[[#This Row],[Amplitud]]),0),IF(Categorias_Registro[[#This Row],[Puntos]]&lt;D945,D945,ROUND(D945*(1+Categorias_Registro[[#This Row],[Amplitud]]),0)))</f>
        <v>1881</v>
      </c>
      <c r="E944" s="15">
        <f>E945+IF(D945=Categorias_Registro[[#This Row],[Máximo]],0,1)</f>
        <v>22</v>
      </c>
      <c r="F944" s="15">
        <f>ROUND(Categorias_Registro[[#This Row],[Mínimo]]+((Categorias_Registro[[#This Row],[Máximo]]-Categorias_Registro[[#This Row],[Mínimo]])/2),0)</f>
        <v>1759</v>
      </c>
      <c r="G944" s="78">
        <f>VLOOKUP(Categorias_Registro[[#This Row],[Puntos]],Categorias_Configuracion[],MATCH(Categorias_Configuracion[[#Headers],[% Amplitud]],Categorias_Configuracion[#Headers],0),TRUE)</f>
        <v>0.15</v>
      </c>
      <c r="H944" s="15" t="str">
        <f ca="1">TEXT(Categorias_Registro[[#This Row],[Mínimo]],Formato_Rango_Categorias)&amp;" - "&amp;TEXT(Categorias_Registro[[#This Row],[Máximo]],Formato_Rango_Categorias)</f>
        <v>1.637 - 1.881</v>
      </c>
    </row>
    <row r="945" spans="2:8">
      <c r="B945" s="15">
        <f>Techo - ROW() + ROW(Categorias_Registro[])</f>
        <v>1684</v>
      </c>
      <c r="C945" s="15">
        <f>IF(Categorias_Registro[[#This Row],[Puntos]]&lt;=ROUND(Piso,0),Piso,IF(Categorias_Registro[[#This Row],[Puntos]]&lt;D946,C946,D946+1))</f>
        <v>1637</v>
      </c>
      <c r="D945" s="15">
        <f>IF(Categorias_Registro[[#This Row],[Puntos]]=ROUND(Piso,0),ROUND(Categorias_Registro[[#This Row],[Puntos]]*(1+Categorias_Registro[[#This Row],[Amplitud]]),0),IF(Categorias_Registro[[#This Row],[Puntos]]&lt;D946,D946,ROUND(D946*(1+Categorias_Registro[[#This Row],[Amplitud]]),0)))</f>
        <v>1881</v>
      </c>
      <c r="E945" s="15">
        <f>E946+IF(D946=Categorias_Registro[[#This Row],[Máximo]],0,1)</f>
        <v>22</v>
      </c>
      <c r="F945" s="15">
        <f>ROUND(Categorias_Registro[[#This Row],[Mínimo]]+((Categorias_Registro[[#This Row],[Máximo]]-Categorias_Registro[[#This Row],[Mínimo]])/2),0)</f>
        <v>1759</v>
      </c>
      <c r="G945" s="78">
        <f>VLOOKUP(Categorias_Registro[[#This Row],[Puntos]],Categorias_Configuracion[],MATCH(Categorias_Configuracion[[#Headers],[% Amplitud]],Categorias_Configuracion[#Headers],0),TRUE)</f>
        <v>0.15</v>
      </c>
      <c r="H945" s="15" t="str">
        <f ca="1">TEXT(Categorias_Registro[[#This Row],[Mínimo]],Formato_Rango_Categorias)&amp;" - "&amp;TEXT(Categorias_Registro[[#This Row],[Máximo]],Formato_Rango_Categorias)</f>
        <v>1.637 - 1.881</v>
      </c>
    </row>
    <row r="946" spans="2:8">
      <c r="B946" s="15">
        <f>Techo - ROW() + ROW(Categorias_Registro[])</f>
        <v>1683</v>
      </c>
      <c r="C946" s="15">
        <f>IF(Categorias_Registro[[#This Row],[Puntos]]&lt;=ROUND(Piso,0),Piso,IF(Categorias_Registro[[#This Row],[Puntos]]&lt;D947,C947,D947+1))</f>
        <v>1637</v>
      </c>
      <c r="D946" s="15">
        <f>IF(Categorias_Registro[[#This Row],[Puntos]]=ROUND(Piso,0),ROUND(Categorias_Registro[[#This Row],[Puntos]]*(1+Categorias_Registro[[#This Row],[Amplitud]]),0),IF(Categorias_Registro[[#This Row],[Puntos]]&lt;D947,D947,ROUND(D947*(1+Categorias_Registro[[#This Row],[Amplitud]]),0)))</f>
        <v>1881</v>
      </c>
      <c r="E946" s="15">
        <f>E947+IF(D947=Categorias_Registro[[#This Row],[Máximo]],0,1)</f>
        <v>22</v>
      </c>
      <c r="F946" s="15">
        <f>ROUND(Categorias_Registro[[#This Row],[Mínimo]]+((Categorias_Registro[[#This Row],[Máximo]]-Categorias_Registro[[#This Row],[Mínimo]])/2),0)</f>
        <v>1759</v>
      </c>
      <c r="G946" s="78">
        <f>VLOOKUP(Categorias_Registro[[#This Row],[Puntos]],Categorias_Configuracion[],MATCH(Categorias_Configuracion[[#Headers],[% Amplitud]],Categorias_Configuracion[#Headers],0),TRUE)</f>
        <v>0.15</v>
      </c>
      <c r="H946" s="15" t="str">
        <f ca="1">TEXT(Categorias_Registro[[#This Row],[Mínimo]],Formato_Rango_Categorias)&amp;" - "&amp;TEXT(Categorias_Registro[[#This Row],[Máximo]],Formato_Rango_Categorias)</f>
        <v>1.637 - 1.881</v>
      </c>
    </row>
    <row r="947" spans="2:8">
      <c r="B947" s="15">
        <f>Techo - ROW() + ROW(Categorias_Registro[])</f>
        <v>1682</v>
      </c>
      <c r="C947" s="15">
        <f>IF(Categorias_Registro[[#This Row],[Puntos]]&lt;=ROUND(Piso,0),Piso,IF(Categorias_Registro[[#This Row],[Puntos]]&lt;D948,C948,D948+1))</f>
        <v>1637</v>
      </c>
      <c r="D947" s="15">
        <f>IF(Categorias_Registro[[#This Row],[Puntos]]=ROUND(Piso,0),ROUND(Categorias_Registro[[#This Row],[Puntos]]*(1+Categorias_Registro[[#This Row],[Amplitud]]),0),IF(Categorias_Registro[[#This Row],[Puntos]]&lt;D948,D948,ROUND(D948*(1+Categorias_Registro[[#This Row],[Amplitud]]),0)))</f>
        <v>1881</v>
      </c>
      <c r="E947" s="15">
        <f>E948+IF(D948=Categorias_Registro[[#This Row],[Máximo]],0,1)</f>
        <v>22</v>
      </c>
      <c r="F947" s="15">
        <f>ROUND(Categorias_Registro[[#This Row],[Mínimo]]+((Categorias_Registro[[#This Row],[Máximo]]-Categorias_Registro[[#This Row],[Mínimo]])/2),0)</f>
        <v>1759</v>
      </c>
      <c r="G947" s="78">
        <f>VLOOKUP(Categorias_Registro[[#This Row],[Puntos]],Categorias_Configuracion[],MATCH(Categorias_Configuracion[[#Headers],[% Amplitud]],Categorias_Configuracion[#Headers],0),TRUE)</f>
        <v>0.15</v>
      </c>
      <c r="H947" s="15" t="str">
        <f ca="1">TEXT(Categorias_Registro[[#This Row],[Mínimo]],Formato_Rango_Categorias)&amp;" - "&amp;TEXT(Categorias_Registro[[#This Row],[Máximo]],Formato_Rango_Categorias)</f>
        <v>1.637 - 1.881</v>
      </c>
    </row>
    <row r="948" spans="2:8">
      <c r="B948" s="15">
        <f>Techo - ROW() + ROW(Categorias_Registro[])</f>
        <v>1681</v>
      </c>
      <c r="C948" s="15">
        <f>IF(Categorias_Registro[[#This Row],[Puntos]]&lt;=ROUND(Piso,0),Piso,IF(Categorias_Registro[[#This Row],[Puntos]]&lt;D949,C949,D949+1))</f>
        <v>1637</v>
      </c>
      <c r="D948" s="15">
        <f>IF(Categorias_Registro[[#This Row],[Puntos]]=ROUND(Piso,0),ROUND(Categorias_Registro[[#This Row],[Puntos]]*(1+Categorias_Registro[[#This Row],[Amplitud]]),0),IF(Categorias_Registro[[#This Row],[Puntos]]&lt;D949,D949,ROUND(D949*(1+Categorias_Registro[[#This Row],[Amplitud]]),0)))</f>
        <v>1881</v>
      </c>
      <c r="E948" s="15">
        <f>E949+IF(D949=Categorias_Registro[[#This Row],[Máximo]],0,1)</f>
        <v>22</v>
      </c>
      <c r="F948" s="15">
        <f>ROUND(Categorias_Registro[[#This Row],[Mínimo]]+((Categorias_Registro[[#This Row],[Máximo]]-Categorias_Registro[[#This Row],[Mínimo]])/2),0)</f>
        <v>1759</v>
      </c>
      <c r="G948" s="78">
        <f>VLOOKUP(Categorias_Registro[[#This Row],[Puntos]],Categorias_Configuracion[],MATCH(Categorias_Configuracion[[#Headers],[% Amplitud]],Categorias_Configuracion[#Headers],0),TRUE)</f>
        <v>0.15</v>
      </c>
      <c r="H948" s="15" t="str">
        <f ca="1">TEXT(Categorias_Registro[[#This Row],[Mínimo]],Formato_Rango_Categorias)&amp;" - "&amp;TEXT(Categorias_Registro[[#This Row],[Máximo]],Formato_Rango_Categorias)</f>
        <v>1.637 - 1.881</v>
      </c>
    </row>
    <row r="949" spans="2:8">
      <c r="B949" s="15">
        <f>Techo - ROW() + ROW(Categorias_Registro[])</f>
        <v>1680</v>
      </c>
      <c r="C949" s="15">
        <f>IF(Categorias_Registro[[#This Row],[Puntos]]&lt;=ROUND(Piso,0),Piso,IF(Categorias_Registro[[#This Row],[Puntos]]&lt;D950,C950,D950+1))</f>
        <v>1637</v>
      </c>
      <c r="D949" s="15">
        <f>IF(Categorias_Registro[[#This Row],[Puntos]]=ROUND(Piso,0),ROUND(Categorias_Registro[[#This Row],[Puntos]]*(1+Categorias_Registro[[#This Row],[Amplitud]]),0),IF(Categorias_Registro[[#This Row],[Puntos]]&lt;D950,D950,ROUND(D950*(1+Categorias_Registro[[#This Row],[Amplitud]]),0)))</f>
        <v>1881</v>
      </c>
      <c r="E949" s="15">
        <f>E950+IF(D950=Categorias_Registro[[#This Row],[Máximo]],0,1)</f>
        <v>22</v>
      </c>
      <c r="F949" s="15">
        <f>ROUND(Categorias_Registro[[#This Row],[Mínimo]]+((Categorias_Registro[[#This Row],[Máximo]]-Categorias_Registro[[#This Row],[Mínimo]])/2),0)</f>
        <v>1759</v>
      </c>
      <c r="G949" s="78">
        <f>VLOOKUP(Categorias_Registro[[#This Row],[Puntos]],Categorias_Configuracion[],MATCH(Categorias_Configuracion[[#Headers],[% Amplitud]],Categorias_Configuracion[#Headers],0),TRUE)</f>
        <v>0.15</v>
      </c>
      <c r="H949" s="15" t="str">
        <f ca="1">TEXT(Categorias_Registro[[#This Row],[Mínimo]],Formato_Rango_Categorias)&amp;" - "&amp;TEXT(Categorias_Registro[[#This Row],[Máximo]],Formato_Rango_Categorias)</f>
        <v>1.637 - 1.881</v>
      </c>
    </row>
    <row r="950" spans="2:8">
      <c r="B950" s="15">
        <f>Techo - ROW() + ROW(Categorias_Registro[])</f>
        <v>1679</v>
      </c>
      <c r="C950" s="15">
        <f>IF(Categorias_Registro[[#This Row],[Puntos]]&lt;=ROUND(Piso,0),Piso,IF(Categorias_Registro[[#This Row],[Puntos]]&lt;D951,C951,D951+1))</f>
        <v>1637</v>
      </c>
      <c r="D950" s="15">
        <f>IF(Categorias_Registro[[#This Row],[Puntos]]=ROUND(Piso,0),ROUND(Categorias_Registro[[#This Row],[Puntos]]*(1+Categorias_Registro[[#This Row],[Amplitud]]),0),IF(Categorias_Registro[[#This Row],[Puntos]]&lt;D951,D951,ROUND(D951*(1+Categorias_Registro[[#This Row],[Amplitud]]),0)))</f>
        <v>1881</v>
      </c>
      <c r="E950" s="15">
        <f>E951+IF(D951=Categorias_Registro[[#This Row],[Máximo]],0,1)</f>
        <v>22</v>
      </c>
      <c r="F950" s="15">
        <f>ROUND(Categorias_Registro[[#This Row],[Mínimo]]+((Categorias_Registro[[#This Row],[Máximo]]-Categorias_Registro[[#This Row],[Mínimo]])/2),0)</f>
        <v>1759</v>
      </c>
      <c r="G950" s="78">
        <f>VLOOKUP(Categorias_Registro[[#This Row],[Puntos]],Categorias_Configuracion[],MATCH(Categorias_Configuracion[[#Headers],[% Amplitud]],Categorias_Configuracion[#Headers],0),TRUE)</f>
        <v>0.15</v>
      </c>
      <c r="H950" s="15" t="str">
        <f ca="1">TEXT(Categorias_Registro[[#This Row],[Mínimo]],Formato_Rango_Categorias)&amp;" - "&amp;TEXT(Categorias_Registro[[#This Row],[Máximo]],Formato_Rango_Categorias)</f>
        <v>1.637 - 1.881</v>
      </c>
    </row>
    <row r="951" spans="2:8">
      <c r="B951" s="15">
        <f>Techo - ROW() + ROW(Categorias_Registro[])</f>
        <v>1678</v>
      </c>
      <c r="C951" s="15">
        <f>IF(Categorias_Registro[[#This Row],[Puntos]]&lt;=ROUND(Piso,0),Piso,IF(Categorias_Registro[[#This Row],[Puntos]]&lt;D952,C952,D952+1))</f>
        <v>1637</v>
      </c>
      <c r="D951" s="15">
        <f>IF(Categorias_Registro[[#This Row],[Puntos]]=ROUND(Piso,0),ROUND(Categorias_Registro[[#This Row],[Puntos]]*(1+Categorias_Registro[[#This Row],[Amplitud]]),0),IF(Categorias_Registro[[#This Row],[Puntos]]&lt;D952,D952,ROUND(D952*(1+Categorias_Registro[[#This Row],[Amplitud]]),0)))</f>
        <v>1881</v>
      </c>
      <c r="E951" s="15">
        <f>E952+IF(D952=Categorias_Registro[[#This Row],[Máximo]],0,1)</f>
        <v>22</v>
      </c>
      <c r="F951" s="15">
        <f>ROUND(Categorias_Registro[[#This Row],[Mínimo]]+((Categorias_Registro[[#This Row],[Máximo]]-Categorias_Registro[[#This Row],[Mínimo]])/2),0)</f>
        <v>1759</v>
      </c>
      <c r="G951" s="78">
        <f>VLOOKUP(Categorias_Registro[[#This Row],[Puntos]],Categorias_Configuracion[],MATCH(Categorias_Configuracion[[#Headers],[% Amplitud]],Categorias_Configuracion[#Headers],0),TRUE)</f>
        <v>0.15</v>
      </c>
      <c r="H951" s="15" t="str">
        <f ca="1">TEXT(Categorias_Registro[[#This Row],[Mínimo]],Formato_Rango_Categorias)&amp;" - "&amp;TEXT(Categorias_Registro[[#This Row],[Máximo]],Formato_Rango_Categorias)</f>
        <v>1.637 - 1.881</v>
      </c>
    </row>
    <row r="952" spans="2:8">
      <c r="B952" s="15">
        <f>Techo - ROW() + ROW(Categorias_Registro[])</f>
        <v>1677</v>
      </c>
      <c r="C952" s="15">
        <f>IF(Categorias_Registro[[#This Row],[Puntos]]&lt;=ROUND(Piso,0),Piso,IF(Categorias_Registro[[#This Row],[Puntos]]&lt;D953,C953,D953+1))</f>
        <v>1637</v>
      </c>
      <c r="D952" s="15">
        <f>IF(Categorias_Registro[[#This Row],[Puntos]]=ROUND(Piso,0),ROUND(Categorias_Registro[[#This Row],[Puntos]]*(1+Categorias_Registro[[#This Row],[Amplitud]]),0),IF(Categorias_Registro[[#This Row],[Puntos]]&lt;D953,D953,ROUND(D953*(1+Categorias_Registro[[#This Row],[Amplitud]]),0)))</f>
        <v>1881</v>
      </c>
      <c r="E952" s="15">
        <f>E953+IF(D953=Categorias_Registro[[#This Row],[Máximo]],0,1)</f>
        <v>22</v>
      </c>
      <c r="F952" s="15">
        <f>ROUND(Categorias_Registro[[#This Row],[Mínimo]]+((Categorias_Registro[[#This Row],[Máximo]]-Categorias_Registro[[#This Row],[Mínimo]])/2),0)</f>
        <v>1759</v>
      </c>
      <c r="G952" s="78">
        <f>VLOOKUP(Categorias_Registro[[#This Row],[Puntos]],Categorias_Configuracion[],MATCH(Categorias_Configuracion[[#Headers],[% Amplitud]],Categorias_Configuracion[#Headers],0),TRUE)</f>
        <v>0.15</v>
      </c>
      <c r="H952" s="15" t="str">
        <f ca="1">TEXT(Categorias_Registro[[#This Row],[Mínimo]],Formato_Rango_Categorias)&amp;" - "&amp;TEXT(Categorias_Registro[[#This Row],[Máximo]],Formato_Rango_Categorias)</f>
        <v>1.637 - 1.881</v>
      </c>
    </row>
    <row r="953" spans="2:8">
      <c r="B953" s="15">
        <f>Techo - ROW() + ROW(Categorias_Registro[])</f>
        <v>1676</v>
      </c>
      <c r="C953" s="15">
        <f>IF(Categorias_Registro[[#This Row],[Puntos]]&lt;=ROUND(Piso,0),Piso,IF(Categorias_Registro[[#This Row],[Puntos]]&lt;D954,C954,D954+1))</f>
        <v>1637</v>
      </c>
      <c r="D953" s="15">
        <f>IF(Categorias_Registro[[#This Row],[Puntos]]=ROUND(Piso,0),ROUND(Categorias_Registro[[#This Row],[Puntos]]*(1+Categorias_Registro[[#This Row],[Amplitud]]),0),IF(Categorias_Registro[[#This Row],[Puntos]]&lt;D954,D954,ROUND(D954*(1+Categorias_Registro[[#This Row],[Amplitud]]),0)))</f>
        <v>1881</v>
      </c>
      <c r="E953" s="15">
        <f>E954+IF(D954=Categorias_Registro[[#This Row],[Máximo]],0,1)</f>
        <v>22</v>
      </c>
      <c r="F953" s="15">
        <f>ROUND(Categorias_Registro[[#This Row],[Mínimo]]+((Categorias_Registro[[#This Row],[Máximo]]-Categorias_Registro[[#This Row],[Mínimo]])/2),0)</f>
        <v>1759</v>
      </c>
      <c r="G953" s="78">
        <f>VLOOKUP(Categorias_Registro[[#This Row],[Puntos]],Categorias_Configuracion[],MATCH(Categorias_Configuracion[[#Headers],[% Amplitud]],Categorias_Configuracion[#Headers],0),TRUE)</f>
        <v>0.15</v>
      </c>
      <c r="H953" s="15" t="str">
        <f ca="1">TEXT(Categorias_Registro[[#This Row],[Mínimo]],Formato_Rango_Categorias)&amp;" - "&amp;TEXT(Categorias_Registro[[#This Row],[Máximo]],Formato_Rango_Categorias)</f>
        <v>1.637 - 1.881</v>
      </c>
    </row>
    <row r="954" spans="2:8">
      <c r="B954" s="15">
        <f>Techo - ROW() + ROW(Categorias_Registro[])</f>
        <v>1675</v>
      </c>
      <c r="C954" s="15">
        <f>IF(Categorias_Registro[[#This Row],[Puntos]]&lt;=ROUND(Piso,0),Piso,IF(Categorias_Registro[[#This Row],[Puntos]]&lt;D955,C955,D955+1))</f>
        <v>1637</v>
      </c>
      <c r="D954" s="15">
        <f>IF(Categorias_Registro[[#This Row],[Puntos]]=ROUND(Piso,0),ROUND(Categorias_Registro[[#This Row],[Puntos]]*(1+Categorias_Registro[[#This Row],[Amplitud]]),0),IF(Categorias_Registro[[#This Row],[Puntos]]&lt;D955,D955,ROUND(D955*(1+Categorias_Registro[[#This Row],[Amplitud]]),0)))</f>
        <v>1881</v>
      </c>
      <c r="E954" s="15">
        <f>E955+IF(D955=Categorias_Registro[[#This Row],[Máximo]],0,1)</f>
        <v>22</v>
      </c>
      <c r="F954" s="15">
        <f>ROUND(Categorias_Registro[[#This Row],[Mínimo]]+((Categorias_Registro[[#This Row],[Máximo]]-Categorias_Registro[[#This Row],[Mínimo]])/2),0)</f>
        <v>1759</v>
      </c>
      <c r="G954" s="78">
        <f>VLOOKUP(Categorias_Registro[[#This Row],[Puntos]],Categorias_Configuracion[],MATCH(Categorias_Configuracion[[#Headers],[% Amplitud]],Categorias_Configuracion[#Headers],0),TRUE)</f>
        <v>0.15</v>
      </c>
      <c r="H954" s="15" t="str">
        <f ca="1">TEXT(Categorias_Registro[[#This Row],[Mínimo]],Formato_Rango_Categorias)&amp;" - "&amp;TEXT(Categorias_Registro[[#This Row],[Máximo]],Formato_Rango_Categorias)</f>
        <v>1.637 - 1.881</v>
      </c>
    </row>
    <row r="955" spans="2:8">
      <c r="B955" s="15">
        <f>Techo - ROW() + ROW(Categorias_Registro[])</f>
        <v>1674</v>
      </c>
      <c r="C955" s="15">
        <f>IF(Categorias_Registro[[#This Row],[Puntos]]&lt;=ROUND(Piso,0),Piso,IF(Categorias_Registro[[#This Row],[Puntos]]&lt;D956,C956,D956+1))</f>
        <v>1637</v>
      </c>
      <c r="D955" s="15">
        <f>IF(Categorias_Registro[[#This Row],[Puntos]]=ROUND(Piso,0),ROUND(Categorias_Registro[[#This Row],[Puntos]]*(1+Categorias_Registro[[#This Row],[Amplitud]]),0),IF(Categorias_Registro[[#This Row],[Puntos]]&lt;D956,D956,ROUND(D956*(1+Categorias_Registro[[#This Row],[Amplitud]]),0)))</f>
        <v>1881</v>
      </c>
      <c r="E955" s="15">
        <f>E956+IF(D956=Categorias_Registro[[#This Row],[Máximo]],0,1)</f>
        <v>22</v>
      </c>
      <c r="F955" s="15">
        <f>ROUND(Categorias_Registro[[#This Row],[Mínimo]]+((Categorias_Registro[[#This Row],[Máximo]]-Categorias_Registro[[#This Row],[Mínimo]])/2),0)</f>
        <v>1759</v>
      </c>
      <c r="G955" s="78">
        <f>VLOOKUP(Categorias_Registro[[#This Row],[Puntos]],Categorias_Configuracion[],MATCH(Categorias_Configuracion[[#Headers],[% Amplitud]],Categorias_Configuracion[#Headers],0),TRUE)</f>
        <v>0.15</v>
      </c>
      <c r="H955" s="15" t="str">
        <f ca="1">TEXT(Categorias_Registro[[#This Row],[Mínimo]],Formato_Rango_Categorias)&amp;" - "&amp;TEXT(Categorias_Registro[[#This Row],[Máximo]],Formato_Rango_Categorias)</f>
        <v>1.637 - 1.881</v>
      </c>
    </row>
    <row r="956" spans="2:8">
      <c r="B956" s="15">
        <f>Techo - ROW() + ROW(Categorias_Registro[])</f>
        <v>1673</v>
      </c>
      <c r="C956" s="15">
        <f>IF(Categorias_Registro[[#This Row],[Puntos]]&lt;=ROUND(Piso,0),Piso,IF(Categorias_Registro[[#This Row],[Puntos]]&lt;D957,C957,D957+1))</f>
        <v>1637</v>
      </c>
      <c r="D956" s="15">
        <f>IF(Categorias_Registro[[#This Row],[Puntos]]=ROUND(Piso,0),ROUND(Categorias_Registro[[#This Row],[Puntos]]*(1+Categorias_Registro[[#This Row],[Amplitud]]),0),IF(Categorias_Registro[[#This Row],[Puntos]]&lt;D957,D957,ROUND(D957*(1+Categorias_Registro[[#This Row],[Amplitud]]),0)))</f>
        <v>1881</v>
      </c>
      <c r="E956" s="15">
        <f>E957+IF(D957=Categorias_Registro[[#This Row],[Máximo]],0,1)</f>
        <v>22</v>
      </c>
      <c r="F956" s="15">
        <f>ROUND(Categorias_Registro[[#This Row],[Mínimo]]+((Categorias_Registro[[#This Row],[Máximo]]-Categorias_Registro[[#This Row],[Mínimo]])/2),0)</f>
        <v>1759</v>
      </c>
      <c r="G956" s="78">
        <f>VLOOKUP(Categorias_Registro[[#This Row],[Puntos]],Categorias_Configuracion[],MATCH(Categorias_Configuracion[[#Headers],[% Amplitud]],Categorias_Configuracion[#Headers],0),TRUE)</f>
        <v>0.15</v>
      </c>
      <c r="H956" s="15" t="str">
        <f ca="1">TEXT(Categorias_Registro[[#This Row],[Mínimo]],Formato_Rango_Categorias)&amp;" - "&amp;TEXT(Categorias_Registro[[#This Row],[Máximo]],Formato_Rango_Categorias)</f>
        <v>1.637 - 1.881</v>
      </c>
    </row>
    <row r="957" spans="2:8">
      <c r="B957" s="15">
        <f>Techo - ROW() + ROW(Categorias_Registro[])</f>
        <v>1672</v>
      </c>
      <c r="C957" s="15">
        <f>IF(Categorias_Registro[[#This Row],[Puntos]]&lt;=ROUND(Piso,0),Piso,IF(Categorias_Registro[[#This Row],[Puntos]]&lt;D958,C958,D958+1))</f>
        <v>1637</v>
      </c>
      <c r="D957" s="15">
        <f>IF(Categorias_Registro[[#This Row],[Puntos]]=ROUND(Piso,0),ROUND(Categorias_Registro[[#This Row],[Puntos]]*(1+Categorias_Registro[[#This Row],[Amplitud]]),0),IF(Categorias_Registro[[#This Row],[Puntos]]&lt;D958,D958,ROUND(D958*(1+Categorias_Registro[[#This Row],[Amplitud]]),0)))</f>
        <v>1881</v>
      </c>
      <c r="E957" s="15">
        <f>E958+IF(D958=Categorias_Registro[[#This Row],[Máximo]],0,1)</f>
        <v>22</v>
      </c>
      <c r="F957" s="15">
        <f>ROUND(Categorias_Registro[[#This Row],[Mínimo]]+((Categorias_Registro[[#This Row],[Máximo]]-Categorias_Registro[[#This Row],[Mínimo]])/2),0)</f>
        <v>1759</v>
      </c>
      <c r="G957" s="78">
        <f>VLOOKUP(Categorias_Registro[[#This Row],[Puntos]],Categorias_Configuracion[],MATCH(Categorias_Configuracion[[#Headers],[% Amplitud]],Categorias_Configuracion[#Headers],0),TRUE)</f>
        <v>0.15</v>
      </c>
      <c r="H957" s="15" t="str">
        <f ca="1">TEXT(Categorias_Registro[[#This Row],[Mínimo]],Formato_Rango_Categorias)&amp;" - "&amp;TEXT(Categorias_Registro[[#This Row],[Máximo]],Formato_Rango_Categorias)</f>
        <v>1.637 - 1.881</v>
      </c>
    </row>
    <row r="958" spans="2:8">
      <c r="B958" s="15">
        <f>Techo - ROW() + ROW(Categorias_Registro[])</f>
        <v>1671</v>
      </c>
      <c r="C958" s="15">
        <f>IF(Categorias_Registro[[#This Row],[Puntos]]&lt;=ROUND(Piso,0),Piso,IF(Categorias_Registro[[#This Row],[Puntos]]&lt;D959,C959,D959+1))</f>
        <v>1637</v>
      </c>
      <c r="D958" s="15">
        <f>IF(Categorias_Registro[[#This Row],[Puntos]]=ROUND(Piso,0),ROUND(Categorias_Registro[[#This Row],[Puntos]]*(1+Categorias_Registro[[#This Row],[Amplitud]]),0),IF(Categorias_Registro[[#This Row],[Puntos]]&lt;D959,D959,ROUND(D959*(1+Categorias_Registro[[#This Row],[Amplitud]]),0)))</f>
        <v>1881</v>
      </c>
      <c r="E958" s="15">
        <f>E959+IF(D959=Categorias_Registro[[#This Row],[Máximo]],0,1)</f>
        <v>22</v>
      </c>
      <c r="F958" s="15">
        <f>ROUND(Categorias_Registro[[#This Row],[Mínimo]]+((Categorias_Registro[[#This Row],[Máximo]]-Categorias_Registro[[#This Row],[Mínimo]])/2),0)</f>
        <v>1759</v>
      </c>
      <c r="G958" s="78">
        <f>VLOOKUP(Categorias_Registro[[#This Row],[Puntos]],Categorias_Configuracion[],MATCH(Categorias_Configuracion[[#Headers],[% Amplitud]],Categorias_Configuracion[#Headers],0),TRUE)</f>
        <v>0.15</v>
      </c>
      <c r="H958" s="15" t="str">
        <f ca="1">TEXT(Categorias_Registro[[#This Row],[Mínimo]],Formato_Rango_Categorias)&amp;" - "&amp;TEXT(Categorias_Registro[[#This Row],[Máximo]],Formato_Rango_Categorias)</f>
        <v>1.637 - 1.881</v>
      </c>
    </row>
    <row r="959" spans="2:8">
      <c r="B959" s="15">
        <f>Techo - ROW() + ROW(Categorias_Registro[])</f>
        <v>1670</v>
      </c>
      <c r="C959" s="15">
        <f>IF(Categorias_Registro[[#This Row],[Puntos]]&lt;=ROUND(Piso,0),Piso,IF(Categorias_Registro[[#This Row],[Puntos]]&lt;D960,C960,D960+1))</f>
        <v>1637</v>
      </c>
      <c r="D959" s="15">
        <f>IF(Categorias_Registro[[#This Row],[Puntos]]=ROUND(Piso,0),ROUND(Categorias_Registro[[#This Row],[Puntos]]*(1+Categorias_Registro[[#This Row],[Amplitud]]),0),IF(Categorias_Registro[[#This Row],[Puntos]]&lt;D960,D960,ROUND(D960*(1+Categorias_Registro[[#This Row],[Amplitud]]),0)))</f>
        <v>1881</v>
      </c>
      <c r="E959" s="15">
        <f>E960+IF(D960=Categorias_Registro[[#This Row],[Máximo]],0,1)</f>
        <v>22</v>
      </c>
      <c r="F959" s="15">
        <f>ROUND(Categorias_Registro[[#This Row],[Mínimo]]+((Categorias_Registro[[#This Row],[Máximo]]-Categorias_Registro[[#This Row],[Mínimo]])/2),0)</f>
        <v>1759</v>
      </c>
      <c r="G959" s="78">
        <f>VLOOKUP(Categorias_Registro[[#This Row],[Puntos]],Categorias_Configuracion[],MATCH(Categorias_Configuracion[[#Headers],[% Amplitud]],Categorias_Configuracion[#Headers],0),TRUE)</f>
        <v>0.15</v>
      </c>
      <c r="H959" s="15" t="str">
        <f ca="1">TEXT(Categorias_Registro[[#This Row],[Mínimo]],Formato_Rango_Categorias)&amp;" - "&amp;TEXT(Categorias_Registro[[#This Row],[Máximo]],Formato_Rango_Categorias)</f>
        <v>1.637 - 1.881</v>
      </c>
    </row>
    <row r="960" spans="2:8">
      <c r="B960" s="15">
        <f>Techo - ROW() + ROW(Categorias_Registro[])</f>
        <v>1669</v>
      </c>
      <c r="C960" s="15">
        <f>IF(Categorias_Registro[[#This Row],[Puntos]]&lt;=ROUND(Piso,0),Piso,IF(Categorias_Registro[[#This Row],[Puntos]]&lt;D961,C961,D961+1))</f>
        <v>1637</v>
      </c>
      <c r="D960" s="15">
        <f>IF(Categorias_Registro[[#This Row],[Puntos]]=ROUND(Piso,0),ROUND(Categorias_Registro[[#This Row],[Puntos]]*(1+Categorias_Registro[[#This Row],[Amplitud]]),0),IF(Categorias_Registro[[#This Row],[Puntos]]&lt;D961,D961,ROUND(D961*(1+Categorias_Registro[[#This Row],[Amplitud]]),0)))</f>
        <v>1881</v>
      </c>
      <c r="E960" s="15">
        <f>E961+IF(D961=Categorias_Registro[[#This Row],[Máximo]],0,1)</f>
        <v>22</v>
      </c>
      <c r="F960" s="15">
        <f>ROUND(Categorias_Registro[[#This Row],[Mínimo]]+((Categorias_Registro[[#This Row],[Máximo]]-Categorias_Registro[[#This Row],[Mínimo]])/2),0)</f>
        <v>1759</v>
      </c>
      <c r="G960" s="78">
        <f>VLOOKUP(Categorias_Registro[[#This Row],[Puntos]],Categorias_Configuracion[],MATCH(Categorias_Configuracion[[#Headers],[% Amplitud]],Categorias_Configuracion[#Headers],0),TRUE)</f>
        <v>0.15</v>
      </c>
      <c r="H960" s="15" t="str">
        <f ca="1">TEXT(Categorias_Registro[[#This Row],[Mínimo]],Formato_Rango_Categorias)&amp;" - "&amp;TEXT(Categorias_Registro[[#This Row],[Máximo]],Formato_Rango_Categorias)</f>
        <v>1.637 - 1.881</v>
      </c>
    </row>
    <row r="961" spans="2:8">
      <c r="B961" s="15">
        <f>Techo - ROW() + ROW(Categorias_Registro[])</f>
        <v>1668</v>
      </c>
      <c r="C961" s="15">
        <f>IF(Categorias_Registro[[#This Row],[Puntos]]&lt;=ROUND(Piso,0),Piso,IF(Categorias_Registro[[#This Row],[Puntos]]&lt;D962,C962,D962+1))</f>
        <v>1637</v>
      </c>
      <c r="D961" s="15">
        <f>IF(Categorias_Registro[[#This Row],[Puntos]]=ROUND(Piso,0),ROUND(Categorias_Registro[[#This Row],[Puntos]]*(1+Categorias_Registro[[#This Row],[Amplitud]]),0),IF(Categorias_Registro[[#This Row],[Puntos]]&lt;D962,D962,ROUND(D962*(1+Categorias_Registro[[#This Row],[Amplitud]]),0)))</f>
        <v>1881</v>
      </c>
      <c r="E961" s="15">
        <f>E962+IF(D962=Categorias_Registro[[#This Row],[Máximo]],0,1)</f>
        <v>22</v>
      </c>
      <c r="F961" s="15">
        <f>ROUND(Categorias_Registro[[#This Row],[Mínimo]]+((Categorias_Registro[[#This Row],[Máximo]]-Categorias_Registro[[#This Row],[Mínimo]])/2),0)</f>
        <v>1759</v>
      </c>
      <c r="G961" s="78">
        <f>VLOOKUP(Categorias_Registro[[#This Row],[Puntos]],Categorias_Configuracion[],MATCH(Categorias_Configuracion[[#Headers],[% Amplitud]],Categorias_Configuracion[#Headers],0),TRUE)</f>
        <v>0.15</v>
      </c>
      <c r="H961" s="15" t="str">
        <f ca="1">TEXT(Categorias_Registro[[#This Row],[Mínimo]],Formato_Rango_Categorias)&amp;" - "&amp;TEXT(Categorias_Registro[[#This Row],[Máximo]],Formato_Rango_Categorias)</f>
        <v>1.637 - 1.881</v>
      </c>
    </row>
    <row r="962" spans="2:8">
      <c r="B962" s="15">
        <f>Techo - ROW() + ROW(Categorias_Registro[])</f>
        <v>1667</v>
      </c>
      <c r="C962" s="15">
        <f>IF(Categorias_Registro[[#This Row],[Puntos]]&lt;=ROUND(Piso,0),Piso,IF(Categorias_Registro[[#This Row],[Puntos]]&lt;D963,C963,D963+1))</f>
        <v>1637</v>
      </c>
      <c r="D962" s="15">
        <f>IF(Categorias_Registro[[#This Row],[Puntos]]=ROUND(Piso,0),ROUND(Categorias_Registro[[#This Row],[Puntos]]*(1+Categorias_Registro[[#This Row],[Amplitud]]),0),IF(Categorias_Registro[[#This Row],[Puntos]]&lt;D963,D963,ROUND(D963*(1+Categorias_Registro[[#This Row],[Amplitud]]),0)))</f>
        <v>1881</v>
      </c>
      <c r="E962" s="15">
        <f>E963+IF(D963=Categorias_Registro[[#This Row],[Máximo]],0,1)</f>
        <v>22</v>
      </c>
      <c r="F962" s="15">
        <f>ROUND(Categorias_Registro[[#This Row],[Mínimo]]+((Categorias_Registro[[#This Row],[Máximo]]-Categorias_Registro[[#This Row],[Mínimo]])/2),0)</f>
        <v>1759</v>
      </c>
      <c r="G962" s="78">
        <f>VLOOKUP(Categorias_Registro[[#This Row],[Puntos]],Categorias_Configuracion[],MATCH(Categorias_Configuracion[[#Headers],[% Amplitud]],Categorias_Configuracion[#Headers],0),TRUE)</f>
        <v>0.15</v>
      </c>
      <c r="H962" s="15" t="str">
        <f ca="1">TEXT(Categorias_Registro[[#This Row],[Mínimo]],Formato_Rango_Categorias)&amp;" - "&amp;TEXT(Categorias_Registro[[#This Row],[Máximo]],Formato_Rango_Categorias)</f>
        <v>1.637 - 1.881</v>
      </c>
    </row>
    <row r="963" spans="2:8">
      <c r="B963" s="15">
        <f>Techo - ROW() + ROW(Categorias_Registro[])</f>
        <v>1666</v>
      </c>
      <c r="C963" s="15">
        <f>IF(Categorias_Registro[[#This Row],[Puntos]]&lt;=ROUND(Piso,0),Piso,IF(Categorias_Registro[[#This Row],[Puntos]]&lt;D964,C964,D964+1))</f>
        <v>1637</v>
      </c>
      <c r="D963" s="15">
        <f>IF(Categorias_Registro[[#This Row],[Puntos]]=ROUND(Piso,0),ROUND(Categorias_Registro[[#This Row],[Puntos]]*(1+Categorias_Registro[[#This Row],[Amplitud]]),0),IF(Categorias_Registro[[#This Row],[Puntos]]&lt;D964,D964,ROUND(D964*(1+Categorias_Registro[[#This Row],[Amplitud]]),0)))</f>
        <v>1881</v>
      </c>
      <c r="E963" s="15">
        <f>E964+IF(D964=Categorias_Registro[[#This Row],[Máximo]],0,1)</f>
        <v>22</v>
      </c>
      <c r="F963" s="15">
        <f>ROUND(Categorias_Registro[[#This Row],[Mínimo]]+((Categorias_Registro[[#This Row],[Máximo]]-Categorias_Registro[[#This Row],[Mínimo]])/2),0)</f>
        <v>1759</v>
      </c>
      <c r="G963" s="78">
        <f>VLOOKUP(Categorias_Registro[[#This Row],[Puntos]],Categorias_Configuracion[],MATCH(Categorias_Configuracion[[#Headers],[% Amplitud]],Categorias_Configuracion[#Headers],0),TRUE)</f>
        <v>0.15</v>
      </c>
      <c r="H963" s="15" t="str">
        <f ca="1">TEXT(Categorias_Registro[[#This Row],[Mínimo]],Formato_Rango_Categorias)&amp;" - "&amp;TEXT(Categorias_Registro[[#This Row],[Máximo]],Formato_Rango_Categorias)</f>
        <v>1.637 - 1.881</v>
      </c>
    </row>
    <row r="964" spans="2:8">
      <c r="B964" s="15">
        <f>Techo - ROW() + ROW(Categorias_Registro[])</f>
        <v>1665</v>
      </c>
      <c r="C964" s="15">
        <f>IF(Categorias_Registro[[#This Row],[Puntos]]&lt;=ROUND(Piso,0),Piso,IF(Categorias_Registro[[#This Row],[Puntos]]&lt;D965,C965,D965+1))</f>
        <v>1637</v>
      </c>
      <c r="D964" s="15">
        <f>IF(Categorias_Registro[[#This Row],[Puntos]]=ROUND(Piso,0),ROUND(Categorias_Registro[[#This Row],[Puntos]]*(1+Categorias_Registro[[#This Row],[Amplitud]]),0),IF(Categorias_Registro[[#This Row],[Puntos]]&lt;D965,D965,ROUND(D965*(1+Categorias_Registro[[#This Row],[Amplitud]]),0)))</f>
        <v>1881</v>
      </c>
      <c r="E964" s="15">
        <f>E965+IF(D965=Categorias_Registro[[#This Row],[Máximo]],0,1)</f>
        <v>22</v>
      </c>
      <c r="F964" s="15">
        <f>ROUND(Categorias_Registro[[#This Row],[Mínimo]]+((Categorias_Registro[[#This Row],[Máximo]]-Categorias_Registro[[#This Row],[Mínimo]])/2),0)</f>
        <v>1759</v>
      </c>
      <c r="G964" s="78">
        <f>VLOOKUP(Categorias_Registro[[#This Row],[Puntos]],Categorias_Configuracion[],MATCH(Categorias_Configuracion[[#Headers],[% Amplitud]],Categorias_Configuracion[#Headers],0),TRUE)</f>
        <v>0.15</v>
      </c>
      <c r="H964" s="15" t="str">
        <f ca="1">TEXT(Categorias_Registro[[#This Row],[Mínimo]],Formato_Rango_Categorias)&amp;" - "&amp;TEXT(Categorias_Registro[[#This Row],[Máximo]],Formato_Rango_Categorias)</f>
        <v>1.637 - 1.881</v>
      </c>
    </row>
    <row r="965" spans="2:8">
      <c r="B965" s="15">
        <f>Techo - ROW() + ROW(Categorias_Registro[])</f>
        <v>1664</v>
      </c>
      <c r="C965" s="15">
        <f>IF(Categorias_Registro[[#This Row],[Puntos]]&lt;=ROUND(Piso,0),Piso,IF(Categorias_Registro[[#This Row],[Puntos]]&lt;D966,C966,D966+1))</f>
        <v>1637</v>
      </c>
      <c r="D965" s="15">
        <f>IF(Categorias_Registro[[#This Row],[Puntos]]=ROUND(Piso,0),ROUND(Categorias_Registro[[#This Row],[Puntos]]*(1+Categorias_Registro[[#This Row],[Amplitud]]),0),IF(Categorias_Registro[[#This Row],[Puntos]]&lt;D966,D966,ROUND(D966*(1+Categorias_Registro[[#This Row],[Amplitud]]),0)))</f>
        <v>1881</v>
      </c>
      <c r="E965" s="15">
        <f>E966+IF(D966=Categorias_Registro[[#This Row],[Máximo]],0,1)</f>
        <v>22</v>
      </c>
      <c r="F965" s="15">
        <f>ROUND(Categorias_Registro[[#This Row],[Mínimo]]+((Categorias_Registro[[#This Row],[Máximo]]-Categorias_Registro[[#This Row],[Mínimo]])/2),0)</f>
        <v>1759</v>
      </c>
      <c r="G965" s="78">
        <f>VLOOKUP(Categorias_Registro[[#This Row],[Puntos]],Categorias_Configuracion[],MATCH(Categorias_Configuracion[[#Headers],[% Amplitud]],Categorias_Configuracion[#Headers],0),TRUE)</f>
        <v>0.15</v>
      </c>
      <c r="H965" s="15" t="str">
        <f ca="1">TEXT(Categorias_Registro[[#This Row],[Mínimo]],Formato_Rango_Categorias)&amp;" - "&amp;TEXT(Categorias_Registro[[#This Row],[Máximo]],Formato_Rango_Categorias)</f>
        <v>1.637 - 1.881</v>
      </c>
    </row>
    <row r="966" spans="2:8">
      <c r="B966" s="15">
        <f>Techo - ROW() + ROW(Categorias_Registro[])</f>
        <v>1663</v>
      </c>
      <c r="C966" s="15">
        <f>IF(Categorias_Registro[[#This Row],[Puntos]]&lt;=ROUND(Piso,0),Piso,IF(Categorias_Registro[[#This Row],[Puntos]]&lt;D967,C967,D967+1))</f>
        <v>1637</v>
      </c>
      <c r="D966" s="15">
        <f>IF(Categorias_Registro[[#This Row],[Puntos]]=ROUND(Piso,0),ROUND(Categorias_Registro[[#This Row],[Puntos]]*(1+Categorias_Registro[[#This Row],[Amplitud]]),0),IF(Categorias_Registro[[#This Row],[Puntos]]&lt;D967,D967,ROUND(D967*(1+Categorias_Registro[[#This Row],[Amplitud]]),0)))</f>
        <v>1881</v>
      </c>
      <c r="E966" s="15">
        <f>E967+IF(D967=Categorias_Registro[[#This Row],[Máximo]],0,1)</f>
        <v>22</v>
      </c>
      <c r="F966" s="15">
        <f>ROUND(Categorias_Registro[[#This Row],[Mínimo]]+((Categorias_Registro[[#This Row],[Máximo]]-Categorias_Registro[[#This Row],[Mínimo]])/2),0)</f>
        <v>1759</v>
      </c>
      <c r="G966" s="78">
        <f>VLOOKUP(Categorias_Registro[[#This Row],[Puntos]],Categorias_Configuracion[],MATCH(Categorias_Configuracion[[#Headers],[% Amplitud]],Categorias_Configuracion[#Headers],0),TRUE)</f>
        <v>0.15</v>
      </c>
      <c r="H966" s="15" t="str">
        <f ca="1">TEXT(Categorias_Registro[[#This Row],[Mínimo]],Formato_Rango_Categorias)&amp;" - "&amp;TEXT(Categorias_Registro[[#This Row],[Máximo]],Formato_Rango_Categorias)</f>
        <v>1.637 - 1.881</v>
      </c>
    </row>
    <row r="967" spans="2:8">
      <c r="B967" s="15">
        <f>Techo - ROW() + ROW(Categorias_Registro[])</f>
        <v>1662</v>
      </c>
      <c r="C967" s="15">
        <f>IF(Categorias_Registro[[#This Row],[Puntos]]&lt;=ROUND(Piso,0),Piso,IF(Categorias_Registro[[#This Row],[Puntos]]&lt;D968,C968,D968+1))</f>
        <v>1637</v>
      </c>
      <c r="D967" s="15">
        <f>IF(Categorias_Registro[[#This Row],[Puntos]]=ROUND(Piso,0),ROUND(Categorias_Registro[[#This Row],[Puntos]]*(1+Categorias_Registro[[#This Row],[Amplitud]]),0),IF(Categorias_Registro[[#This Row],[Puntos]]&lt;D968,D968,ROUND(D968*(1+Categorias_Registro[[#This Row],[Amplitud]]),0)))</f>
        <v>1881</v>
      </c>
      <c r="E967" s="15">
        <f>E968+IF(D968=Categorias_Registro[[#This Row],[Máximo]],0,1)</f>
        <v>22</v>
      </c>
      <c r="F967" s="15">
        <f>ROUND(Categorias_Registro[[#This Row],[Mínimo]]+((Categorias_Registro[[#This Row],[Máximo]]-Categorias_Registro[[#This Row],[Mínimo]])/2),0)</f>
        <v>1759</v>
      </c>
      <c r="G967" s="78">
        <f>VLOOKUP(Categorias_Registro[[#This Row],[Puntos]],Categorias_Configuracion[],MATCH(Categorias_Configuracion[[#Headers],[% Amplitud]],Categorias_Configuracion[#Headers],0),TRUE)</f>
        <v>0.15</v>
      </c>
      <c r="H967" s="15" t="str">
        <f ca="1">TEXT(Categorias_Registro[[#This Row],[Mínimo]],Formato_Rango_Categorias)&amp;" - "&amp;TEXT(Categorias_Registro[[#This Row],[Máximo]],Formato_Rango_Categorias)</f>
        <v>1.637 - 1.881</v>
      </c>
    </row>
    <row r="968" spans="2:8">
      <c r="B968" s="15">
        <f>Techo - ROW() + ROW(Categorias_Registro[])</f>
        <v>1661</v>
      </c>
      <c r="C968" s="15">
        <f>IF(Categorias_Registro[[#This Row],[Puntos]]&lt;=ROUND(Piso,0),Piso,IF(Categorias_Registro[[#This Row],[Puntos]]&lt;D969,C969,D969+1))</f>
        <v>1637</v>
      </c>
      <c r="D968" s="15">
        <f>IF(Categorias_Registro[[#This Row],[Puntos]]=ROUND(Piso,0),ROUND(Categorias_Registro[[#This Row],[Puntos]]*(1+Categorias_Registro[[#This Row],[Amplitud]]),0),IF(Categorias_Registro[[#This Row],[Puntos]]&lt;D969,D969,ROUND(D969*(1+Categorias_Registro[[#This Row],[Amplitud]]),0)))</f>
        <v>1881</v>
      </c>
      <c r="E968" s="15">
        <f>E969+IF(D969=Categorias_Registro[[#This Row],[Máximo]],0,1)</f>
        <v>22</v>
      </c>
      <c r="F968" s="15">
        <f>ROUND(Categorias_Registro[[#This Row],[Mínimo]]+((Categorias_Registro[[#This Row],[Máximo]]-Categorias_Registro[[#This Row],[Mínimo]])/2),0)</f>
        <v>1759</v>
      </c>
      <c r="G968" s="78">
        <f>VLOOKUP(Categorias_Registro[[#This Row],[Puntos]],Categorias_Configuracion[],MATCH(Categorias_Configuracion[[#Headers],[% Amplitud]],Categorias_Configuracion[#Headers],0),TRUE)</f>
        <v>0.15</v>
      </c>
      <c r="H968" s="15" t="str">
        <f ca="1">TEXT(Categorias_Registro[[#This Row],[Mínimo]],Formato_Rango_Categorias)&amp;" - "&amp;TEXT(Categorias_Registro[[#This Row],[Máximo]],Formato_Rango_Categorias)</f>
        <v>1.637 - 1.881</v>
      </c>
    </row>
    <row r="969" spans="2:8">
      <c r="B969" s="15">
        <f>Techo - ROW() + ROW(Categorias_Registro[])</f>
        <v>1660</v>
      </c>
      <c r="C969" s="15">
        <f>IF(Categorias_Registro[[#This Row],[Puntos]]&lt;=ROUND(Piso,0),Piso,IF(Categorias_Registro[[#This Row],[Puntos]]&lt;D970,C970,D970+1))</f>
        <v>1637</v>
      </c>
      <c r="D969" s="15">
        <f>IF(Categorias_Registro[[#This Row],[Puntos]]=ROUND(Piso,0),ROUND(Categorias_Registro[[#This Row],[Puntos]]*(1+Categorias_Registro[[#This Row],[Amplitud]]),0),IF(Categorias_Registro[[#This Row],[Puntos]]&lt;D970,D970,ROUND(D970*(1+Categorias_Registro[[#This Row],[Amplitud]]),0)))</f>
        <v>1881</v>
      </c>
      <c r="E969" s="15">
        <f>E970+IF(D970=Categorias_Registro[[#This Row],[Máximo]],0,1)</f>
        <v>22</v>
      </c>
      <c r="F969" s="15">
        <f>ROUND(Categorias_Registro[[#This Row],[Mínimo]]+((Categorias_Registro[[#This Row],[Máximo]]-Categorias_Registro[[#This Row],[Mínimo]])/2),0)</f>
        <v>1759</v>
      </c>
      <c r="G969" s="78">
        <f>VLOOKUP(Categorias_Registro[[#This Row],[Puntos]],Categorias_Configuracion[],MATCH(Categorias_Configuracion[[#Headers],[% Amplitud]],Categorias_Configuracion[#Headers],0),TRUE)</f>
        <v>0.15</v>
      </c>
      <c r="H969" s="15" t="str">
        <f ca="1">TEXT(Categorias_Registro[[#This Row],[Mínimo]],Formato_Rango_Categorias)&amp;" - "&amp;TEXT(Categorias_Registro[[#This Row],[Máximo]],Formato_Rango_Categorias)</f>
        <v>1.637 - 1.881</v>
      </c>
    </row>
    <row r="970" spans="2:8">
      <c r="B970" s="15">
        <f>Techo - ROW() + ROW(Categorias_Registro[])</f>
        <v>1659</v>
      </c>
      <c r="C970" s="15">
        <f>IF(Categorias_Registro[[#This Row],[Puntos]]&lt;=ROUND(Piso,0),Piso,IF(Categorias_Registro[[#This Row],[Puntos]]&lt;D971,C971,D971+1))</f>
        <v>1637</v>
      </c>
      <c r="D970" s="15">
        <f>IF(Categorias_Registro[[#This Row],[Puntos]]=ROUND(Piso,0),ROUND(Categorias_Registro[[#This Row],[Puntos]]*(1+Categorias_Registro[[#This Row],[Amplitud]]),0),IF(Categorias_Registro[[#This Row],[Puntos]]&lt;D971,D971,ROUND(D971*(1+Categorias_Registro[[#This Row],[Amplitud]]),0)))</f>
        <v>1881</v>
      </c>
      <c r="E970" s="15">
        <f>E971+IF(D971=Categorias_Registro[[#This Row],[Máximo]],0,1)</f>
        <v>22</v>
      </c>
      <c r="F970" s="15">
        <f>ROUND(Categorias_Registro[[#This Row],[Mínimo]]+((Categorias_Registro[[#This Row],[Máximo]]-Categorias_Registro[[#This Row],[Mínimo]])/2),0)</f>
        <v>1759</v>
      </c>
      <c r="G970" s="78">
        <f>VLOOKUP(Categorias_Registro[[#This Row],[Puntos]],Categorias_Configuracion[],MATCH(Categorias_Configuracion[[#Headers],[% Amplitud]],Categorias_Configuracion[#Headers],0),TRUE)</f>
        <v>0.15</v>
      </c>
      <c r="H970" s="15" t="str">
        <f ca="1">TEXT(Categorias_Registro[[#This Row],[Mínimo]],Formato_Rango_Categorias)&amp;" - "&amp;TEXT(Categorias_Registro[[#This Row],[Máximo]],Formato_Rango_Categorias)</f>
        <v>1.637 - 1.881</v>
      </c>
    </row>
    <row r="971" spans="2:8">
      <c r="B971" s="15">
        <f>Techo - ROW() + ROW(Categorias_Registro[])</f>
        <v>1658</v>
      </c>
      <c r="C971" s="15">
        <f>IF(Categorias_Registro[[#This Row],[Puntos]]&lt;=ROUND(Piso,0),Piso,IF(Categorias_Registro[[#This Row],[Puntos]]&lt;D972,C972,D972+1))</f>
        <v>1637</v>
      </c>
      <c r="D971" s="15">
        <f>IF(Categorias_Registro[[#This Row],[Puntos]]=ROUND(Piso,0),ROUND(Categorias_Registro[[#This Row],[Puntos]]*(1+Categorias_Registro[[#This Row],[Amplitud]]),0),IF(Categorias_Registro[[#This Row],[Puntos]]&lt;D972,D972,ROUND(D972*(1+Categorias_Registro[[#This Row],[Amplitud]]),0)))</f>
        <v>1881</v>
      </c>
      <c r="E971" s="15">
        <f>E972+IF(D972=Categorias_Registro[[#This Row],[Máximo]],0,1)</f>
        <v>22</v>
      </c>
      <c r="F971" s="15">
        <f>ROUND(Categorias_Registro[[#This Row],[Mínimo]]+((Categorias_Registro[[#This Row],[Máximo]]-Categorias_Registro[[#This Row],[Mínimo]])/2),0)</f>
        <v>1759</v>
      </c>
      <c r="G971" s="78">
        <f>VLOOKUP(Categorias_Registro[[#This Row],[Puntos]],Categorias_Configuracion[],MATCH(Categorias_Configuracion[[#Headers],[% Amplitud]],Categorias_Configuracion[#Headers],0),TRUE)</f>
        <v>0.15</v>
      </c>
      <c r="H971" s="15" t="str">
        <f ca="1">TEXT(Categorias_Registro[[#This Row],[Mínimo]],Formato_Rango_Categorias)&amp;" - "&amp;TEXT(Categorias_Registro[[#This Row],[Máximo]],Formato_Rango_Categorias)</f>
        <v>1.637 - 1.881</v>
      </c>
    </row>
    <row r="972" spans="2:8">
      <c r="B972" s="15">
        <f>Techo - ROW() + ROW(Categorias_Registro[])</f>
        <v>1657</v>
      </c>
      <c r="C972" s="15">
        <f>IF(Categorias_Registro[[#This Row],[Puntos]]&lt;=ROUND(Piso,0),Piso,IF(Categorias_Registro[[#This Row],[Puntos]]&lt;D973,C973,D973+1))</f>
        <v>1637</v>
      </c>
      <c r="D972" s="15">
        <f>IF(Categorias_Registro[[#This Row],[Puntos]]=ROUND(Piso,0),ROUND(Categorias_Registro[[#This Row],[Puntos]]*(1+Categorias_Registro[[#This Row],[Amplitud]]),0),IF(Categorias_Registro[[#This Row],[Puntos]]&lt;D973,D973,ROUND(D973*(1+Categorias_Registro[[#This Row],[Amplitud]]),0)))</f>
        <v>1881</v>
      </c>
      <c r="E972" s="15">
        <f>E973+IF(D973=Categorias_Registro[[#This Row],[Máximo]],0,1)</f>
        <v>22</v>
      </c>
      <c r="F972" s="15">
        <f>ROUND(Categorias_Registro[[#This Row],[Mínimo]]+((Categorias_Registro[[#This Row],[Máximo]]-Categorias_Registro[[#This Row],[Mínimo]])/2),0)</f>
        <v>1759</v>
      </c>
      <c r="G972" s="78">
        <f>VLOOKUP(Categorias_Registro[[#This Row],[Puntos]],Categorias_Configuracion[],MATCH(Categorias_Configuracion[[#Headers],[% Amplitud]],Categorias_Configuracion[#Headers],0),TRUE)</f>
        <v>0.15</v>
      </c>
      <c r="H972" s="15" t="str">
        <f ca="1">TEXT(Categorias_Registro[[#This Row],[Mínimo]],Formato_Rango_Categorias)&amp;" - "&amp;TEXT(Categorias_Registro[[#This Row],[Máximo]],Formato_Rango_Categorias)</f>
        <v>1.637 - 1.881</v>
      </c>
    </row>
    <row r="973" spans="2:8">
      <c r="B973" s="15">
        <f>Techo - ROW() + ROW(Categorias_Registro[])</f>
        <v>1656</v>
      </c>
      <c r="C973" s="15">
        <f>IF(Categorias_Registro[[#This Row],[Puntos]]&lt;=ROUND(Piso,0),Piso,IF(Categorias_Registro[[#This Row],[Puntos]]&lt;D974,C974,D974+1))</f>
        <v>1637</v>
      </c>
      <c r="D973" s="15">
        <f>IF(Categorias_Registro[[#This Row],[Puntos]]=ROUND(Piso,0),ROUND(Categorias_Registro[[#This Row],[Puntos]]*(1+Categorias_Registro[[#This Row],[Amplitud]]),0),IF(Categorias_Registro[[#This Row],[Puntos]]&lt;D974,D974,ROUND(D974*(1+Categorias_Registro[[#This Row],[Amplitud]]),0)))</f>
        <v>1881</v>
      </c>
      <c r="E973" s="15">
        <f>E974+IF(D974=Categorias_Registro[[#This Row],[Máximo]],0,1)</f>
        <v>22</v>
      </c>
      <c r="F973" s="15">
        <f>ROUND(Categorias_Registro[[#This Row],[Mínimo]]+((Categorias_Registro[[#This Row],[Máximo]]-Categorias_Registro[[#This Row],[Mínimo]])/2),0)</f>
        <v>1759</v>
      </c>
      <c r="G973" s="78">
        <f>VLOOKUP(Categorias_Registro[[#This Row],[Puntos]],Categorias_Configuracion[],MATCH(Categorias_Configuracion[[#Headers],[% Amplitud]],Categorias_Configuracion[#Headers],0),TRUE)</f>
        <v>0.15</v>
      </c>
      <c r="H973" s="15" t="str">
        <f ca="1">TEXT(Categorias_Registro[[#This Row],[Mínimo]],Formato_Rango_Categorias)&amp;" - "&amp;TEXT(Categorias_Registro[[#This Row],[Máximo]],Formato_Rango_Categorias)</f>
        <v>1.637 - 1.881</v>
      </c>
    </row>
    <row r="974" spans="2:8">
      <c r="B974" s="15">
        <f>Techo - ROW() + ROW(Categorias_Registro[])</f>
        <v>1655</v>
      </c>
      <c r="C974" s="15">
        <f>IF(Categorias_Registro[[#This Row],[Puntos]]&lt;=ROUND(Piso,0),Piso,IF(Categorias_Registro[[#This Row],[Puntos]]&lt;D975,C975,D975+1))</f>
        <v>1637</v>
      </c>
      <c r="D974" s="15">
        <f>IF(Categorias_Registro[[#This Row],[Puntos]]=ROUND(Piso,0),ROUND(Categorias_Registro[[#This Row],[Puntos]]*(1+Categorias_Registro[[#This Row],[Amplitud]]),0),IF(Categorias_Registro[[#This Row],[Puntos]]&lt;D975,D975,ROUND(D975*(1+Categorias_Registro[[#This Row],[Amplitud]]),0)))</f>
        <v>1881</v>
      </c>
      <c r="E974" s="15">
        <f>E975+IF(D975=Categorias_Registro[[#This Row],[Máximo]],0,1)</f>
        <v>22</v>
      </c>
      <c r="F974" s="15">
        <f>ROUND(Categorias_Registro[[#This Row],[Mínimo]]+((Categorias_Registro[[#This Row],[Máximo]]-Categorias_Registro[[#This Row],[Mínimo]])/2),0)</f>
        <v>1759</v>
      </c>
      <c r="G974" s="78">
        <f>VLOOKUP(Categorias_Registro[[#This Row],[Puntos]],Categorias_Configuracion[],MATCH(Categorias_Configuracion[[#Headers],[% Amplitud]],Categorias_Configuracion[#Headers],0),TRUE)</f>
        <v>0.15</v>
      </c>
      <c r="H974" s="15" t="str">
        <f ca="1">TEXT(Categorias_Registro[[#This Row],[Mínimo]],Formato_Rango_Categorias)&amp;" - "&amp;TEXT(Categorias_Registro[[#This Row],[Máximo]],Formato_Rango_Categorias)</f>
        <v>1.637 - 1.881</v>
      </c>
    </row>
    <row r="975" spans="2:8">
      <c r="B975" s="15">
        <f>Techo - ROW() + ROW(Categorias_Registro[])</f>
        <v>1654</v>
      </c>
      <c r="C975" s="15">
        <f>IF(Categorias_Registro[[#This Row],[Puntos]]&lt;=ROUND(Piso,0),Piso,IF(Categorias_Registro[[#This Row],[Puntos]]&lt;D976,C976,D976+1))</f>
        <v>1637</v>
      </c>
      <c r="D975" s="15">
        <f>IF(Categorias_Registro[[#This Row],[Puntos]]=ROUND(Piso,0),ROUND(Categorias_Registro[[#This Row],[Puntos]]*(1+Categorias_Registro[[#This Row],[Amplitud]]),0),IF(Categorias_Registro[[#This Row],[Puntos]]&lt;D976,D976,ROUND(D976*(1+Categorias_Registro[[#This Row],[Amplitud]]),0)))</f>
        <v>1881</v>
      </c>
      <c r="E975" s="15">
        <f>E976+IF(D976=Categorias_Registro[[#This Row],[Máximo]],0,1)</f>
        <v>22</v>
      </c>
      <c r="F975" s="15">
        <f>ROUND(Categorias_Registro[[#This Row],[Mínimo]]+((Categorias_Registro[[#This Row],[Máximo]]-Categorias_Registro[[#This Row],[Mínimo]])/2),0)</f>
        <v>1759</v>
      </c>
      <c r="G975" s="78">
        <f>VLOOKUP(Categorias_Registro[[#This Row],[Puntos]],Categorias_Configuracion[],MATCH(Categorias_Configuracion[[#Headers],[% Amplitud]],Categorias_Configuracion[#Headers],0),TRUE)</f>
        <v>0.15</v>
      </c>
      <c r="H975" s="15" t="str">
        <f ca="1">TEXT(Categorias_Registro[[#This Row],[Mínimo]],Formato_Rango_Categorias)&amp;" - "&amp;TEXT(Categorias_Registro[[#This Row],[Máximo]],Formato_Rango_Categorias)</f>
        <v>1.637 - 1.881</v>
      </c>
    </row>
    <row r="976" spans="2:8">
      <c r="B976" s="15">
        <f>Techo - ROW() + ROW(Categorias_Registro[])</f>
        <v>1653</v>
      </c>
      <c r="C976" s="15">
        <f>IF(Categorias_Registro[[#This Row],[Puntos]]&lt;=ROUND(Piso,0),Piso,IF(Categorias_Registro[[#This Row],[Puntos]]&lt;D977,C977,D977+1))</f>
        <v>1637</v>
      </c>
      <c r="D976" s="15">
        <f>IF(Categorias_Registro[[#This Row],[Puntos]]=ROUND(Piso,0),ROUND(Categorias_Registro[[#This Row],[Puntos]]*(1+Categorias_Registro[[#This Row],[Amplitud]]),0),IF(Categorias_Registro[[#This Row],[Puntos]]&lt;D977,D977,ROUND(D977*(1+Categorias_Registro[[#This Row],[Amplitud]]),0)))</f>
        <v>1881</v>
      </c>
      <c r="E976" s="15">
        <f>E977+IF(D977=Categorias_Registro[[#This Row],[Máximo]],0,1)</f>
        <v>22</v>
      </c>
      <c r="F976" s="15">
        <f>ROUND(Categorias_Registro[[#This Row],[Mínimo]]+((Categorias_Registro[[#This Row],[Máximo]]-Categorias_Registro[[#This Row],[Mínimo]])/2),0)</f>
        <v>1759</v>
      </c>
      <c r="G976" s="78">
        <f>VLOOKUP(Categorias_Registro[[#This Row],[Puntos]],Categorias_Configuracion[],MATCH(Categorias_Configuracion[[#Headers],[% Amplitud]],Categorias_Configuracion[#Headers],0),TRUE)</f>
        <v>0.15</v>
      </c>
      <c r="H976" s="15" t="str">
        <f ca="1">TEXT(Categorias_Registro[[#This Row],[Mínimo]],Formato_Rango_Categorias)&amp;" - "&amp;TEXT(Categorias_Registro[[#This Row],[Máximo]],Formato_Rango_Categorias)</f>
        <v>1.637 - 1.881</v>
      </c>
    </row>
    <row r="977" spans="2:8">
      <c r="B977" s="15">
        <f>Techo - ROW() + ROW(Categorias_Registro[])</f>
        <v>1652</v>
      </c>
      <c r="C977" s="15">
        <f>IF(Categorias_Registro[[#This Row],[Puntos]]&lt;=ROUND(Piso,0),Piso,IF(Categorias_Registro[[#This Row],[Puntos]]&lt;D978,C978,D978+1))</f>
        <v>1637</v>
      </c>
      <c r="D977" s="15">
        <f>IF(Categorias_Registro[[#This Row],[Puntos]]=ROUND(Piso,0),ROUND(Categorias_Registro[[#This Row],[Puntos]]*(1+Categorias_Registro[[#This Row],[Amplitud]]),0),IF(Categorias_Registro[[#This Row],[Puntos]]&lt;D978,D978,ROUND(D978*(1+Categorias_Registro[[#This Row],[Amplitud]]),0)))</f>
        <v>1881</v>
      </c>
      <c r="E977" s="15">
        <f>E978+IF(D978=Categorias_Registro[[#This Row],[Máximo]],0,1)</f>
        <v>22</v>
      </c>
      <c r="F977" s="15">
        <f>ROUND(Categorias_Registro[[#This Row],[Mínimo]]+((Categorias_Registro[[#This Row],[Máximo]]-Categorias_Registro[[#This Row],[Mínimo]])/2),0)</f>
        <v>1759</v>
      </c>
      <c r="G977" s="78">
        <f>VLOOKUP(Categorias_Registro[[#This Row],[Puntos]],Categorias_Configuracion[],MATCH(Categorias_Configuracion[[#Headers],[% Amplitud]],Categorias_Configuracion[#Headers],0),TRUE)</f>
        <v>0.15</v>
      </c>
      <c r="H977" s="15" t="str">
        <f ca="1">TEXT(Categorias_Registro[[#This Row],[Mínimo]],Formato_Rango_Categorias)&amp;" - "&amp;TEXT(Categorias_Registro[[#This Row],[Máximo]],Formato_Rango_Categorias)</f>
        <v>1.637 - 1.881</v>
      </c>
    </row>
    <row r="978" spans="2:8">
      <c r="B978" s="15">
        <f>Techo - ROW() + ROW(Categorias_Registro[])</f>
        <v>1651</v>
      </c>
      <c r="C978" s="15">
        <f>IF(Categorias_Registro[[#This Row],[Puntos]]&lt;=ROUND(Piso,0),Piso,IF(Categorias_Registro[[#This Row],[Puntos]]&lt;D979,C979,D979+1))</f>
        <v>1637</v>
      </c>
      <c r="D978" s="15">
        <f>IF(Categorias_Registro[[#This Row],[Puntos]]=ROUND(Piso,0),ROUND(Categorias_Registro[[#This Row],[Puntos]]*(1+Categorias_Registro[[#This Row],[Amplitud]]),0),IF(Categorias_Registro[[#This Row],[Puntos]]&lt;D979,D979,ROUND(D979*(1+Categorias_Registro[[#This Row],[Amplitud]]),0)))</f>
        <v>1881</v>
      </c>
      <c r="E978" s="15">
        <f>E979+IF(D979=Categorias_Registro[[#This Row],[Máximo]],0,1)</f>
        <v>22</v>
      </c>
      <c r="F978" s="15">
        <f>ROUND(Categorias_Registro[[#This Row],[Mínimo]]+((Categorias_Registro[[#This Row],[Máximo]]-Categorias_Registro[[#This Row],[Mínimo]])/2),0)</f>
        <v>1759</v>
      </c>
      <c r="G978" s="78">
        <f>VLOOKUP(Categorias_Registro[[#This Row],[Puntos]],Categorias_Configuracion[],MATCH(Categorias_Configuracion[[#Headers],[% Amplitud]],Categorias_Configuracion[#Headers],0),TRUE)</f>
        <v>0.15</v>
      </c>
      <c r="H978" s="15" t="str">
        <f ca="1">TEXT(Categorias_Registro[[#This Row],[Mínimo]],Formato_Rango_Categorias)&amp;" - "&amp;TEXT(Categorias_Registro[[#This Row],[Máximo]],Formato_Rango_Categorias)</f>
        <v>1.637 - 1.881</v>
      </c>
    </row>
    <row r="979" spans="2:8">
      <c r="B979" s="15">
        <f>Techo - ROW() + ROW(Categorias_Registro[])</f>
        <v>1650</v>
      </c>
      <c r="C979" s="15">
        <f>IF(Categorias_Registro[[#This Row],[Puntos]]&lt;=ROUND(Piso,0),Piso,IF(Categorias_Registro[[#This Row],[Puntos]]&lt;D980,C980,D980+1))</f>
        <v>1637</v>
      </c>
      <c r="D979" s="15">
        <f>IF(Categorias_Registro[[#This Row],[Puntos]]=ROUND(Piso,0),ROUND(Categorias_Registro[[#This Row],[Puntos]]*(1+Categorias_Registro[[#This Row],[Amplitud]]),0),IF(Categorias_Registro[[#This Row],[Puntos]]&lt;D980,D980,ROUND(D980*(1+Categorias_Registro[[#This Row],[Amplitud]]),0)))</f>
        <v>1881</v>
      </c>
      <c r="E979" s="15">
        <f>E980+IF(D980=Categorias_Registro[[#This Row],[Máximo]],0,1)</f>
        <v>22</v>
      </c>
      <c r="F979" s="15">
        <f>ROUND(Categorias_Registro[[#This Row],[Mínimo]]+((Categorias_Registro[[#This Row],[Máximo]]-Categorias_Registro[[#This Row],[Mínimo]])/2),0)</f>
        <v>1759</v>
      </c>
      <c r="G979" s="78">
        <f>VLOOKUP(Categorias_Registro[[#This Row],[Puntos]],Categorias_Configuracion[],MATCH(Categorias_Configuracion[[#Headers],[% Amplitud]],Categorias_Configuracion[#Headers],0),TRUE)</f>
        <v>0.15</v>
      </c>
      <c r="H979" s="15" t="str">
        <f ca="1">TEXT(Categorias_Registro[[#This Row],[Mínimo]],Formato_Rango_Categorias)&amp;" - "&amp;TEXT(Categorias_Registro[[#This Row],[Máximo]],Formato_Rango_Categorias)</f>
        <v>1.637 - 1.881</v>
      </c>
    </row>
    <row r="980" spans="2:8">
      <c r="B980" s="15">
        <f>Techo - ROW() + ROW(Categorias_Registro[])</f>
        <v>1649</v>
      </c>
      <c r="C980" s="15">
        <f>IF(Categorias_Registro[[#This Row],[Puntos]]&lt;=ROUND(Piso,0),Piso,IF(Categorias_Registro[[#This Row],[Puntos]]&lt;D981,C981,D981+1))</f>
        <v>1637</v>
      </c>
      <c r="D980" s="15">
        <f>IF(Categorias_Registro[[#This Row],[Puntos]]=ROUND(Piso,0),ROUND(Categorias_Registro[[#This Row],[Puntos]]*(1+Categorias_Registro[[#This Row],[Amplitud]]),0),IF(Categorias_Registro[[#This Row],[Puntos]]&lt;D981,D981,ROUND(D981*(1+Categorias_Registro[[#This Row],[Amplitud]]),0)))</f>
        <v>1881</v>
      </c>
      <c r="E980" s="15">
        <f>E981+IF(D981=Categorias_Registro[[#This Row],[Máximo]],0,1)</f>
        <v>22</v>
      </c>
      <c r="F980" s="15">
        <f>ROUND(Categorias_Registro[[#This Row],[Mínimo]]+((Categorias_Registro[[#This Row],[Máximo]]-Categorias_Registro[[#This Row],[Mínimo]])/2),0)</f>
        <v>1759</v>
      </c>
      <c r="G980" s="78">
        <f>VLOOKUP(Categorias_Registro[[#This Row],[Puntos]],Categorias_Configuracion[],MATCH(Categorias_Configuracion[[#Headers],[% Amplitud]],Categorias_Configuracion[#Headers],0),TRUE)</f>
        <v>0.15</v>
      </c>
      <c r="H980" s="15" t="str">
        <f ca="1">TEXT(Categorias_Registro[[#This Row],[Mínimo]],Formato_Rango_Categorias)&amp;" - "&amp;TEXT(Categorias_Registro[[#This Row],[Máximo]],Formato_Rango_Categorias)</f>
        <v>1.637 - 1.881</v>
      </c>
    </row>
    <row r="981" spans="2:8">
      <c r="B981" s="15">
        <f>Techo - ROW() + ROW(Categorias_Registro[])</f>
        <v>1648</v>
      </c>
      <c r="C981" s="15">
        <f>IF(Categorias_Registro[[#This Row],[Puntos]]&lt;=ROUND(Piso,0),Piso,IF(Categorias_Registro[[#This Row],[Puntos]]&lt;D982,C982,D982+1))</f>
        <v>1637</v>
      </c>
      <c r="D981" s="15">
        <f>IF(Categorias_Registro[[#This Row],[Puntos]]=ROUND(Piso,0),ROUND(Categorias_Registro[[#This Row],[Puntos]]*(1+Categorias_Registro[[#This Row],[Amplitud]]),0),IF(Categorias_Registro[[#This Row],[Puntos]]&lt;D982,D982,ROUND(D982*(1+Categorias_Registro[[#This Row],[Amplitud]]),0)))</f>
        <v>1881</v>
      </c>
      <c r="E981" s="15">
        <f>E982+IF(D982=Categorias_Registro[[#This Row],[Máximo]],0,1)</f>
        <v>22</v>
      </c>
      <c r="F981" s="15">
        <f>ROUND(Categorias_Registro[[#This Row],[Mínimo]]+((Categorias_Registro[[#This Row],[Máximo]]-Categorias_Registro[[#This Row],[Mínimo]])/2),0)</f>
        <v>1759</v>
      </c>
      <c r="G981" s="78">
        <f>VLOOKUP(Categorias_Registro[[#This Row],[Puntos]],Categorias_Configuracion[],MATCH(Categorias_Configuracion[[#Headers],[% Amplitud]],Categorias_Configuracion[#Headers],0),TRUE)</f>
        <v>0.15</v>
      </c>
      <c r="H981" s="15" t="str">
        <f ca="1">TEXT(Categorias_Registro[[#This Row],[Mínimo]],Formato_Rango_Categorias)&amp;" - "&amp;TEXT(Categorias_Registro[[#This Row],[Máximo]],Formato_Rango_Categorias)</f>
        <v>1.637 - 1.881</v>
      </c>
    </row>
    <row r="982" spans="2:8">
      <c r="B982" s="15">
        <f>Techo - ROW() + ROW(Categorias_Registro[])</f>
        <v>1647</v>
      </c>
      <c r="C982" s="15">
        <f>IF(Categorias_Registro[[#This Row],[Puntos]]&lt;=ROUND(Piso,0),Piso,IF(Categorias_Registro[[#This Row],[Puntos]]&lt;D983,C983,D983+1))</f>
        <v>1637</v>
      </c>
      <c r="D982" s="15">
        <f>IF(Categorias_Registro[[#This Row],[Puntos]]=ROUND(Piso,0),ROUND(Categorias_Registro[[#This Row],[Puntos]]*(1+Categorias_Registro[[#This Row],[Amplitud]]),0),IF(Categorias_Registro[[#This Row],[Puntos]]&lt;D983,D983,ROUND(D983*(1+Categorias_Registro[[#This Row],[Amplitud]]),0)))</f>
        <v>1881</v>
      </c>
      <c r="E982" s="15">
        <f>E983+IF(D983=Categorias_Registro[[#This Row],[Máximo]],0,1)</f>
        <v>22</v>
      </c>
      <c r="F982" s="15">
        <f>ROUND(Categorias_Registro[[#This Row],[Mínimo]]+((Categorias_Registro[[#This Row],[Máximo]]-Categorias_Registro[[#This Row],[Mínimo]])/2),0)</f>
        <v>1759</v>
      </c>
      <c r="G982" s="78">
        <f>VLOOKUP(Categorias_Registro[[#This Row],[Puntos]],Categorias_Configuracion[],MATCH(Categorias_Configuracion[[#Headers],[% Amplitud]],Categorias_Configuracion[#Headers],0),TRUE)</f>
        <v>0.15</v>
      </c>
      <c r="H982" s="15" t="str">
        <f ca="1">TEXT(Categorias_Registro[[#This Row],[Mínimo]],Formato_Rango_Categorias)&amp;" - "&amp;TEXT(Categorias_Registro[[#This Row],[Máximo]],Formato_Rango_Categorias)</f>
        <v>1.637 - 1.881</v>
      </c>
    </row>
    <row r="983" spans="2:8">
      <c r="B983" s="15">
        <f>Techo - ROW() + ROW(Categorias_Registro[])</f>
        <v>1646</v>
      </c>
      <c r="C983" s="15">
        <f>IF(Categorias_Registro[[#This Row],[Puntos]]&lt;=ROUND(Piso,0),Piso,IF(Categorias_Registro[[#This Row],[Puntos]]&lt;D984,C984,D984+1))</f>
        <v>1637</v>
      </c>
      <c r="D983" s="15">
        <f>IF(Categorias_Registro[[#This Row],[Puntos]]=ROUND(Piso,0),ROUND(Categorias_Registro[[#This Row],[Puntos]]*(1+Categorias_Registro[[#This Row],[Amplitud]]),0),IF(Categorias_Registro[[#This Row],[Puntos]]&lt;D984,D984,ROUND(D984*(1+Categorias_Registro[[#This Row],[Amplitud]]),0)))</f>
        <v>1881</v>
      </c>
      <c r="E983" s="15">
        <f>E984+IF(D984=Categorias_Registro[[#This Row],[Máximo]],0,1)</f>
        <v>22</v>
      </c>
      <c r="F983" s="15">
        <f>ROUND(Categorias_Registro[[#This Row],[Mínimo]]+((Categorias_Registro[[#This Row],[Máximo]]-Categorias_Registro[[#This Row],[Mínimo]])/2),0)</f>
        <v>1759</v>
      </c>
      <c r="G983" s="78">
        <f>VLOOKUP(Categorias_Registro[[#This Row],[Puntos]],Categorias_Configuracion[],MATCH(Categorias_Configuracion[[#Headers],[% Amplitud]],Categorias_Configuracion[#Headers],0),TRUE)</f>
        <v>0.15</v>
      </c>
      <c r="H983" s="15" t="str">
        <f ca="1">TEXT(Categorias_Registro[[#This Row],[Mínimo]],Formato_Rango_Categorias)&amp;" - "&amp;TEXT(Categorias_Registro[[#This Row],[Máximo]],Formato_Rango_Categorias)</f>
        <v>1.637 - 1.881</v>
      </c>
    </row>
    <row r="984" spans="2:8">
      <c r="B984" s="15">
        <f>Techo - ROW() + ROW(Categorias_Registro[])</f>
        <v>1645</v>
      </c>
      <c r="C984" s="15">
        <f>IF(Categorias_Registro[[#This Row],[Puntos]]&lt;=ROUND(Piso,0),Piso,IF(Categorias_Registro[[#This Row],[Puntos]]&lt;D985,C985,D985+1))</f>
        <v>1637</v>
      </c>
      <c r="D984" s="15">
        <f>IF(Categorias_Registro[[#This Row],[Puntos]]=ROUND(Piso,0),ROUND(Categorias_Registro[[#This Row],[Puntos]]*(1+Categorias_Registro[[#This Row],[Amplitud]]),0),IF(Categorias_Registro[[#This Row],[Puntos]]&lt;D985,D985,ROUND(D985*(1+Categorias_Registro[[#This Row],[Amplitud]]),0)))</f>
        <v>1881</v>
      </c>
      <c r="E984" s="15">
        <f>E985+IF(D985=Categorias_Registro[[#This Row],[Máximo]],0,1)</f>
        <v>22</v>
      </c>
      <c r="F984" s="15">
        <f>ROUND(Categorias_Registro[[#This Row],[Mínimo]]+((Categorias_Registro[[#This Row],[Máximo]]-Categorias_Registro[[#This Row],[Mínimo]])/2),0)</f>
        <v>1759</v>
      </c>
      <c r="G984" s="78">
        <f>VLOOKUP(Categorias_Registro[[#This Row],[Puntos]],Categorias_Configuracion[],MATCH(Categorias_Configuracion[[#Headers],[% Amplitud]],Categorias_Configuracion[#Headers],0),TRUE)</f>
        <v>0.15</v>
      </c>
      <c r="H984" s="15" t="str">
        <f ca="1">TEXT(Categorias_Registro[[#This Row],[Mínimo]],Formato_Rango_Categorias)&amp;" - "&amp;TEXT(Categorias_Registro[[#This Row],[Máximo]],Formato_Rango_Categorias)</f>
        <v>1.637 - 1.881</v>
      </c>
    </row>
    <row r="985" spans="2:8">
      <c r="B985" s="15">
        <f>Techo - ROW() + ROW(Categorias_Registro[])</f>
        <v>1644</v>
      </c>
      <c r="C985" s="15">
        <f>IF(Categorias_Registro[[#This Row],[Puntos]]&lt;=ROUND(Piso,0),Piso,IF(Categorias_Registro[[#This Row],[Puntos]]&lt;D986,C986,D986+1))</f>
        <v>1637</v>
      </c>
      <c r="D985" s="15">
        <f>IF(Categorias_Registro[[#This Row],[Puntos]]=ROUND(Piso,0),ROUND(Categorias_Registro[[#This Row],[Puntos]]*(1+Categorias_Registro[[#This Row],[Amplitud]]),0),IF(Categorias_Registro[[#This Row],[Puntos]]&lt;D986,D986,ROUND(D986*(1+Categorias_Registro[[#This Row],[Amplitud]]),0)))</f>
        <v>1881</v>
      </c>
      <c r="E985" s="15">
        <f>E986+IF(D986=Categorias_Registro[[#This Row],[Máximo]],0,1)</f>
        <v>22</v>
      </c>
      <c r="F985" s="15">
        <f>ROUND(Categorias_Registro[[#This Row],[Mínimo]]+((Categorias_Registro[[#This Row],[Máximo]]-Categorias_Registro[[#This Row],[Mínimo]])/2),0)</f>
        <v>1759</v>
      </c>
      <c r="G985" s="78">
        <f>VLOOKUP(Categorias_Registro[[#This Row],[Puntos]],Categorias_Configuracion[],MATCH(Categorias_Configuracion[[#Headers],[% Amplitud]],Categorias_Configuracion[#Headers],0),TRUE)</f>
        <v>0.15</v>
      </c>
      <c r="H985" s="15" t="str">
        <f ca="1">TEXT(Categorias_Registro[[#This Row],[Mínimo]],Formato_Rango_Categorias)&amp;" - "&amp;TEXT(Categorias_Registro[[#This Row],[Máximo]],Formato_Rango_Categorias)</f>
        <v>1.637 - 1.881</v>
      </c>
    </row>
    <row r="986" spans="2:8">
      <c r="B986" s="15">
        <f>Techo - ROW() + ROW(Categorias_Registro[])</f>
        <v>1643</v>
      </c>
      <c r="C986" s="15">
        <f>IF(Categorias_Registro[[#This Row],[Puntos]]&lt;=ROUND(Piso,0),Piso,IF(Categorias_Registro[[#This Row],[Puntos]]&lt;D987,C987,D987+1))</f>
        <v>1637</v>
      </c>
      <c r="D986" s="15">
        <f>IF(Categorias_Registro[[#This Row],[Puntos]]=ROUND(Piso,0),ROUND(Categorias_Registro[[#This Row],[Puntos]]*(1+Categorias_Registro[[#This Row],[Amplitud]]),0),IF(Categorias_Registro[[#This Row],[Puntos]]&lt;D987,D987,ROUND(D987*(1+Categorias_Registro[[#This Row],[Amplitud]]),0)))</f>
        <v>1881</v>
      </c>
      <c r="E986" s="15">
        <f>E987+IF(D987=Categorias_Registro[[#This Row],[Máximo]],0,1)</f>
        <v>22</v>
      </c>
      <c r="F986" s="15">
        <f>ROUND(Categorias_Registro[[#This Row],[Mínimo]]+((Categorias_Registro[[#This Row],[Máximo]]-Categorias_Registro[[#This Row],[Mínimo]])/2),0)</f>
        <v>1759</v>
      </c>
      <c r="G986" s="78">
        <f>VLOOKUP(Categorias_Registro[[#This Row],[Puntos]],Categorias_Configuracion[],MATCH(Categorias_Configuracion[[#Headers],[% Amplitud]],Categorias_Configuracion[#Headers],0),TRUE)</f>
        <v>0.15</v>
      </c>
      <c r="H986" s="15" t="str">
        <f ca="1">TEXT(Categorias_Registro[[#This Row],[Mínimo]],Formato_Rango_Categorias)&amp;" - "&amp;TEXT(Categorias_Registro[[#This Row],[Máximo]],Formato_Rango_Categorias)</f>
        <v>1.637 - 1.881</v>
      </c>
    </row>
    <row r="987" spans="2:8">
      <c r="B987" s="15">
        <f>Techo - ROW() + ROW(Categorias_Registro[])</f>
        <v>1642</v>
      </c>
      <c r="C987" s="15">
        <f>IF(Categorias_Registro[[#This Row],[Puntos]]&lt;=ROUND(Piso,0),Piso,IF(Categorias_Registro[[#This Row],[Puntos]]&lt;D988,C988,D988+1))</f>
        <v>1637</v>
      </c>
      <c r="D987" s="15">
        <f>IF(Categorias_Registro[[#This Row],[Puntos]]=ROUND(Piso,0),ROUND(Categorias_Registro[[#This Row],[Puntos]]*(1+Categorias_Registro[[#This Row],[Amplitud]]),0),IF(Categorias_Registro[[#This Row],[Puntos]]&lt;D988,D988,ROUND(D988*(1+Categorias_Registro[[#This Row],[Amplitud]]),0)))</f>
        <v>1881</v>
      </c>
      <c r="E987" s="15">
        <f>E988+IF(D988=Categorias_Registro[[#This Row],[Máximo]],0,1)</f>
        <v>22</v>
      </c>
      <c r="F987" s="15">
        <f>ROUND(Categorias_Registro[[#This Row],[Mínimo]]+((Categorias_Registro[[#This Row],[Máximo]]-Categorias_Registro[[#This Row],[Mínimo]])/2),0)</f>
        <v>1759</v>
      </c>
      <c r="G987" s="78">
        <f>VLOOKUP(Categorias_Registro[[#This Row],[Puntos]],Categorias_Configuracion[],MATCH(Categorias_Configuracion[[#Headers],[% Amplitud]],Categorias_Configuracion[#Headers],0),TRUE)</f>
        <v>0.15</v>
      </c>
      <c r="H987" s="15" t="str">
        <f ca="1">TEXT(Categorias_Registro[[#This Row],[Mínimo]],Formato_Rango_Categorias)&amp;" - "&amp;TEXT(Categorias_Registro[[#This Row],[Máximo]],Formato_Rango_Categorias)</f>
        <v>1.637 - 1.881</v>
      </c>
    </row>
    <row r="988" spans="2:8">
      <c r="B988" s="15">
        <f>Techo - ROW() + ROW(Categorias_Registro[])</f>
        <v>1641</v>
      </c>
      <c r="C988" s="15">
        <f>IF(Categorias_Registro[[#This Row],[Puntos]]&lt;=ROUND(Piso,0),Piso,IF(Categorias_Registro[[#This Row],[Puntos]]&lt;D989,C989,D989+1))</f>
        <v>1637</v>
      </c>
      <c r="D988" s="15">
        <f>IF(Categorias_Registro[[#This Row],[Puntos]]=ROUND(Piso,0),ROUND(Categorias_Registro[[#This Row],[Puntos]]*(1+Categorias_Registro[[#This Row],[Amplitud]]),0),IF(Categorias_Registro[[#This Row],[Puntos]]&lt;D989,D989,ROUND(D989*(1+Categorias_Registro[[#This Row],[Amplitud]]),0)))</f>
        <v>1881</v>
      </c>
      <c r="E988" s="15">
        <f>E989+IF(D989=Categorias_Registro[[#This Row],[Máximo]],0,1)</f>
        <v>22</v>
      </c>
      <c r="F988" s="15">
        <f>ROUND(Categorias_Registro[[#This Row],[Mínimo]]+((Categorias_Registro[[#This Row],[Máximo]]-Categorias_Registro[[#This Row],[Mínimo]])/2),0)</f>
        <v>1759</v>
      </c>
      <c r="G988" s="78">
        <f>VLOOKUP(Categorias_Registro[[#This Row],[Puntos]],Categorias_Configuracion[],MATCH(Categorias_Configuracion[[#Headers],[% Amplitud]],Categorias_Configuracion[#Headers],0),TRUE)</f>
        <v>0.15</v>
      </c>
      <c r="H988" s="15" t="str">
        <f ca="1">TEXT(Categorias_Registro[[#This Row],[Mínimo]],Formato_Rango_Categorias)&amp;" - "&amp;TEXT(Categorias_Registro[[#This Row],[Máximo]],Formato_Rango_Categorias)</f>
        <v>1.637 - 1.881</v>
      </c>
    </row>
    <row r="989" spans="2:8">
      <c r="B989" s="15">
        <f>Techo - ROW() + ROW(Categorias_Registro[])</f>
        <v>1640</v>
      </c>
      <c r="C989" s="15">
        <f>IF(Categorias_Registro[[#This Row],[Puntos]]&lt;=ROUND(Piso,0),Piso,IF(Categorias_Registro[[#This Row],[Puntos]]&lt;D990,C990,D990+1))</f>
        <v>1637</v>
      </c>
      <c r="D989" s="15">
        <f>IF(Categorias_Registro[[#This Row],[Puntos]]=ROUND(Piso,0),ROUND(Categorias_Registro[[#This Row],[Puntos]]*(1+Categorias_Registro[[#This Row],[Amplitud]]),0),IF(Categorias_Registro[[#This Row],[Puntos]]&lt;D990,D990,ROUND(D990*(1+Categorias_Registro[[#This Row],[Amplitud]]),0)))</f>
        <v>1881</v>
      </c>
      <c r="E989" s="15">
        <f>E990+IF(D990=Categorias_Registro[[#This Row],[Máximo]],0,1)</f>
        <v>22</v>
      </c>
      <c r="F989" s="15">
        <f>ROUND(Categorias_Registro[[#This Row],[Mínimo]]+((Categorias_Registro[[#This Row],[Máximo]]-Categorias_Registro[[#This Row],[Mínimo]])/2),0)</f>
        <v>1759</v>
      </c>
      <c r="G989" s="78">
        <f>VLOOKUP(Categorias_Registro[[#This Row],[Puntos]],Categorias_Configuracion[],MATCH(Categorias_Configuracion[[#Headers],[% Amplitud]],Categorias_Configuracion[#Headers],0),TRUE)</f>
        <v>0.15</v>
      </c>
      <c r="H989" s="15" t="str">
        <f ca="1">TEXT(Categorias_Registro[[#This Row],[Mínimo]],Formato_Rango_Categorias)&amp;" - "&amp;TEXT(Categorias_Registro[[#This Row],[Máximo]],Formato_Rango_Categorias)</f>
        <v>1.637 - 1.881</v>
      </c>
    </row>
    <row r="990" spans="2:8">
      <c r="B990" s="15">
        <f>Techo - ROW() + ROW(Categorias_Registro[])</f>
        <v>1639</v>
      </c>
      <c r="C990" s="15">
        <f>IF(Categorias_Registro[[#This Row],[Puntos]]&lt;=ROUND(Piso,0),Piso,IF(Categorias_Registro[[#This Row],[Puntos]]&lt;D991,C991,D991+1))</f>
        <v>1637</v>
      </c>
      <c r="D990" s="15">
        <f>IF(Categorias_Registro[[#This Row],[Puntos]]=ROUND(Piso,0),ROUND(Categorias_Registro[[#This Row],[Puntos]]*(1+Categorias_Registro[[#This Row],[Amplitud]]),0),IF(Categorias_Registro[[#This Row],[Puntos]]&lt;D991,D991,ROUND(D991*(1+Categorias_Registro[[#This Row],[Amplitud]]),0)))</f>
        <v>1881</v>
      </c>
      <c r="E990" s="15">
        <f>E991+IF(D991=Categorias_Registro[[#This Row],[Máximo]],0,1)</f>
        <v>22</v>
      </c>
      <c r="F990" s="15">
        <f>ROUND(Categorias_Registro[[#This Row],[Mínimo]]+((Categorias_Registro[[#This Row],[Máximo]]-Categorias_Registro[[#This Row],[Mínimo]])/2),0)</f>
        <v>1759</v>
      </c>
      <c r="G990" s="78">
        <f>VLOOKUP(Categorias_Registro[[#This Row],[Puntos]],Categorias_Configuracion[],MATCH(Categorias_Configuracion[[#Headers],[% Amplitud]],Categorias_Configuracion[#Headers],0),TRUE)</f>
        <v>0.15</v>
      </c>
      <c r="H990" s="15" t="str">
        <f ca="1">TEXT(Categorias_Registro[[#This Row],[Mínimo]],Formato_Rango_Categorias)&amp;" - "&amp;TEXT(Categorias_Registro[[#This Row],[Máximo]],Formato_Rango_Categorias)</f>
        <v>1.637 - 1.881</v>
      </c>
    </row>
    <row r="991" spans="2:8">
      <c r="B991" s="15">
        <f>Techo - ROW() + ROW(Categorias_Registro[])</f>
        <v>1638</v>
      </c>
      <c r="C991" s="15">
        <f>IF(Categorias_Registro[[#This Row],[Puntos]]&lt;=ROUND(Piso,0),Piso,IF(Categorias_Registro[[#This Row],[Puntos]]&lt;D992,C992,D992+1))</f>
        <v>1637</v>
      </c>
      <c r="D991" s="15">
        <f>IF(Categorias_Registro[[#This Row],[Puntos]]=ROUND(Piso,0),ROUND(Categorias_Registro[[#This Row],[Puntos]]*(1+Categorias_Registro[[#This Row],[Amplitud]]),0),IF(Categorias_Registro[[#This Row],[Puntos]]&lt;D992,D992,ROUND(D992*(1+Categorias_Registro[[#This Row],[Amplitud]]),0)))</f>
        <v>1881</v>
      </c>
      <c r="E991" s="15">
        <f>E992+IF(D992=Categorias_Registro[[#This Row],[Máximo]],0,1)</f>
        <v>22</v>
      </c>
      <c r="F991" s="15">
        <f>ROUND(Categorias_Registro[[#This Row],[Mínimo]]+((Categorias_Registro[[#This Row],[Máximo]]-Categorias_Registro[[#This Row],[Mínimo]])/2),0)</f>
        <v>1759</v>
      </c>
      <c r="G991" s="78">
        <f>VLOOKUP(Categorias_Registro[[#This Row],[Puntos]],Categorias_Configuracion[],MATCH(Categorias_Configuracion[[#Headers],[% Amplitud]],Categorias_Configuracion[#Headers],0),TRUE)</f>
        <v>0.15</v>
      </c>
      <c r="H991" s="15" t="str">
        <f ca="1">TEXT(Categorias_Registro[[#This Row],[Mínimo]],Formato_Rango_Categorias)&amp;" - "&amp;TEXT(Categorias_Registro[[#This Row],[Máximo]],Formato_Rango_Categorias)</f>
        <v>1.637 - 1.881</v>
      </c>
    </row>
    <row r="992" spans="2:8">
      <c r="B992" s="15">
        <f>Techo - ROW() + ROW(Categorias_Registro[])</f>
        <v>1637</v>
      </c>
      <c r="C992" s="15">
        <f>IF(Categorias_Registro[[#This Row],[Puntos]]&lt;=ROUND(Piso,0),Piso,IF(Categorias_Registro[[#This Row],[Puntos]]&lt;D993,C993,D993+1))</f>
        <v>1637</v>
      </c>
      <c r="D992" s="15">
        <f>IF(Categorias_Registro[[#This Row],[Puntos]]=ROUND(Piso,0),ROUND(Categorias_Registro[[#This Row],[Puntos]]*(1+Categorias_Registro[[#This Row],[Amplitud]]),0),IF(Categorias_Registro[[#This Row],[Puntos]]&lt;D993,D993,ROUND(D993*(1+Categorias_Registro[[#This Row],[Amplitud]]),0)))</f>
        <v>1881</v>
      </c>
      <c r="E992" s="15">
        <f>E993+IF(D993=Categorias_Registro[[#This Row],[Máximo]],0,1)</f>
        <v>22</v>
      </c>
      <c r="F992" s="15">
        <f>ROUND(Categorias_Registro[[#This Row],[Mínimo]]+((Categorias_Registro[[#This Row],[Máximo]]-Categorias_Registro[[#This Row],[Mínimo]])/2),0)</f>
        <v>1759</v>
      </c>
      <c r="G992" s="78">
        <f>VLOOKUP(Categorias_Registro[[#This Row],[Puntos]],Categorias_Configuracion[],MATCH(Categorias_Configuracion[[#Headers],[% Amplitud]],Categorias_Configuracion[#Headers],0),TRUE)</f>
        <v>0.15</v>
      </c>
      <c r="H992" s="15" t="str">
        <f ca="1">TEXT(Categorias_Registro[[#This Row],[Mínimo]],Formato_Rango_Categorias)&amp;" - "&amp;TEXT(Categorias_Registro[[#This Row],[Máximo]],Formato_Rango_Categorias)</f>
        <v>1.637 - 1.881</v>
      </c>
    </row>
    <row r="993" spans="2:8">
      <c r="B993" s="15">
        <f>Techo - ROW() + ROW(Categorias_Registro[])</f>
        <v>1636</v>
      </c>
      <c r="C993" s="15">
        <f>IF(Categorias_Registro[[#This Row],[Puntos]]&lt;=ROUND(Piso,0),Piso,IF(Categorias_Registro[[#This Row],[Puntos]]&lt;D994,C994,D994+1))</f>
        <v>1637</v>
      </c>
      <c r="D993" s="15">
        <f>IF(Categorias_Registro[[#This Row],[Puntos]]=ROUND(Piso,0),ROUND(Categorias_Registro[[#This Row],[Puntos]]*(1+Categorias_Registro[[#This Row],[Amplitud]]),0),IF(Categorias_Registro[[#This Row],[Puntos]]&lt;D994,D994,ROUND(D994*(1+Categorias_Registro[[#This Row],[Amplitud]]),0)))</f>
        <v>1881</v>
      </c>
      <c r="E993" s="15">
        <f>E994+IF(D994=Categorias_Registro[[#This Row],[Máximo]],0,1)</f>
        <v>22</v>
      </c>
      <c r="F993" s="15">
        <f>ROUND(Categorias_Registro[[#This Row],[Mínimo]]+((Categorias_Registro[[#This Row],[Máximo]]-Categorias_Registro[[#This Row],[Mínimo]])/2),0)</f>
        <v>1759</v>
      </c>
      <c r="G993" s="78">
        <f>VLOOKUP(Categorias_Registro[[#This Row],[Puntos]],Categorias_Configuracion[],MATCH(Categorias_Configuracion[[#Headers],[% Amplitud]],Categorias_Configuracion[#Headers],0),TRUE)</f>
        <v>0.15</v>
      </c>
      <c r="H993" s="15" t="str">
        <f ca="1">TEXT(Categorias_Registro[[#This Row],[Mínimo]],Formato_Rango_Categorias)&amp;" - "&amp;TEXT(Categorias_Registro[[#This Row],[Máximo]],Formato_Rango_Categorias)</f>
        <v>1.637 - 1.881</v>
      </c>
    </row>
    <row r="994" spans="2:8">
      <c r="B994" s="15">
        <f>Techo - ROW() + ROW(Categorias_Registro[])</f>
        <v>1635</v>
      </c>
      <c r="C994" s="15">
        <f>IF(Categorias_Registro[[#This Row],[Puntos]]&lt;=ROUND(Piso,0),Piso,IF(Categorias_Registro[[#This Row],[Puntos]]&lt;D995,C995,D995+1))</f>
        <v>1424</v>
      </c>
      <c r="D994" s="15">
        <f>IF(Categorias_Registro[[#This Row],[Puntos]]=ROUND(Piso,0),ROUND(Categorias_Registro[[#This Row],[Puntos]]*(1+Categorias_Registro[[#This Row],[Amplitud]]),0),IF(Categorias_Registro[[#This Row],[Puntos]]&lt;D995,D995,ROUND(D995*(1+Categorias_Registro[[#This Row],[Amplitud]]),0)))</f>
        <v>1636</v>
      </c>
      <c r="E994" s="15">
        <f>E995+IF(D995=Categorias_Registro[[#This Row],[Máximo]],0,1)</f>
        <v>21</v>
      </c>
      <c r="F994" s="15">
        <f>ROUND(Categorias_Registro[[#This Row],[Mínimo]]+((Categorias_Registro[[#This Row],[Máximo]]-Categorias_Registro[[#This Row],[Mínimo]])/2),0)</f>
        <v>1530</v>
      </c>
      <c r="G994" s="78">
        <f>VLOOKUP(Categorias_Registro[[#This Row],[Puntos]],Categorias_Configuracion[],MATCH(Categorias_Configuracion[[#Headers],[% Amplitud]],Categorias_Configuracion[#Headers],0),TRUE)</f>
        <v>0.15</v>
      </c>
      <c r="H994" s="15" t="str">
        <f ca="1">TEXT(Categorias_Registro[[#This Row],[Mínimo]],Formato_Rango_Categorias)&amp;" - "&amp;TEXT(Categorias_Registro[[#This Row],[Máximo]],Formato_Rango_Categorias)</f>
        <v>1.424 - 1.636</v>
      </c>
    </row>
    <row r="995" spans="2:8">
      <c r="B995" s="15">
        <f>Techo - ROW() + ROW(Categorias_Registro[])</f>
        <v>1634</v>
      </c>
      <c r="C995" s="15">
        <f>IF(Categorias_Registro[[#This Row],[Puntos]]&lt;=ROUND(Piso,0),Piso,IF(Categorias_Registro[[#This Row],[Puntos]]&lt;D996,C996,D996+1))</f>
        <v>1424</v>
      </c>
      <c r="D995" s="15">
        <f>IF(Categorias_Registro[[#This Row],[Puntos]]=ROUND(Piso,0),ROUND(Categorias_Registro[[#This Row],[Puntos]]*(1+Categorias_Registro[[#This Row],[Amplitud]]),0),IF(Categorias_Registro[[#This Row],[Puntos]]&lt;D996,D996,ROUND(D996*(1+Categorias_Registro[[#This Row],[Amplitud]]),0)))</f>
        <v>1636</v>
      </c>
      <c r="E995" s="15">
        <f>E996+IF(D996=Categorias_Registro[[#This Row],[Máximo]],0,1)</f>
        <v>21</v>
      </c>
      <c r="F995" s="15">
        <f>ROUND(Categorias_Registro[[#This Row],[Mínimo]]+((Categorias_Registro[[#This Row],[Máximo]]-Categorias_Registro[[#This Row],[Mínimo]])/2),0)</f>
        <v>1530</v>
      </c>
      <c r="G995" s="78">
        <f>VLOOKUP(Categorias_Registro[[#This Row],[Puntos]],Categorias_Configuracion[],MATCH(Categorias_Configuracion[[#Headers],[% Amplitud]],Categorias_Configuracion[#Headers],0),TRUE)</f>
        <v>0.15</v>
      </c>
      <c r="H995" s="15" t="str">
        <f ca="1">TEXT(Categorias_Registro[[#This Row],[Mínimo]],Formato_Rango_Categorias)&amp;" - "&amp;TEXT(Categorias_Registro[[#This Row],[Máximo]],Formato_Rango_Categorias)</f>
        <v>1.424 - 1.636</v>
      </c>
    </row>
    <row r="996" spans="2:8">
      <c r="B996" s="15">
        <f>Techo - ROW() + ROW(Categorias_Registro[])</f>
        <v>1633</v>
      </c>
      <c r="C996" s="15">
        <f>IF(Categorias_Registro[[#This Row],[Puntos]]&lt;=ROUND(Piso,0),Piso,IF(Categorias_Registro[[#This Row],[Puntos]]&lt;D997,C997,D997+1))</f>
        <v>1424</v>
      </c>
      <c r="D996" s="15">
        <f>IF(Categorias_Registro[[#This Row],[Puntos]]=ROUND(Piso,0),ROUND(Categorias_Registro[[#This Row],[Puntos]]*(1+Categorias_Registro[[#This Row],[Amplitud]]),0),IF(Categorias_Registro[[#This Row],[Puntos]]&lt;D997,D997,ROUND(D997*(1+Categorias_Registro[[#This Row],[Amplitud]]),0)))</f>
        <v>1636</v>
      </c>
      <c r="E996" s="15">
        <f>E997+IF(D997=Categorias_Registro[[#This Row],[Máximo]],0,1)</f>
        <v>21</v>
      </c>
      <c r="F996" s="15">
        <f>ROUND(Categorias_Registro[[#This Row],[Mínimo]]+((Categorias_Registro[[#This Row],[Máximo]]-Categorias_Registro[[#This Row],[Mínimo]])/2),0)</f>
        <v>1530</v>
      </c>
      <c r="G996" s="78">
        <f>VLOOKUP(Categorias_Registro[[#This Row],[Puntos]],Categorias_Configuracion[],MATCH(Categorias_Configuracion[[#Headers],[% Amplitud]],Categorias_Configuracion[#Headers],0),TRUE)</f>
        <v>0.15</v>
      </c>
      <c r="H996" s="15" t="str">
        <f ca="1">TEXT(Categorias_Registro[[#This Row],[Mínimo]],Formato_Rango_Categorias)&amp;" - "&amp;TEXT(Categorias_Registro[[#This Row],[Máximo]],Formato_Rango_Categorias)</f>
        <v>1.424 - 1.636</v>
      </c>
    </row>
    <row r="997" spans="2:8">
      <c r="B997" s="15">
        <f>Techo - ROW() + ROW(Categorias_Registro[])</f>
        <v>1632</v>
      </c>
      <c r="C997" s="15">
        <f>IF(Categorias_Registro[[#This Row],[Puntos]]&lt;=ROUND(Piso,0),Piso,IF(Categorias_Registro[[#This Row],[Puntos]]&lt;D998,C998,D998+1))</f>
        <v>1424</v>
      </c>
      <c r="D997" s="15">
        <f>IF(Categorias_Registro[[#This Row],[Puntos]]=ROUND(Piso,0),ROUND(Categorias_Registro[[#This Row],[Puntos]]*(1+Categorias_Registro[[#This Row],[Amplitud]]),0),IF(Categorias_Registro[[#This Row],[Puntos]]&lt;D998,D998,ROUND(D998*(1+Categorias_Registro[[#This Row],[Amplitud]]),0)))</f>
        <v>1636</v>
      </c>
      <c r="E997" s="15">
        <f>E998+IF(D998=Categorias_Registro[[#This Row],[Máximo]],0,1)</f>
        <v>21</v>
      </c>
      <c r="F997" s="15">
        <f>ROUND(Categorias_Registro[[#This Row],[Mínimo]]+((Categorias_Registro[[#This Row],[Máximo]]-Categorias_Registro[[#This Row],[Mínimo]])/2),0)</f>
        <v>1530</v>
      </c>
      <c r="G997" s="78">
        <f>VLOOKUP(Categorias_Registro[[#This Row],[Puntos]],Categorias_Configuracion[],MATCH(Categorias_Configuracion[[#Headers],[% Amplitud]],Categorias_Configuracion[#Headers],0),TRUE)</f>
        <v>0.15</v>
      </c>
      <c r="H997" s="15" t="str">
        <f ca="1">TEXT(Categorias_Registro[[#This Row],[Mínimo]],Formato_Rango_Categorias)&amp;" - "&amp;TEXT(Categorias_Registro[[#This Row],[Máximo]],Formato_Rango_Categorias)</f>
        <v>1.424 - 1.636</v>
      </c>
    </row>
    <row r="998" spans="2:8">
      <c r="B998" s="15">
        <f>Techo - ROW() + ROW(Categorias_Registro[])</f>
        <v>1631</v>
      </c>
      <c r="C998" s="15">
        <f>IF(Categorias_Registro[[#This Row],[Puntos]]&lt;=ROUND(Piso,0),Piso,IF(Categorias_Registro[[#This Row],[Puntos]]&lt;D999,C999,D999+1))</f>
        <v>1424</v>
      </c>
      <c r="D998" s="15">
        <f>IF(Categorias_Registro[[#This Row],[Puntos]]=ROUND(Piso,0),ROUND(Categorias_Registro[[#This Row],[Puntos]]*(1+Categorias_Registro[[#This Row],[Amplitud]]),0),IF(Categorias_Registro[[#This Row],[Puntos]]&lt;D999,D999,ROUND(D999*(1+Categorias_Registro[[#This Row],[Amplitud]]),0)))</f>
        <v>1636</v>
      </c>
      <c r="E998" s="15">
        <f>E999+IF(D999=Categorias_Registro[[#This Row],[Máximo]],0,1)</f>
        <v>21</v>
      </c>
      <c r="F998" s="15">
        <f>ROUND(Categorias_Registro[[#This Row],[Mínimo]]+((Categorias_Registro[[#This Row],[Máximo]]-Categorias_Registro[[#This Row],[Mínimo]])/2),0)</f>
        <v>1530</v>
      </c>
      <c r="G998" s="78">
        <f>VLOOKUP(Categorias_Registro[[#This Row],[Puntos]],Categorias_Configuracion[],MATCH(Categorias_Configuracion[[#Headers],[% Amplitud]],Categorias_Configuracion[#Headers],0),TRUE)</f>
        <v>0.15</v>
      </c>
      <c r="H998" s="15" t="str">
        <f ca="1">TEXT(Categorias_Registro[[#This Row],[Mínimo]],Formato_Rango_Categorias)&amp;" - "&amp;TEXT(Categorias_Registro[[#This Row],[Máximo]],Formato_Rango_Categorias)</f>
        <v>1.424 - 1.636</v>
      </c>
    </row>
    <row r="999" spans="2:8">
      <c r="B999" s="15">
        <f>Techo - ROW() + ROW(Categorias_Registro[])</f>
        <v>1630</v>
      </c>
      <c r="C999" s="15">
        <f>IF(Categorias_Registro[[#This Row],[Puntos]]&lt;=ROUND(Piso,0),Piso,IF(Categorias_Registro[[#This Row],[Puntos]]&lt;D1000,C1000,D1000+1))</f>
        <v>1424</v>
      </c>
      <c r="D999" s="15">
        <f>IF(Categorias_Registro[[#This Row],[Puntos]]=ROUND(Piso,0),ROUND(Categorias_Registro[[#This Row],[Puntos]]*(1+Categorias_Registro[[#This Row],[Amplitud]]),0),IF(Categorias_Registro[[#This Row],[Puntos]]&lt;D1000,D1000,ROUND(D1000*(1+Categorias_Registro[[#This Row],[Amplitud]]),0)))</f>
        <v>1636</v>
      </c>
      <c r="E999" s="15">
        <f>E1000+IF(D1000=Categorias_Registro[[#This Row],[Máximo]],0,1)</f>
        <v>21</v>
      </c>
      <c r="F999" s="15">
        <f>ROUND(Categorias_Registro[[#This Row],[Mínimo]]+((Categorias_Registro[[#This Row],[Máximo]]-Categorias_Registro[[#This Row],[Mínimo]])/2),0)</f>
        <v>1530</v>
      </c>
      <c r="G999" s="78">
        <f>VLOOKUP(Categorias_Registro[[#This Row],[Puntos]],Categorias_Configuracion[],MATCH(Categorias_Configuracion[[#Headers],[% Amplitud]],Categorias_Configuracion[#Headers],0),TRUE)</f>
        <v>0.15</v>
      </c>
      <c r="H999" s="15" t="str">
        <f ca="1">TEXT(Categorias_Registro[[#This Row],[Mínimo]],Formato_Rango_Categorias)&amp;" - "&amp;TEXT(Categorias_Registro[[#This Row],[Máximo]],Formato_Rango_Categorias)</f>
        <v>1.424 - 1.636</v>
      </c>
    </row>
    <row r="1000" spans="2:8">
      <c r="B1000" s="15">
        <f>Techo - ROW() + ROW(Categorias_Registro[])</f>
        <v>1629</v>
      </c>
      <c r="C1000" s="15">
        <f>IF(Categorias_Registro[[#This Row],[Puntos]]&lt;=ROUND(Piso,0),Piso,IF(Categorias_Registro[[#This Row],[Puntos]]&lt;D1001,C1001,D1001+1))</f>
        <v>1424</v>
      </c>
      <c r="D1000" s="15">
        <f>IF(Categorias_Registro[[#This Row],[Puntos]]=ROUND(Piso,0),ROUND(Categorias_Registro[[#This Row],[Puntos]]*(1+Categorias_Registro[[#This Row],[Amplitud]]),0),IF(Categorias_Registro[[#This Row],[Puntos]]&lt;D1001,D1001,ROUND(D1001*(1+Categorias_Registro[[#This Row],[Amplitud]]),0)))</f>
        <v>1636</v>
      </c>
      <c r="E1000" s="15">
        <f>E1001+IF(D1001=Categorias_Registro[[#This Row],[Máximo]],0,1)</f>
        <v>21</v>
      </c>
      <c r="F1000" s="15">
        <f>ROUND(Categorias_Registro[[#This Row],[Mínimo]]+((Categorias_Registro[[#This Row],[Máximo]]-Categorias_Registro[[#This Row],[Mínimo]])/2),0)</f>
        <v>1530</v>
      </c>
      <c r="G1000" s="78">
        <f>VLOOKUP(Categorias_Registro[[#This Row],[Puntos]],Categorias_Configuracion[],MATCH(Categorias_Configuracion[[#Headers],[% Amplitud]],Categorias_Configuracion[#Headers],0),TRUE)</f>
        <v>0.15</v>
      </c>
      <c r="H1000" s="15" t="str">
        <f ca="1">TEXT(Categorias_Registro[[#This Row],[Mínimo]],Formato_Rango_Categorias)&amp;" - "&amp;TEXT(Categorias_Registro[[#This Row],[Máximo]],Formato_Rango_Categorias)</f>
        <v>1.424 - 1.636</v>
      </c>
    </row>
    <row r="1001" spans="2:8">
      <c r="B1001" s="15">
        <f>Techo - ROW() + ROW(Categorias_Registro[])</f>
        <v>1628</v>
      </c>
      <c r="C1001" s="15">
        <f>IF(Categorias_Registro[[#This Row],[Puntos]]&lt;=ROUND(Piso,0),Piso,IF(Categorias_Registro[[#This Row],[Puntos]]&lt;D1002,C1002,D1002+1))</f>
        <v>1424</v>
      </c>
      <c r="D1001" s="15">
        <f>IF(Categorias_Registro[[#This Row],[Puntos]]=ROUND(Piso,0),ROUND(Categorias_Registro[[#This Row],[Puntos]]*(1+Categorias_Registro[[#This Row],[Amplitud]]),0),IF(Categorias_Registro[[#This Row],[Puntos]]&lt;D1002,D1002,ROUND(D1002*(1+Categorias_Registro[[#This Row],[Amplitud]]),0)))</f>
        <v>1636</v>
      </c>
      <c r="E1001" s="15">
        <f>E1002+IF(D1002=Categorias_Registro[[#This Row],[Máximo]],0,1)</f>
        <v>21</v>
      </c>
      <c r="F1001" s="15">
        <f>ROUND(Categorias_Registro[[#This Row],[Mínimo]]+((Categorias_Registro[[#This Row],[Máximo]]-Categorias_Registro[[#This Row],[Mínimo]])/2),0)</f>
        <v>1530</v>
      </c>
      <c r="G1001" s="78">
        <f>VLOOKUP(Categorias_Registro[[#This Row],[Puntos]],Categorias_Configuracion[],MATCH(Categorias_Configuracion[[#Headers],[% Amplitud]],Categorias_Configuracion[#Headers],0),TRUE)</f>
        <v>0.15</v>
      </c>
      <c r="H1001" s="15" t="str">
        <f ca="1">TEXT(Categorias_Registro[[#This Row],[Mínimo]],Formato_Rango_Categorias)&amp;" - "&amp;TEXT(Categorias_Registro[[#This Row],[Máximo]],Formato_Rango_Categorias)</f>
        <v>1.424 - 1.636</v>
      </c>
    </row>
    <row r="1002" spans="2:8">
      <c r="B1002" s="15">
        <f>Techo - ROW() + ROW(Categorias_Registro[])</f>
        <v>1627</v>
      </c>
      <c r="C1002" s="15">
        <f>IF(Categorias_Registro[[#This Row],[Puntos]]&lt;=ROUND(Piso,0),Piso,IF(Categorias_Registro[[#This Row],[Puntos]]&lt;D1003,C1003,D1003+1))</f>
        <v>1424</v>
      </c>
      <c r="D1002" s="15">
        <f>IF(Categorias_Registro[[#This Row],[Puntos]]=ROUND(Piso,0),ROUND(Categorias_Registro[[#This Row],[Puntos]]*(1+Categorias_Registro[[#This Row],[Amplitud]]),0),IF(Categorias_Registro[[#This Row],[Puntos]]&lt;D1003,D1003,ROUND(D1003*(1+Categorias_Registro[[#This Row],[Amplitud]]),0)))</f>
        <v>1636</v>
      </c>
      <c r="E1002" s="15">
        <f>E1003+IF(D1003=Categorias_Registro[[#This Row],[Máximo]],0,1)</f>
        <v>21</v>
      </c>
      <c r="F1002" s="15">
        <f>ROUND(Categorias_Registro[[#This Row],[Mínimo]]+((Categorias_Registro[[#This Row],[Máximo]]-Categorias_Registro[[#This Row],[Mínimo]])/2),0)</f>
        <v>1530</v>
      </c>
      <c r="G1002" s="78">
        <f>VLOOKUP(Categorias_Registro[[#This Row],[Puntos]],Categorias_Configuracion[],MATCH(Categorias_Configuracion[[#Headers],[% Amplitud]],Categorias_Configuracion[#Headers],0),TRUE)</f>
        <v>0.15</v>
      </c>
      <c r="H1002" s="15" t="str">
        <f ca="1">TEXT(Categorias_Registro[[#This Row],[Mínimo]],Formato_Rango_Categorias)&amp;" - "&amp;TEXT(Categorias_Registro[[#This Row],[Máximo]],Formato_Rango_Categorias)</f>
        <v>1.424 - 1.636</v>
      </c>
    </row>
    <row r="1003" spans="2:8">
      <c r="B1003" s="15">
        <f>Techo - ROW() + ROW(Categorias_Registro[])</f>
        <v>1626</v>
      </c>
      <c r="C1003" s="15">
        <f>IF(Categorias_Registro[[#This Row],[Puntos]]&lt;=ROUND(Piso,0),Piso,IF(Categorias_Registro[[#This Row],[Puntos]]&lt;D1004,C1004,D1004+1))</f>
        <v>1424</v>
      </c>
      <c r="D1003" s="15">
        <f>IF(Categorias_Registro[[#This Row],[Puntos]]=ROUND(Piso,0),ROUND(Categorias_Registro[[#This Row],[Puntos]]*(1+Categorias_Registro[[#This Row],[Amplitud]]),0),IF(Categorias_Registro[[#This Row],[Puntos]]&lt;D1004,D1004,ROUND(D1004*(1+Categorias_Registro[[#This Row],[Amplitud]]),0)))</f>
        <v>1636</v>
      </c>
      <c r="E1003" s="15">
        <f>E1004+IF(D1004=Categorias_Registro[[#This Row],[Máximo]],0,1)</f>
        <v>21</v>
      </c>
      <c r="F1003" s="15">
        <f>ROUND(Categorias_Registro[[#This Row],[Mínimo]]+((Categorias_Registro[[#This Row],[Máximo]]-Categorias_Registro[[#This Row],[Mínimo]])/2),0)</f>
        <v>1530</v>
      </c>
      <c r="G1003" s="78">
        <f>VLOOKUP(Categorias_Registro[[#This Row],[Puntos]],Categorias_Configuracion[],MATCH(Categorias_Configuracion[[#Headers],[% Amplitud]],Categorias_Configuracion[#Headers],0),TRUE)</f>
        <v>0.15</v>
      </c>
      <c r="H1003" s="15" t="str">
        <f ca="1">TEXT(Categorias_Registro[[#This Row],[Mínimo]],Formato_Rango_Categorias)&amp;" - "&amp;TEXT(Categorias_Registro[[#This Row],[Máximo]],Formato_Rango_Categorias)</f>
        <v>1.424 - 1.636</v>
      </c>
    </row>
    <row r="1004" spans="2:8">
      <c r="B1004" s="15">
        <f>Techo - ROW() + ROW(Categorias_Registro[])</f>
        <v>1625</v>
      </c>
      <c r="C1004" s="15">
        <f>IF(Categorias_Registro[[#This Row],[Puntos]]&lt;=ROUND(Piso,0),Piso,IF(Categorias_Registro[[#This Row],[Puntos]]&lt;D1005,C1005,D1005+1))</f>
        <v>1424</v>
      </c>
      <c r="D1004" s="15">
        <f>IF(Categorias_Registro[[#This Row],[Puntos]]=ROUND(Piso,0),ROUND(Categorias_Registro[[#This Row],[Puntos]]*(1+Categorias_Registro[[#This Row],[Amplitud]]),0),IF(Categorias_Registro[[#This Row],[Puntos]]&lt;D1005,D1005,ROUND(D1005*(1+Categorias_Registro[[#This Row],[Amplitud]]),0)))</f>
        <v>1636</v>
      </c>
      <c r="E1004" s="15">
        <f>E1005+IF(D1005=Categorias_Registro[[#This Row],[Máximo]],0,1)</f>
        <v>21</v>
      </c>
      <c r="F1004" s="15">
        <f>ROUND(Categorias_Registro[[#This Row],[Mínimo]]+((Categorias_Registro[[#This Row],[Máximo]]-Categorias_Registro[[#This Row],[Mínimo]])/2),0)</f>
        <v>1530</v>
      </c>
      <c r="G1004" s="78">
        <f>VLOOKUP(Categorias_Registro[[#This Row],[Puntos]],Categorias_Configuracion[],MATCH(Categorias_Configuracion[[#Headers],[% Amplitud]],Categorias_Configuracion[#Headers],0),TRUE)</f>
        <v>0.15</v>
      </c>
      <c r="H1004" s="15" t="str">
        <f ca="1">TEXT(Categorias_Registro[[#This Row],[Mínimo]],Formato_Rango_Categorias)&amp;" - "&amp;TEXT(Categorias_Registro[[#This Row],[Máximo]],Formato_Rango_Categorias)</f>
        <v>1.424 - 1.636</v>
      </c>
    </row>
    <row r="1005" spans="2:8">
      <c r="B1005" s="15">
        <f>Techo - ROW() + ROW(Categorias_Registro[])</f>
        <v>1624</v>
      </c>
      <c r="C1005" s="15">
        <f>IF(Categorias_Registro[[#This Row],[Puntos]]&lt;=ROUND(Piso,0),Piso,IF(Categorias_Registro[[#This Row],[Puntos]]&lt;D1006,C1006,D1006+1))</f>
        <v>1424</v>
      </c>
      <c r="D1005" s="15">
        <f>IF(Categorias_Registro[[#This Row],[Puntos]]=ROUND(Piso,0),ROUND(Categorias_Registro[[#This Row],[Puntos]]*(1+Categorias_Registro[[#This Row],[Amplitud]]),0),IF(Categorias_Registro[[#This Row],[Puntos]]&lt;D1006,D1006,ROUND(D1006*(1+Categorias_Registro[[#This Row],[Amplitud]]),0)))</f>
        <v>1636</v>
      </c>
      <c r="E1005" s="15">
        <f>E1006+IF(D1006=Categorias_Registro[[#This Row],[Máximo]],0,1)</f>
        <v>21</v>
      </c>
      <c r="F1005" s="15">
        <f>ROUND(Categorias_Registro[[#This Row],[Mínimo]]+((Categorias_Registro[[#This Row],[Máximo]]-Categorias_Registro[[#This Row],[Mínimo]])/2),0)</f>
        <v>1530</v>
      </c>
      <c r="G1005" s="78">
        <f>VLOOKUP(Categorias_Registro[[#This Row],[Puntos]],Categorias_Configuracion[],MATCH(Categorias_Configuracion[[#Headers],[% Amplitud]],Categorias_Configuracion[#Headers],0),TRUE)</f>
        <v>0.15</v>
      </c>
      <c r="H1005" s="15" t="str">
        <f ca="1">TEXT(Categorias_Registro[[#This Row],[Mínimo]],Formato_Rango_Categorias)&amp;" - "&amp;TEXT(Categorias_Registro[[#This Row],[Máximo]],Formato_Rango_Categorias)</f>
        <v>1.424 - 1.636</v>
      </c>
    </row>
    <row r="1006" spans="2:8">
      <c r="B1006" s="15">
        <f>Techo - ROW() + ROW(Categorias_Registro[])</f>
        <v>1623</v>
      </c>
      <c r="C1006" s="15">
        <f>IF(Categorias_Registro[[#This Row],[Puntos]]&lt;=ROUND(Piso,0),Piso,IF(Categorias_Registro[[#This Row],[Puntos]]&lt;D1007,C1007,D1007+1))</f>
        <v>1424</v>
      </c>
      <c r="D1006" s="15">
        <f>IF(Categorias_Registro[[#This Row],[Puntos]]=ROUND(Piso,0),ROUND(Categorias_Registro[[#This Row],[Puntos]]*(1+Categorias_Registro[[#This Row],[Amplitud]]),0),IF(Categorias_Registro[[#This Row],[Puntos]]&lt;D1007,D1007,ROUND(D1007*(1+Categorias_Registro[[#This Row],[Amplitud]]),0)))</f>
        <v>1636</v>
      </c>
      <c r="E1006" s="15">
        <f>E1007+IF(D1007=Categorias_Registro[[#This Row],[Máximo]],0,1)</f>
        <v>21</v>
      </c>
      <c r="F1006" s="15">
        <f>ROUND(Categorias_Registro[[#This Row],[Mínimo]]+((Categorias_Registro[[#This Row],[Máximo]]-Categorias_Registro[[#This Row],[Mínimo]])/2),0)</f>
        <v>1530</v>
      </c>
      <c r="G1006" s="78">
        <f>VLOOKUP(Categorias_Registro[[#This Row],[Puntos]],Categorias_Configuracion[],MATCH(Categorias_Configuracion[[#Headers],[% Amplitud]],Categorias_Configuracion[#Headers],0),TRUE)</f>
        <v>0.15</v>
      </c>
      <c r="H1006" s="15" t="str">
        <f ca="1">TEXT(Categorias_Registro[[#This Row],[Mínimo]],Formato_Rango_Categorias)&amp;" - "&amp;TEXT(Categorias_Registro[[#This Row],[Máximo]],Formato_Rango_Categorias)</f>
        <v>1.424 - 1.636</v>
      </c>
    </row>
    <row r="1007" spans="2:8">
      <c r="B1007" s="15">
        <f>Techo - ROW() + ROW(Categorias_Registro[])</f>
        <v>1622</v>
      </c>
      <c r="C1007" s="15">
        <f>IF(Categorias_Registro[[#This Row],[Puntos]]&lt;=ROUND(Piso,0),Piso,IF(Categorias_Registro[[#This Row],[Puntos]]&lt;D1008,C1008,D1008+1))</f>
        <v>1424</v>
      </c>
      <c r="D1007" s="15">
        <f>IF(Categorias_Registro[[#This Row],[Puntos]]=ROUND(Piso,0),ROUND(Categorias_Registro[[#This Row],[Puntos]]*(1+Categorias_Registro[[#This Row],[Amplitud]]),0),IF(Categorias_Registro[[#This Row],[Puntos]]&lt;D1008,D1008,ROUND(D1008*(1+Categorias_Registro[[#This Row],[Amplitud]]),0)))</f>
        <v>1636</v>
      </c>
      <c r="E1007" s="15">
        <f>E1008+IF(D1008=Categorias_Registro[[#This Row],[Máximo]],0,1)</f>
        <v>21</v>
      </c>
      <c r="F1007" s="15">
        <f>ROUND(Categorias_Registro[[#This Row],[Mínimo]]+((Categorias_Registro[[#This Row],[Máximo]]-Categorias_Registro[[#This Row],[Mínimo]])/2),0)</f>
        <v>1530</v>
      </c>
      <c r="G1007" s="78">
        <f>VLOOKUP(Categorias_Registro[[#This Row],[Puntos]],Categorias_Configuracion[],MATCH(Categorias_Configuracion[[#Headers],[% Amplitud]],Categorias_Configuracion[#Headers],0),TRUE)</f>
        <v>0.15</v>
      </c>
      <c r="H1007" s="15" t="str">
        <f ca="1">TEXT(Categorias_Registro[[#This Row],[Mínimo]],Formato_Rango_Categorias)&amp;" - "&amp;TEXT(Categorias_Registro[[#This Row],[Máximo]],Formato_Rango_Categorias)</f>
        <v>1.424 - 1.636</v>
      </c>
    </row>
    <row r="1008" spans="2:8">
      <c r="B1008" s="15">
        <f>Techo - ROW() + ROW(Categorias_Registro[])</f>
        <v>1621</v>
      </c>
      <c r="C1008" s="15">
        <f>IF(Categorias_Registro[[#This Row],[Puntos]]&lt;=ROUND(Piso,0),Piso,IF(Categorias_Registro[[#This Row],[Puntos]]&lt;D1009,C1009,D1009+1))</f>
        <v>1424</v>
      </c>
      <c r="D1008" s="15">
        <f>IF(Categorias_Registro[[#This Row],[Puntos]]=ROUND(Piso,0),ROUND(Categorias_Registro[[#This Row],[Puntos]]*(1+Categorias_Registro[[#This Row],[Amplitud]]),0),IF(Categorias_Registro[[#This Row],[Puntos]]&lt;D1009,D1009,ROUND(D1009*(1+Categorias_Registro[[#This Row],[Amplitud]]),0)))</f>
        <v>1636</v>
      </c>
      <c r="E1008" s="15">
        <f>E1009+IF(D1009=Categorias_Registro[[#This Row],[Máximo]],0,1)</f>
        <v>21</v>
      </c>
      <c r="F1008" s="15">
        <f>ROUND(Categorias_Registro[[#This Row],[Mínimo]]+((Categorias_Registro[[#This Row],[Máximo]]-Categorias_Registro[[#This Row],[Mínimo]])/2),0)</f>
        <v>1530</v>
      </c>
      <c r="G1008" s="78">
        <f>VLOOKUP(Categorias_Registro[[#This Row],[Puntos]],Categorias_Configuracion[],MATCH(Categorias_Configuracion[[#Headers],[% Amplitud]],Categorias_Configuracion[#Headers],0),TRUE)</f>
        <v>0.15</v>
      </c>
      <c r="H1008" s="15" t="str">
        <f ca="1">TEXT(Categorias_Registro[[#This Row],[Mínimo]],Formato_Rango_Categorias)&amp;" - "&amp;TEXT(Categorias_Registro[[#This Row],[Máximo]],Formato_Rango_Categorias)</f>
        <v>1.424 - 1.636</v>
      </c>
    </row>
    <row r="1009" spans="2:8">
      <c r="B1009" s="15">
        <f>Techo - ROW() + ROW(Categorias_Registro[])</f>
        <v>1620</v>
      </c>
      <c r="C1009" s="15">
        <f>IF(Categorias_Registro[[#This Row],[Puntos]]&lt;=ROUND(Piso,0),Piso,IF(Categorias_Registro[[#This Row],[Puntos]]&lt;D1010,C1010,D1010+1))</f>
        <v>1424</v>
      </c>
      <c r="D1009" s="15">
        <f>IF(Categorias_Registro[[#This Row],[Puntos]]=ROUND(Piso,0),ROUND(Categorias_Registro[[#This Row],[Puntos]]*(1+Categorias_Registro[[#This Row],[Amplitud]]),0),IF(Categorias_Registro[[#This Row],[Puntos]]&lt;D1010,D1010,ROUND(D1010*(1+Categorias_Registro[[#This Row],[Amplitud]]),0)))</f>
        <v>1636</v>
      </c>
      <c r="E1009" s="15">
        <f>E1010+IF(D1010=Categorias_Registro[[#This Row],[Máximo]],0,1)</f>
        <v>21</v>
      </c>
      <c r="F1009" s="15">
        <f>ROUND(Categorias_Registro[[#This Row],[Mínimo]]+((Categorias_Registro[[#This Row],[Máximo]]-Categorias_Registro[[#This Row],[Mínimo]])/2),0)</f>
        <v>1530</v>
      </c>
      <c r="G1009" s="78">
        <f>VLOOKUP(Categorias_Registro[[#This Row],[Puntos]],Categorias_Configuracion[],MATCH(Categorias_Configuracion[[#Headers],[% Amplitud]],Categorias_Configuracion[#Headers],0),TRUE)</f>
        <v>0.15</v>
      </c>
      <c r="H1009" s="15" t="str">
        <f ca="1">TEXT(Categorias_Registro[[#This Row],[Mínimo]],Formato_Rango_Categorias)&amp;" - "&amp;TEXT(Categorias_Registro[[#This Row],[Máximo]],Formato_Rango_Categorias)</f>
        <v>1.424 - 1.636</v>
      </c>
    </row>
    <row r="1010" spans="2:8">
      <c r="B1010" s="15">
        <f>Techo - ROW() + ROW(Categorias_Registro[])</f>
        <v>1619</v>
      </c>
      <c r="C1010" s="15">
        <f>IF(Categorias_Registro[[#This Row],[Puntos]]&lt;=ROUND(Piso,0),Piso,IF(Categorias_Registro[[#This Row],[Puntos]]&lt;D1011,C1011,D1011+1))</f>
        <v>1424</v>
      </c>
      <c r="D1010" s="15">
        <f>IF(Categorias_Registro[[#This Row],[Puntos]]=ROUND(Piso,0),ROUND(Categorias_Registro[[#This Row],[Puntos]]*(1+Categorias_Registro[[#This Row],[Amplitud]]),0),IF(Categorias_Registro[[#This Row],[Puntos]]&lt;D1011,D1011,ROUND(D1011*(1+Categorias_Registro[[#This Row],[Amplitud]]),0)))</f>
        <v>1636</v>
      </c>
      <c r="E1010" s="15">
        <f>E1011+IF(D1011=Categorias_Registro[[#This Row],[Máximo]],0,1)</f>
        <v>21</v>
      </c>
      <c r="F1010" s="15">
        <f>ROUND(Categorias_Registro[[#This Row],[Mínimo]]+((Categorias_Registro[[#This Row],[Máximo]]-Categorias_Registro[[#This Row],[Mínimo]])/2),0)</f>
        <v>1530</v>
      </c>
      <c r="G1010" s="78">
        <f>VLOOKUP(Categorias_Registro[[#This Row],[Puntos]],Categorias_Configuracion[],MATCH(Categorias_Configuracion[[#Headers],[% Amplitud]],Categorias_Configuracion[#Headers],0),TRUE)</f>
        <v>0.15</v>
      </c>
      <c r="H1010" s="15" t="str">
        <f ca="1">TEXT(Categorias_Registro[[#This Row],[Mínimo]],Formato_Rango_Categorias)&amp;" - "&amp;TEXT(Categorias_Registro[[#This Row],[Máximo]],Formato_Rango_Categorias)</f>
        <v>1.424 - 1.636</v>
      </c>
    </row>
    <row r="1011" spans="2:8">
      <c r="B1011" s="15">
        <f>Techo - ROW() + ROW(Categorias_Registro[])</f>
        <v>1618</v>
      </c>
      <c r="C1011" s="15">
        <f>IF(Categorias_Registro[[#This Row],[Puntos]]&lt;=ROUND(Piso,0),Piso,IF(Categorias_Registro[[#This Row],[Puntos]]&lt;D1012,C1012,D1012+1))</f>
        <v>1424</v>
      </c>
      <c r="D1011" s="15">
        <f>IF(Categorias_Registro[[#This Row],[Puntos]]=ROUND(Piso,0),ROUND(Categorias_Registro[[#This Row],[Puntos]]*(1+Categorias_Registro[[#This Row],[Amplitud]]),0),IF(Categorias_Registro[[#This Row],[Puntos]]&lt;D1012,D1012,ROUND(D1012*(1+Categorias_Registro[[#This Row],[Amplitud]]),0)))</f>
        <v>1636</v>
      </c>
      <c r="E1011" s="15">
        <f>E1012+IF(D1012=Categorias_Registro[[#This Row],[Máximo]],0,1)</f>
        <v>21</v>
      </c>
      <c r="F1011" s="15">
        <f>ROUND(Categorias_Registro[[#This Row],[Mínimo]]+((Categorias_Registro[[#This Row],[Máximo]]-Categorias_Registro[[#This Row],[Mínimo]])/2),0)</f>
        <v>1530</v>
      </c>
      <c r="G1011" s="78">
        <f>VLOOKUP(Categorias_Registro[[#This Row],[Puntos]],Categorias_Configuracion[],MATCH(Categorias_Configuracion[[#Headers],[% Amplitud]],Categorias_Configuracion[#Headers],0),TRUE)</f>
        <v>0.15</v>
      </c>
      <c r="H1011" s="15" t="str">
        <f ca="1">TEXT(Categorias_Registro[[#This Row],[Mínimo]],Formato_Rango_Categorias)&amp;" - "&amp;TEXT(Categorias_Registro[[#This Row],[Máximo]],Formato_Rango_Categorias)</f>
        <v>1.424 - 1.636</v>
      </c>
    </row>
    <row r="1012" spans="2:8">
      <c r="B1012" s="15">
        <f>Techo - ROW() + ROW(Categorias_Registro[])</f>
        <v>1617</v>
      </c>
      <c r="C1012" s="15">
        <f>IF(Categorias_Registro[[#This Row],[Puntos]]&lt;=ROUND(Piso,0),Piso,IF(Categorias_Registro[[#This Row],[Puntos]]&lt;D1013,C1013,D1013+1))</f>
        <v>1424</v>
      </c>
      <c r="D1012" s="15">
        <f>IF(Categorias_Registro[[#This Row],[Puntos]]=ROUND(Piso,0),ROUND(Categorias_Registro[[#This Row],[Puntos]]*(1+Categorias_Registro[[#This Row],[Amplitud]]),0),IF(Categorias_Registro[[#This Row],[Puntos]]&lt;D1013,D1013,ROUND(D1013*(1+Categorias_Registro[[#This Row],[Amplitud]]),0)))</f>
        <v>1636</v>
      </c>
      <c r="E1012" s="15">
        <f>E1013+IF(D1013=Categorias_Registro[[#This Row],[Máximo]],0,1)</f>
        <v>21</v>
      </c>
      <c r="F1012" s="15">
        <f>ROUND(Categorias_Registro[[#This Row],[Mínimo]]+((Categorias_Registro[[#This Row],[Máximo]]-Categorias_Registro[[#This Row],[Mínimo]])/2),0)</f>
        <v>1530</v>
      </c>
      <c r="G1012" s="78">
        <f>VLOOKUP(Categorias_Registro[[#This Row],[Puntos]],Categorias_Configuracion[],MATCH(Categorias_Configuracion[[#Headers],[% Amplitud]],Categorias_Configuracion[#Headers],0),TRUE)</f>
        <v>0.15</v>
      </c>
      <c r="H1012" s="15" t="str">
        <f ca="1">TEXT(Categorias_Registro[[#This Row],[Mínimo]],Formato_Rango_Categorias)&amp;" - "&amp;TEXT(Categorias_Registro[[#This Row],[Máximo]],Formato_Rango_Categorias)</f>
        <v>1.424 - 1.636</v>
      </c>
    </row>
    <row r="1013" spans="2:8">
      <c r="B1013" s="15">
        <f>Techo - ROW() + ROW(Categorias_Registro[])</f>
        <v>1616</v>
      </c>
      <c r="C1013" s="15">
        <f>IF(Categorias_Registro[[#This Row],[Puntos]]&lt;=ROUND(Piso,0),Piso,IF(Categorias_Registro[[#This Row],[Puntos]]&lt;D1014,C1014,D1014+1))</f>
        <v>1424</v>
      </c>
      <c r="D1013" s="15">
        <f>IF(Categorias_Registro[[#This Row],[Puntos]]=ROUND(Piso,0),ROUND(Categorias_Registro[[#This Row],[Puntos]]*(1+Categorias_Registro[[#This Row],[Amplitud]]),0),IF(Categorias_Registro[[#This Row],[Puntos]]&lt;D1014,D1014,ROUND(D1014*(1+Categorias_Registro[[#This Row],[Amplitud]]),0)))</f>
        <v>1636</v>
      </c>
      <c r="E1013" s="15">
        <f>E1014+IF(D1014=Categorias_Registro[[#This Row],[Máximo]],0,1)</f>
        <v>21</v>
      </c>
      <c r="F1013" s="15">
        <f>ROUND(Categorias_Registro[[#This Row],[Mínimo]]+((Categorias_Registro[[#This Row],[Máximo]]-Categorias_Registro[[#This Row],[Mínimo]])/2),0)</f>
        <v>1530</v>
      </c>
      <c r="G1013" s="78">
        <f>VLOOKUP(Categorias_Registro[[#This Row],[Puntos]],Categorias_Configuracion[],MATCH(Categorias_Configuracion[[#Headers],[% Amplitud]],Categorias_Configuracion[#Headers],0),TRUE)</f>
        <v>0.15</v>
      </c>
      <c r="H1013" s="15" t="str">
        <f ca="1">TEXT(Categorias_Registro[[#This Row],[Mínimo]],Formato_Rango_Categorias)&amp;" - "&amp;TEXT(Categorias_Registro[[#This Row],[Máximo]],Formato_Rango_Categorias)</f>
        <v>1.424 - 1.636</v>
      </c>
    </row>
    <row r="1014" spans="2:8">
      <c r="B1014" s="15">
        <f>Techo - ROW() + ROW(Categorias_Registro[])</f>
        <v>1615</v>
      </c>
      <c r="C1014" s="15">
        <f>IF(Categorias_Registro[[#This Row],[Puntos]]&lt;=ROUND(Piso,0),Piso,IF(Categorias_Registro[[#This Row],[Puntos]]&lt;D1015,C1015,D1015+1))</f>
        <v>1424</v>
      </c>
      <c r="D1014" s="15">
        <f>IF(Categorias_Registro[[#This Row],[Puntos]]=ROUND(Piso,0),ROUND(Categorias_Registro[[#This Row],[Puntos]]*(1+Categorias_Registro[[#This Row],[Amplitud]]),0),IF(Categorias_Registro[[#This Row],[Puntos]]&lt;D1015,D1015,ROUND(D1015*(1+Categorias_Registro[[#This Row],[Amplitud]]),0)))</f>
        <v>1636</v>
      </c>
      <c r="E1014" s="15">
        <f>E1015+IF(D1015=Categorias_Registro[[#This Row],[Máximo]],0,1)</f>
        <v>21</v>
      </c>
      <c r="F1014" s="15">
        <f>ROUND(Categorias_Registro[[#This Row],[Mínimo]]+((Categorias_Registro[[#This Row],[Máximo]]-Categorias_Registro[[#This Row],[Mínimo]])/2),0)</f>
        <v>1530</v>
      </c>
      <c r="G1014" s="78">
        <f>VLOOKUP(Categorias_Registro[[#This Row],[Puntos]],Categorias_Configuracion[],MATCH(Categorias_Configuracion[[#Headers],[% Amplitud]],Categorias_Configuracion[#Headers],0),TRUE)</f>
        <v>0.15</v>
      </c>
      <c r="H1014" s="15" t="str">
        <f ca="1">TEXT(Categorias_Registro[[#This Row],[Mínimo]],Formato_Rango_Categorias)&amp;" - "&amp;TEXT(Categorias_Registro[[#This Row],[Máximo]],Formato_Rango_Categorias)</f>
        <v>1.424 - 1.636</v>
      </c>
    </row>
    <row r="1015" spans="2:8">
      <c r="B1015" s="15">
        <f>Techo - ROW() + ROW(Categorias_Registro[])</f>
        <v>1614</v>
      </c>
      <c r="C1015" s="15">
        <f>IF(Categorias_Registro[[#This Row],[Puntos]]&lt;=ROUND(Piso,0),Piso,IF(Categorias_Registro[[#This Row],[Puntos]]&lt;D1016,C1016,D1016+1))</f>
        <v>1424</v>
      </c>
      <c r="D1015" s="15">
        <f>IF(Categorias_Registro[[#This Row],[Puntos]]=ROUND(Piso,0),ROUND(Categorias_Registro[[#This Row],[Puntos]]*(1+Categorias_Registro[[#This Row],[Amplitud]]),0),IF(Categorias_Registro[[#This Row],[Puntos]]&lt;D1016,D1016,ROUND(D1016*(1+Categorias_Registro[[#This Row],[Amplitud]]),0)))</f>
        <v>1636</v>
      </c>
      <c r="E1015" s="15">
        <f>E1016+IF(D1016=Categorias_Registro[[#This Row],[Máximo]],0,1)</f>
        <v>21</v>
      </c>
      <c r="F1015" s="15">
        <f>ROUND(Categorias_Registro[[#This Row],[Mínimo]]+((Categorias_Registro[[#This Row],[Máximo]]-Categorias_Registro[[#This Row],[Mínimo]])/2),0)</f>
        <v>1530</v>
      </c>
      <c r="G1015" s="78">
        <f>VLOOKUP(Categorias_Registro[[#This Row],[Puntos]],Categorias_Configuracion[],MATCH(Categorias_Configuracion[[#Headers],[% Amplitud]],Categorias_Configuracion[#Headers],0),TRUE)</f>
        <v>0.15</v>
      </c>
      <c r="H1015" s="15" t="str">
        <f ca="1">TEXT(Categorias_Registro[[#This Row],[Mínimo]],Formato_Rango_Categorias)&amp;" - "&amp;TEXT(Categorias_Registro[[#This Row],[Máximo]],Formato_Rango_Categorias)</f>
        <v>1.424 - 1.636</v>
      </c>
    </row>
    <row r="1016" spans="2:8">
      <c r="B1016" s="15">
        <f>Techo - ROW() + ROW(Categorias_Registro[])</f>
        <v>1613</v>
      </c>
      <c r="C1016" s="15">
        <f>IF(Categorias_Registro[[#This Row],[Puntos]]&lt;=ROUND(Piso,0),Piso,IF(Categorias_Registro[[#This Row],[Puntos]]&lt;D1017,C1017,D1017+1))</f>
        <v>1424</v>
      </c>
      <c r="D1016" s="15">
        <f>IF(Categorias_Registro[[#This Row],[Puntos]]=ROUND(Piso,0),ROUND(Categorias_Registro[[#This Row],[Puntos]]*(1+Categorias_Registro[[#This Row],[Amplitud]]),0),IF(Categorias_Registro[[#This Row],[Puntos]]&lt;D1017,D1017,ROUND(D1017*(1+Categorias_Registro[[#This Row],[Amplitud]]),0)))</f>
        <v>1636</v>
      </c>
      <c r="E1016" s="15">
        <f>E1017+IF(D1017=Categorias_Registro[[#This Row],[Máximo]],0,1)</f>
        <v>21</v>
      </c>
      <c r="F1016" s="15">
        <f>ROUND(Categorias_Registro[[#This Row],[Mínimo]]+((Categorias_Registro[[#This Row],[Máximo]]-Categorias_Registro[[#This Row],[Mínimo]])/2),0)</f>
        <v>1530</v>
      </c>
      <c r="G1016" s="78">
        <f>VLOOKUP(Categorias_Registro[[#This Row],[Puntos]],Categorias_Configuracion[],MATCH(Categorias_Configuracion[[#Headers],[% Amplitud]],Categorias_Configuracion[#Headers],0),TRUE)</f>
        <v>0.15</v>
      </c>
      <c r="H1016" s="15" t="str">
        <f ca="1">TEXT(Categorias_Registro[[#This Row],[Mínimo]],Formato_Rango_Categorias)&amp;" - "&amp;TEXT(Categorias_Registro[[#This Row],[Máximo]],Formato_Rango_Categorias)</f>
        <v>1.424 - 1.636</v>
      </c>
    </row>
    <row r="1017" spans="2:8">
      <c r="B1017" s="15">
        <f>Techo - ROW() + ROW(Categorias_Registro[])</f>
        <v>1612</v>
      </c>
      <c r="C1017" s="15">
        <f>IF(Categorias_Registro[[#This Row],[Puntos]]&lt;=ROUND(Piso,0),Piso,IF(Categorias_Registro[[#This Row],[Puntos]]&lt;D1018,C1018,D1018+1))</f>
        <v>1424</v>
      </c>
      <c r="D1017" s="15">
        <f>IF(Categorias_Registro[[#This Row],[Puntos]]=ROUND(Piso,0),ROUND(Categorias_Registro[[#This Row],[Puntos]]*(1+Categorias_Registro[[#This Row],[Amplitud]]),0),IF(Categorias_Registro[[#This Row],[Puntos]]&lt;D1018,D1018,ROUND(D1018*(1+Categorias_Registro[[#This Row],[Amplitud]]),0)))</f>
        <v>1636</v>
      </c>
      <c r="E1017" s="15">
        <f>E1018+IF(D1018=Categorias_Registro[[#This Row],[Máximo]],0,1)</f>
        <v>21</v>
      </c>
      <c r="F1017" s="15">
        <f>ROUND(Categorias_Registro[[#This Row],[Mínimo]]+((Categorias_Registro[[#This Row],[Máximo]]-Categorias_Registro[[#This Row],[Mínimo]])/2),0)</f>
        <v>1530</v>
      </c>
      <c r="G1017" s="78">
        <f>VLOOKUP(Categorias_Registro[[#This Row],[Puntos]],Categorias_Configuracion[],MATCH(Categorias_Configuracion[[#Headers],[% Amplitud]],Categorias_Configuracion[#Headers],0),TRUE)</f>
        <v>0.15</v>
      </c>
      <c r="H1017" s="15" t="str">
        <f ca="1">TEXT(Categorias_Registro[[#This Row],[Mínimo]],Formato_Rango_Categorias)&amp;" - "&amp;TEXT(Categorias_Registro[[#This Row],[Máximo]],Formato_Rango_Categorias)</f>
        <v>1.424 - 1.636</v>
      </c>
    </row>
    <row r="1018" spans="2:8">
      <c r="B1018" s="15">
        <f>Techo - ROW() + ROW(Categorias_Registro[])</f>
        <v>1611</v>
      </c>
      <c r="C1018" s="15">
        <f>IF(Categorias_Registro[[#This Row],[Puntos]]&lt;=ROUND(Piso,0),Piso,IF(Categorias_Registro[[#This Row],[Puntos]]&lt;D1019,C1019,D1019+1))</f>
        <v>1424</v>
      </c>
      <c r="D1018" s="15">
        <f>IF(Categorias_Registro[[#This Row],[Puntos]]=ROUND(Piso,0),ROUND(Categorias_Registro[[#This Row],[Puntos]]*(1+Categorias_Registro[[#This Row],[Amplitud]]),0),IF(Categorias_Registro[[#This Row],[Puntos]]&lt;D1019,D1019,ROUND(D1019*(1+Categorias_Registro[[#This Row],[Amplitud]]),0)))</f>
        <v>1636</v>
      </c>
      <c r="E1018" s="15">
        <f>E1019+IF(D1019=Categorias_Registro[[#This Row],[Máximo]],0,1)</f>
        <v>21</v>
      </c>
      <c r="F1018" s="15">
        <f>ROUND(Categorias_Registro[[#This Row],[Mínimo]]+((Categorias_Registro[[#This Row],[Máximo]]-Categorias_Registro[[#This Row],[Mínimo]])/2),0)</f>
        <v>1530</v>
      </c>
      <c r="G1018" s="78">
        <f>VLOOKUP(Categorias_Registro[[#This Row],[Puntos]],Categorias_Configuracion[],MATCH(Categorias_Configuracion[[#Headers],[% Amplitud]],Categorias_Configuracion[#Headers],0),TRUE)</f>
        <v>0.15</v>
      </c>
      <c r="H1018" s="15" t="str">
        <f ca="1">TEXT(Categorias_Registro[[#This Row],[Mínimo]],Formato_Rango_Categorias)&amp;" - "&amp;TEXT(Categorias_Registro[[#This Row],[Máximo]],Formato_Rango_Categorias)</f>
        <v>1.424 - 1.636</v>
      </c>
    </row>
    <row r="1019" spans="2:8">
      <c r="B1019" s="15">
        <f>Techo - ROW() + ROW(Categorias_Registro[])</f>
        <v>1610</v>
      </c>
      <c r="C1019" s="15">
        <f>IF(Categorias_Registro[[#This Row],[Puntos]]&lt;=ROUND(Piso,0),Piso,IF(Categorias_Registro[[#This Row],[Puntos]]&lt;D1020,C1020,D1020+1))</f>
        <v>1424</v>
      </c>
      <c r="D1019" s="15">
        <f>IF(Categorias_Registro[[#This Row],[Puntos]]=ROUND(Piso,0),ROUND(Categorias_Registro[[#This Row],[Puntos]]*(1+Categorias_Registro[[#This Row],[Amplitud]]),0),IF(Categorias_Registro[[#This Row],[Puntos]]&lt;D1020,D1020,ROUND(D1020*(1+Categorias_Registro[[#This Row],[Amplitud]]),0)))</f>
        <v>1636</v>
      </c>
      <c r="E1019" s="15">
        <f>E1020+IF(D1020=Categorias_Registro[[#This Row],[Máximo]],0,1)</f>
        <v>21</v>
      </c>
      <c r="F1019" s="15">
        <f>ROUND(Categorias_Registro[[#This Row],[Mínimo]]+((Categorias_Registro[[#This Row],[Máximo]]-Categorias_Registro[[#This Row],[Mínimo]])/2),0)</f>
        <v>1530</v>
      </c>
      <c r="G1019" s="78">
        <f>VLOOKUP(Categorias_Registro[[#This Row],[Puntos]],Categorias_Configuracion[],MATCH(Categorias_Configuracion[[#Headers],[% Amplitud]],Categorias_Configuracion[#Headers],0),TRUE)</f>
        <v>0.15</v>
      </c>
      <c r="H1019" s="15" t="str">
        <f ca="1">TEXT(Categorias_Registro[[#This Row],[Mínimo]],Formato_Rango_Categorias)&amp;" - "&amp;TEXT(Categorias_Registro[[#This Row],[Máximo]],Formato_Rango_Categorias)</f>
        <v>1.424 - 1.636</v>
      </c>
    </row>
    <row r="1020" spans="2:8">
      <c r="B1020" s="15">
        <f>Techo - ROW() + ROW(Categorias_Registro[])</f>
        <v>1609</v>
      </c>
      <c r="C1020" s="15">
        <f>IF(Categorias_Registro[[#This Row],[Puntos]]&lt;=ROUND(Piso,0),Piso,IF(Categorias_Registro[[#This Row],[Puntos]]&lt;D1021,C1021,D1021+1))</f>
        <v>1424</v>
      </c>
      <c r="D1020" s="15">
        <f>IF(Categorias_Registro[[#This Row],[Puntos]]=ROUND(Piso,0),ROUND(Categorias_Registro[[#This Row],[Puntos]]*(1+Categorias_Registro[[#This Row],[Amplitud]]),0),IF(Categorias_Registro[[#This Row],[Puntos]]&lt;D1021,D1021,ROUND(D1021*(1+Categorias_Registro[[#This Row],[Amplitud]]),0)))</f>
        <v>1636</v>
      </c>
      <c r="E1020" s="15">
        <f>E1021+IF(D1021=Categorias_Registro[[#This Row],[Máximo]],0,1)</f>
        <v>21</v>
      </c>
      <c r="F1020" s="15">
        <f>ROUND(Categorias_Registro[[#This Row],[Mínimo]]+((Categorias_Registro[[#This Row],[Máximo]]-Categorias_Registro[[#This Row],[Mínimo]])/2),0)</f>
        <v>1530</v>
      </c>
      <c r="G1020" s="78">
        <f>VLOOKUP(Categorias_Registro[[#This Row],[Puntos]],Categorias_Configuracion[],MATCH(Categorias_Configuracion[[#Headers],[% Amplitud]],Categorias_Configuracion[#Headers],0),TRUE)</f>
        <v>0.15</v>
      </c>
      <c r="H1020" s="15" t="str">
        <f ca="1">TEXT(Categorias_Registro[[#This Row],[Mínimo]],Formato_Rango_Categorias)&amp;" - "&amp;TEXT(Categorias_Registro[[#This Row],[Máximo]],Formato_Rango_Categorias)</f>
        <v>1.424 - 1.636</v>
      </c>
    </row>
    <row r="1021" spans="2:8">
      <c r="B1021" s="15">
        <f>Techo - ROW() + ROW(Categorias_Registro[])</f>
        <v>1608</v>
      </c>
      <c r="C1021" s="15">
        <f>IF(Categorias_Registro[[#This Row],[Puntos]]&lt;=ROUND(Piso,0),Piso,IF(Categorias_Registro[[#This Row],[Puntos]]&lt;D1022,C1022,D1022+1))</f>
        <v>1424</v>
      </c>
      <c r="D1021" s="15">
        <f>IF(Categorias_Registro[[#This Row],[Puntos]]=ROUND(Piso,0),ROUND(Categorias_Registro[[#This Row],[Puntos]]*(1+Categorias_Registro[[#This Row],[Amplitud]]),0),IF(Categorias_Registro[[#This Row],[Puntos]]&lt;D1022,D1022,ROUND(D1022*(1+Categorias_Registro[[#This Row],[Amplitud]]),0)))</f>
        <v>1636</v>
      </c>
      <c r="E1021" s="15">
        <f>E1022+IF(D1022=Categorias_Registro[[#This Row],[Máximo]],0,1)</f>
        <v>21</v>
      </c>
      <c r="F1021" s="15">
        <f>ROUND(Categorias_Registro[[#This Row],[Mínimo]]+((Categorias_Registro[[#This Row],[Máximo]]-Categorias_Registro[[#This Row],[Mínimo]])/2),0)</f>
        <v>1530</v>
      </c>
      <c r="G1021" s="78">
        <f>VLOOKUP(Categorias_Registro[[#This Row],[Puntos]],Categorias_Configuracion[],MATCH(Categorias_Configuracion[[#Headers],[% Amplitud]],Categorias_Configuracion[#Headers],0),TRUE)</f>
        <v>0.15</v>
      </c>
      <c r="H1021" s="15" t="str">
        <f ca="1">TEXT(Categorias_Registro[[#This Row],[Mínimo]],Formato_Rango_Categorias)&amp;" - "&amp;TEXT(Categorias_Registro[[#This Row],[Máximo]],Formato_Rango_Categorias)</f>
        <v>1.424 - 1.636</v>
      </c>
    </row>
    <row r="1022" spans="2:8">
      <c r="B1022" s="15">
        <f>Techo - ROW() + ROW(Categorias_Registro[])</f>
        <v>1607</v>
      </c>
      <c r="C1022" s="15">
        <f>IF(Categorias_Registro[[#This Row],[Puntos]]&lt;=ROUND(Piso,0),Piso,IF(Categorias_Registro[[#This Row],[Puntos]]&lt;D1023,C1023,D1023+1))</f>
        <v>1424</v>
      </c>
      <c r="D1022" s="15">
        <f>IF(Categorias_Registro[[#This Row],[Puntos]]=ROUND(Piso,0),ROUND(Categorias_Registro[[#This Row],[Puntos]]*(1+Categorias_Registro[[#This Row],[Amplitud]]),0),IF(Categorias_Registro[[#This Row],[Puntos]]&lt;D1023,D1023,ROUND(D1023*(1+Categorias_Registro[[#This Row],[Amplitud]]),0)))</f>
        <v>1636</v>
      </c>
      <c r="E1022" s="15">
        <f>E1023+IF(D1023=Categorias_Registro[[#This Row],[Máximo]],0,1)</f>
        <v>21</v>
      </c>
      <c r="F1022" s="15">
        <f>ROUND(Categorias_Registro[[#This Row],[Mínimo]]+((Categorias_Registro[[#This Row],[Máximo]]-Categorias_Registro[[#This Row],[Mínimo]])/2),0)</f>
        <v>1530</v>
      </c>
      <c r="G1022" s="78">
        <f>VLOOKUP(Categorias_Registro[[#This Row],[Puntos]],Categorias_Configuracion[],MATCH(Categorias_Configuracion[[#Headers],[% Amplitud]],Categorias_Configuracion[#Headers],0),TRUE)</f>
        <v>0.15</v>
      </c>
      <c r="H1022" s="15" t="str">
        <f ca="1">TEXT(Categorias_Registro[[#This Row],[Mínimo]],Formato_Rango_Categorias)&amp;" - "&amp;TEXT(Categorias_Registro[[#This Row],[Máximo]],Formato_Rango_Categorias)</f>
        <v>1.424 - 1.636</v>
      </c>
    </row>
    <row r="1023" spans="2:8">
      <c r="B1023" s="15">
        <f>Techo - ROW() + ROW(Categorias_Registro[])</f>
        <v>1606</v>
      </c>
      <c r="C1023" s="15">
        <f>IF(Categorias_Registro[[#This Row],[Puntos]]&lt;=ROUND(Piso,0),Piso,IF(Categorias_Registro[[#This Row],[Puntos]]&lt;D1024,C1024,D1024+1))</f>
        <v>1424</v>
      </c>
      <c r="D1023" s="15">
        <f>IF(Categorias_Registro[[#This Row],[Puntos]]=ROUND(Piso,0),ROUND(Categorias_Registro[[#This Row],[Puntos]]*(1+Categorias_Registro[[#This Row],[Amplitud]]),0),IF(Categorias_Registro[[#This Row],[Puntos]]&lt;D1024,D1024,ROUND(D1024*(1+Categorias_Registro[[#This Row],[Amplitud]]),0)))</f>
        <v>1636</v>
      </c>
      <c r="E1023" s="15">
        <f>E1024+IF(D1024=Categorias_Registro[[#This Row],[Máximo]],0,1)</f>
        <v>21</v>
      </c>
      <c r="F1023" s="15">
        <f>ROUND(Categorias_Registro[[#This Row],[Mínimo]]+((Categorias_Registro[[#This Row],[Máximo]]-Categorias_Registro[[#This Row],[Mínimo]])/2),0)</f>
        <v>1530</v>
      </c>
      <c r="G1023" s="78">
        <f>VLOOKUP(Categorias_Registro[[#This Row],[Puntos]],Categorias_Configuracion[],MATCH(Categorias_Configuracion[[#Headers],[% Amplitud]],Categorias_Configuracion[#Headers],0),TRUE)</f>
        <v>0.15</v>
      </c>
      <c r="H1023" s="15" t="str">
        <f ca="1">TEXT(Categorias_Registro[[#This Row],[Mínimo]],Formato_Rango_Categorias)&amp;" - "&amp;TEXT(Categorias_Registro[[#This Row],[Máximo]],Formato_Rango_Categorias)</f>
        <v>1.424 - 1.636</v>
      </c>
    </row>
    <row r="1024" spans="2:8">
      <c r="B1024" s="15">
        <f>Techo - ROW() + ROW(Categorias_Registro[])</f>
        <v>1605</v>
      </c>
      <c r="C1024" s="15">
        <f>IF(Categorias_Registro[[#This Row],[Puntos]]&lt;=ROUND(Piso,0),Piso,IF(Categorias_Registro[[#This Row],[Puntos]]&lt;D1025,C1025,D1025+1))</f>
        <v>1424</v>
      </c>
      <c r="D1024" s="15">
        <f>IF(Categorias_Registro[[#This Row],[Puntos]]=ROUND(Piso,0),ROUND(Categorias_Registro[[#This Row],[Puntos]]*(1+Categorias_Registro[[#This Row],[Amplitud]]),0),IF(Categorias_Registro[[#This Row],[Puntos]]&lt;D1025,D1025,ROUND(D1025*(1+Categorias_Registro[[#This Row],[Amplitud]]),0)))</f>
        <v>1636</v>
      </c>
      <c r="E1024" s="15">
        <f>E1025+IF(D1025=Categorias_Registro[[#This Row],[Máximo]],0,1)</f>
        <v>21</v>
      </c>
      <c r="F1024" s="15">
        <f>ROUND(Categorias_Registro[[#This Row],[Mínimo]]+((Categorias_Registro[[#This Row],[Máximo]]-Categorias_Registro[[#This Row],[Mínimo]])/2),0)</f>
        <v>1530</v>
      </c>
      <c r="G1024" s="78">
        <f>VLOOKUP(Categorias_Registro[[#This Row],[Puntos]],Categorias_Configuracion[],MATCH(Categorias_Configuracion[[#Headers],[% Amplitud]],Categorias_Configuracion[#Headers],0),TRUE)</f>
        <v>0.15</v>
      </c>
      <c r="H1024" s="15" t="str">
        <f ca="1">TEXT(Categorias_Registro[[#This Row],[Mínimo]],Formato_Rango_Categorias)&amp;" - "&amp;TEXT(Categorias_Registro[[#This Row],[Máximo]],Formato_Rango_Categorias)</f>
        <v>1.424 - 1.636</v>
      </c>
    </row>
    <row r="1025" spans="2:8">
      <c r="B1025" s="15">
        <f>Techo - ROW() + ROW(Categorias_Registro[])</f>
        <v>1604</v>
      </c>
      <c r="C1025" s="15">
        <f>IF(Categorias_Registro[[#This Row],[Puntos]]&lt;=ROUND(Piso,0),Piso,IF(Categorias_Registro[[#This Row],[Puntos]]&lt;D1026,C1026,D1026+1))</f>
        <v>1424</v>
      </c>
      <c r="D1025" s="15">
        <f>IF(Categorias_Registro[[#This Row],[Puntos]]=ROUND(Piso,0),ROUND(Categorias_Registro[[#This Row],[Puntos]]*(1+Categorias_Registro[[#This Row],[Amplitud]]),0),IF(Categorias_Registro[[#This Row],[Puntos]]&lt;D1026,D1026,ROUND(D1026*(1+Categorias_Registro[[#This Row],[Amplitud]]),0)))</f>
        <v>1636</v>
      </c>
      <c r="E1025" s="15">
        <f>E1026+IF(D1026=Categorias_Registro[[#This Row],[Máximo]],0,1)</f>
        <v>21</v>
      </c>
      <c r="F1025" s="15">
        <f>ROUND(Categorias_Registro[[#This Row],[Mínimo]]+((Categorias_Registro[[#This Row],[Máximo]]-Categorias_Registro[[#This Row],[Mínimo]])/2),0)</f>
        <v>1530</v>
      </c>
      <c r="G1025" s="78">
        <f>VLOOKUP(Categorias_Registro[[#This Row],[Puntos]],Categorias_Configuracion[],MATCH(Categorias_Configuracion[[#Headers],[% Amplitud]],Categorias_Configuracion[#Headers],0),TRUE)</f>
        <v>0.15</v>
      </c>
      <c r="H1025" s="15" t="str">
        <f ca="1">TEXT(Categorias_Registro[[#This Row],[Mínimo]],Formato_Rango_Categorias)&amp;" - "&amp;TEXT(Categorias_Registro[[#This Row],[Máximo]],Formato_Rango_Categorias)</f>
        <v>1.424 - 1.636</v>
      </c>
    </row>
    <row r="1026" spans="2:8">
      <c r="B1026" s="15">
        <f>Techo - ROW() + ROW(Categorias_Registro[])</f>
        <v>1603</v>
      </c>
      <c r="C1026" s="15">
        <f>IF(Categorias_Registro[[#This Row],[Puntos]]&lt;=ROUND(Piso,0),Piso,IF(Categorias_Registro[[#This Row],[Puntos]]&lt;D1027,C1027,D1027+1))</f>
        <v>1424</v>
      </c>
      <c r="D1026" s="15">
        <f>IF(Categorias_Registro[[#This Row],[Puntos]]=ROUND(Piso,0),ROUND(Categorias_Registro[[#This Row],[Puntos]]*(1+Categorias_Registro[[#This Row],[Amplitud]]),0),IF(Categorias_Registro[[#This Row],[Puntos]]&lt;D1027,D1027,ROUND(D1027*(1+Categorias_Registro[[#This Row],[Amplitud]]),0)))</f>
        <v>1636</v>
      </c>
      <c r="E1026" s="15">
        <f>E1027+IF(D1027=Categorias_Registro[[#This Row],[Máximo]],0,1)</f>
        <v>21</v>
      </c>
      <c r="F1026" s="15">
        <f>ROUND(Categorias_Registro[[#This Row],[Mínimo]]+((Categorias_Registro[[#This Row],[Máximo]]-Categorias_Registro[[#This Row],[Mínimo]])/2),0)</f>
        <v>1530</v>
      </c>
      <c r="G1026" s="78">
        <f>VLOOKUP(Categorias_Registro[[#This Row],[Puntos]],Categorias_Configuracion[],MATCH(Categorias_Configuracion[[#Headers],[% Amplitud]],Categorias_Configuracion[#Headers],0),TRUE)</f>
        <v>0.15</v>
      </c>
      <c r="H1026" s="15" t="str">
        <f ca="1">TEXT(Categorias_Registro[[#This Row],[Mínimo]],Formato_Rango_Categorias)&amp;" - "&amp;TEXT(Categorias_Registro[[#This Row],[Máximo]],Formato_Rango_Categorias)</f>
        <v>1.424 - 1.636</v>
      </c>
    </row>
    <row r="1027" spans="2:8">
      <c r="B1027" s="15">
        <f>Techo - ROW() + ROW(Categorias_Registro[])</f>
        <v>1602</v>
      </c>
      <c r="C1027" s="15">
        <f>IF(Categorias_Registro[[#This Row],[Puntos]]&lt;=ROUND(Piso,0),Piso,IF(Categorias_Registro[[#This Row],[Puntos]]&lt;D1028,C1028,D1028+1))</f>
        <v>1424</v>
      </c>
      <c r="D1027" s="15">
        <f>IF(Categorias_Registro[[#This Row],[Puntos]]=ROUND(Piso,0),ROUND(Categorias_Registro[[#This Row],[Puntos]]*(1+Categorias_Registro[[#This Row],[Amplitud]]),0),IF(Categorias_Registro[[#This Row],[Puntos]]&lt;D1028,D1028,ROUND(D1028*(1+Categorias_Registro[[#This Row],[Amplitud]]),0)))</f>
        <v>1636</v>
      </c>
      <c r="E1027" s="15">
        <f>E1028+IF(D1028=Categorias_Registro[[#This Row],[Máximo]],0,1)</f>
        <v>21</v>
      </c>
      <c r="F1027" s="15">
        <f>ROUND(Categorias_Registro[[#This Row],[Mínimo]]+((Categorias_Registro[[#This Row],[Máximo]]-Categorias_Registro[[#This Row],[Mínimo]])/2),0)</f>
        <v>1530</v>
      </c>
      <c r="G1027" s="78">
        <f>VLOOKUP(Categorias_Registro[[#This Row],[Puntos]],Categorias_Configuracion[],MATCH(Categorias_Configuracion[[#Headers],[% Amplitud]],Categorias_Configuracion[#Headers],0),TRUE)</f>
        <v>0.15</v>
      </c>
      <c r="H1027" s="15" t="str">
        <f ca="1">TEXT(Categorias_Registro[[#This Row],[Mínimo]],Formato_Rango_Categorias)&amp;" - "&amp;TEXT(Categorias_Registro[[#This Row],[Máximo]],Formato_Rango_Categorias)</f>
        <v>1.424 - 1.636</v>
      </c>
    </row>
    <row r="1028" spans="2:8">
      <c r="B1028" s="15">
        <f>Techo - ROW() + ROW(Categorias_Registro[])</f>
        <v>1601</v>
      </c>
      <c r="C1028" s="15">
        <f>IF(Categorias_Registro[[#This Row],[Puntos]]&lt;=ROUND(Piso,0),Piso,IF(Categorias_Registro[[#This Row],[Puntos]]&lt;D1029,C1029,D1029+1))</f>
        <v>1424</v>
      </c>
      <c r="D1028" s="15">
        <f>IF(Categorias_Registro[[#This Row],[Puntos]]=ROUND(Piso,0),ROUND(Categorias_Registro[[#This Row],[Puntos]]*(1+Categorias_Registro[[#This Row],[Amplitud]]),0),IF(Categorias_Registro[[#This Row],[Puntos]]&lt;D1029,D1029,ROUND(D1029*(1+Categorias_Registro[[#This Row],[Amplitud]]),0)))</f>
        <v>1636</v>
      </c>
      <c r="E1028" s="15">
        <f>E1029+IF(D1029=Categorias_Registro[[#This Row],[Máximo]],0,1)</f>
        <v>21</v>
      </c>
      <c r="F1028" s="15">
        <f>ROUND(Categorias_Registro[[#This Row],[Mínimo]]+((Categorias_Registro[[#This Row],[Máximo]]-Categorias_Registro[[#This Row],[Mínimo]])/2),0)</f>
        <v>1530</v>
      </c>
      <c r="G1028" s="78">
        <f>VLOOKUP(Categorias_Registro[[#This Row],[Puntos]],Categorias_Configuracion[],MATCH(Categorias_Configuracion[[#Headers],[% Amplitud]],Categorias_Configuracion[#Headers],0),TRUE)</f>
        <v>0.15</v>
      </c>
      <c r="H1028" s="15" t="str">
        <f ca="1">TEXT(Categorias_Registro[[#This Row],[Mínimo]],Formato_Rango_Categorias)&amp;" - "&amp;TEXT(Categorias_Registro[[#This Row],[Máximo]],Formato_Rango_Categorias)</f>
        <v>1.424 - 1.636</v>
      </c>
    </row>
    <row r="1029" spans="2:8">
      <c r="B1029" s="15">
        <f>Techo - ROW() + ROW(Categorias_Registro[])</f>
        <v>1600</v>
      </c>
      <c r="C1029" s="15">
        <f>IF(Categorias_Registro[[#This Row],[Puntos]]&lt;=ROUND(Piso,0),Piso,IF(Categorias_Registro[[#This Row],[Puntos]]&lt;D1030,C1030,D1030+1))</f>
        <v>1424</v>
      </c>
      <c r="D1029" s="15">
        <f>IF(Categorias_Registro[[#This Row],[Puntos]]=ROUND(Piso,0),ROUND(Categorias_Registro[[#This Row],[Puntos]]*(1+Categorias_Registro[[#This Row],[Amplitud]]),0),IF(Categorias_Registro[[#This Row],[Puntos]]&lt;D1030,D1030,ROUND(D1030*(1+Categorias_Registro[[#This Row],[Amplitud]]),0)))</f>
        <v>1636</v>
      </c>
      <c r="E1029" s="15">
        <f>E1030+IF(D1030=Categorias_Registro[[#This Row],[Máximo]],0,1)</f>
        <v>21</v>
      </c>
      <c r="F1029" s="15">
        <f>ROUND(Categorias_Registro[[#This Row],[Mínimo]]+((Categorias_Registro[[#This Row],[Máximo]]-Categorias_Registro[[#This Row],[Mínimo]])/2),0)</f>
        <v>1530</v>
      </c>
      <c r="G1029" s="78">
        <f>VLOOKUP(Categorias_Registro[[#This Row],[Puntos]],Categorias_Configuracion[],MATCH(Categorias_Configuracion[[#Headers],[% Amplitud]],Categorias_Configuracion[#Headers],0),TRUE)</f>
        <v>0.15</v>
      </c>
      <c r="H1029" s="15" t="str">
        <f ca="1">TEXT(Categorias_Registro[[#This Row],[Mínimo]],Formato_Rango_Categorias)&amp;" - "&amp;TEXT(Categorias_Registro[[#This Row],[Máximo]],Formato_Rango_Categorias)</f>
        <v>1.424 - 1.636</v>
      </c>
    </row>
    <row r="1030" spans="2:8">
      <c r="B1030" s="15">
        <f>Techo - ROW() + ROW(Categorias_Registro[])</f>
        <v>1599</v>
      </c>
      <c r="C1030" s="15">
        <f>IF(Categorias_Registro[[#This Row],[Puntos]]&lt;=ROUND(Piso,0),Piso,IF(Categorias_Registro[[#This Row],[Puntos]]&lt;D1031,C1031,D1031+1))</f>
        <v>1424</v>
      </c>
      <c r="D1030" s="15">
        <f>IF(Categorias_Registro[[#This Row],[Puntos]]=ROUND(Piso,0),ROUND(Categorias_Registro[[#This Row],[Puntos]]*(1+Categorias_Registro[[#This Row],[Amplitud]]),0),IF(Categorias_Registro[[#This Row],[Puntos]]&lt;D1031,D1031,ROUND(D1031*(1+Categorias_Registro[[#This Row],[Amplitud]]),0)))</f>
        <v>1636</v>
      </c>
      <c r="E1030" s="15">
        <f>E1031+IF(D1031=Categorias_Registro[[#This Row],[Máximo]],0,1)</f>
        <v>21</v>
      </c>
      <c r="F1030" s="15">
        <f>ROUND(Categorias_Registro[[#This Row],[Mínimo]]+((Categorias_Registro[[#This Row],[Máximo]]-Categorias_Registro[[#This Row],[Mínimo]])/2),0)</f>
        <v>1530</v>
      </c>
      <c r="G1030" s="78">
        <f>VLOOKUP(Categorias_Registro[[#This Row],[Puntos]],Categorias_Configuracion[],MATCH(Categorias_Configuracion[[#Headers],[% Amplitud]],Categorias_Configuracion[#Headers],0),TRUE)</f>
        <v>0.15</v>
      </c>
      <c r="H1030" s="15" t="str">
        <f ca="1">TEXT(Categorias_Registro[[#This Row],[Mínimo]],Formato_Rango_Categorias)&amp;" - "&amp;TEXT(Categorias_Registro[[#This Row],[Máximo]],Formato_Rango_Categorias)</f>
        <v>1.424 - 1.636</v>
      </c>
    </row>
    <row r="1031" spans="2:8">
      <c r="B1031" s="15">
        <f>Techo - ROW() + ROW(Categorias_Registro[])</f>
        <v>1598</v>
      </c>
      <c r="C1031" s="15">
        <f>IF(Categorias_Registro[[#This Row],[Puntos]]&lt;=ROUND(Piso,0),Piso,IF(Categorias_Registro[[#This Row],[Puntos]]&lt;D1032,C1032,D1032+1))</f>
        <v>1424</v>
      </c>
      <c r="D1031" s="15">
        <f>IF(Categorias_Registro[[#This Row],[Puntos]]=ROUND(Piso,0),ROUND(Categorias_Registro[[#This Row],[Puntos]]*(1+Categorias_Registro[[#This Row],[Amplitud]]),0),IF(Categorias_Registro[[#This Row],[Puntos]]&lt;D1032,D1032,ROUND(D1032*(1+Categorias_Registro[[#This Row],[Amplitud]]),0)))</f>
        <v>1636</v>
      </c>
      <c r="E1031" s="15">
        <f>E1032+IF(D1032=Categorias_Registro[[#This Row],[Máximo]],0,1)</f>
        <v>21</v>
      </c>
      <c r="F1031" s="15">
        <f>ROUND(Categorias_Registro[[#This Row],[Mínimo]]+((Categorias_Registro[[#This Row],[Máximo]]-Categorias_Registro[[#This Row],[Mínimo]])/2),0)</f>
        <v>1530</v>
      </c>
      <c r="G1031" s="78">
        <f>VLOOKUP(Categorias_Registro[[#This Row],[Puntos]],Categorias_Configuracion[],MATCH(Categorias_Configuracion[[#Headers],[% Amplitud]],Categorias_Configuracion[#Headers],0),TRUE)</f>
        <v>0.15</v>
      </c>
      <c r="H1031" s="15" t="str">
        <f ca="1">TEXT(Categorias_Registro[[#This Row],[Mínimo]],Formato_Rango_Categorias)&amp;" - "&amp;TEXT(Categorias_Registro[[#This Row],[Máximo]],Formato_Rango_Categorias)</f>
        <v>1.424 - 1.636</v>
      </c>
    </row>
    <row r="1032" spans="2:8">
      <c r="B1032" s="15">
        <f>Techo - ROW() + ROW(Categorias_Registro[])</f>
        <v>1597</v>
      </c>
      <c r="C1032" s="15">
        <f>IF(Categorias_Registro[[#This Row],[Puntos]]&lt;=ROUND(Piso,0),Piso,IF(Categorias_Registro[[#This Row],[Puntos]]&lt;D1033,C1033,D1033+1))</f>
        <v>1424</v>
      </c>
      <c r="D1032" s="15">
        <f>IF(Categorias_Registro[[#This Row],[Puntos]]=ROUND(Piso,0),ROUND(Categorias_Registro[[#This Row],[Puntos]]*(1+Categorias_Registro[[#This Row],[Amplitud]]),0),IF(Categorias_Registro[[#This Row],[Puntos]]&lt;D1033,D1033,ROUND(D1033*(1+Categorias_Registro[[#This Row],[Amplitud]]),0)))</f>
        <v>1636</v>
      </c>
      <c r="E1032" s="15">
        <f>E1033+IF(D1033=Categorias_Registro[[#This Row],[Máximo]],0,1)</f>
        <v>21</v>
      </c>
      <c r="F1032" s="15">
        <f>ROUND(Categorias_Registro[[#This Row],[Mínimo]]+((Categorias_Registro[[#This Row],[Máximo]]-Categorias_Registro[[#This Row],[Mínimo]])/2),0)</f>
        <v>1530</v>
      </c>
      <c r="G1032" s="78">
        <f>VLOOKUP(Categorias_Registro[[#This Row],[Puntos]],Categorias_Configuracion[],MATCH(Categorias_Configuracion[[#Headers],[% Amplitud]],Categorias_Configuracion[#Headers],0),TRUE)</f>
        <v>0.15</v>
      </c>
      <c r="H1032" s="15" t="str">
        <f ca="1">TEXT(Categorias_Registro[[#This Row],[Mínimo]],Formato_Rango_Categorias)&amp;" - "&amp;TEXT(Categorias_Registro[[#This Row],[Máximo]],Formato_Rango_Categorias)</f>
        <v>1.424 - 1.636</v>
      </c>
    </row>
    <row r="1033" spans="2:8">
      <c r="B1033" s="15">
        <f>Techo - ROW() + ROW(Categorias_Registro[])</f>
        <v>1596</v>
      </c>
      <c r="C1033" s="15">
        <f>IF(Categorias_Registro[[#This Row],[Puntos]]&lt;=ROUND(Piso,0),Piso,IF(Categorias_Registro[[#This Row],[Puntos]]&lt;D1034,C1034,D1034+1))</f>
        <v>1424</v>
      </c>
      <c r="D1033" s="15">
        <f>IF(Categorias_Registro[[#This Row],[Puntos]]=ROUND(Piso,0),ROUND(Categorias_Registro[[#This Row],[Puntos]]*(1+Categorias_Registro[[#This Row],[Amplitud]]),0),IF(Categorias_Registro[[#This Row],[Puntos]]&lt;D1034,D1034,ROUND(D1034*(1+Categorias_Registro[[#This Row],[Amplitud]]),0)))</f>
        <v>1636</v>
      </c>
      <c r="E1033" s="15">
        <f>E1034+IF(D1034=Categorias_Registro[[#This Row],[Máximo]],0,1)</f>
        <v>21</v>
      </c>
      <c r="F1033" s="15">
        <f>ROUND(Categorias_Registro[[#This Row],[Mínimo]]+((Categorias_Registro[[#This Row],[Máximo]]-Categorias_Registro[[#This Row],[Mínimo]])/2),0)</f>
        <v>1530</v>
      </c>
      <c r="G1033" s="78">
        <f>VLOOKUP(Categorias_Registro[[#This Row],[Puntos]],Categorias_Configuracion[],MATCH(Categorias_Configuracion[[#Headers],[% Amplitud]],Categorias_Configuracion[#Headers],0),TRUE)</f>
        <v>0.15</v>
      </c>
      <c r="H1033" s="15" t="str">
        <f ca="1">TEXT(Categorias_Registro[[#This Row],[Mínimo]],Formato_Rango_Categorias)&amp;" - "&amp;TEXT(Categorias_Registro[[#This Row],[Máximo]],Formato_Rango_Categorias)</f>
        <v>1.424 - 1.636</v>
      </c>
    </row>
    <row r="1034" spans="2:8">
      <c r="B1034" s="15">
        <f>Techo - ROW() + ROW(Categorias_Registro[])</f>
        <v>1595</v>
      </c>
      <c r="C1034" s="15">
        <f>IF(Categorias_Registro[[#This Row],[Puntos]]&lt;=ROUND(Piso,0),Piso,IF(Categorias_Registro[[#This Row],[Puntos]]&lt;D1035,C1035,D1035+1))</f>
        <v>1424</v>
      </c>
      <c r="D1034" s="15">
        <f>IF(Categorias_Registro[[#This Row],[Puntos]]=ROUND(Piso,0),ROUND(Categorias_Registro[[#This Row],[Puntos]]*(1+Categorias_Registro[[#This Row],[Amplitud]]),0),IF(Categorias_Registro[[#This Row],[Puntos]]&lt;D1035,D1035,ROUND(D1035*(1+Categorias_Registro[[#This Row],[Amplitud]]),0)))</f>
        <v>1636</v>
      </c>
      <c r="E1034" s="15">
        <f>E1035+IF(D1035=Categorias_Registro[[#This Row],[Máximo]],0,1)</f>
        <v>21</v>
      </c>
      <c r="F1034" s="15">
        <f>ROUND(Categorias_Registro[[#This Row],[Mínimo]]+((Categorias_Registro[[#This Row],[Máximo]]-Categorias_Registro[[#This Row],[Mínimo]])/2),0)</f>
        <v>1530</v>
      </c>
      <c r="G1034" s="78">
        <f>VLOOKUP(Categorias_Registro[[#This Row],[Puntos]],Categorias_Configuracion[],MATCH(Categorias_Configuracion[[#Headers],[% Amplitud]],Categorias_Configuracion[#Headers],0),TRUE)</f>
        <v>0.15</v>
      </c>
      <c r="H1034" s="15" t="str">
        <f ca="1">TEXT(Categorias_Registro[[#This Row],[Mínimo]],Formato_Rango_Categorias)&amp;" - "&amp;TEXT(Categorias_Registro[[#This Row],[Máximo]],Formato_Rango_Categorias)</f>
        <v>1.424 - 1.636</v>
      </c>
    </row>
    <row r="1035" spans="2:8">
      <c r="B1035" s="15">
        <f>Techo - ROW() + ROW(Categorias_Registro[])</f>
        <v>1594</v>
      </c>
      <c r="C1035" s="15">
        <f>IF(Categorias_Registro[[#This Row],[Puntos]]&lt;=ROUND(Piso,0),Piso,IF(Categorias_Registro[[#This Row],[Puntos]]&lt;D1036,C1036,D1036+1))</f>
        <v>1424</v>
      </c>
      <c r="D1035" s="15">
        <f>IF(Categorias_Registro[[#This Row],[Puntos]]=ROUND(Piso,0),ROUND(Categorias_Registro[[#This Row],[Puntos]]*(1+Categorias_Registro[[#This Row],[Amplitud]]),0),IF(Categorias_Registro[[#This Row],[Puntos]]&lt;D1036,D1036,ROUND(D1036*(1+Categorias_Registro[[#This Row],[Amplitud]]),0)))</f>
        <v>1636</v>
      </c>
      <c r="E1035" s="15">
        <f>E1036+IF(D1036=Categorias_Registro[[#This Row],[Máximo]],0,1)</f>
        <v>21</v>
      </c>
      <c r="F1035" s="15">
        <f>ROUND(Categorias_Registro[[#This Row],[Mínimo]]+((Categorias_Registro[[#This Row],[Máximo]]-Categorias_Registro[[#This Row],[Mínimo]])/2),0)</f>
        <v>1530</v>
      </c>
      <c r="G1035" s="78">
        <f>VLOOKUP(Categorias_Registro[[#This Row],[Puntos]],Categorias_Configuracion[],MATCH(Categorias_Configuracion[[#Headers],[% Amplitud]],Categorias_Configuracion[#Headers],0),TRUE)</f>
        <v>0.15</v>
      </c>
      <c r="H1035" s="15" t="str">
        <f ca="1">TEXT(Categorias_Registro[[#This Row],[Mínimo]],Formato_Rango_Categorias)&amp;" - "&amp;TEXT(Categorias_Registro[[#This Row],[Máximo]],Formato_Rango_Categorias)</f>
        <v>1.424 - 1.636</v>
      </c>
    </row>
    <row r="1036" spans="2:8">
      <c r="B1036" s="15">
        <f>Techo - ROW() + ROW(Categorias_Registro[])</f>
        <v>1593</v>
      </c>
      <c r="C1036" s="15">
        <f>IF(Categorias_Registro[[#This Row],[Puntos]]&lt;=ROUND(Piso,0),Piso,IF(Categorias_Registro[[#This Row],[Puntos]]&lt;D1037,C1037,D1037+1))</f>
        <v>1424</v>
      </c>
      <c r="D1036" s="15">
        <f>IF(Categorias_Registro[[#This Row],[Puntos]]=ROUND(Piso,0),ROUND(Categorias_Registro[[#This Row],[Puntos]]*(1+Categorias_Registro[[#This Row],[Amplitud]]),0),IF(Categorias_Registro[[#This Row],[Puntos]]&lt;D1037,D1037,ROUND(D1037*(1+Categorias_Registro[[#This Row],[Amplitud]]),0)))</f>
        <v>1636</v>
      </c>
      <c r="E1036" s="15">
        <f>E1037+IF(D1037=Categorias_Registro[[#This Row],[Máximo]],0,1)</f>
        <v>21</v>
      </c>
      <c r="F1036" s="15">
        <f>ROUND(Categorias_Registro[[#This Row],[Mínimo]]+((Categorias_Registro[[#This Row],[Máximo]]-Categorias_Registro[[#This Row],[Mínimo]])/2),0)</f>
        <v>1530</v>
      </c>
      <c r="G1036" s="78">
        <f>VLOOKUP(Categorias_Registro[[#This Row],[Puntos]],Categorias_Configuracion[],MATCH(Categorias_Configuracion[[#Headers],[% Amplitud]],Categorias_Configuracion[#Headers],0),TRUE)</f>
        <v>0.15</v>
      </c>
      <c r="H1036" s="15" t="str">
        <f ca="1">TEXT(Categorias_Registro[[#This Row],[Mínimo]],Formato_Rango_Categorias)&amp;" - "&amp;TEXT(Categorias_Registro[[#This Row],[Máximo]],Formato_Rango_Categorias)</f>
        <v>1.424 - 1.636</v>
      </c>
    </row>
    <row r="1037" spans="2:8">
      <c r="B1037" s="15">
        <f>Techo - ROW() + ROW(Categorias_Registro[])</f>
        <v>1592</v>
      </c>
      <c r="C1037" s="15">
        <f>IF(Categorias_Registro[[#This Row],[Puntos]]&lt;=ROUND(Piso,0),Piso,IF(Categorias_Registro[[#This Row],[Puntos]]&lt;D1038,C1038,D1038+1))</f>
        <v>1424</v>
      </c>
      <c r="D1037" s="15">
        <f>IF(Categorias_Registro[[#This Row],[Puntos]]=ROUND(Piso,0),ROUND(Categorias_Registro[[#This Row],[Puntos]]*(1+Categorias_Registro[[#This Row],[Amplitud]]),0),IF(Categorias_Registro[[#This Row],[Puntos]]&lt;D1038,D1038,ROUND(D1038*(1+Categorias_Registro[[#This Row],[Amplitud]]),0)))</f>
        <v>1636</v>
      </c>
      <c r="E1037" s="15">
        <f>E1038+IF(D1038=Categorias_Registro[[#This Row],[Máximo]],0,1)</f>
        <v>21</v>
      </c>
      <c r="F1037" s="15">
        <f>ROUND(Categorias_Registro[[#This Row],[Mínimo]]+((Categorias_Registro[[#This Row],[Máximo]]-Categorias_Registro[[#This Row],[Mínimo]])/2),0)</f>
        <v>1530</v>
      </c>
      <c r="G1037" s="78">
        <f>VLOOKUP(Categorias_Registro[[#This Row],[Puntos]],Categorias_Configuracion[],MATCH(Categorias_Configuracion[[#Headers],[% Amplitud]],Categorias_Configuracion[#Headers],0),TRUE)</f>
        <v>0.15</v>
      </c>
      <c r="H1037" s="15" t="str">
        <f ca="1">TEXT(Categorias_Registro[[#This Row],[Mínimo]],Formato_Rango_Categorias)&amp;" - "&amp;TEXT(Categorias_Registro[[#This Row],[Máximo]],Formato_Rango_Categorias)</f>
        <v>1.424 - 1.636</v>
      </c>
    </row>
    <row r="1038" spans="2:8">
      <c r="B1038" s="15">
        <f>Techo - ROW() + ROW(Categorias_Registro[])</f>
        <v>1591</v>
      </c>
      <c r="C1038" s="15">
        <f>IF(Categorias_Registro[[#This Row],[Puntos]]&lt;=ROUND(Piso,0),Piso,IF(Categorias_Registro[[#This Row],[Puntos]]&lt;D1039,C1039,D1039+1))</f>
        <v>1424</v>
      </c>
      <c r="D1038" s="15">
        <f>IF(Categorias_Registro[[#This Row],[Puntos]]=ROUND(Piso,0),ROUND(Categorias_Registro[[#This Row],[Puntos]]*(1+Categorias_Registro[[#This Row],[Amplitud]]),0),IF(Categorias_Registro[[#This Row],[Puntos]]&lt;D1039,D1039,ROUND(D1039*(1+Categorias_Registro[[#This Row],[Amplitud]]),0)))</f>
        <v>1636</v>
      </c>
      <c r="E1038" s="15">
        <f>E1039+IF(D1039=Categorias_Registro[[#This Row],[Máximo]],0,1)</f>
        <v>21</v>
      </c>
      <c r="F1038" s="15">
        <f>ROUND(Categorias_Registro[[#This Row],[Mínimo]]+((Categorias_Registro[[#This Row],[Máximo]]-Categorias_Registro[[#This Row],[Mínimo]])/2),0)</f>
        <v>1530</v>
      </c>
      <c r="G1038" s="78">
        <f>VLOOKUP(Categorias_Registro[[#This Row],[Puntos]],Categorias_Configuracion[],MATCH(Categorias_Configuracion[[#Headers],[% Amplitud]],Categorias_Configuracion[#Headers],0),TRUE)</f>
        <v>0.15</v>
      </c>
      <c r="H1038" s="15" t="str">
        <f ca="1">TEXT(Categorias_Registro[[#This Row],[Mínimo]],Formato_Rango_Categorias)&amp;" - "&amp;TEXT(Categorias_Registro[[#This Row],[Máximo]],Formato_Rango_Categorias)</f>
        <v>1.424 - 1.636</v>
      </c>
    </row>
    <row r="1039" spans="2:8">
      <c r="B1039" s="15">
        <f>Techo - ROW() + ROW(Categorias_Registro[])</f>
        <v>1590</v>
      </c>
      <c r="C1039" s="15">
        <f>IF(Categorias_Registro[[#This Row],[Puntos]]&lt;=ROUND(Piso,0),Piso,IF(Categorias_Registro[[#This Row],[Puntos]]&lt;D1040,C1040,D1040+1))</f>
        <v>1424</v>
      </c>
      <c r="D1039" s="15">
        <f>IF(Categorias_Registro[[#This Row],[Puntos]]=ROUND(Piso,0),ROUND(Categorias_Registro[[#This Row],[Puntos]]*(1+Categorias_Registro[[#This Row],[Amplitud]]),0),IF(Categorias_Registro[[#This Row],[Puntos]]&lt;D1040,D1040,ROUND(D1040*(1+Categorias_Registro[[#This Row],[Amplitud]]),0)))</f>
        <v>1636</v>
      </c>
      <c r="E1039" s="15">
        <f>E1040+IF(D1040=Categorias_Registro[[#This Row],[Máximo]],0,1)</f>
        <v>21</v>
      </c>
      <c r="F1039" s="15">
        <f>ROUND(Categorias_Registro[[#This Row],[Mínimo]]+((Categorias_Registro[[#This Row],[Máximo]]-Categorias_Registro[[#This Row],[Mínimo]])/2),0)</f>
        <v>1530</v>
      </c>
      <c r="G1039" s="78">
        <f>VLOOKUP(Categorias_Registro[[#This Row],[Puntos]],Categorias_Configuracion[],MATCH(Categorias_Configuracion[[#Headers],[% Amplitud]],Categorias_Configuracion[#Headers],0),TRUE)</f>
        <v>0.15</v>
      </c>
      <c r="H1039" s="15" t="str">
        <f ca="1">TEXT(Categorias_Registro[[#This Row],[Mínimo]],Formato_Rango_Categorias)&amp;" - "&amp;TEXT(Categorias_Registro[[#This Row],[Máximo]],Formato_Rango_Categorias)</f>
        <v>1.424 - 1.636</v>
      </c>
    </row>
    <row r="1040" spans="2:8">
      <c r="B1040" s="15">
        <f>Techo - ROW() + ROW(Categorias_Registro[])</f>
        <v>1589</v>
      </c>
      <c r="C1040" s="15">
        <f>IF(Categorias_Registro[[#This Row],[Puntos]]&lt;=ROUND(Piso,0),Piso,IF(Categorias_Registro[[#This Row],[Puntos]]&lt;D1041,C1041,D1041+1))</f>
        <v>1424</v>
      </c>
      <c r="D1040" s="15">
        <f>IF(Categorias_Registro[[#This Row],[Puntos]]=ROUND(Piso,0),ROUND(Categorias_Registro[[#This Row],[Puntos]]*(1+Categorias_Registro[[#This Row],[Amplitud]]),0),IF(Categorias_Registro[[#This Row],[Puntos]]&lt;D1041,D1041,ROUND(D1041*(1+Categorias_Registro[[#This Row],[Amplitud]]),0)))</f>
        <v>1636</v>
      </c>
      <c r="E1040" s="15">
        <f>E1041+IF(D1041=Categorias_Registro[[#This Row],[Máximo]],0,1)</f>
        <v>21</v>
      </c>
      <c r="F1040" s="15">
        <f>ROUND(Categorias_Registro[[#This Row],[Mínimo]]+((Categorias_Registro[[#This Row],[Máximo]]-Categorias_Registro[[#This Row],[Mínimo]])/2),0)</f>
        <v>1530</v>
      </c>
      <c r="G1040" s="78">
        <f>VLOOKUP(Categorias_Registro[[#This Row],[Puntos]],Categorias_Configuracion[],MATCH(Categorias_Configuracion[[#Headers],[% Amplitud]],Categorias_Configuracion[#Headers],0),TRUE)</f>
        <v>0.15</v>
      </c>
      <c r="H1040" s="15" t="str">
        <f ca="1">TEXT(Categorias_Registro[[#This Row],[Mínimo]],Formato_Rango_Categorias)&amp;" - "&amp;TEXT(Categorias_Registro[[#This Row],[Máximo]],Formato_Rango_Categorias)</f>
        <v>1.424 - 1.636</v>
      </c>
    </row>
    <row r="1041" spans="2:8">
      <c r="B1041" s="15">
        <f>Techo - ROW() + ROW(Categorias_Registro[])</f>
        <v>1588</v>
      </c>
      <c r="C1041" s="15">
        <f>IF(Categorias_Registro[[#This Row],[Puntos]]&lt;=ROUND(Piso,0),Piso,IF(Categorias_Registro[[#This Row],[Puntos]]&lt;D1042,C1042,D1042+1))</f>
        <v>1424</v>
      </c>
      <c r="D1041" s="15">
        <f>IF(Categorias_Registro[[#This Row],[Puntos]]=ROUND(Piso,0),ROUND(Categorias_Registro[[#This Row],[Puntos]]*(1+Categorias_Registro[[#This Row],[Amplitud]]),0),IF(Categorias_Registro[[#This Row],[Puntos]]&lt;D1042,D1042,ROUND(D1042*(1+Categorias_Registro[[#This Row],[Amplitud]]),0)))</f>
        <v>1636</v>
      </c>
      <c r="E1041" s="15">
        <f>E1042+IF(D1042=Categorias_Registro[[#This Row],[Máximo]],0,1)</f>
        <v>21</v>
      </c>
      <c r="F1041" s="15">
        <f>ROUND(Categorias_Registro[[#This Row],[Mínimo]]+((Categorias_Registro[[#This Row],[Máximo]]-Categorias_Registro[[#This Row],[Mínimo]])/2),0)</f>
        <v>1530</v>
      </c>
      <c r="G1041" s="78">
        <f>VLOOKUP(Categorias_Registro[[#This Row],[Puntos]],Categorias_Configuracion[],MATCH(Categorias_Configuracion[[#Headers],[% Amplitud]],Categorias_Configuracion[#Headers],0),TRUE)</f>
        <v>0.15</v>
      </c>
      <c r="H1041" s="15" t="str">
        <f ca="1">TEXT(Categorias_Registro[[#This Row],[Mínimo]],Formato_Rango_Categorias)&amp;" - "&amp;TEXT(Categorias_Registro[[#This Row],[Máximo]],Formato_Rango_Categorias)</f>
        <v>1.424 - 1.636</v>
      </c>
    </row>
    <row r="1042" spans="2:8">
      <c r="B1042" s="15">
        <f>Techo - ROW() + ROW(Categorias_Registro[])</f>
        <v>1587</v>
      </c>
      <c r="C1042" s="15">
        <f>IF(Categorias_Registro[[#This Row],[Puntos]]&lt;=ROUND(Piso,0),Piso,IF(Categorias_Registro[[#This Row],[Puntos]]&lt;D1043,C1043,D1043+1))</f>
        <v>1424</v>
      </c>
      <c r="D1042" s="15">
        <f>IF(Categorias_Registro[[#This Row],[Puntos]]=ROUND(Piso,0),ROUND(Categorias_Registro[[#This Row],[Puntos]]*(1+Categorias_Registro[[#This Row],[Amplitud]]),0),IF(Categorias_Registro[[#This Row],[Puntos]]&lt;D1043,D1043,ROUND(D1043*(1+Categorias_Registro[[#This Row],[Amplitud]]),0)))</f>
        <v>1636</v>
      </c>
      <c r="E1042" s="15">
        <f>E1043+IF(D1043=Categorias_Registro[[#This Row],[Máximo]],0,1)</f>
        <v>21</v>
      </c>
      <c r="F1042" s="15">
        <f>ROUND(Categorias_Registro[[#This Row],[Mínimo]]+((Categorias_Registro[[#This Row],[Máximo]]-Categorias_Registro[[#This Row],[Mínimo]])/2),0)</f>
        <v>1530</v>
      </c>
      <c r="G1042" s="78">
        <f>VLOOKUP(Categorias_Registro[[#This Row],[Puntos]],Categorias_Configuracion[],MATCH(Categorias_Configuracion[[#Headers],[% Amplitud]],Categorias_Configuracion[#Headers],0),TRUE)</f>
        <v>0.15</v>
      </c>
      <c r="H1042" s="15" t="str">
        <f ca="1">TEXT(Categorias_Registro[[#This Row],[Mínimo]],Formato_Rango_Categorias)&amp;" - "&amp;TEXT(Categorias_Registro[[#This Row],[Máximo]],Formato_Rango_Categorias)</f>
        <v>1.424 - 1.636</v>
      </c>
    </row>
    <row r="1043" spans="2:8">
      <c r="B1043" s="15">
        <f>Techo - ROW() + ROW(Categorias_Registro[])</f>
        <v>1586</v>
      </c>
      <c r="C1043" s="15">
        <f>IF(Categorias_Registro[[#This Row],[Puntos]]&lt;=ROUND(Piso,0),Piso,IF(Categorias_Registro[[#This Row],[Puntos]]&lt;D1044,C1044,D1044+1))</f>
        <v>1424</v>
      </c>
      <c r="D1043" s="15">
        <f>IF(Categorias_Registro[[#This Row],[Puntos]]=ROUND(Piso,0),ROUND(Categorias_Registro[[#This Row],[Puntos]]*(1+Categorias_Registro[[#This Row],[Amplitud]]),0),IF(Categorias_Registro[[#This Row],[Puntos]]&lt;D1044,D1044,ROUND(D1044*(1+Categorias_Registro[[#This Row],[Amplitud]]),0)))</f>
        <v>1636</v>
      </c>
      <c r="E1043" s="15">
        <f>E1044+IF(D1044=Categorias_Registro[[#This Row],[Máximo]],0,1)</f>
        <v>21</v>
      </c>
      <c r="F1043" s="15">
        <f>ROUND(Categorias_Registro[[#This Row],[Mínimo]]+((Categorias_Registro[[#This Row],[Máximo]]-Categorias_Registro[[#This Row],[Mínimo]])/2),0)</f>
        <v>1530</v>
      </c>
      <c r="G1043" s="78">
        <f>VLOOKUP(Categorias_Registro[[#This Row],[Puntos]],Categorias_Configuracion[],MATCH(Categorias_Configuracion[[#Headers],[% Amplitud]],Categorias_Configuracion[#Headers],0),TRUE)</f>
        <v>0.15</v>
      </c>
      <c r="H1043" s="15" t="str">
        <f ca="1">TEXT(Categorias_Registro[[#This Row],[Mínimo]],Formato_Rango_Categorias)&amp;" - "&amp;TEXT(Categorias_Registro[[#This Row],[Máximo]],Formato_Rango_Categorias)</f>
        <v>1.424 - 1.636</v>
      </c>
    </row>
    <row r="1044" spans="2:8">
      <c r="B1044" s="15">
        <f>Techo - ROW() + ROW(Categorias_Registro[])</f>
        <v>1585</v>
      </c>
      <c r="C1044" s="15">
        <f>IF(Categorias_Registro[[#This Row],[Puntos]]&lt;=ROUND(Piso,0),Piso,IF(Categorias_Registro[[#This Row],[Puntos]]&lt;D1045,C1045,D1045+1))</f>
        <v>1424</v>
      </c>
      <c r="D1044" s="15">
        <f>IF(Categorias_Registro[[#This Row],[Puntos]]=ROUND(Piso,0),ROUND(Categorias_Registro[[#This Row],[Puntos]]*(1+Categorias_Registro[[#This Row],[Amplitud]]),0),IF(Categorias_Registro[[#This Row],[Puntos]]&lt;D1045,D1045,ROUND(D1045*(1+Categorias_Registro[[#This Row],[Amplitud]]),0)))</f>
        <v>1636</v>
      </c>
      <c r="E1044" s="15">
        <f>E1045+IF(D1045=Categorias_Registro[[#This Row],[Máximo]],0,1)</f>
        <v>21</v>
      </c>
      <c r="F1044" s="15">
        <f>ROUND(Categorias_Registro[[#This Row],[Mínimo]]+((Categorias_Registro[[#This Row],[Máximo]]-Categorias_Registro[[#This Row],[Mínimo]])/2),0)</f>
        <v>1530</v>
      </c>
      <c r="G1044" s="78">
        <f>VLOOKUP(Categorias_Registro[[#This Row],[Puntos]],Categorias_Configuracion[],MATCH(Categorias_Configuracion[[#Headers],[% Amplitud]],Categorias_Configuracion[#Headers],0),TRUE)</f>
        <v>0.15</v>
      </c>
      <c r="H1044" s="15" t="str">
        <f ca="1">TEXT(Categorias_Registro[[#This Row],[Mínimo]],Formato_Rango_Categorias)&amp;" - "&amp;TEXT(Categorias_Registro[[#This Row],[Máximo]],Formato_Rango_Categorias)</f>
        <v>1.424 - 1.636</v>
      </c>
    </row>
    <row r="1045" spans="2:8">
      <c r="B1045" s="15">
        <f>Techo - ROW() + ROW(Categorias_Registro[])</f>
        <v>1584</v>
      </c>
      <c r="C1045" s="15">
        <f>IF(Categorias_Registro[[#This Row],[Puntos]]&lt;=ROUND(Piso,0),Piso,IF(Categorias_Registro[[#This Row],[Puntos]]&lt;D1046,C1046,D1046+1))</f>
        <v>1424</v>
      </c>
      <c r="D1045" s="15">
        <f>IF(Categorias_Registro[[#This Row],[Puntos]]=ROUND(Piso,0),ROUND(Categorias_Registro[[#This Row],[Puntos]]*(1+Categorias_Registro[[#This Row],[Amplitud]]),0),IF(Categorias_Registro[[#This Row],[Puntos]]&lt;D1046,D1046,ROUND(D1046*(1+Categorias_Registro[[#This Row],[Amplitud]]),0)))</f>
        <v>1636</v>
      </c>
      <c r="E1045" s="15">
        <f>E1046+IF(D1046=Categorias_Registro[[#This Row],[Máximo]],0,1)</f>
        <v>21</v>
      </c>
      <c r="F1045" s="15">
        <f>ROUND(Categorias_Registro[[#This Row],[Mínimo]]+((Categorias_Registro[[#This Row],[Máximo]]-Categorias_Registro[[#This Row],[Mínimo]])/2),0)</f>
        <v>1530</v>
      </c>
      <c r="G1045" s="78">
        <f>VLOOKUP(Categorias_Registro[[#This Row],[Puntos]],Categorias_Configuracion[],MATCH(Categorias_Configuracion[[#Headers],[% Amplitud]],Categorias_Configuracion[#Headers],0),TRUE)</f>
        <v>0.15</v>
      </c>
      <c r="H1045" s="15" t="str">
        <f ca="1">TEXT(Categorias_Registro[[#This Row],[Mínimo]],Formato_Rango_Categorias)&amp;" - "&amp;TEXT(Categorias_Registro[[#This Row],[Máximo]],Formato_Rango_Categorias)</f>
        <v>1.424 - 1.636</v>
      </c>
    </row>
    <row r="1046" spans="2:8">
      <c r="B1046" s="15">
        <f>Techo - ROW() + ROW(Categorias_Registro[])</f>
        <v>1583</v>
      </c>
      <c r="C1046" s="15">
        <f>IF(Categorias_Registro[[#This Row],[Puntos]]&lt;=ROUND(Piso,0),Piso,IF(Categorias_Registro[[#This Row],[Puntos]]&lt;D1047,C1047,D1047+1))</f>
        <v>1424</v>
      </c>
      <c r="D1046" s="15">
        <f>IF(Categorias_Registro[[#This Row],[Puntos]]=ROUND(Piso,0),ROUND(Categorias_Registro[[#This Row],[Puntos]]*(1+Categorias_Registro[[#This Row],[Amplitud]]),0),IF(Categorias_Registro[[#This Row],[Puntos]]&lt;D1047,D1047,ROUND(D1047*(1+Categorias_Registro[[#This Row],[Amplitud]]),0)))</f>
        <v>1636</v>
      </c>
      <c r="E1046" s="15">
        <f>E1047+IF(D1047=Categorias_Registro[[#This Row],[Máximo]],0,1)</f>
        <v>21</v>
      </c>
      <c r="F1046" s="15">
        <f>ROUND(Categorias_Registro[[#This Row],[Mínimo]]+((Categorias_Registro[[#This Row],[Máximo]]-Categorias_Registro[[#This Row],[Mínimo]])/2),0)</f>
        <v>1530</v>
      </c>
      <c r="G1046" s="78">
        <f>VLOOKUP(Categorias_Registro[[#This Row],[Puntos]],Categorias_Configuracion[],MATCH(Categorias_Configuracion[[#Headers],[% Amplitud]],Categorias_Configuracion[#Headers],0),TRUE)</f>
        <v>0.15</v>
      </c>
      <c r="H1046" s="15" t="str">
        <f ca="1">TEXT(Categorias_Registro[[#This Row],[Mínimo]],Formato_Rango_Categorias)&amp;" - "&amp;TEXT(Categorias_Registro[[#This Row],[Máximo]],Formato_Rango_Categorias)</f>
        <v>1.424 - 1.636</v>
      </c>
    </row>
    <row r="1047" spans="2:8">
      <c r="B1047" s="15">
        <f>Techo - ROW() + ROW(Categorias_Registro[])</f>
        <v>1582</v>
      </c>
      <c r="C1047" s="15">
        <f>IF(Categorias_Registro[[#This Row],[Puntos]]&lt;=ROUND(Piso,0),Piso,IF(Categorias_Registro[[#This Row],[Puntos]]&lt;D1048,C1048,D1048+1))</f>
        <v>1424</v>
      </c>
      <c r="D1047" s="15">
        <f>IF(Categorias_Registro[[#This Row],[Puntos]]=ROUND(Piso,0),ROUND(Categorias_Registro[[#This Row],[Puntos]]*(1+Categorias_Registro[[#This Row],[Amplitud]]),0),IF(Categorias_Registro[[#This Row],[Puntos]]&lt;D1048,D1048,ROUND(D1048*(1+Categorias_Registro[[#This Row],[Amplitud]]),0)))</f>
        <v>1636</v>
      </c>
      <c r="E1047" s="15">
        <f>E1048+IF(D1048=Categorias_Registro[[#This Row],[Máximo]],0,1)</f>
        <v>21</v>
      </c>
      <c r="F1047" s="15">
        <f>ROUND(Categorias_Registro[[#This Row],[Mínimo]]+((Categorias_Registro[[#This Row],[Máximo]]-Categorias_Registro[[#This Row],[Mínimo]])/2),0)</f>
        <v>1530</v>
      </c>
      <c r="G1047" s="78">
        <f>VLOOKUP(Categorias_Registro[[#This Row],[Puntos]],Categorias_Configuracion[],MATCH(Categorias_Configuracion[[#Headers],[% Amplitud]],Categorias_Configuracion[#Headers],0),TRUE)</f>
        <v>0.15</v>
      </c>
      <c r="H1047" s="15" t="str">
        <f ca="1">TEXT(Categorias_Registro[[#This Row],[Mínimo]],Formato_Rango_Categorias)&amp;" - "&amp;TEXT(Categorias_Registro[[#This Row],[Máximo]],Formato_Rango_Categorias)</f>
        <v>1.424 - 1.636</v>
      </c>
    </row>
    <row r="1048" spans="2:8">
      <c r="B1048" s="15">
        <f>Techo - ROW() + ROW(Categorias_Registro[])</f>
        <v>1581</v>
      </c>
      <c r="C1048" s="15">
        <f>IF(Categorias_Registro[[#This Row],[Puntos]]&lt;=ROUND(Piso,0),Piso,IF(Categorias_Registro[[#This Row],[Puntos]]&lt;D1049,C1049,D1049+1))</f>
        <v>1424</v>
      </c>
      <c r="D1048" s="15">
        <f>IF(Categorias_Registro[[#This Row],[Puntos]]=ROUND(Piso,0),ROUND(Categorias_Registro[[#This Row],[Puntos]]*(1+Categorias_Registro[[#This Row],[Amplitud]]),0),IF(Categorias_Registro[[#This Row],[Puntos]]&lt;D1049,D1049,ROUND(D1049*(1+Categorias_Registro[[#This Row],[Amplitud]]),0)))</f>
        <v>1636</v>
      </c>
      <c r="E1048" s="15">
        <f>E1049+IF(D1049=Categorias_Registro[[#This Row],[Máximo]],0,1)</f>
        <v>21</v>
      </c>
      <c r="F1048" s="15">
        <f>ROUND(Categorias_Registro[[#This Row],[Mínimo]]+((Categorias_Registro[[#This Row],[Máximo]]-Categorias_Registro[[#This Row],[Mínimo]])/2),0)</f>
        <v>1530</v>
      </c>
      <c r="G1048" s="78">
        <f>VLOOKUP(Categorias_Registro[[#This Row],[Puntos]],Categorias_Configuracion[],MATCH(Categorias_Configuracion[[#Headers],[% Amplitud]],Categorias_Configuracion[#Headers],0),TRUE)</f>
        <v>0.15</v>
      </c>
      <c r="H1048" s="15" t="str">
        <f ca="1">TEXT(Categorias_Registro[[#This Row],[Mínimo]],Formato_Rango_Categorias)&amp;" - "&amp;TEXT(Categorias_Registro[[#This Row],[Máximo]],Formato_Rango_Categorias)</f>
        <v>1.424 - 1.636</v>
      </c>
    </row>
    <row r="1049" spans="2:8">
      <c r="B1049" s="15">
        <f>Techo - ROW() + ROW(Categorias_Registro[])</f>
        <v>1580</v>
      </c>
      <c r="C1049" s="15">
        <f>IF(Categorias_Registro[[#This Row],[Puntos]]&lt;=ROUND(Piso,0),Piso,IF(Categorias_Registro[[#This Row],[Puntos]]&lt;D1050,C1050,D1050+1))</f>
        <v>1424</v>
      </c>
      <c r="D1049" s="15">
        <f>IF(Categorias_Registro[[#This Row],[Puntos]]=ROUND(Piso,0),ROUND(Categorias_Registro[[#This Row],[Puntos]]*(1+Categorias_Registro[[#This Row],[Amplitud]]),0),IF(Categorias_Registro[[#This Row],[Puntos]]&lt;D1050,D1050,ROUND(D1050*(1+Categorias_Registro[[#This Row],[Amplitud]]),0)))</f>
        <v>1636</v>
      </c>
      <c r="E1049" s="15">
        <f>E1050+IF(D1050=Categorias_Registro[[#This Row],[Máximo]],0,1)</f>
        <v>21</v>
      </c>
      <c r="F1049" s="15">
        <f>ROUND(Categorias_Registro[[#This Row],[Mínimo]]+((Categorias_Registro[[#This Row],[Máximo]]-Categorias_Registro[[#This Row],[Mínimo]])/2),0)</f>
        <v>1530</v>
      </c>
      <c r="G1049" s="78">
        <f>VLOOKUP(Categorias_Registro[[#This Row],[Puntos]],Categorias_Configuracion[],MATCH(Categorias_Configuracion[[#Headers],[% Amplitud]],Categorias_Configuracion[#Headers],0),TRUE)</f>
        <v>0.15</v>
      </c>
      <c r="H1049" s="15" t="str">
        <f ca="1">TEXT(Categorias_Registro[[#This Row],[Mínimo]],Formato_Rango_Categorias)&amp;" - "&amp;TEXT(Categorias_Registro[[#This Row],[Máximo]],Formato_Rango_Categorias)</f>
        <v>1.424 - 1.636</v>
      </c>
    </row>
    <row r="1050" spans="2:8">
      <c r="B1050" s="15">
        <f>Techo - ROW() + ROW(Categorias_Registro[])</f>
        <v>1579</v>
      </c>
      <c r="C1050" s="15">
        <f>IF(Categorias_Registro[[#This Row],[Puntos]]&lt;=ROUND(Piso,0),Piso,IF(Categorias_Registro[[#This Row],[Puntos]]&lt;D1051,C1051,D1051+1))</f>
        <v>1424</v>
      </c>
      <c r="D1050" s="15">
        <f>IF(Categorias_Registro[[#This Row],[Puntos]]=ROUND(Piso,0),ROUND(Categorias_Registro[[#This Row],[Puntos]]*(1+Categorias_Registro[[#This Row],[Amplitud]]),0),IF(Categorias_Registro[[#This Row],[Puntos]]&lt;D1051,D1051,ROUND(D1051*(1+Categorias_Registro[[#This Row],[Amplitud]]),0)))</f>
        <v>1636</v>
      </c>
      <c r="E1050" s="15">
        <f>E1051+IF(D1051=Categorias_Registro[[#This Row],[Máximo]],0,1)</f>
        <v>21</v>
      </c>
      <c r="F1050" s="15">
        <f>ROUND(Categorias_Registro[[#This Row],[Mínimo]]+((Categorias_Registro[[#This Row],[Máximo]]-Categorias_Registro[[#This Row],[Mínimo]])/2),0)</f>
        <v>1530</v>
      </c>
      <c r="G1050" s="78">
        <f>VLOOKUP(Categorias_Registro[[#This Row],[Puntos]],Categorias_Configuracion[],MATCH(Categorias_Configuracion[[#Headers],[% Amplitud]],Categorias_Configuracion[#Headers],0),TRUE)</f>
        <v>0.15</v>
      </c>
      <c r="H1050" s="15" t="str">
        <f ca="1">TEXT(Categorias_Registro[[#This Row],[Mínimo]],Formato_Rango_Categorias)&amp;" - "&amp;TEXT(Categorias_Registro[[#This Row],[Máximo]],Formato_Rango_Categorias)</f>
        <v>1.424 - 1.636</v>
      </c>
    </row>
    <row r="1051" spans="2:8">
      <c r="B1051" s="15">
        <f>Techo - ROW() + ROW(Categorias_Registro[])</f>
        <v>1578</v>
      </c>
      <c r="C1051" s="15">
        <f>IF(Categorias_Registro[[#This Row],[Puntos]]&lt;=ROUND(Piso,0),Piso,IF(Categorias_Registro[[#This Row],[Puntos]]&lt;D1052,C1052,D1052+1))</f>
        <v>1424</v>
      </c>
      <c r="D1051" s="15">
        <f>IF(Categorias_Registro[[#This Row],[Puntos]]=ROUND(Piso,0),ROUND(Categorias_Registro[[#This Row],[Puntos]]*(1+Categorias_Registro[[#This Row],[Amplitud]]),0),IF(Categorias_Registro[[#This Row],[Puntos]]&lt;D1052,D1052,ROUND(D1052*(1+Categorias_Registro[[#This Row],[Amplitud]]),0)))</f>
        <v>1636</v>
      </c>
      <c r="E1051" s="15">
        <f>E1052+IF(D1052=Categorias_Registro[[#This Row],[Máximo]],0,1)</f>
        <v>21</v>
      </c>
      <c r="F1051" s="15">
        <f>ROUND(Categorias_Registro[[#This Row],[Mínimo]]+((Categorias_Registro[[#This Row],[Máximo]]-Categorias_Registro[[#This Row],[Mínimo]])/2),0)</f>
        <v>1530</v>
      </c>
      <c r="G1051" s="78">
        <f>VLOOKUP(Categorias_Registro[[#This Row],[Puntos]],Categorias_Configuracion[],MATCH(Categorias_Configuracion[[#Headers],[% Amplitud]],Categorias_Configuracion[#Headers],0),TRUE)</f>
        <v>0.15</v>
      </c>
      <c r="H1051" s="15" t="str">
        <f ca="1">TEXT(Categorias_Registro[[#This Row],[Mínimo]],Formato_Rango_Categorias)&amp;" - "&amp;TEXT(Categorias_Registro[[#This Row],[Máximo]],Formato_Rango_Categorias)</f>
        <v>1.424 - 1.636</v>
      </c>
    </row>
    <row r="1052" spans="2:8">
      <c r="B1052" s="15">
        <f>Techo - ROW() + ROW(Categorias_Registro[])</f>
        <v>1577</v>
      </c>
      <c r="C1052" s="15">
        <f>IF(Categorias_Registro[[#This Row],[Puntos]]&lt;=ROUND(Piso,0),Piso,IF(Categorias_Registro[[#This Row],[Puntos]]&lt;D1053,C1053,D1053+1))</f>
        <v>1424</v>
      </c>
      <c r="D1052" s="15">
        <f>IF(Categorias_Registro[[#This Row],[Puntos]]=ROUND(Piso,0),ROUND(Categorias_Registro[[#This Row],[Puntos]]*(1+Categorias_Registro[[#This Row],[Amplitud]]),0),IF(Categorias_Registro[[#This Row],[Puntos]]&lt;D1053,D1053,ROUND(D1053*(1+Categorias_Registro[[#This Row],[Amplitud]]),0)))</f>
        <v>1636</v>
      </c>
      <c r="E1052" s="15">
        <f>E1053+IF(D1053=Categorias_Registro[[#This Row],[Máximo]],0,1)</f>
        <v>21</v>
      </c>
      <c r="F1052" s="15">
        <f>ROUND(Categorias_Registro[[#This Row],[Mínimo]]+((Categorias_Registro[[#This Row],[Máximo]]-Categorias_Registro[[#This Row],[Mínimo]])/2),0)</f>
        <v>1530</v>
      </c>
      <c r="G1052" s="78">
        <f>VLOOKUP(Categorias_Registro[[#This Row],[Puntos]],Categorias_Configuracion[],MATCH(Categorias_Configuracion[[#Headers],[% Amplitud]],Categorias_Configuracion[#Headers],0),TRUE)</f>
        <v>0.15</v>
      </c>
      <c r="H1052" s="15" t="str">
        <f ca="1">TEXT(Categorias_Registro[[#This Row],[Mínimo]],Formato_Rango_Categorias)&amp;" - "&amp;TEXT(Categorias_Registro[[#This Row],[Máximo]],Formato_Rango_Categorias)</f>
        <v>1.424 - 1.636</v>
      </c>
    </row>
    <row r="1053" spans="2:8">
      <c r="B1053" s="15">
        <f>Techo - ROW() + ROW(Categorias_Registro[])</f>
        <v>1576</v>
      </c>
      <c r="C1053" s="15">
        <f>IF(Categorias_Registro[[#This Row],[Puntos]]&lt;=ROUND(Piso,0),Piso,IF(Categorias_Registro[[#This Row],[Puntos]]&lt;D1054,C1054,D1054+1))</f>
        <v>1424</v>
      </c>
      <c r="D1053" s="15">
        <f>IF(Categorias_Registro[[#This Row],[Puntos]]=ROUND(Piso,0),ROUND(Categorias_Registro[[#This Row],[Puntos]]*(1+Categorias_Registro[[#This Row],[Amplitud]]),0),IF(Categorias_Registro[[#This Row],[Puntos]]&lt;D1054,D1054,ROUND(D1054*(1+Categorias_Registro[[#This Row],[Amplitud]]),0)))</f>
        <v>1636</v>
      </c>
      <c r="E1053" s="15">
        <f>E1054+IF(D1054=Categorias_Registro[[#This Row],[Máximo]],0,1)</f>
        <v>21</v>
      </c>
      <c r="F1053" s="15">
        <f>ROUND(Categorias_Registro[[#This Row],[Mínimo]]+((Categorias_Registro[[#This Row],[Máximo]]-Categorias_Registro[[#This Row],[Mínimo]])/2),0)</f>
        <v>1530</v>
      </c>
      <c r="G1053" s="78">
        <f>VLOOKUP(Categorias_Registro[[#This Row],[Puntos]],Categorias_Configuracion[],MATCH(Categorias_Configuracion[[#Headers],[% Amplitud]],Categorias_Configuracion[#Headers],0),TRUE)</f>
        <v>0.15</v>
      </c>
      <c r="H1053" s="15" t="str">
        <f ca="1">TEXT(Categorias_Registro[[#This Row],[Mínimo]],Formato_Rango_Categorias)&amp;" - "&amp;TEXT(Categorias_Registro[[#This Row],[Máximo]],Formato_Rango_Categorias)</f>
        <v>1.424 - 1.636</v>
      </c>
    </row>
    <row r="1054" spans="2:8">
      <c r="B1054" s="15">
        <f>Techo - ROW() + ROW(Categorias_Registro[])</f>
        <v>1575</v>
      </c>
      <c r="C1054" s="15">
        <f>IF(Categorias_Registro[[#This Row],[Puntos]]&lt;=ROUND(Piso,0),Piso,IF(Categorias_Registro[[#This Row],[Puntos]]&lt;D1055,C1055,D1055+1))</f>
        <v>1424</v>
      </c>
      <c r="D1054" s="15">
        <f>IF(Categorias_Registro[[#This Row],[Puntos]]=ROUND(Piso,0),ROUND(Categorias_Registro[[#This Row],[Puntos]]*(1+Categorias_Registro[[#This Row],[Amplitud]]),0),IF(Categorias_Registro[[#This Row],[Puntos]]&lt;D1055,D1055,ROUND(D1055*(1+Categorias_Registro[[#This Row],[Amplitud]]),0)))</f>
        <v>1636</v>
      </c>
      <c r="E1054" s="15">
        <f>E1055+IF(D1055=Categorias_Registro[[#This Row],[Máximo]],0,1)</f>
        <v>21</v>
      </c>
      <c r="F1054" s="15">
        <f>ROUND(Categorias_Registro[[#This Row],[Mínimo]]+((Categorias_Registro[[#This Row],[Máximo]]-Categorias_Registro[[#This Row],[Mínimo]])/2),0)</f>
        <v>1530</v>
      </c>
      <c r="G1054" s="78">
        <f>VLOOKUP(Categorias_Registro[[#This Row],[Puntos]],Categorias_Configuracion[],MATCH(Categorias_Configuracion[[#Headers],[% Amplitud]],Categorias_Configuracion[#Headers],0),TRUE)</f>
        <v>0.15</v>
      </c>
      <c r="H1054" s="15" t="str">
        <f ca="1">TEXT(Categorias_Registro[[#This Row],[Mínimo]],Formato_Rango_Categorias)&amp;" - "&amp;TEXT(Categorias_Registro[[#This Row],[Máximo]],Formato_Rango_Categorias)</f>
        <v>1.424 - 1.636</v>
      </c>
    </row>
    <row r="1055" spans="2:8">
      <c r="B1055" s="15">
        <f>Techo - ROW() + ROW(Categorias_Registro[])</f>
        <v>1574</v>
      </c>
      <c r="C1055" s="15">
        <f>IF(Categorias_Registro[[#This Row],[Puntos]]&lt;=ROUND(Piso,0),Piso,IF(Categorias_Registro[[#This Row],[Puntos]]&lt;D1056,C1056,D1056+1))</f>
        <v>1424</v>
      </c>
      <c r="D1055" s="15">
        <f>IF(Categorias_Registro[[#This Row],[Puntos]]=ROUND(Piso,0),ROUND(Categorias_Registro[[#This Row],[Puntos]]*(1+Categorias_Registro[[#This Row],[Amplitud]]),0),IF(Categorias_Registro[[#This Row],[Puntos]]&lt;D1056,D1056,ROUND(D1056*(1+Categorias_Registro[[#This Row],[Amplitud]]),0)))</f>
        <v>1636</v>
      </c>
      <c r="E1055" s="15">
        <f>E1056+IF(D1056=Categorias_Registro[[#This Row],[Máximo]],0,1)</f>
        <v>21</v>
      </c>
      <c r="F1055" s="15">
        <f>ROUND(Categorias_Registro[[#This Row],[Mínimo]]+((Categorias_Registro[[#This Row],[Máximo]]-Categorias_Registro[[#This Row],[Mínimo]])/2),0)</f>
        <v>1530</v>
      </c>
      <c r="G1055" s="78">
        <f>VLOOKUP(Categorias_Registro[[#This Row],[Puntos]],Categorias_Configuracion[],MATCH(Categorias_Configuracion[[#Headers],[% Amplitud]],Categorias_Configuracion[#Headers],0),TRUE)</f>
        <v>0.15</v>
      </c>
      <c r="H1055" s="15" t="str">
        <f ca="1">TEXT(Categorias_Registro[[#This Row],[Mínimo]],Formato_Rango_Categorias)&amp;" - "&amp;TEXT(Categorias_Registro[[#This Row],[Máximo]],Formato_Rango_Categorias)</f>
        <v>1.424 - 1.636</v>
      </c>
    </row>
    <row r="1056" spans="2:8">
      <c r="B1056" s="15">
        <f>Techo - ROW() + ROW(Categorias_Registro[])</f>
        <v>1573</v>
      </c>
      <c r="C1056" s="15">
        <f>IF(Categorias_Registro[[#This Row],[Puntos]]&lt;=ROUND(Piso,0),Piso,IF(Categorias_Registro[[#This Row],[Puntos]]&lt;D1057,C1057,D1057+1))</f>
        <v>1424</v>
      </c>
      <c r="D1056" s="15">
        <f>IF(Categorias_Registro[[#This Row],[Puntos]]=ROUND(Piso,0),ROUND(Categorias_Registro[[#This Row],[Puntos]]*(1+Categorias_Registro[[#This Row],[Amplitud]]),0),IF(Categorias_Registro[[#This Row],[Puntos]]&lt;D1057,D1057,ROUND(D1057*(1+Categorias_Registro[[#This Row],[Amplitud]]),0)))</f>
        <v>1636</v>
      </c>
      <c r="E1056" s="15">
        <f>E1057+IF(D1057=Categorias_Registro[[#This Row],[Máximo]],0,1)</f>
        <v>21</v>
      </c>
      <c r="F1056" s="15">
        <f>ROUND(Categorias_Registro[[#This Row],[Mínimo]]+((Categorias_Registro[[#This Row],[Máximo]]-Categorias_Registro[[#This Row],[Mínimo]])/2),0)</f>
        <v>1530</v>
      </c>
      <c r="G1056" s="78">
        <f>VLOOKUP(Categorias_Registro[[#This Row],[Puntos]],Categorias_Configuracion[],MATCH(Categorias_Configuracion[[#Headers],[% Amplitud]],Categorias_Configuracion[#Headers],0),TRUE)</f>
        <v>0.15</v>
      </c>
      <c r="H1056" s="15" t="str">
        <f ca="1">TEXT(Categorias_Registro[[#This Row],[Mínimo]],Formato_Rango_Categorias)&amp;" - "&amp;TEXT(Categorias_Registro[[#This Row],[Máximo]],Formato_Rango_Categorias)</f>
        <v>1.424 - 1.636</v>
      </c>
    </row>
    <row r="1057" spans="2:8">
      <c r="B1057" s="15">
        <f>Techo - ROW() + ROW(Categorias_Registro[])</f>
        <v>1572</v>
      </c>
      <c r="C1057" s="15">
        <f>IF(Categorias_Registro[[#This Row],[Puntos]]&lt;=ROUND(Piso,0),Piso,IF(Categorias_Registro[[#This Row],[Puntos]]&lt;D1058,C1058,D1058+1))</f>
        <v>1424</v>
      </c>
      <c r="D1057" s="15">
        <f>IF(Categorias_Registro[[#This Row],[Puntos]]=ROUND(Piso,0),ROUND(Categorias_Registro[[#This Row],[Puntos]]*(1+Categorias_Registro[[#This Row],[Amplitud]]),0),IF(Categorias_Registro[[#This Row],[Puntos]]&lt;D1058,D1058,ROUND(D1058*(1+Categorias_Registro[[#This Row],[Amplitud]]),0)))</f>
        <v>1636</v>
      </c>
      <c r="E1057" s="15">
        <f>E1058+IF(D1058=Categorias_Registro[[#This Row],[Máximo]],0,1)</f>
        <v>21</v>
      </c>
      <c r="F1057" s="15">
        <f>ROUND(Categorias_Registro[[#This Row],[Mínimo]]+((Categorias_Registro[[#This Row],[Máximo]]-Categorias_Registro[[#This Row],[Mínimo]])/2),0)</f>
        <v>1530</v>
      </c>
      <c r="G1057" s="78">
        <f>VLOOKUP(Categorias_Registro[[#This Row],[Puntos]],Categorias_Configuracion[],MATCH(Categorias_Configuracion[[#Headers],[% Amplitud]],Categorias_Configuracion[#Headers],0),TRUE)</f>
        <v>0.15</v>
      </c>
      <c r="H1057" s="15" t="str">
        <f ca="1">TEXT(Categorias_Registro[[#This Row],[Mínimo]],Formato_Rango_Categorias)&amp;" - "&amp;TEXT(Categorias_Registro[[#This Row],[Máximo]],Formato_Rango_Categorias)</f>
        <v>1.424 - 1.636</v>
      </c>
    </row>
    <row r="1058" spans="2:8">
      <c r="B1058" s="15">
        <f>Techo - ROW() + ROW(Categorias_Registro[])</f>
        <v>1571</v>
      </c>
      <c r="C1058" s="15">
        <f>IF(Categorias_Registro[[#This Row],[Puntos]]&lt;=ROUND(Piso,0),Piso,IF(Categorias_Registro[[#This Row],[Puntos]]&lt;D1059,C1059,D1059+1))</f>
        <v>1424</v>
      </c>
      <c r="D1058" s="15">
        <f>IF(Categorias_Registro[[#This Row],[Puntos]]=ROUND(Piso,0),ROUND(Categorias_Registro[[#This Row],[Puntos]]*(1+Categorias_Registro[[#This Row],[Amplitud]]),0),IF(Categorias_Registro[[#This Row],[Puntos]]&lt;D1059,D1059,ROUND(D1059*(1+Categorias_Registro[[#This Row],[Amplitud]]),0)))</f>
        <v>1636</v>
      </c>
      <c r="E1058" s="15">
        <f>E1059+IF(D1059=Categorias_Registro[[#This Row],[Máximo]],0,1)</f>
        <v>21</v>
      </c>
      <c r="F1058" s="15">
        <f>ROUND(Categorias_Registro[[#This Row],[Mínimo]]+((Categorias_Registro[[#This Row],[Máximo]]-Categorias_Registro[[#This Row],[Mínimo]])/2),0)</f>
        <v>1530</v>
      </c>
      <c r="G1058" s="78">
        <f>VLOOKUP(Categorias_Registro[[#This Row],[Puntos]],Categorias_Configuracion[],MATCH(Categorias_Configuracion[[#Headers],[% Amplitud]],Categorias_Configuracion[#Headers],0),TRUE)</f>
        <v>0.15</v>
      </c>
      <c r="H1058" s="15" t="str">
        <f ca="1">TEXT(Categorias_Registro[[#This Row],[Mínimo]],Formato_Rango_Categorias)&amp;" - "&amp;TEXT(Categorias_Registro[[#This Row],[Máximo]],Formato_Rango_Categorias)</f>
        <v>1.424 - 1.636</v>
      </c>
    </row>
    <row r="1059" spans="2:8">
      <c r="B1059" s="15">
        <f>Techo - ROW() + ROW(Categorias_Registro[])</f>
        <v>1570</v>
      </c>
      <c r="C1059" s="15">
        <f>IF(Categorias_Registro[[#This Row],[Puntos]]&lt;=ROUND(Piso,0),Piso,IF(Categorias_Registro[[#This Row],[Puntos]]&lt;D1060,C1060,D1060+1))</f>
        <v>1424</v>
      </c>
      <c r="D1059" s="15">
        <f>IF(Categorias_Registro[[#This Row],[Puntos]]=ROUND(Piso,0),ROUND(Categorias_Registro[[#This Row],[Puntos]]*(1+Categorias_Registro[[#This Row],[Amplitud]]),0),IF(Categorias_Registro[[#This Row],[Puntos]]&lt;D1060,D1060,ROUND(D1060*(1+Categorias_Registro[[#This Row],[Amplitud]]),0)))</f>
        <v>1636</v>
      </c>
      <c r="E1059" s="15">
        <f>E1060+IF(D1060=Categorias_Registro[[#This Row],[Máximo]],0,1)</f>
        <v>21</v>
      </c>
      <c r="F1059" s="15">
        <f>ROUND(Categorias_Registro[[#This Row],[Mínimo]]+((Categorias_Registro[[#This Row],[Máximo]]-Categorias_Registro[[#This Row],[Mínimo]])/2),0)</f>
        <v>1530</v>
      </c>
      <c r="G1059" s="78">
        <f>VLOOKUP(Categorias_Registro[[#This Row],[Puntos]],Categorias_Configuracion[],MATCH(Categorias_Configuracion[[#Headers],[% Amplitud]],Categorias_Configuracion[#Headers],0),TRUE)</f>
        <v>0.15</v>
      </c>
      <c r="H1059" s="15" t="str">
        <f ca="1">TEXT(Categorias_Registro[[#This Row],[Mínimo]],Formato_Rango_Categorias)&amp;" - "&amp;TEXT(Categorias_Registro[[#This Row],[Máximo]],Formato_Rango_Categorias)</f>
        <v>1.424 - 1.636</v>
      </c>
    </row>
    <row r="1060" spans="2:8">
      <c r="B1060" s="15">
        <f>Techo - ROW() + ROW(Categorias_Registro[])</f>
        <v>1569</v>
      </c>
      <c r="C1060" s="15">
        <f>IF(Categorias_Registro[[#This Row],[Puntos]]&lt;=ROUND(Piso,0),Piso,IF(Categorias_Registro[[#This Row],[Puntos]]&lt;D1061,C1061,D1061+1))</f>
        <v>1424</v>
      </c>
      <c r="D1060" s="15">
        <f>IF(Categorias_Registro[[#This Row],[Puntos]]=ROUND(Piso,0),ROUND(Categorias_Registro[[#This Row],[Puntos]]*(1+Categorias_Registro[[#This Row],[Amplitud]]),0),IF(Categorias_Registro[[#This Row],[Puntos]]&lt;D1061,D1061,ROUND(D1061*(1+Categorias_Registro[[#This Row],[Amplitud]]),0)))</f>
        <v>1636</v>
      </c>
      <c r="E1060" s="15">
        <f>E1061+IF(D1061=Categorias_Registro[[#This Row],[Máximo]],0,1)</f>
        <v>21</v>
      </c>
      <c r="F1060" s="15">
        <f>ROUND(Categorias_Registro[[#This Row],[Mínimo]]+((Categorias_Registro[[#This Row],[Máximo]]-Categorias_Registro[[#This Row],[Mínimo]])/2),0)</f>
        <v>1530</v>
      </c>
      <c r="G1060" s="78">
        <f>VLOOKUP(Categorias_Registro[[#This Row],[Puntos]],Categorias_Configuracion[],MATCH(Categorias_Configuracion[[#Headers],[% Amplitud]],Categorias_Configuracion[#Headers],0),TRUE)</f>
        <v>0.15</v>
      </c>
      <c r="H1060" s="15" t="str">
        <f ca="1">TEXT(Categorias_Registro[[#This Row],[Mínimo]],Formato_Rango_Categorias)&amp;" - "&amp;TEXT(Categorias_Registro[[#This Row],[Máximo]],Formato_Rango_Categorias)</f>
        <v>1.424 - 1.636</v>
      </c>
    </row>
    <row r="1061" spans="2:8">
      <c r="B1061" s="15">
        <f>Techo - ROW() + ROW(Categorias_Registro[])</f>
        <v>1568</v>
      </c>
      <c r="C1061" s="15">
        <f>IF(Categorias_Registro[[#This Row],[Puntos]]&lt;=ROUND(Piso,0),Piso,IF(Categorias_Registro[[#This Row],[Puntos]]&lt;D1062,C1062,D1062+1))</f>
        <v>1424</v>
      </c>
      <c r="D1061" s="15">
        <f>IF(Categorias_Registro[[#This Row],[Puntos]]=ROUND(Piso,0),ROUND(Categorias_Registro[[#This Row],[Puntos]]*(1+Categorias_Registro[[#This Row],[Amplitud]]),0),IF(Categorias_Registro[[#This Row],[Puntos]]&lt;D1062,D1062,ROUND(D1062*(1+Categorias_Registro[[#This Row],[Amplitud]]),0)))</f>
        <v>1636</v>
      </c>
      <c r="E1061" s="15">
        <f>E1062+IF(D1062=Categorias_Registro[[#This Row],[Máximo]],0,1)</f>
        <v>21</v>
      </c>
      <c r="F1061" s="15">
        <f>ROUND(Categorias_Registro[[#This Row],[Mínimo]]+((Categorias_Registro[[#This Row],[Máximo]]-Categorias_Registro[[#This Row],[Mínimo]])/2),0)</f>
        <v>1530</v>
      </c>
      <c r="G1061" s="78">
        <f>VLOOKUP(Categorias_Registro[[#This Row],[Puntos]],Categorias_Configuracion[],MATCH(Categorias_Configuracion[[#Headers],[% Amplitud]],Categorias_Configuracion[#Headers],0),TRUE)</f>
        <v>0.15</v>
      </c>
      <c r="H1061" s="15" t="str">
        <f ca="1">TEXT(Categorias_Registro[[#This Row],[Mínimo]],Formato_Rango_Categorias)&amp;" - "&amp;TEXT(Categorias_Registro[[#This Row],[Máximo]],Formato_Rango_Categorias)</f>
        <v>1.424 - 1.636</v>
      </c>
    </row>
    <row r="1062" spans="2:8">
      <c r="B1062" s="15">
        <f>Techo - ROW() + ROW(Categorias_Registro[])</f>
        <v>1567</v>
      </c>
      <c r="C1062" s="15">
        <f>IF(Categorias_Registro[[#This Row],[Puntos]]&lt;=ROUND(Piso,0),Piso,IF(Categorias_Registro[[#This Row],[Puntos]]&lt;D1063,C1063,D1063+1))</f>
        <v>1424</v>
      </c>
      <c r="D1062" s="15">
        <f>IF(Categorias_Registro[[#This Row],[Puntos]]=ROUND(Piso,0),ROUND(Categorias_Registro[[#This Row],[Puntos]]*(1+Categorias_Registro[[#This Row],[Amplitud]]),0),IF(Categorias_Registro[[#This Row],[Puntos]]&lt;D1063,D1063,ROUND(D1063*(1+Categorias_Registro[[#This Row],[Amplitud]]),0)))</f>
        <v>1636</v>
      </c>
      <c r="E1062" s="15">
        <f>E1063+IF(D1063=Categorias_Registro[[#This Row],[Máximo]],0,1)</f>
        <v>21</v>
      </c>
      <c r="F1062" s="15">
        <f>ROUND(Categorias_Registro[[#This Row],[Mínimo]]+((Categorias_Registro[[#This Row],[Máximo]]-Categorias_Registro[[#This Row],[Mínimo]])/2),0)</f>
        <v>1530</v>
      </c>
      <c r="G1062" s="78">
        <f>VLOOKUP(Categorias_Registro[[#This Row],[Puntos]],Categorias_Configuracion[],MATCH(Categorias_Configuracion[[#Headers],[% Amplitud]],Categorias_Configuracion[#Headers],0),TRUE)</f>
        <v>0.15</v>
      </c>
      <c r="H1062" s="15" t="str">
        <f ca="1">TEXT(Categorias_Registro[[#This Row],[Mínimo]],Formato_Rango_Categorias)&amp;" - "&amp;TEXT(Categorias_Registro[[#This Row],[Máximo]],Formato_Rango_Categorias)</f>
        <v>1.424 - 1.636</v>
      </c>
    </row>
    <row r="1063" spans="2:8">
      <c r="B1063" s="15">
        <f>Techo - ROW() + ROW(Categorias_Registro[])</f>
        <v>1566</v>
      </c>
      <c r="C1063" s="15">
        <f>IF(Categorias_Registro[[#This Row],[Puntos]]&lt;=ROUND(Piso,0),Piso,IF(Categorias_Registro[[#This Row],[Puntos]]&lt;D1064,C1064,D1064+1))</f>
        <v>1424</v>
      </c>
      <c r="D1063" s="15">
        <f>IF(Categorias_Registro[[#This Row],[Puntos]]=ROUND(Piso,0),ROUND(Categorias_Registro[[#This Row],[Puntos]]*(1+Categorias_Registro[[#This Row],[Amplitud]]),0),IF(Categorias_Registro[[#This Row],[Puntos]]&lt;D1064,D1064,ROUND(D1064*(1+Categorias_Registro[[#This Row],[Amplitud]]),0)))</f>
        <v>1636</v>
      </c>
      <c r="E1063" s="15">
        <f>E1064+IF(D1064=Categorias_Registro[[#This Row],[Máximo]],0,1)</f>
        <v>21</v>
      </c>
      <c r="F1063" s="15">
        <f>ROUND(Categorias_Registro[[#This Row],[Mínimo]]+((Categorias_Registro[[#This Row],[Máximo]]-Categorias_Registro[[#This Row],[Mínimo]])/2),0)</f>
        <v>1530</v>
      </c>
      <c r="G1063" s="78">
        <f>VLOOKUP(Categorias_Registro[[#This Row],[Puntos]],Categorias_Configuracion[],MATCH(Categorias_Configuracion[[#Headers],[% Amplitud]],Categorias_Configuracion[#Headers],0),TRUE)</f>
        <v>0.15</v>
      </c>
      <c r="H1063" s="15" t="str">
        <f ca="1">TEXT(Categorias_Registro[[#This Row],[Mínimo]],Formato_Rango_Categorias)&amp;" - "&amp;TEXT(Categorias_Registro[[#This Row],[Máximo]],Formato_Rango_Categorias)</f>
        <v>1.424 - 1.636</v>
      </c>
    </row>
    <row r="1064" spans="2:8">
      <c r="B1064" s="15">
        <f>Techo - ROW() + ROW(Categorias_Registro[])</f>
        <v>1565</v>
      </c>
      <c r="C1064" s="15">
        <f>IF(Categorias_Registro[[#This Row],[Puntos]]&lt;=ROUND(Piso,0),Piso,IF(Categorias_Registro[[#This Row],[Puntos]]&lt;D1065,C1065,D1065+1))</f>
        <v>1424</v>
      </c>
      <c r="D1064" s="15">
        <f>IF(Categorias_Registro[[#This Row],[Puntos]]=ROUND(Piso,0),ROUND(Categorias_Registro[[#This Row],[Puntos]]*(1+Categorias_Registro[[#This Row],[Amplitud]]),0),IF(Categorias_Registro[[#This Row],[Puntos]]&lt;D1065,D1065,ROUND(D1065*(1+Categorias_Registro[[#This Row],[Amplitud]]),0)))</f>
        <v>1636</v>
      </c>
      <c r="E1064" s="15">
        <f>E1065+IF(D1065=Categorias_Registro[[#This Row],[Máximo]],0,1)</f>
        <v>21</v>
      </c>
      <c r="F1064" s="15">
        <f>ROUND(Categorias_Registro[[#This Row],[Mínimo]]+((Categorias_Registro[[#This Row],[Máximo]]-Categorias_Registro[[#This Row],[Mínimo]])/2),0)</f>
        <v>1530</v>
      </c>
      <c r="G1064" s="78">
        <f>VLOOKUP(Categorias_Registro[[#This Row],[Puntos]],Categorias_Configuracion[],MATCH(Categorias_Configuracion[[#Headers],[% Amplitud]],Categorias_Configuracion[#Headers],0),TRUE)</f>
        <v>0.15</v>
      </c>
      <c r="H1064" s="15" t="str">
        <f ca="1">TEXT(Categorias_Registro[[#This Row],[Mínimo]],Formato_Rango_Categorias)&amp;" - "&amp;TEXT(Categorias_Registro[[#This Row],[Máximo]],Formato_Rango_Categorias)</f>
        <v>1.424 - 1.636</v>
      </c>
    </row>
    <row r="1065" spans="2:8">
      <c r="B1065" s="15">
        <f>Techo - ROW() + ROW(Categorias_Registro[])</f>
        <v>1564</v>
      </c>
      <c r="C1065" s="15">
        <f>IF(Categorias_Registro[[#This Row],[Puntos]]&lt;=ROUND(Piso,0),Piso,IF(Categorias_Registro[[#This Row],[Puntos]]&lt;D1066,C1066,D1066+1))</f>
        <v>1424</v>
      </c>
      <c r="D1065" s="15">
        <f>IF(Categorias_Registro[[#This Row],[Puntos]]=ROUND(Piso,0),ROUND(Categorias_Registro[[#This Row],[Puntos]]*(1+Categorias_Registro[[#This Row],[Amplitud]]),0),IF(Categorias_Registro[[#This Row],[Puntos]]&lt;D1066,D1066,ROUND(D1066*(1+Categorias_Registro[[#This Row],[Amplitud]]),0)))</f>
        <v>1636</v>
      </c>
      <c r="E1065" s="15">
        <f>E1066+IF(D1066=Categorias_Registro[[#This Row],[Máximo]],0,1)</f>
        <v>21</v>
      </c>
      <c r="F1065" s="15">
        <f>ROUND(Categorias_Registro[[#This Row],[Mínimo]]+((Categorias_Registro[[#This Row],[Máximo]]-Categorias_Registro[[#This Row],[Mínimo]])/2),0)</f>
        <v>1530</v>
      </c>
      <c r="G1065" s="78">
        <f>VLOOKUP(Categorias_Registro[[#This Row],[Puntos]],Categorias_Configuracion[],MATCH(Categorias_Configuracion[[#Headers],[% Amplitud]],Categorias_Configuracion[#Headers],0),TRUE)</f>
        <v>0.15</v>
      </c>
      <c r="H1065" s="15" t="str">
        <f ca="1">TEXT(Categorias_Registro[[#This Row],[Mínimo]],Formato_Rango_Categorias)&amp;" - "&amp;TEXT(Categorias_Registro[[#This Row],[Máximo]],Formato_Rango_Categorias)</f>
        <v>1.424 - 1.636</v>
      </c>
    </row>
    <row r="1066" spans="2:8">
      <c r="B1066" s="15">
        <f>Techo - ROW() + ROW(Categorias_Registro[])</f>
        <v>1563</v>
      </c>
      <c r="C1066" s="15">
        <f>IF(Categorias_Registro[[#This Row],[Puntos]]&lt;=ROUND(Piso,0),Piso,IF(Categorias_Registro[[#This Row],[Puntos]]&lt;D1067,C1067,D1067+1))</f>
        <v>1424</v>
      </c>
      <c r="D1066" s="15">
        <f>IF(Categorias_Registro[[#This Row],[Puntos]]=ROUND(Piso,0),ROUND(Categorias_Registro[[#This Row],[Puntos]]*(1+Categorias_Registro[[#This Row],[Amplitud]]),0),IF(Categorias_Registro[[#This Row],[Puntos]]&lt;D1067,D1067,ROUND(D1067*(1+Categorias_Registro[[#This Row],[Amplitud]]),0)))</f>
        <v>1636</v>
      </c>
      <c r="E1066" s="15">
        <f>E1067+IF(D1067=Categorias_Registro[[#This Row],[Máximo]],0,1)</f>
        <v>21</v>
      </c>
      <c r="F1066" s="15">
        <f>ROUND(Categorias_Registro[[#This Row],[Mínimo]]+((Categorias_Registro[[#This Row],[Máximo]]-Categorias_Registro[[#This Row],[Mínimo]])/2),0)</f>
        <v>1530</v>
      </c>
      <c r="G1066" s="78">
        <f>VLOOKUP(Categorias_Registro[[#This Row],[Puntos]],Categorias_Configuracion[],MATCH(Categorias_Configuracion[[#Headers],[% Amplitud]],Categorias_Configuracion[#Headers],0),TRUE)</f>
        <v>0.15</v>
      </c>
      <c r="H1066" s="15" t="str">
        <f ca="1">TEXT(Categorias_Registro[[#This Row],[Mínimo]],Formato_Rango_Categorias)&amp;" - "&amp;TEXT(Categorias_Registro[[#This Row],[Máximo]],Formato_Rango_Categorias)</f>
        <v>1.424 - 1.636</v>
      </c>
    </row>
    <row r="1067" spans="2:8">
      <c r="B1067" s="15">
        <f>Techo - ROW() + ROW(Categorias_Registro[])</f>
        <v>1562</v>
      </c>
      <c r="C1067" s="15">
        <f>IF(Categorias_Registro[[#This Row],[Puntos]]&lt;=ROUND(Piso,0),Piso,IF(Categorias_Registro[[#This Row],[Puntos]]&lt;D1068,C1068,D1068+1))</f>
        <v>1424</v>
      </c>
      <c r="D1067" s="15">
        <f>IF(Categorias_Registro[[#This Row],[Puntos]]=ROUND(Piso,0),ROUND(Categorias_Registro[[#This Row],[Puntos]]*(1+Categorias_Registro[[#This Row],[Amplitud]]),0),IF(Categorias_Registro[[#This Row],[Puntos]]&lt;D1068,D1068,ROUND(D1068*(1+Categorias_Registro[[#This Row],[Amplitud]]),0)))</f>
        <v>1636</v>
      </c>
      <c r="E1067" s="15">
        <f>E1068+IF(D1068=Categorias_Registro[[#This Row],[Máximo]],0,1)</f>
        <v>21</v>
      </c>
      <c r="F1067" s="15">
        <f>ROUND(Categorias_Registro[[#This Row],[Mínimo]]+((Categorias_Registro[[#This Row],[Máximo]]-Categorias_Registro[[#This Row],[Mínimo]])/2),0)</f>
        <v>1530</v>
      </c>
      <c r="G1067" s="78">
        <f>VLOOKUP(Categorias_Registro[[#This Row],[Puntos]],Categorias_Configuracion[],MATCH(Categorias_Configuracion[[#Headers],[% Amplitud]],Categorias_Configuracion[#Headers],0),TRUE)</f>
        <v>0.15</v>
      </c>
      <c r="H1067" s="15" t="str">
        <f ca="1">TEXT(Categorias_Registro[[#This Row],[Mínimo]],Formato_Rango_Categorias)&amp;" - "&amp;TEXT(Categorias_Registro[[#This Row],[Máximo]],Formato_Rango_Categorias)</f>
        <v>1.424 - 1.636</v>
      </c>
    </row>
    <row r="1068" spans="2:8">
      <c r="B1068" s="15">
        <f>Techo - ROW() + ROW(Categorias_Registro[])</f>
        <v>1561</v>
      </c>
      <c r="C1068" s="15">
        <f>IF(Categorias_Registro[[#This Row],[Puntos]]&lt;=ROUND(Piso,0),Piso,IF(Categorias_Registro[[#This Row],[Puntos]]&lt;D1069,C1069,D1069+1))</f>
        <v>1424</v>
      </c>
      <c r="D1068" s="15">
        <f>IF(Categorias_Registro[[#This Row],[Puntos]]=ROUND(Piso,0),ROUND(Categorias_Registro[[#This Row],[Puntos]]*(1+Categorias_Registro[[#This Row],[Amplitud]]),0),IF(Categorias_Registro[[#This Row],[Puntos]]&lt;D1069,D1069,ROUND(D1069*(1+Categorias_Registro[[#This Row],[Amplitud]]),0)))</f>
        <v>1636</v>
      </c>
      <c r="E1068" s="15">
        <f>E1069+IF(D1069=Categorias_Registro[[#This Row],[Máximo]],0,1)</f>
        <v>21</v>
      </c>
      <c r="F1068" s="15">
        <f>ROUND(Categorias_Registro[[#This Row],[Mínimo]]+((Categorias_Registro[[#This Row],[Máximo]]-Categorias_Registro[[#This Row],[Mínimo]])/2),0)</f>
        <v>1530</v>
      </c>
      <c r="G1068" s="78">
        <f>VLOOKUP(Categorias_Registro[[#This Row],[Puntos]],Categorias_Configuracion[],MATCH(Categorias_Configuracion[[#Headers],[% Amplitud]],Categorias_Configuracion[#Headers],0),TRUE)</f>
        <v>0.15</v>
      </c>
      <c r="H1068" s="15" t="str">
        <f ca="1">TEXT(Categorias_Registro[[#This Row],[Mínimo]],Formato_Rango_Categorias)&amp;" - "&amp;TEXT(Categorias_Registro[[#This Row],[Máximo]],Formato_Rango_Categorias)</f>
        <v>1.424 - 1.636</v>
      </c>
    </row>
    <row r="1069" spans="2:8">
      <c r="B1069" s="15">
        <f>Techo - ROW() + ROW(Categorias_Registro[])</f>
        <v>1560</v>
      </c>
      <c r="C1069" s="15">
        <f>IF(Categorias_Registro[[#This Row],[Puntos]]&lt;=ROUND(Piso,0),Piso,IF(Categorias_Registro[[#This Row],[Puntos]]&lt;D1070,C1070,D1070+1))</f>
        <v>1424</v>
      </c>
      <c r="D1069" s="15">
        <f>IF(Categorias_Registro[[#This Row],[Puntos]]=ROUND(Piso,0),ROUND(Categorias_Registro[[#This Row],[Puntos]]*(1+Categorias_Registro[[#This Row],[Amplitud]]),0),IF(Categorias_Registro[[#This Row],[Puntos]]&lt;D1070,D1070,ROUND(D1070*(1+Categorias_Registro[[#This Row],[Amplitud]]),0)))</f>
        <v>1636</v>
      </c>
      <c r="E1069" s="15">
        <f>E1070+IF(D1070=Categorias_Registro[[#This Row],[Máximo]],0,1)</f>
        <v>21</v>
      </c>
      <c r="F1069" s="15">
        <f>ROUND(Categorias_Registro[[#This Row],[Mínimo]]+((Categorias_Registro[[#This Row],[Máximo]]-Categorias_Registro[[#This Row],[Mínimo]])/2),0)</f>
        <v>1530</v>
      </c>
      <c r="G1069" s="78">
        <f>VLOOKUP(Categorias_Registro[[#This Row],[Puntos]],Categorias_Configuracion[],MATCH(Categorias_Configuracion[[#Headers],[% Amplitud]],Categorias_Configuracion[#Headers],0),TRUE)</f>
        <v>0.15</v>
      </c>
      <c r="H1069" s="15" t="str">
        <f ca="1">TEXT(Categorias_Registro[[#This Row],[Mínimo]],Formato_Rango_Categorias)&amp;" - "&amp;TEXT(Categorias_Registro[[#This Row],[Máximo]],Formato_Rango_Categorias)</f>
        <v>1.424 - 1.636</v>
      </c>
    </row>
    <row r="1070" spans="2:8">
      <c r="B1070" s="15">
        <f>Techo - ROW() + ROW(Categorias_Registro[])</f>
        <v>1559</v>
      </c>
      <c r="C1070" s="15">
        <f>IF(Categorias_Registro[[#This Row],[Puntos]]&lt;=ROUND(Piso,0),Piso,IF(Categorias_Registro[[#This Row],[Puntos]]&lt;D1071,C1071,D1071+1))</f>
        <v>1424</v>
      </c>
      <c r="D1070" s="15">
        <f>IF(Categorias_Registro[[#This Row],[Puntos]]=ROUND(Piso,0),ROUND(Categorias_Registro[[#This Row],[Puntos]]*(1+Categorias_Registro[[#This Row],[Amplitud]]),0),IF(Categorias_Registro[[#This Row],[Puntos]]&lt;D1071,D1071,ROUND(D1071*(1+Categorias_Registro[[#This Row],[Amplitud]]),0)))</f>
        <v>1636</v>
      </c>
      <c r="E1070" s="15">
        <f>E1071+IF(D1071=Categorias_Registro[[#This Row],[Máximo]],0,1)</f>
        <v>21</v>
      </c>
      <c r="F1070" s="15">
        <f>ROUND(Categorias_Registro[[#This Row],[Mínimo]]+((Categorias_Registro[[#This Row],[Máximo]]-Categorias_Registro[[#This Row],[Mínimo]])/2),0)</f>
        <v>1530</v>
      </c>
      <c r="G1070" s="78">
        <f>VLOOKUP(Categorias_Registro[[#This Row],[Puntos]],Categorias_Configuracion[],MATCH(Categorias_Configuracion[[#Headers],[% Amplitud]],Categorias_Configuracion[#Headers],0),TRUE)</f>
        <v>0.15</v>
      </c>
      <c r="H1070" s="15" t="str">
        <f ca="1">TEXT(Categorias_Registro[[#This Row],[Mínimo]],Formato_Rango_Categorias)&amp;" - "&amp;TEXT(Categorias_Registro[[#This Row],[Máximo]],Formato_Rango_Categorias)</f>
        <v>1.424 - 1.636</v>
      </c>
    </row>
    <row r="1071" spans="2:8">
      <c r="B1071" s="15">
        <f>Techo - ROW() + ROW(Categorias_Registro[])</f>
        <v>1558</v>
      </c>
      <c r="C1071" s="15">
        <f>IF(Categorias_Registro[[#This Row],[Puntos]]&lt;=ROUND(Piso,0),Piso,IF(Categorias_Registro[[#This Row],[Puntos]]&lt;D1072,C1072,D1072+1))</f>
        <v>1424</v>
      </c>
      <c r="D1071" s="15">
        <f>IF(Categorias_Registro[[#This Row],[Puntos]]=ROUND(Piso,0),ROUND(Categorias_Registro[[#This Row],[Puntos]]*(1+Categorias_Registro[[#This Row],[Amplitud]]),0),IF(Categorias_Registro[[#This Row],[Puntos]]&lt;D1072,D1072,ROUND(D1072*(1+Categorias_Registro[[#This Row],[Amplitud]]),0)))</f>
        <v>1636</v>
      </c>
      <c r="E1071" s="15">
        <f>E1072+IF(D1072=Categorias_Registro[[#This Row],[Máximo]],0,1)</f>
        <v>21</v>
      </c>
      <c r="F1071" s="15">
        <f>ROUND(Categorias_Registro[[#This Row],[Mínimo]]+((Categorias_Registro[[#This Row],[Máximo]]-Categorias_Registro[[#This Row],[Mínimo]])/2),0)</f>
        <v>1530</v>
      </c>
      <c r="G1071" s="78">
        <f>VLOOKUP(Categorias_Registro[[#This Row],[Puntos]],Categorias_Configuracion[],MATCH(Categorias_Configuracion[[#Headers],[% Amplitud]],Categorias_Configuracion[#Headers],0),TRUE)</f>
        <v>0.15</v>
      </c>
      <c r="H1071" s="15" t="str">
        <f ca="1">TEXT(Categorias_Registro[[#This Row],[Mínimo]],Formato_Rango_Categorias)&amp;" - "&amp;TEXT(Categorias_Registro[[#This Row],[Máximo]],Formato_Rango_Categorias)</f>
        <v>1.424 - 1.636</v>
      </c>
    </row>
    <row r="1072" spans="2:8">
      <c r="B1072" s="15">
        <f>Techo - ROW() + ROW(Categorias_Registro[])</f>
        <v>1557</v>
      </c>
      <c r="C1072" s="15">
        <f>IF(Categorias_Registro[[#This Row],[Puntos]]&lt;=ROUND(Piso,0),Piso,IF(Categorias_Registro[[#This Row],[Puntos]]&lt;D1073,C1073,D1073+1))</f>
        <v>1424</v>
      </c>
      <c r="D1072" s="15">
        <f>IF(Categorias_Registro[[#This Row],[Puntos]]=ROUND(Piso,0),ROUND(Categorias_Registro[[#This Row],[Puntos]]*(1+Categorias_Registro[[#This Row],[Amplitud]]),0),IF(Categorias_Registro[[#This Row],[Puntos]]&lt;D1073,D1073,ROUND(D1073*(1+Categorias_Registro[[#This Row],[Amplitud]]),0)))</f>
        <v>1636</v>
      </c>
      <c r="E1072" s="15">
        <f>E1073+IF(D1073=Categorias_Registro[[#This Row],[Máximo]],0,1)</f>
        <v>21</v>
      </c>
      <c r="F1072" s="15">
        <f>ROUND(Categorias_Registro[[#This Row],[Mínimo]]+((Categorias_Registro[[#This Row],[Máximo]]-Categorias_Registro[[#This Row],[Mínimo]])/2),0)</f>
        <v>1530</v>
      </c>
      <c r="G1072" s="78">
        <f>VLOOKUP(Categorias_Registro[[#This Row],[Puntos]],Categorias_Configuracion[],MATCH(Categorias_Configuracion[[#Headers],[% Amplitud]],Categorias_Configuracion[#Headers],0),TRUE)</f>
        <v>0.15</v>
      </c>
      <c r="H1072" s="15" t="str">
        <f ca="1">TEXT(Categorias_Registro[[#This Row],[Mínimo]],Formato_Rango_Categorias)&amp;" - "&amp;TEXT(Categorias_Registro[[#This Row],[Máximo]],Formato_Rango_Categorias)</f>
        <v>1.424 - 1.636</v>
      </c>
    </row>
    <row r="1073" spans="2:8">
      <c r="B1073" s="15">
        <f>Techo - ROW() + ROW(Categorias_Registro[])</f>
        <v>1556</v>
      </c>
      <c r="C1073" s="15">
        <f>IF(Categorias_Registro[[#This Row],[Puntos]]&lt;=ROUND(Piso,0),Piso,IF(Categorias_Registro[[#This Row],[Puntos]]&lt;D1074,C1074,D1074+1))</f>
        <v>1424</v>
      </c>
      <c r="D1073" s="15">
        <f>IF(Categorias_Registro[[#This Row],[Puntos]]=ROUND(Piso,0),ROUND(Categorias_Registro[[#This Row],[Puntos]]*(1+Categorias_Registro[[#This Row],[Amplitud]]),0),IF(Categorias_Registro[[#This Row],[Puntos]]&lt;D1074,D1074,ROUND(D1074*(1+Categorias_Registro[[#This Row],[Amplitud]]),0)))</f>
        <v>1636</v>
      </c>
      <c r="E1073" s="15">
        <f>E1074+IF(D1074=Categorias_Registro[[#This Row],[Máximo]],0,1)</f>
        <v>21</v>
      </c>
      <c r="F1073" s="15">
        <f>ROUND(Categorias_Registro[[#This Row],[Mínimo]]+((Categorias_Registro[[#This Row],[Máximo]]-Categorias_Registro[[#This Row],[Mínimo]])/2),0)</f>
        <v>1530</v>
      </c>
      <c r="G1073" s="78">
        <f>VLOOKUP(Categorias_Registro[[#This Row],[Puntos]],Categorias_Configuracion[],MATCH(Categorias_Configuracion[[#Headers],[% Amplitud]],Categorias_Configuracion[#Headers],0),TRUE)</f>
        <v>0.15</v>
      </c>
      <c r="H1073" s="15" t="str">
        <f ca="1">TEXT(Categorias_Registro[[#This Row],[Mínimo]],Formato_Rango_Categorias)&amp;" - "&amp;TEXT(Categorias_Registro[[#This Row],[Máximo]],Formato_Rango_Categorias)</f>
        <v>1.424 - 1.636</v>
      </c>
    </row>
    <row r="1074" spans="2:8">
      <c r="B1074" s="15">
        <f>Techo - ROW() + ROW(Categorias_Registro[])</f>
        <v>1555</v>
      </c>
      <c r="C1074" s="15">
        <f>IF(Categorias_Registro[[#This Row],[Puntos]]&lt;=ROUND(Piso,0),Piso,IF(Categorias_Registro[[#This Row],[Puntos]]&lt;D1075,C1075,D1075+1))</f>
        <v>1424</v>
      </c>
      <c r="D1074" s="15">
        <f>IF(Categorias_Registro[[#This Row],[Puntos]]=ROUND(Piso,0),ROUND(Categorias_Registro[[#This Row],[Puntos]]*(1+Categorias_Registro[[#This Row],[Amplitud]]),0),IF(Categorias_Registro[[#This Row],[Puntos]]&lt;D1075,D1075,ROUND(D1075*(1+Categorias_Registro[[#This Row],[Amplitud]]),0)))</f>
        <v>1636</v>
      </c>
      <c r="E1074" s="15">
        <f>E1075+IF(D1075=Categorias_Registro[[#This Row],[Máximo]],0,1)</f>
        <v>21</v>
      </c>
      <c r="F1074" s="15">
        <f>ROUND(Categorias_Registro[[#This Row],[Mínimo]]+((Categorias_Registro[[#This Row],[Máximo]]-Categorias_Registro[[#This Row],[Mínimo]])/2),0)</f>
        <v>1530</v>
      </c>
      <c r="G1074" s="78">
        <f>VLOOKUP(Categorias_Registro[[#This Row],[Puntos]],Categorias_Configuracion[],MATCH(Categorias_Configuracion[[#Headers],[% Amplitud]],Categorias_Configuracion[#Headers],0),TRUE)</f>
        <v>0.15</v>
      </c>
      <c r="H1074" s="15" t="str">
        <f ca="1">TEXT(Categorias_Registro[[#This Row],[Mínimo]],Formato_Rango_Categorias)&amp;" - "&amp;TEXT(Categorias_Registro[[#This Row],[Máximo]],Formato_Rango_Categorias)</f>
        <v>1.424 - 1.636</v>
      </c>
    </row>
    <row r="1075" spans="2:8">
      <c r="B1075" s="15">
        <f>Techo - ROW() + ROW(Categorias_Registro[])</f>
        <v>1554</v>
      </c>
      <c r="C1075" s="15">
        <f>IF(Categorias_Registro[[#This Row],[Puntos]]&lt;=ROUND(Piso,0),Piso,IF(Categorias_Registro[[#This Row],[Puntos]]&lt;D1076,C1076,D1076+1))</f>
        <v>1424</v>
      </c>
      <c r="D1075" s="15">
        <f>IF(Categorias_Registro[[#This Row],[Puntos]]=ROUND(Piso,0),ROUND(Categorias_Registro[[#This Row],[Puntos]]*(1+Categorias_Registro[[#This Row],[Amplitud]]),0),IF(Categorias_Registro[[#This Row],[Puntos]]&lt;D1076,D1076,ROUND(D1076*(1+Categorias_Registro[[#This Row],[Amplitud]]),0)))</f>
        <v>1636</v>
      </c>
      <c r="E1075" s="15">
        <f>E1076+IF(D1076=Categorias_Registro[[#This Row],[Máximo]],0,1)</f>
        <v>21</v>
      </c>
      <c r="F1075" s="15">
        <f>ROUND(Categorias_Registro[[#This Row],[Mínimo]]+((Categorias_Registro[[#This Row],[Máximo]]-Categorias_Registro[[#This Row],[Mínimo]])/2),0)</f>
        <v>1530</v>
      </c>
      <c r="G1075" s="78">
        <f>VLOOKUP(Categorias_Registro[[#This Row],[Puntos]],Categorias_Configuracion[],MATCH(Categorias_Configuracion[[#Headers],[% Amplitud]],Categorias_Configuracion[#Headers],0),TRUE)</f>
        <v>0.15</v>
      </c>
      <c r="H1075" s="15" t="str">
        <f ca="1">TEXT(Categorias_Registro[[#This Row],[Mínimo]],Formato_Rango_Categorias)&amp;" - "&amp;TEXT(Categorias_Registro[[#This Row],[Máximo]],Formato_Rango_Categorias)</f>
        <v>1.424 - 1.636</v>
      </c>
    </row>
    <row r="1076" spans="2:8">
      <c r="B1076" s="15">
        <f>Techo - ROW() + ROW(Categorias_Registro[])</f>
        <v>1553</v>
      </c>
      <c r="C1076" s="15">
        <f>IF(Categorias_Registro[[#This Row],[Puntos]]&lt;=ROUND(Piso,0),Piso,IF(Categorias_Registro[[#This Row],[Puntos]]&lt;D1077,C1077,D1077+1))</f>
        <v>1424</v>
      </c>
      <c r="D1076" s="15">
        <f>IF(Categorias_Registro[[#This Row],[Puntos]]=ROUND(Piso,0),ROUND(Categorias_Registro[[#This Row],[Puntos]]*(1+Categorias_Registro[[#This Row],[Amplitud]]),0),IF(Categorias_Registro[[#This Row],[Puntos]]&lt;D1077,D1077,ROUND(D1077*(1+Categorias_Registro[[#This Row],[Amplitud]]),0)))</f>
        <v>1636</v>
      </c>
      <c r="E1076" s="15">
        <f>E1077+IF(D1077=Categorias_Registro[[#This Row],[Máximo]],0,1)</f>
        <v>21</v>
      </c>
      <c r="F1076" s="15">
        <f>ROUND(Categorias_Registro[[#This Row],[Mínimo]]+((Categorias_Registro[[#This Row],[Máximo]]-Categorias_Registro[[#This Row],[Mínimo]])/2),0)</f>
        <v>1530</v>
      </c>
      <c r="G1076" s="78">
        <f>VLOOKUP(Categorias_Registro[[#This Row],[Puntos]],Categorias_Configuracion[],MATCH(Categorias_Configuracion[[#Headers],[% Amplitud]],Categorias_Configuracion[#Headers],0),TRUE)</f>
        <v>0.15</v>
      </c>
      <c r="H1076" s="15" t="str">
        <f ca="1">TEXT(Categorias_Registro[[#This Row],[Mínimo]],Formato_Rango_Categorias)&amp;" - "&amp;TEXT(Categorias_Registro[[#This Row],[Máximo]],Formato_Rango_Categorias)</f>
        <v>1.424 - 1.636</v>
      </c>
    </row>
    <row r="1077" spans="2:8">
      <c r="B1077" s="15">
        <f>Techo - ROW() + ROW(Categorias_Registro[])</f>
        <v>1552</v>
      </c>
      <c r="C1077" s="15">
        <f>IF(Categorias_Registro[[#This Row],[Puntos]]&lt;=ROUND(Piso,0),Piso,IF(Categorias_Registro[[#This Row],[Puntos]]&lt;D1078,C1078,D1078+1))</f>
        <v>1424</v>
      </c>
      <c r="D1077" s="15">
        <f>IF(Categorias_Registro[[#This Row],[Puntos]]=ROUND(Piso,0),ROUND(Categorias_Registro[[#This Row],[Puntos]]*(1+Categorias_Registro[[#This Row],[Amplitud]]),0),IF(Categorias_Registro[[#This Row],[Puntos]]&lt;D1078,D1078,ROUND(D1078*(1+Categorias_Registro[[#This Row],[Amplitud]]),0)))</f>
        <v>1636</v>
      </c>
      <c r="E1077" s="15">
        <f>E1078+IF(D1078=Categorias_Registro[[#This Row],[Máximo]],0,1)</f>
        <v>21</v>
      </c>
      <c r="F1077" s="15">
        <f>ROUND(Categorias_Registro[[#This Row],[Mínimo]]+((Categorias_Registro[[#This Row],[Máximo]]-Categorias_Registro[[#This Row],[Mínimo]])/2),0)</f>
        <v>1530</v>
      </c>
      <c r="G1077" s="78">
        <f>VLOOKUP(Categorias_Registro[[#This Row],[Puntos]],Categorias_Configuracion[],MATCH(Categorias_Configuracion[[#Headers],[% Amplitud]],Categorias_Configuracion[#Headers],0),TRUE)</f>
        <v>0.15</v>
      </c>
      <c r="H1077" s="15" t="str">
        <f ca="1">TEXT(Categorias_Registro[[#This Row],[Mínimo]],Formato_Rango_Categorias)&amp;" - "&amp;TEXT(Categorias_Registro[[#This Row],[Máximo]],Formato_Rango_Categorias)</f>
        <v>1.424 - 1.636</v>
      </c>
    </row>
    <row r="1078" spans="2:8">
      <c r="B1078" s="15">
        <f>Techo - ROW() + ROW(Categorias_Registro[])</f>
        <v>1551</v>
      </c>
      <c r="C1078" s="15">
        <f>IF(Categorias_Registro[[#This Row],[Puntos]]&lt;=ROUND(Piso,0),Piso,IF(Categorias_Registro[[#This Row],[Puntos]]&lt;D1079,C1079,D1079+1))</f>
        <v>1424</v>
      </c>
      <c r="D1078" s="15">
        <f>IF(Categorias_Registro[[#This Row],[Puntos]]=ROUND(Piso,0),ROUND(Categorias_Registro[[#This Row],[Puntos]]*(1+Categorias_Registro[[#This Row],[Amplitud]]),0),IF(Categorias_Registro[[#This Row],[Puntos]]&lt;D1079,D1079,ROUND(D1079*(1+Categorias_Registro[[#This Row],[Amplitud]]),0)))</f>
        <v>1636</v>
      </c>
      <c r="E1078" s="15">
        <f>E1079+IF(D1079=Categorias_Registro[[#This Row],[Máximo]],0,1)</f>
        <v>21</v>
      </c>
      <c r="F1078" s="15">
        <f>ROUND(Categorias_Registro[[#This Row],[Mínimo]]+((Categorias_Registro[[#This Row],[Máximo]]-Categorias_Registro[[#This Row],[Mínimo]])/2),0)</f>
        <v>1530</v>
      </c>
      <c r="G1078" s="78">
        <f>VLOOKUP(Categorias_Registro[[#This Row],[Puntos]],Categorias_Configuracion[],MATCH(Categorias_Configuracion[[#Headers],[% Amplitud]],Categorias_Configuracion[#Headers],0),TRUE)</f>
        <v>0.15</v>
      </c>
      <c r="H1078" s="15" t="str">
        <f ca="1">TEXT(Categorias_Registro[[#This Row],[Mínimo]],Formato_Rango_Categorias)&amp;" - "&amp;TEXT(Categorias_Registro[[#This Row],[Máximo]],Formato_Rango_Categorias)</f>
        <v>1.424 - 1.636</v>
      </c>
    </row>
    <row r="1079" spans="2:8">
      <c r="B1079" s="15">
        <f>Techo - ROW() + ROW(Categorias_Registro[])</f>
        <v>1550</v>
      </c>
      <c r="C1079" s="15">
        <f>IF(Categorias_Registro[[#This Row],[Puntos]]&lt;=ROUND(Piso,0),Piso,IF(Categorias_Registro[[#This Row],[Puntos]]&lt;D1080,C1080,D1080+1))</f>
        <v>1424</v>
      </c>
      <c r="D1079" s="15">
        <f>IF(Categorias_Registro[[#This Row],[Puntos]]=ROUND(Piso,0),ROUND(Categorias_Registro[[#This Row],[Puntos]]*(1+Categorias_Registro[[#This Row],[Amplitud]]),0),IF(Categorias_Registro[[#This Row],[Puntos]]&lt;D1080,D1080,ROUND(D1080*(1+Categorias_Registro[[#This Row],[Amplitud]]),0)))</f>
        <v>1636</v>
      </c>
      <c r="E1079" s="15">
        <f>E1080+IF(D1080=Categorias_Registro[[#This Row],[Máximo]],0,1)</f>
        <v>21</v>
      </c>
      <c r="F1079" s="15">
        <f>ROUND(Categorias_Registro[[#This Row],[Mínimo]]+((Categorias_Registro[[#This Row],[Máximo]]-Categorias_Registro[[#This Row],[Mínimo]])/2),0)</f>
        <v>1530</v>
      </c>
      <c r="G1079" s="78">
        <f>VLOOKUP(Categorias_Registro[[#This Row],[Puntos]],Categorias_Configuracion[],MATCH(Categorias_Configuracion[[#Headers],[% Amplitud]],Categorias_Configuracion[#Headers],0),TRUE)</f>
        <v>0.15</v>
      </c>
      <c r="H1079" s="15" t="str">
        <f ca="1">TEXT(Categorias_Registro[[#This Row],[Mínimo]],Formato_Rango_Categorias)&amp;" - "&amp;TEXT(Categorias_Registro[[#This Row],[Máximo]],Formato_Rango_Categorias)</f>
        <v>1.424 - 1.636</v>
      </c>
    </row>
    <row r="1080" spans="2:8">
      <c r="B1080" s="15">
        <f>Techo - ROW() + ROW(Categorias_Registro[])</f>
        <v>1549</v>
      </c>
      <c r="C1080" s="15">
        <f>IF(Categorias_Registro[[#This Row],[Puntos]]&lt;=ROUND(Piso,0),Piso,IF(Categorias_Registro[[#This Row],[Puntos]]&lt;D1081,C1081,D1081+1))</f>
        <v>1424</v>
      </c>
      <c r="D1080" s="15">
        <f>IF(Categorias_Registro[[#This Row],[Puntos]]=ROUND(Piso,0),ROUND(Categorias_Registro[[#This Row],[Puntos]]*(1+Categorias_Registro[[#This Row],[Amplitud]]),0),IF(Categorias_Registro[[#This Row],[Puntos]]&lt;D1081,D1081,ROUND(D1081*(1+Categorias_Registro[[#This Row],[Amplitud]]),0)))</f>
        <v>1636</v>
      </c>
      <c r="E1080" s="15">
        <f>E1081+IF(D1081=Categorias_Registro[[#This Row],[Máximo]],0,1)</f>
        <v>21</v>
      </c>
      <c r="F1080" s="15">
        <f>ROUND(Categorias_Registro[[#This Row],[Mínimo]]+((Categorias_Registro[[#This Row],[Máximo]]-Categorias_Registro[[#This Row],[Mínimo]])/2),0)</f>
        <v>1530</v>
      </c>
      <c r="G1080" s="78">
        <f>VLOOKUP(Categorias_Registro[[#This Row],[Puntos]],Categorias_Configuracion[],MATCH(Categorias_Configuracion[[#Headers],[% Amplitud]],Categorias_Configuracion[#Headers],0),TRUE)</f>
        <v>0.15</v>
      </c>
      <c r="H1080" s="15" t="str">
        <f ca="1">TEXT(Categorias_Registro[[#This Row],[Mínimo]],Formato_Rango_Categorias)&amp;" - "&amp;TEXT(Categorias_Registro[[#This Row],[Máximo]],Formato_Rango_Categorias)</f>
        <v>1.424 - 1.636</v>
      </c>
    </row>
    <row r="1081" spans="2:8">
      <c r="B1081" s="15">
        <f>Techo - ROW() + ROW(Categorias_Registro[])</f>
        <v>1548</v>
      </c>
      <c r="C1081" s="15">
        <f>IF(Categorias_Registro[[#This Row],[Puntos]]&lt;=ROUND(Piso,0),Piso,IF(Categorias_Registro[[#This Row],[Puntos]]&lt;D1082,C1082,D1082+1))</f>
        <v>1424</v>
      </c>
      <c r="D1081" s="15">
        <f>IF(Categorias_Registro[[#This Row],[Puntos]]=ROUND(Piso,0),ROUND(Categorias_Registro[[#This Row],[Puntos]]*(1+Categorias_Registro[[#This Row],[Amplitud]]),0),IF(Categorias_Registro[[#This Row],[Puntos]]&lt;D1082,D1082,ROUND(D1082*(1+Categorias_Registro[[#This Row],[Amplitud]]),0)))</f>
        <v>1636</v>
      </c>
      <c r="E1081" s="15">
        <f>E1082+IF(D1082=Categorias_Registro[[#This Row],[Máximo]],0,1)</f>
        <v>21</v>
      </c>
      <c r="F1081" s="15">
        <f>ROUND(Categorias_Registro[[#This Row],[Mínimo]]+((Categorias_Registro[[#This Row],[Máximo]]-Categorias_Registro[[#This Row],[Mínimo]])/2),0)</f>
        <v>1530</v>
      </c>
      <c r="G1081" s="78">
        <f>VLOOKUP(Categorias_Registro[[#This Row],[Puntos]],Categorias_Configuracion[],MATCH(Categorias_Configuracion[[#Headers],[% Amplitud]],Categorias_Configuracion[#Headers],0),TRUE)</f>
        <v>0.15</v>
      </c>
      <c r="H1081" s="15" t="str">
        <f ca="1">TEXT(Categorias_Registro[[#This Row],[Mínimo]],Formato_Rango_Categorias)&amp;" - "&amp;TEXT(Categorias_Registro[[#This Row],[Máximo]],Formato_Rango_Categorias)</f>
        <v>1.424 - 1.636</v>
      </c>
    </row>
    <row r="1082" spans="2:8">
      <c r="B1082" s="15">
        <f>Techo - ROW() + ROW(Categorias_Registro[])</f>
        <v>1547</v>
      </c>
      <c r="C1082" s="15">
        <f>IF(Categorias_Registro[[#This Row],[Puntos]]&lt;=ROUND(Piso,0),Piso,IF(Categorias_Registro[[#This Row],[Puntos]]&lt;D1083,C1083,D1083+1))</f>
        <v>1424</v>
      </c>
      <c r="D1082" s="15">
        <f>IF(Categorias_Registro[[#This Row],[Puntos]]=ROUND(Piso,0),ROUND(Categorias_Registro[[#This Row],[Puntos]]*(1+Categorias_Registro[[#This Row],[Amplitud]]),0),IF(Categorias_Registro[[#This Row],[Puntos]]&lt;D1083,D1083,ROUND(D1083*(1+Categorias_Registro[[#This Row],[Amplitud]]),0)))</f>
        <v>1636</v>
      </c>
      <c r="E1082" s="15">
        <f>E1083+IF(D1083=Categorias_Registro[[#This Row],[Máximo]],0,1)</f>
        <v>21</v>
      </c>
      <c r="F1082" s="15">
        <f>ROUND(Categorias_Registro[[#This Row],[Mínimo]]+((Categorias_Registro[[#This Row],[Máximo]]-Categorias_Registro[[#This Row],[Mínimo]])/2),0)</f>
        <v>1530</v>
      </c>
      <c r="G1082" s="78">
        <f>VLOOKUP(Categorias_Registro[[#This Row],[Puntos]],Categorias_Configuracion[],MATCH(Categorias_Configuracion[[#Headers],[% Amplitud]],Categorias_Configuracion[#Headers],0),TRUE)</f>
        <v>0.15</v>
      </c>
      <c r="H1082" s="15" t="str">
        <f ca="1">TEXT(Categorias_Registro[[#This Row],[Mínimo]],Formato_Rango_Categorias)&amp;" - "&amp;TEXT(Categorias_Registro[[#This Row],[Máximo]],Formato_Rango_Categorias)</f>
        <v>1.424 - 1.636</v>
      </c>
    </row>
    <row r="1083" spans="2:8">
      <c r="B1083" s="15">
        <f>Techo - ROW() + ROW(Categorias_Registro[])</f>
        <v>1546</v>
      </c>
      <c r="C1083" s="15">
        <f>IF(Categorias_Registro[[#This Row],[Puntos]]&lt;=ROUND(Piso,0),Piso,IF(Categorias_Registro[[#This Row],[Puntos]]&lt;D1084,C1084,D1084+1))</f>
        <v>1424</v>
      </c>
      <c r="D1083" s="15">
        <f>IF(Categorias_Registro[[#This Row],[Puntos]]=ROUND(Piso,0),ROUND(Categorias_Registro[[#This Row],[Puntos]]*(1+Categorias_Registro[[#This Row],[Amplitud]]),0),IF(Categorias_Registro[[#This Row],[Puntos]]&lt;D1084,D1084,ROUND(D1084*(1+Categorias_Registro[[#This Row],[Amplitud]]),0)))</f>
        <v>1636</v>
      </c>
      <c r="E1083" s="15">
        <f>E1084+IF(D1084=Categorias_Registro[[#This Row],[Máximo]],0,1)</f>
        <v>21</v>
      </c>
      <c r="F1083" s="15">
        <f>ROUND(Categorias_Registro[[#This Row],[Mínimo]]+((Categorias_Registro[[#This Row],[Máximo]]-Categorias_Registro[[#This Row],[Mínimo]])/2),0)</f>
        <v>1530</v>
      </c>
      <c r="G1083" s="78">
        <f>VLOOKUP(Categorias_Registro[[#This Row],[Puntos]],Categorias_Configuracion[],MATCH(Categorias_Configuracion[[#Headers],[% Amplitud]],Categorias_Configuracion[#Headers],0),TRUE)</f>
        <v>0.15</v>
      </c>
      <c r="H1083" s="15" t="str">
        <f ca="1">TEXT(Categorias_Registro[[#This Row],[Mínimo]],Formato_Rango_Categorias)&amp;" - "&amp;TEXT(Categorias_Registro[[#This Row],[Máximo]],Formato_Rango_Categorias)</f>
        <v>1.424 - 1.636</v>
      </c>
    </row>
    <row r="1084" spans="2:8">
      <c r="B1084" s="15">
        <f>Techo - ROW() + ROW(Categorias_Registro[])</f>
        <v>1545</v>
      </c>
      <c r="C1084" s="15">
        <f>IF(Categorias_Registro[[#This Row],[Puntos]]&lt;=ROUND(Piso,0),Piso,IF(Categorias_Registro[[#This Row],[Puntos]]&lt;D1085,C1085,D1085+1))</f>
        <v>1424</v>
      </c>
      <c r="D1084" s="15">
        <f>IF(Categorias_Registro[[#This Row],[Puntos]]=ROUND(Piso,0),ROUND(Categorias_Registro[[#This Row],[Puntos]]*(1+Categorias_Registro[[#This Row],[Amplitud]]),0),IF(Categorias_Registro[[#This Row],[Puntos]]&lt;D1085,D1085,ROUND(D1085*(1+Categorias_Registro[[#This Row],[Amplitud]]),0)))</f>
        <v>1636</v>
      </c>
      <c r="E1084" s="15">
        <f>E1085+IF(D1085=Categorias_Registro[[#This Row],[Máximo]],0,1)</f>
        <v>21</v>
      </c>
      <c r="F1084" s="15">
        <f>ROUND(Categorias_Registro[[#This Row],[Mínimo]]+((Categorias_Registro[[#This Row],[Máximo]]-Categorias_Registro[[#This Row],[Mínimo]])/2),0)</f>
        <v>1530</v>
      </c>
      <c r="G1084" s="78">
        <f>VLOOKUP(Categorias_Registro[[#This Row],[Puntos]],Categorias_Configuracion[],MATCH(Categorias_Configuracion[[#Headers],[% Amplitud]],Categorias_Configuracion[#Headers],0),TRUE)</f>
        <v>0.15</v>
      </c>
      <c r="H1084" s="15" t="str">
        <f ca="1">TEXT(Categorias_Registro[[#This Row],[Mínimo]],Formato_Rango_Categorias)&amp;" - "&amp;TEXT(Categorias_Registro[[#This Row],[Máximo]],Formato_Rango_Categorias)</f>
        <v>1.424 - 1.636</v>
      </c>
    </row>
    <row r="1085" spans="2:8">
      <c r="B1085" s="15">
        <f>Techo - ROW() + ROW(Categorias_Registro[])</f>
        <v>1544</v>
      </c>
      <c r="C1085" s="15">
        <f>IF(Categorias_Registro[[#This Row],[Puntos]]&lt;=ROUND(Piso,0),Piso,IF(Categorias_Registro[[#This Row],[Puntos]]&lt;D1086,C1086,D1086+1))</f>
        <v>1424</v>
      </c>
      <c r="D1085" s="15">
        <f>IF(Categorias_Registro[[#This Row],[Puntos]]=ROUND(Piso,0),ROUND(Categorias_Registro[[#This Row],[Puntos]]*(1+Categorias_Registro[[#This Row],[Amplitud]]),0),IF(Categorias_Registro[[#This Row],[Puntos]]&lt;D1086,D1086,ROUND(D1086*(1+Categorias_Registro[[#This Row],[Amplitud]]),0)))</f>
        <v>1636</v>
      </c>
      <c r="E1085" s="15">
        <f>E1086+IF(D1086=Categorias_Registro[[#This Row],[Máximo]],0,1)</f>
        <v>21</v>
      </c>
      <c r="F1085" s="15">
        <f>ROUND(Categorias_Registro[[#This Row],[Mínimo]]+((Categorias_Registro[[#This Row],[Máximo]]-Categorias_Registro[[#This Row],[Mínimo]])/2),0)</f>
        <v>1530</v>
      </c>
      <c r="G1085" s="78">
        <f>VLOOKUP(Categorias_Registro[[#This Row],[Puntos]],Categorias_Configuracion[],MATCH(Categorias_Configuracion[[#Headers],[% Amplitud]],Categorias_Configuracion[#Headers],0),TRUE)</f>
        <v>0.15</v>
      </c>
      <c r="H1085" s="15" t="str">
        <f ca="1">TEXT(Categorias_Registro[[#This Row],[Mínimo]],Formato_Rango_Categorias)&amp;" - "&amp;TEXT(Categorias_Registro[[#This Row],[Máximo]],Formato_Rango_Categorias)</f>
        <v>1.424 - 1.636</v>
      </c>
    </row>
    <row r="1086" spans="2:8">
      <c r="B1086" s="15">
        <f>Techo - ROW() + ROW(Categorias_Registro[])</f>
        <v>1543</v>
      </c>
      <c r="C1086" s="15">
        <f>IF(Categorias_Registro[[#This Row],[Puntos]]&lt;=ROUND(Piso,0),Piso,IF(Categorias_Registro[[#This Row],[Puntos]]&lt;D1087,C1087,D1087+1))</f>
        <v>1424</v>
      </c>
      <c r="D1086" s="15">
        <f>IF(Categorias_Registro[[#This Row],[Puntos]]=ROUND(Piso,0),ROUND(Categorias_Registro[[#This Row],[Puntos]]*(1+Categorias_Registro[[#This Row],[Amplitud]]),0),IF(Categorias_Registro[[#This Row],[Puntos]]&lt;D1087,D1087,ROUND(D1087*(1+Categorias_Registro[[#This Row],[Amplitud]]),0)))</f>
        <v>1636</v>
      </c>
      <c r="E1086" s="15">
        <f>E1087+IF(D1087=Categorias_Registro[[#This Row],[Máximo]],0,1)</f>
        <v>21</v>
      </c>
      <c r="F1086" s="15">
        <f>ROUND(Categorias_Registro[[#This Row],[Mínimo]]+((Categorias_Registro[[#This Row],[Máximo]]-Categorias_Registro[[#This Row],[Mínimo]])/2),0)</f>
        <v>1530</v>
      </c>
      <c r="G1086" s="78">
        <f>VLOOKUP(Categorias_Registro[[#This Row],[Puntos]],Categorias_Configuracion[],MATCH(Categorias_Configuracion[[#Headers],[% Amplitud]],Categorias_Configuracion[#Headers],0),TRUE)</f>
        <v>0.15</v>
      </c>
      <c r="H1086" s="15" t="str">
        <f ca="1">TEXT(Categorias_Registro[[#This Row],[Mínimo]],Formato_Rango_Categorias)&amp;" - "&amp;TEXT(Categorias_Registro[[#This Row],[Máximo]],Formato_Rango_Categorias)</f>
        <v>1.424 - 1.636</v>
      </c>
    </row>
    <row r="1087" spans="2:8">
      <c r="B1087" s="15">
        <f>Techo - ROW() + ROW(Categorias_Registro[])</f>
        <v>1542</v>
      </c>
      <c r="C1087" s="15">
        <f>IF(Categorias_Registro[[#This Row],[Puntos]]&lt;=ROUND(Piso,0),Piso,IF(Categorias_Registro[[#This Row],[Puntos]]&lt;D1088,C1088,D1088+1))</f>
        <v>1424</v>
      </c>
      <c r="D1087" s="15">
        <f>IF(Categorias_Registro[[#This Row],[Puntos]]=ROUND(Piso,0),ROUND(Categorias_Registro[[#This Row],[Puntos]]*(1+Categorias_Registro[[#This Row],[Amplitud]]),0),IF(Categorias_Registro[[#This Row],[Puntos]]&lt;D1088,D1088,ROUND(D1088*(1+Categorias_Registro[[#This Row],[Amplitud]]),0)))</f>
        <v>1636</v>
      </c>
      <c r="E1087" s="15">
        <f>E1088+IF(D1088=Categorias_Registro[[#This Row],[Máximo]],0,1)</f>
        <v>21</v>
      </c>
      <c r="F1087" s="15">
        <f>ROUND(Categorias_Registro[[#This Row],[Mínimo]]+((Categorias_Registro[[#This Row],[Máximo]]-Categorias_Registro[[#This Row],[Mínimo]])/2),0)</f>
        <v>1530</v>
      </c>
      <c r="G1087" s="78">
        <f>VLOOKUP(Categorias_Registro[[#This Row],[Puntos]],Categorias_Configuracion[],MATCH(Categorias_Configuracion[[#Headers],[% Amplitud]],Categorias_Configuracion[#Headers],0),TRUE)</f>
        <v>0.15</v>
      </c>
      <c r="H1087" s="15" t="str">
        <f ca="1">TEXT(Categorias_Registro[[#This Row],[Mínimo]],Formato_Rango_Categorias)&amp;" - "&amp;TEXT(Categorias_Registro[[#This Row],[Máximo]],Formato_Rango_Categorias)</f>
        <v>1.424 - 1.636</v>
      </c>
    </row>
    <row r="1088" spans="2:8">
      <c r="B1088" s="15">
        <f>Techo - ROW() + ROW(Categorias_Registro[])</f>
        <v>1541</v>
      </c>
      <c r="C1088" s="15">
        <f>IF(Categorias_Registro[[#This Row],[Puntos]]&lt;=ROUND(Piso,0),Piso,IF(Categorias_Registro[[#This Row],[Puntos]]&lt;D1089,C1089,D1089+1))</f>
        <v>1424</v>
      </c>
      <c r="D1088" s="15">
        <f>IF(Categorias_Registro[[#This Row],[Puntos]]=ROUND(Piso,0),ROUND(Categorias_Registro[[#This Row],[Puntos]]*(1+Categorias_Registro[[#This Row],[Amplitud]]),0),IF(Categorias_Registro[[#This Row],[Puntos]]&lt;D1089,D1089,ROUND(D1089*(1+Categorias_Registro[[#This Row],[Amplitud]]),0)))</f>
        <v>1636</v>
      </c>
      <c r="E1088" s="15">
        <f>E1089+IF(D1089=Categorias_Registro[[#This Row],[Máximo]],0,1)</f>
        <v>21</v>
      </c>
      <c r="F1088" s="15">
        <f>ROUND(Categorias_Registro[[#This Row],[Mínimo]]+((Categorias_Registro[[#This Row],[Máximo]]-Categorias_Registro[[#This Row],[Mínimo]])/2),0)</f>
        <v>1530</v>
      </c>
      <c r="G1088" s="78">
        <f>VLOOKUP(Categorias_Registro[[#This Row],[Puntos]],Categorias_Configuracion[],MATCH(Categorias_Configuracion[[#Headers],[% Amplitud]],Categorias_Configuracion[#Headers],0),TRUE)</f>
        <v>0.15</v>
      </c>
      <c r="H1088" s="15" t="str">
        <f ca="1">TEXT(Categorias_Registro[[#This Row],[Mínimo]],Formato_Rango_Categorias)&amp;" - "&amp;TEXT(Categorias_Registro[[#This Row],[Máximo]],Formato_Rango_Categorias)</f>
        <v>1.424 - 1.636</v>
      </c>
    </row>
    <row r="1089" spans="2:8">
      <c r="B1089" s="15">
        <f>Techo - ROW() + ROW(Categorias_Registro[])</f>
        <v>1540</v>
      </c>
      <c r="C1089" s="15">
        <f>IF(Categorias_Registro[[#This Row],[Puntos]]&lt;=ROUND(Piso,0),Piso,IF(Categorias_Registro[[#This Row],[Puntos]]&lt;D1090,C1090,D1090+1))</f>
        <v>1424</v>
      </c>
      <c r="D1089" s="15">
        <f>IF(Categorias_Registro[[#This Row],[Puntos]]=ROUND(Piso,0),ROUND(Categorias_Registro[[#This Row],[Puntos]]*(1+Categorias_Registro[[#This Row],[Amplitud]]),0),IF(Categorias_Registro[[#This Row],[Puntos]]&lt;D1090,D1090,ROUND(D1090*(1+Categorias_Registro[[#This Row],[Amplitud]]),0)))</f>
        <v>1636</v>
      </c>
      <c r="E1089" s="15">
        <f>E1090+IF(D1090=Categorias_Registro[[#This Row],[Máximo]],0,1)</f>
        <v>21</v>
      </c>
      <c r="F1089" s="15">
        <f>ROUND(Categorias_Registro[[#This Row],[Mínimo]]+((Categorias_Registro[[#This Row],[Máximo]]-Categorias_Registro[[#This Row],[Mínimo]])/2),0)</f>
        <v>1530</v>
      </c>
      <c r="G1089" s="78">
        <f>VLOOKUP(Categorias_Registro[[#This Row],[Puntos]],Categorias_Configuracion[],MATCH(Categorias_Configuracion[[#Headers],[% Amplitud]],Categorias_Configuracion[#Headers],0),TRUE)</f>
        <v>0.15</v>
      </c>
      <c r="H1089" s="15" t="str">
        <f ca="1">TEXT(Categorias_Registro[[#This Row],[Mínimo]],Formato_Rango_Categorias)&amp;" - "&amp;TEXT(Categorias_Registro[[#This Row],[Máximo]],Formato_Rango_Categorias)</f>
        <v>1.424 - 1.636</v>
      </c>
    </row>
    <row r="1090" spans="2:8">
      <c r="B1090" s="15">
        <f>Techo - ROW() + ROW(Categorias_Registro[])</f>
        <v>1539</v>
      </c>
      <c r="C1090" s="15">
        <f>IF(Categorias_Registro[[#This Row],[Puntos]]&lt;=ROUND(Piso,0),Piso,IF(Categorias_Registro[[#This Row],[Puntos]]&lt;D1091,C1091,D1091+1))</f>
        <v>1424</v>
      </c>
      <c r="D1090" s="15">
        <f>IF(Categorias_Registro[[#This Row],[Puntos]]=ROUND(Piso,0),ROUND(Categorias_Registro[[#This Row],[Puntos]]*(1+Categorias_Registro[[#This Row],[Amplitud]]),0),IF(Categorias_Registro[[#This Row],[Puntos]]&lt;D1091,D1091,ROUND(D1091*(1+Categorias_Registro[[#This Row],[Amplitud]]),0)))</f>
        <v>1636</v>
      </c>
      <c r="E1090" s="15">
        <f>E1091+IF(D1091=Categorias_Registro[[#This Row],[Máximo]],0,1)</f>
        <v>21</v>
      </c>
      <c r="F1090" s="15">
        <f>ROUND(Categorias_Registro[[#This Row],[Mínimo]]+((Categorias_Registro[[#This Row],[Máximo]]-Categorias_Registro[[#This Row],[Mínimo]])/2),0)</f>
        <v>1530</v>
      </c>
      <c r="G1090" s="78">
        <f>VLOOKUP(Categorias_Registro[[#This Row],[Puntos]],Categorias_Configuracion[],MATCH(Categorias_Configuracion[[#Headers],[% Amplitud]],Categorias_Configuracion[#Headers],0),TRUE)</f>
        <v>0.15</v>
      </c>
      <c r="H1090" s="15" t="str">
        <f ca="1">TEXT(Categorias_Registro[[#This Row],[Mínimo]],Formato_Rango_Categorias)&amp;" - "&amp;TEXT(Categorias_Registro[[#This Row],[Máximo]],Formato_Rango_Categorias)</f>
        <v>1.424 - 1.636</v>
      </c>
    </row>
    <row r="1091" spans="2:8">
      <c r="B1091" s="15">
        <f>Techo - ROW() + ROW(Categorias_Registro[])</f>
        <v>1538</v>
      </c>
      <c r="C1091" s="15">
        <f>IF(Categorias_Registro[[#This Row],[Puntos]]&lt;=ROUND(Piso,0),Piso,IF(Categorias_Registro[[#This Row],[Puntos]]&lt;D1092,C1092,D1092+1))</f>
        <v>1424</v>
      </c>
      <c r="D1091" s="15">
        <f>IF(Categorias_Registro[[#This Row],[Puntos]]=ROUND(Piso,0),ROUND(Categorias_Registro[[#This Row],[Puntos]]*(1+Categorias_Registro[[#This Row],[Amplitud]]),0),IF(Categorias_Registro[[#This Row],[Puntos]]&lt;D1092,D1092,ROUND(D1092*(1+Categorias_Registro[[#This Row],[Amplitud]]),0)))</f>
        <v>1636</v>
      </c>
      <c r="E1091" s="15">
        <f>E1092+IF(D1092=Categorias_Registro[[#This Row],[Máximo]],0,1)</f>
        <v>21</v>
      </c>
      <c r="F1091" s="15">
        <f>ROUND(Categorias_Registro[[#This Row],[Mínimo]]+((Categorias_Registro[[#This Row],[Máximo]]-Categorias_Registro[[#This Row],[Mínimo]])/2),0)</f>
        <v>1530</v>
      </c>
      <c r="G1091" s="78">
        <f>VLOOKUP(Categorias_Registro[[#This Row],[Puntos]],Categorias_Configuracion[],MATCH(Categorias_Configuracion[[#Headers],[% Amplitud]],Categorias_Configuracion[#Headers],0),TRUE)</f>
        <v>0.15</v>
      </c>
      <c r="H1091" s="15" t="str">
        <f ca="1">TEXT(Categorias_Registro[[#This Row],[Mínimo]],Formato_Rango_Categorias)&amp;" - "&amp;TEXT(Categorias_Registro[[#This Row],[Máximo]],Formato_Rango_Categorias)</f>
        <v>1.424 - 1.636</v>
      </c>
    </row>
    <row r="1092" spans="2:8">
      <c r="B1092" s="15">
        <f>Techo - ROW() + ROW(Categorias_Registro[])</f>
        <v>1537</v>
      </c>
      <c r="C1092" s="15">
        <f>IF(Categorias_Registro[[#This Row],[Puntos]]&lt;=ROUND(Piso,0),Piso,IF(Categorias_Registro[[#This Row],[Puntos]]&lt;D1093,C1093,D1093+1))</f>
        <v>1424</v>
      </c>
      <c r="D1092" s="15">
        <f>IF(Categorias_Registro[[#This Row],[Puntos]]=ROUND(Piso,0),ROUND(Categorias_Registro[[#This Row],[Puntos]]*(1+Categorias_Registro[[#This Row],[Amplitud]]),0),IF(Categorias_Registro[[#This Row],[Puntos]]&lt;D1093,D1093,ROUND(D1093*(1+Categorias_Registro[[#This Row],[Amplitud]]),0)))</f>
        <v>1636</v>
      </c>
      <c r="E1092" s="15">
        <f>E1093+IF(D1093=Categorias_Registro[[#This Row],[Máximo]],0,1)</f>
        <v>21</v>
      </c>
      <c r="F1092" s="15">
        <f>ROUND(Categorias_Registro[[#This Row],[Mínimo]]+((Categorias_Registro[[#This Row],[Máximo]]-Categorias_Registro[[#This Row],[Mínimo]])/2),0)</f>
        <v>1530</v>
      </c>
      <c r="G1092" s="78">
        <f>VLOOKUP(Categorias_Registro[[#This Row],[Puntos]],Categorias_Configuracion[],MATCH(Categorias_Configuracion[[#Headers],[% Amplitud]],Categorias_Configuracion[#Headers],0),TRUE)</f>
        <v>0.15</v>
      </c>
      <c r="H1092" s="15" t="str">
        <f ca="1">TEXT(Categorias_Registro[[#This Row],[Mínimo]],Formato_Rango_Categorias)&amp;" - "&amp;TEXT(Categorias_Registro[[#This Row],[Máximo]],Formato_Rango_Categorias)</f>
        <v>1.424 - 1.636</v>
      </c>
    </row>
    <row r="1093" spans="2:8">
      <c r="B1093" s="15">
        <f>Techo - ROW() + ROW(Categorias_Registro[])</f>
        <v>1536</v>
      </c>
      <c r="C1093" s="15">
        <f>IF(Categorias_Registro[[#This Row],[Puntos]]&lt;=ROUND(Piso,0),Piso,IF(Categorias_Registro[[#This Row],[Puntos]]&lt;D1094,C1094,D1094+1))</f>
        <v>1424</v>
      </c>
      <c r="D1093" s="15">
        <f>IF(Categorias_Registro[[#This Row],[Puntos]]=ROUND(Piso,0),ROUND(Categorias_Registro[[#This Row],[Puntos]]*(1+Categorias_Registro[[#This Row],[Amplitud]]),0),IF(Categorias_Registro[[#This Row],[Puntos]]&lt;D1094,D1094,ROUND(D1094*(1+Categorias_Registro[[#This Row],[Amplitud]]),0)))</f>
        <v>1636</v>
      </c>
      <c r="E1093" s="15">
        <f>E1094+IF(D1094=Categorias_Registro[[#This Row],[Máximo]],0,1)</f>
        <v>21</v>
      </c>
      <c r="F1093" s="15">
        <f>ROUND(Categorias_Registro[[#This Row],[Mínimo]]+((Categorias_Registro[[#This Row],[Máximo]]-Categorias_Registro[[#This Row],[Mínimo]])/2),0)</f>
        <v>1530</v>
      </c>
      <c r="G1093" s="78">
        <f>VLOOKUP(Categorias_Registro[[#This Row],[Puntos]],Categorias_Configuracion[],MATCH(Categorias_Configuracion[[#Headers],[% Amplitud]],Categorias_Configuracion[#Headers],0),TRUE)</f>
        <v>0.15</v>
      </c>
      <c r="H1093" s="15" t="str">
        <f ca="1">TEXT(Categorias_Registro[[#This Row],[Mínimo]],Formato_Rango_Categorias)&amp;" - "&amp;TEXT(Categorias_Registro[[#This Row],[Máximo]],Formato_Rango_Categorias)</f>
        <v>1.424 - 1.636</v>
      </c>
    </row>
    <row r="1094" spans="2:8">
      <c r="B1094" s="15">
        <f>Techo - ROW() + ROW(Categorias_Registro[])</f>
        <v>1535</v>
      </c>
      <c r="C1094" s="15">
        <f>IF(Categorias_Registro[[#This Row],[Puntos]]&lt;=ROUND(Piso,0),Piso,IF(Categorias_Registro[[#This Row],[Puntos]]&lt;D1095,C1095,D1095+1))</f>
        <v>1424</v>
      </c>
      <c r="D1094" s="15">
        <f>IF(Categorias_Registro[[#This Row],[Puntos]]=ROUND(Piso,0),ROUND(Categorias_Registro[[#This Row],[Puntos]]*(1+Categorias_Registro[[#This Row],[Amplitud]]),0),IF(Categorias_Registro[[#This Row],[Puntos]]&lt;D1095,D1095,ROUND(D1095*(1+Categorias_Registro[[#This Row],[Amplitud]]),0)))</f>
        <v>1636</v>
      </c>
      <c r="E1094" s="15">
        <f>E1095+IF(D1095=Categorias_Registro[[#This Row],[Máximo]],0,1)</f>
        <v>21</v>
      </c>
      <c r="F1094" s="15">
        <f>ROUND(Categorias_Registro[[#This Row],[Mínimo]]+((Categorias_Registro[[#This Row],[Máximo]]-Categorias_Registro[[#This Row],[Mínimo]])/2),0)</f>
        <v>1530</v>
      </c>
      <c r="G1094" s="78">
        <f>VLOOKUP(Categorias_Registro[[#This Row],[Puntos]],Categorias_Configuracion[],MATCH(Categorias_Configuracion[[#Headers],[% Amplitud]],Categorias_Configuracion[#Headers],0),TRUE)</f>
        <v>0.15</v>
      </c>
      <c r="H1094" s="15" t="str">
        <f ca="1">TEXT(Categorias_Registro[[#This Row],[Mínimo]],Formato_Rango_Categorias)&amp;" - "&amp;TEXT(Categorias_Registro[[#This Row],[Máximo]],Formato_Rango_Categorias)</f>
        <v>1.424 - 1.636</v>
      </c>
    </row>
    <row r="1095" spans="2:8">
      <c r="B1095" s="15">
        <f>Techo - ROW() + ROW(Categorias_Registro[])</f>
        <v>1534</v>
      </c>
      <c r="C1095" s="15">
        <f>IF(Categorias_Registro[[#This Row],[Puntos]]&lt;=ROUND(Piso,0),Piso,IF(Categorias_Registro[[#This Row],[Puntos]]&lt;D1096,C1096,D1096+1))</f>
        <v>1424</v>
      </c>
      <c r="D1095" s="15">
        <f>IF(Categorias_Registro[[#This Row],[Puntos]]=ROUND(Piso,0),ROUND(Categorias_Registro[[#This Row],[Puntos]]*(1+Categorias_Registro[[#This Row],[Amplitud]]),0),IF(Categorias_Registro[[#This Row],[Puntos]]&lt;D1096,D1096,ROUND(D1096*(1+Categorias_Registro[[#This Row],[Amplitud]]),0)))</f>
        <v>1636</v>
      </c>
      <c r="E1095" s="15">
        <f>E1096+IF(D1096=Categorias_Registro[[#This Row],[Máximo]],0,1)</f>
        <v>21</v>
      </c>
      <c r="F1095" s="15">
        <f>ROUND(Categorias_Registro[[#This Row],[Mínimo]]+((Categorias_Registro[[#This Row],[Máximo]]-Categorias_Registro[[#This Row],[Mínimo]])/2),0)</f>
        <v>1530</v>
      </c>
      <c r="G1095" s="78">
        <f>VLOOKUP(Categorias_Registro[[#This Row],[Puntos]],Categorias_Configuracion[],MATCH(Categorias_Configuracion[[#Headers],[% Amplitud]],Categorias_Configuracion[#Headers],0),TRUE)</f>
        <v>0.15</v>
      </c>
      <c r="H1095" s="15" t="str">
        <f ca="1">TEXT(Categorias_Registro[[#This Row],[Mínimo]],Formato_Rango_Categorias)&amp;" - "&amp;TEXT(Categorias_Registro[[#This Row],[Máximo]],Formato_Rango_Categorias)</f>
        <v>1.424 - 1.636</v>
      </c>
    </row>
    <row r="1096" spans="2:8">
      <c r="B1096" s="15">
        <f>Techo - ROW() + ROW(Categorias_Registro[])</f>
        <v>1533</v>
      </c>
      <c r="C1096" s="15">
        <f>IF(Categorias_Registro[[#This Row],[Puntos]]&lt;=ROUND(Piso,0),Piso,IF(Categorias_Registro[[#This Row],[Puntos]]&lt;D1097,C1097,D1097+1))</f>
        <v>1424</v>
      </c>
      <c r="D1096" s="15">
        <f>IF(Categorias_Registro[[#This Row],[Puntos]]=ROUND(Piso,0),ROUND(Categorias_Registro[[#This Row],[Puntos]]*(1+Categorias_Registro[[#This Row],[Amplitud]]),0),IF(Categorias_Registro[[#This Row],[Puntos]]&lt;D1097,D1097,ROUND(D1097*(1+Categorias_Registro[[#This Row],[Amplitud]]),0)))</f>
        <v>1636</v>
      </c>
      <c r="E1096" s="15">
        <f>E1097+IF(D1097=Categorias_Registro[[#This Row],[Máximo]],0,1)</f>
        <v>21</v>
      </c>
      <c r="F1096" s="15">
        <f>ROUND(Categorias_Registro[[#This Row],[Mínimo]]+((Categorias_Registro[[#This Row],[Máximo]]-Categorias_Registro[[#This Row],[Mínimo]])/2),0)</f>
        <v>1530</v>
      </c>
      <c r="G1096" s="78">
        <f>VLOOKUP(Categorias_Registro[[#This Row],[Puntos]],Categorias_Configuracion[],MATCH(Categorias_Configuracion[[#Headers],[% Amplitud]],Categorias_Configuracion[#Headers],0),TRUE)</f>
        <v>0.15</v>
      </c>
      <c r="H1096" s="15" t="str">
        <f ca="1">TEXT(Categorias_Registro[[#This Row],[Mínimo]],Formato_Rango_Categorias)&amp;" - "&amp;TEXT(Categorias_Registro[[#This Row],[Máximo]],Formato_Rango_Categorias)</f>
        <v>1.424 - 1.636</v>
      </c>
    </row>
    <row r="1097" spans="2:8">
      <c r="B1097" s="15">
        <f>Techo - ROW() + ROW(Categorias_Registro[])</f>
        <v>1532</v>
      </c>
      <c r="C1097" s="15">
        <f>IF(Categorias_Registro[[#This Row],[Puntos]]&lt;=ROUND(Piso,0),Piso,IF(Categorias_Registro[[#This Row],[Puntos]]&lt;D1098,C1098,D1098+1))</f>
        <v>1424</v>
      </c>
      <c r="D1097" s="15">
        <f>IF(Categorias_Registro[[#This Row],[Puntos]]=ROUND(Piso,0),ROUND(Categorias_Registro[[#This Row],[Puntos]]*(1+Categorias_Registro[[#This Row],[Amplitud]]),0),IF(Categorias_Registro[[#This Row],[Puntos]]&lt;D1098,D1098,ROUND(D1098*(1+Categorias_Registro[[#This Row],[Amplitud]]),0)))</f>
        <v>1636</v>
      </c>
      <c r="E1097" s="15">
        <f>E1098+IF(D1098=Categorias_Registro[[#This Row],[Máximo]],0,1)</f>
        <v>21</v>
      </c>
      <c r="F1097" s="15">
        <f>ROUND(Categorias_Registro[[#This Row],[Mínimo]]+((Categorias_Registro[[#This Row],[Máximo]]-Categorias_Registro[[#This Row],[Mínimo]])/2),0)</f>
        <v>1530</v>
      </c>
      <c r="G1097" s="78">
        <f>VLOOKUP(Categorias_Registro[[#This Row],[Puntos]],Categorias_Configuracion[],MATCH(Categorias_Configuracion[[#Headers],[% Amplitud]],Categorias_Configuracion[#Headers],0),TRUE)</f>
        <v>0.15</v>
      </c>
      <c r="H1097" s="15" t="str">
        <f ca="1">TEXT(Categorias_Registro[[#This Row],[Mínimo]],Formato_Rango_Categorias)&amp;" - "&amp;TEXT(Categorias_Registro[[#This Row],[Máximo]],Formato_Rango_Categorias)</f>
        <v>1.424 - 1.636</v>
      </c>
    </row>
    <row r="1098" spans="2:8">
      <c r="B1098" s="15">
        <f>Techo - ROW() + ROW(Categorias_Registro[])</f>
        <v>1531</v>
      </c>
      <c r="C1098" s="15">
        <f>IF(Categorias_Registro[[#This Row],[Puntos]]&lt;=ROUND(Piso,0),Piso,IF(Categorias_Registro[[#This Row],[Puntos]]&lt;D1099,C1099,D1099+1))</f>
        <v>1424</v>
      </c>
      <c r="D1098" s="15">
        <f>IF(Categorias_Registro[[#This Row],[Puntos]]=ROUND(Piso,0),ROUND(Categorias_Registro[[#This Row],[Puntos]]*(1+Categorias_Registro[[#This Row],[Amplitud]]),0),IF(Categorias_Registro[[#This Row],[Puntos]]&lt;D1099,D1099,ROUND(D1099*(1+Categorias_Registro[[#This Row],[Amplitud]]),0)))</f>
        <v>1636</v>
      </c>
      <c r="E1098" s="15">
        <f>E1099+IF(D1099=Categorias_Registro[[#This Row],[Máximo]],0,1)</f>
        <v>21</v>
      </c>
      <c r="F1098" s="15">
        <f>ROUND(Categorias_Registro[[#This Row],[Mínimo]]+((Categorias_Registro[[#This Row],[Máximo]]-Categorias_Registro[[#This Row],[Mínimo]])/2),0)</f>
        <v>1530</v>
      </c>
      <c r="G1098" s="78">
        <f>VLOOKUP(Categorias_Registro[[#This Row],[Puntos]],Categorias_Configuracion[],MATCH(Categorias_Configuracion[[#Headers],[% Amplitud]],Categorias_Configuracion[#Headers],0),TRUE)</f>
        <v>0.15</v>
      </c>
      <c r="H1098" s="15" t="str">
        <f ca="1">TEXT(Categorias_Registro[[#This Row],[Mínimo]],Formato_Rango_Categorias)&amp;" - "&amp;TEXT(Categorias_Registro[[#This Row],[Máximo]],Formato_Rango_Categorias)</f>
        <v>1.424 - 1.636</v>
      </c>
    </row>
    <row r="1099" spans="2:8">
      <c r="B1099" s="15">
        <f>Techo - ROW() + ROW(Categorias_Registro[])</f>
        <v>1530</v>
      </c>
      <c r="C1099" s="15">
        <f>IF(Categorias_Registro[[#This Row],[Puntos]]&lt;=ROUND(Piso,0),Piso,IF(Categorias_Registro[[#This Row],[Puntos]]&lt;D1100,C1100,D1100+1))</f>
        <v>1424</v>
      </c>
      <c r="D1099" s="15">
        <f>IF(Categorias_Registro[[#This Row],[Puntos]]=ROUND(Piso,0),ROUND(Categorias_Registro[[#This Row],[Puntos]]*(1+Categorias_Registro[[#This Row],[Amplitud]]),0),IF(Categorias_Registro[[#This Row],[Puntos]]&lt;D1100,D1100,ROUND(D1100*(1+Categorias_Registro[[#This Row],[Amplitud]]),0)))</f>
        <v>1636</v>
      </c>
      <c r="E1099" s="15">
        <f>E1100+IF(D1100=Categorias_Registro[[#This Row],[Máximo]],0,1)</f>
        <v>21</v>
      </c>
      <c r="F1099" s="15">
        <f>ROUND(Categorias_Registro[[#This Row],[Mínimo]]+((Categorias_Registro[[#This Row],[Máximo]]-Categorias_Registro[[#This Row],[Mínimo]])/2),0)</f>
        <v>1530</v>
      </c>
      <c r="G1099" s="78">
        <f>VLOOKUP(Categorias_Registro[[#This Row],[Puntos]],Categorias_Configuracion[],MATCH(Categorias_Configuracion[[#Headers],[% Amplitud]],Categorias_Configuracion[#Headers],0),TRUE)</f>
        <v>0.15</v>
      </c>
      <c r="H1099" s="15" t="str">
        <f ca="1">TEXT(Categorias_Registro[[#This Row],[Mínimo]],Formato_Rango_Categorias)&amp;" - "&amp;TEXT(Categorias_Registro[[#This Row],[Máximo]],Formato_Rango_Categorias)</f>
        <v>1.424 - 1.636</v>
      </c>
    </row>
    <row r="1100" spans="2:8">
      <c r="B1100" s="15">
        <f>Techo - ROW() + ROW(Categorias_Registro[])</f>
        <v>1529</v>
      </c>
      <c r="C1100" s="15">
        <f>IF(Categorias_Registro[[#This Row],[Puntos]]&lt;=ROUND(Piso,0),Piso,IF(Categorias_Registro[[#This Row],[Puntos]]&lt;D1101,C1101,D1101+1))</f>
        <v>1424</v>
      </c>
      <c r="D1100" s="15">
        <f>IF(Categorias_Registro[[#This Row],[Puntos]]=ROUND(Piso,0),ROUND(Categorias_Registro[[#This Row],[Puntos]]*(1+Categorias_Registro[[#This Row],[Amplitud]]),0),IF(Categorias_Registro[[#This Row],[Puntos]]&lt;D1101,D1101,ROUND(D1101*(1+Categorias_Registro[[#This Row],[Amplitud]]),0)))</f>
        <v>1636</v>
      </c>
      <c r="E1100" s="15">
        <f>E1101+IF(D1101=Categorias_Registro[[#This Row],[Máximo]],0,1)</f>
        <v>21</v>
      </c>
      <c r="F1100" s="15">
        <f>ROUND(Categorias_Registro[[#This Row],[Mínimo]]+((Categorias_Registro[[#This Row],[Máximo]]-Categorias_Registro[[#This Row],[Mínimo]])/2),0)</f>
        <v>1530</v>
      </c>
      <c r="G1100" s="78">
        <f>VLOOKUP(Categorias_Registro[[#This Row],[Puntos]],Categorias_Configuracion[],MATCH(Categorias_Configuracion[[#Headers],[% Amplitud]],Categorias_Configuracion[#Headers],0),TRUE)</f>
        <v>0.15</v>
      </c>
      <c r="H1100" s="15" t="str">
        <f ca="1">TEXT(Categorias_Registro[[#This Row],[Mínimo]],Formato_Rango_Categorias)&amp;" - "&amp;TEXT(Categorias_Registro[[#This Row],[Máximo]],Formato_Rango_Categorias)</f>
        <v>1.424 - 1.636</v>
      </c>
    </row>
    <row r="1101" spans="2:8">
      <c r="B1101" s="15">
        <f>Techo - ROW() + ROW(Categorias_Registro[])</f>
        <v>1528</v>
      </c>
      <c r="C1101" s="15">
        <f>IF(Categorias_Registro[[#This Row],[Puntos]]&lt;=ROUND(Piso,0),Piso,IF(Categorias_Registro[[#This Row],[Puntos]]&lt;D1102,C1102,D1102+1))</f>
        <v>1424</v>
      </c>
      <c r="D1101" s="15">
        <f>IF(Categorias_Registro[[#This Row],[Puntos]]=ROUND(Piso,0),ROUND(Categorias_Registro[[#This Row],[Puntos]]*(1+Categorias_Registro[[#This Row],[Amplitud]]),0),IF(Categorias_Registro[[#This Row],[Puntos]]&lt;D1102,D1102,ROUND(D1102*(1+Categorias_Registro[[#This Row],[Amplitud]]),0)))</f>
        <v>1636</v>
      </c>
      <c r="E1101" s="15">
        <f>E1102+IF(D1102=Categorias_Registro[[#This Row],[Máximo]],0,1)</f>
        <v>21</v>
      </c>
      <c r="F1101" s="15">
        <f>ROUND(Categorias_Registro[[#This Row],[Mínimo]]+((Categorias_Registro[[#This Row],[Máximo]]-Categorias_Registro[[#This Row],[Mínimo]])/2),0)</f>
        <v>1530</v>
      </c>
      <c r="G1101" s="78">
        <f>VLOOKUP(Categorias_Registro[[#This Row],[Puntos]],Categorias_Configuracion[],MATCH(Categorias_Configuracion[[#Headers],[% Amplitud]],Categorias_Configuracion[#Headers],0),TRUE)</f>
        <v>0.15</v>
      </c>
      <c r="H1101" s="15" t="str">
        <f ca="1">TEXT(Categorias_Registro[[#This Row],[Mínimo]],Formato_Rango_Categorias)&amp;" - "&amp;TEXT(Categorias_Registro[[#This Row],[Máximo]],Formato_Rango_Categorias)</f>
        <v>1.424 - 1.636</v>
      </c>
    </row>
    <row r="1102" spans="2:8">
      <c r="B1102" s="15">
        <f>Techo - ROW() + ROW(Categorias_Registro[])</f>
        <v>1527</v>
      </c>
      <c r="C1102" s="15">
        <f>IF(Categorias_Registro[[#This Row],[Puntos]]&lt;=ROUND(Piso,0),Piso,IF(Categorias_Registro[[#This Row],[Puntos]]&lt;D1103,C1103,D1103+1))</f>
        <v>1424</v>
      </c>
      <c r="D1102" s="15">
        <f>IF(Categorias_Registro[[#This Row],[Puntos]]=ROUND(Piso,0),ROUND(Categorias_Registro[[#This Row],[Puntos]]*(1+Categorias_Registro[[#This Row],[Amplitud]]),0),IF(Categorias_Registro[[#This Row],[Puntos]]&lt;D1103,D1103,ROUND(D1103*(1+Categorias_Registro[[#This Row],[Amplitud]]),0)))</f>
        <v>1636</v>
      </c>
      <c r="E1102" s="15">
        <f>E1103+IF(D1103=Categorias_Registro[[#This Row],[Máximo]],0,1)</f>
        <v>21</v>
      </c>
      <c r="F1102" s="15">
        <f>ROUND(Categorias_Registro[[#This Row],[Mínimo]]+((Categorias_Registro[[#This Row],[Máximo]]-Categorias_Registro[[#This Row],[Mínimo]])/2),0)</f>
        <v>1530</v>
      </c>
      <c r="G1102" s="78">
        <f>VLOOKUP(Categorias_Registro[[#This Row],[Puntos]],Categorias_Configuracion[],MATCH(Categorias_Configuracion[[#Headers],[% Amplitud]],Categorias_Configuracion[#Headers],0),TRUE)</f>
        <v>0.15</v>
      </c>
      <c r="H1102" s="15" t="str">
        <f ca="1">TEXT(Categorias_Registro[[#This Row],[Mínimo]],Formato_Rango_Categorias)&amp;" - "&amp;TEXT(Categorias_Registro[[#This Row],[Máximo]],Formato_Rango_Categorias)</f>
        <v>1.424 - 1.636</v>
      </c>
    </row>
    <row r="1103" spans="2:8">
      <c r="B1103" s="15">
        <f>Techo - ROW() + ROW(Categorias_Registro[])</f>
        <v>1526</v>
      </c>
      <c r="C1103" s="15">
        <f>IF(Categorias_Registro[[#This Row],[Puntos]]&lt;=ROUND(Piso,0),Piso,IF(Categorias_Registro[[#This Row],[Puntos]]&lt;D1104,C1104,D1104+1))</f>
        <v>1424</v>
      </c>
      <c r="D1103" s="15">
        <f>IF(Categorias_Registro[[#This Row],[Puntos]]=ROUND(Piso,0),ROUND(Categorias_Registro[[#This Row],[Puntos]]*(1+Categorias_Registro[[#This Row],[Amplitud]]),0),IF(Categorias_Registro[[#This Row],[Puntos]]&lt;D1104,D1104,ROUND(D1104*(1+Categorias_Registro[[#This Row],[Amplitud]]),0)))</f>
        <v>1636</v>
      </c>
      <c r="E1103" s="15">
        <f>E1104+IF(D1104=Categorias_Registro[[#This Row],[Máximo]],0,1)</f>
        <v>21</v>
      </c>
      <c r="F1103" s="15">
        <f>ROUND(Categorias_Registro[[#This Row],[Mínimo]]+((Categorias_Registro[[#This Row],[Máximo]]-Categorias_Registro[[#This Row],[Mínimo]])/2),0)</f>
        <v>1530</v>
      </c>
      <c r="G1103" s="78">
        <f>VLOOKUP(Categorias_Registro[[#This Row],[Puntos]],Categorias_Configuracion[],MATCH(Categorias_Configuracion[[#Headers],[% Amplitud]],Categorias_Configuracion[#Headers],0),TRUE)</f>
        <v>0.15</v>
      </c>
      <c r="H1103" s="15" t="str">
        <f ca="1">TEXT(Categorias_Registro[[#This Row],[Mínimo]],Formato_Rango_Categorias)&amp;" - "&amp;TEXT(Categorias_Registro[[#This Row],[Máximo]],Formato_Rango_Categorias)</f>
        <v>1.424 - 1.636</v>
      </c>
    </row>
    <row r="1104" spans="2:8">
      <c r="B1104" s="15">
        <f>Techo - ROW() + ROW(Categorias_Registro[])</f>
        <v>1525</v>
      </c>
      <c r="C1104" s="15">
        <f>IF(Categorias_Registro[[#This Row],[Puntos]]&lt;=ROUND(Piso,0),Piso,IF(Categorias_Registro[[#This Row],[Puntos]]&lt;D1105,C1105,D1105+1))</f>
        <v>1424</v>
      </c>
      <c r="D1104" s="15">
        <f>IF(Categorias_Registro[[#This Row],[Puntos]]=ROUND(Piso,0),ROUND(Categorias_Registro[[#This Row],[Puntos]]*(1+Categorias_Registro[[#This Row],[Amplitud]]),0),IF(Categorias_Registro[[#This Row],[Puntos]]&lt;D1105,D1105,ROUND(D1105*(1+Categorias_Registro[[#This Row],[Amplitud]]),0)))</f>
        <v>1636</v>
      </c>
      <c r="E1104" s="15">
        <f>E1105+IF(D1105=Categorias_Registro[[#This Row],[Máximo]],0,1)</f>
        <v>21</v>
      </c>
      <c r="F1104" s="15">
        <f>ROUND(Categorias_Registro[[#This Row],[Mínimo]]+((Categorias_Registro[[#This Row],[Máximo]]-Categorias_Registro[[#This Row],[Mínimo]])/2),0)</f>
        <v>1530</v>
      </c>
      <c r="G1104" s="78">
        <f>VLOOKUP(Categorias_Registro[[#This Row],[Puntos]],Categorias_Configuracion[],MATCH(Categorias_Configuracion[[#Headers],[% Amplitud]],Categorias_Configuracion[#Headers],0),TRUE)</f>
        <v>0.15</v>
      </c>
      <c r="H1104" s="15" t="str">
        <f ca="1">TEXT(Categorias_Registro[[#This Row],[Mínimo]],Formato_Rango_Categorias)&amp;" - "&amp;TEXT(Categorias_Registro[[#This Row],[Máximo]],Formato_Rango_Categorias)</f>
        <v>1.424 - 1.636</v>
      </c>
    </row>
    <row r="1105" spans="2:8">
      <c r="B1105" s="15">
        <f>Techo - ROW() + ROW(Categorias_Registro[])</f>
        <v>1524</v>
      </c>
      <c r="C1105" s="15">
        <f>IF(Categorias_Registro[[#This Row],[Puntos]]&lt;=ROUND(Piso,0),Piso,IF(Categorias_Registro[[#This Row],[Puntos]]&lt;D1106,C1106,D1106+1))</f>
        <v>1424</v>
      </c>
      <c r="D1105" s="15">
        <f>IF(Categorias_Registro[[#This Row],[Puntos]]=ROUND(Piso,0),ROUND(Categorias_Registro[[#This Row],[Puntos]]*(1+Categorias_Registro[[#This Row],[Amplitud]]),0),IF(Categorias_Registro[[#This Row],[Puntos]]&lt;D1106,D1106,ROUND(D1106*(1+Categorias_Registro[[#This Row],[Amplitud]]),0)))</f>
        <v>1636</v>
      </c>
      <c r="E1105" s="15">
        <f>E1106+IF(D1106=Categorias_Registro[[#This Row],[Máximo]],0,1)</f>
        <v>21</v>
      </c>
      <c r="F1105" s="15">
        <f>ROUND(Categorias_Registro[[#This Row],[Mínimo]]+((Categorias_Registro[[#This Row],[Máximo]]-Categorias_Registro[[#This Row],[Mínimo]])/2),0)</f>
        <v>1530</v>
      </c>
      <c r="G1105" s="78">
        <f>VLOOKUP(Categorias_Registro[[#This Row],[Puntos]],Categorias_Configuracion[],MATCH(Categorias_Configuracion[[#Headers],[% Amplitud]],Categorias_Configuracion[#Headers],0),TRUE)</f>
        <v>0.15</v>
      </c>
      <c r="H1105" s="15" t="str">
        <f ca="1">TEXT(Categorias_Registro[[#This Row],[Mínimo]],Formato_Rango_Categorias)&amp;" - "&amp;TEXT(Categorias_Registro[[#This Row],[Máximo]],Formato_Rango_Categorias)</f>
        <v>1.424 - 1.636</v>
      </c>
    </row>
    <row r="1106" spans="2:8">
      <c r="B1106" s="15">
        <f>Techo - ROW() + ROW(Categorias_Registro[])</f>
        <v>1523</v>
      </c>
      <c r="C1106" s="15">
        <f>IF(Categorias_Registro[[#This Row],[Puntos]]&lt;=ROUND(Piso,0),Piso,IF(Categorias_Registro[[#This Row],[Puntos]]&lt;D1107,C1107,D1107+1))</f>
        <v>1424</v>
      </c>
      <c r="D1106" s="15">
        <f>IF(Categorias_Registro[[#This Row],[Puntos]]=ROUND(Piso,0),ROUND(Categorias_Registro[[#This Row],[Puntos]]*(1+Categorias_Registro[[#This Row],[Amplitud]]),0),IF(Categorias_Registro[[#This Row],[Puntos]]&lt;D1107,D1107,ROUND(D1107*(1+Categorias_Registro[[#This Row],[Amplitud]]),0)))</f>
        <v>1636</v>
      </c>
      <c r="E1106" s="15">
        <f>E1107+IF(D1107=Categorias_Registro[[#This Row],[Máximo]],0,1)</f>
        <v>21</v>
      </c>
      <c r="F1106" s="15">
        <f>ROUND(Categorias_Registro[[#This Row],[Mínimo]]+((Categorias_Registro[[#This Row],[Máximo]]-Categorias_Registro[[#This Row],[Mínimo]])/2),0)</f>
        <v>1530</v>
      </c>
      <c r="G1106" s="78">
        <f>VLOOKUP(Categorias_Registro[[#This Row],[Puntos]],Categorias_Configuracion[],MATCH(Categorias_Configuracion[[#Headers],[% Amplitud]],Categorias_Configuracion[#Headers],0),TRUE)</f>
        <v>0.15</v>
      </c>
      <c r="H1106" s="15" t="str">
        <f ca="1">TEXT(Categorias_Registro[[#This Row],[Mínimo]],Formato_Rango_Categorias)&amp;" - "&amp;TEXT(Categorias_Registro[[#This Row],[Máximo]],Formato_Rango_Categorias)</f>
        <v>1.424 - 1.636</v>
      </c>
    </row>
    <row r="1107" spans="2:8">
      <c r="B1107" s="15">
        <f>Techo - ROW() + ROW(Categorias_Registro[])</f>
        <v>1522</v>
      </c>
      <c r="C1107" s="15">
        <f>IF(Categorias_Registro[[#This Row],[Puntos]]&lt;=ROUND(Piso,0),Piso,IF(Categorias_Registro[[#This Row],[Puntos]]&lt;D1108,C1108,D1108+1))</f>
        <v>1424</v>
      </c>
      <c r="D1107" s="15">
        <f>IF(Categorias_Registro[[#This Row],[Puntos]]=ROUND(Piso,0),ROUND(Categorias_Registro[[#This Row],[Puntos]]*(1+Categorias_Registro[[#This Row],[Amplitud]]),0),IF(Categorias_Registro[[#This Row],[Puntos]]&lt;D1108,D1108,ROUND(D1108*(1+Categorias_Registro[[#This Row],[Amplitud]]),0)))</f>
        <v>1636</v>
      </c>
      <c r="E1107" s="15">
        <f>E1108+IF(D1108=Categorias_Registro[[#This Row],[Máximo]],0,1)</f>
        <v>21</v>
      </c>
      <c r="F1107" s="15">
        <f>ROUND(Categorias_Registro[[#This Row],[Mínimo]]+((Categorias_Registro[[#This Row],[Máximo]]-Categorias_Registro[[#This Row],[Mínimo]])/2),0)</f>
        <v>1530</v>
      </c>
      <c r="G1107" s="78">
        <f>VLOOKUP(Categorias_Registro[[#This Row],[Puntos]],Categorias_Configuracion[],MATCH(Categorias_Configuracion[[#Headers],[% Amplitud]],Categorias_Configuracion[#Headers],0),TRUE)</f>
        <v>0.15</v>
      </c>
      <c r="H1107" s="15" t="str">
        <f ca="1">TEXT(Categorias_Registro[[#This Row],[Mínimo]],Formato_Rango_Categorias)&amp;" - "&amp;TEXT(Categorias_Registro[[#This Row],[Máximo]],Formato_Rango_Categorias)</f>
        <v>1.424 - 1.636</v>
      </c>
    </row>
    <row r="1108" spans="2:8">
      <c r="B1108" s="15">
        <f>Techo - ROW() + ROW(Categorias_Registro[])</f>
        <v>1521</v>
      </c>
      <c r="C1108" s="15">
        <f>IF(Categorias_Registro[[#This Row],[Puntos]]&lt;=ROUND(Piso,0),Piso,IF(Categorias_Registro[[#This Row],[Puntos]]&lt;D1109,C1109,D1109+1))</f>
        <v>1424</v>
      </c>
      <c r="D1108" s="15">
        <f>IF(Categorias_Registro[[#This Row],[Puntos]]=ROUND(Piso,0),ROUND(Categorias_Registro[[#This Row],[Puntos]]*(1+Categorias_Registro[[#This Row],[Amplitud]]),0),IF(Categorias_Registro[[#This Row],[Puntos]]&lt;D1109,D1109,ROUND(D1109*(1+Categorias_Registro[[#This Row],[Amplitud]]),0)))</f>
        <v>1636</v>
      </c>
      <c r="E1108" s="15">
        <f>E1109+IF(D1109=Categorias_Registro[[#This Row],[Máximo]],0,1)</f>
        <v>21</v>
      </c>
      <c r="F1108" s="15">
        <f>ROUND(Categorias_Registro[[#This Row],[Mínimo]]+((Categorias_Registro[[#This Row],[Máximo]]-Categorias_Registro[[#This Row],[Mínimo]])/2),0)</f>
        <v>1530</v>
      </c>
      <c r="G1108" s="78">
        <f>VLOOKUP(Categorias_Registro[[#This Row],[Puntos]],Categorias_Configuracion[],MATCH(Categorias_Configuracion[[#Headers],[% Amplitud]],Categorias_Configuracion[#Headers],0),TRUE)</f>
        <v>0.15</v>
      </c>
      <c r="H1108" s="15" t="str">
        <f ca="1">TEXT(Categorias_Registro[[#This Row],[Mínimo]],Formato_Rango_Categorias)&amp;" - "&amp;TEXT(Categorias_Registro[[#This Row],[Máximo]],Formato_Rango_Categorias)</f>
        <v>1.424 - 1.636</v>
      </c>
    </row>
    <row r="1109" spans="2:8">
      <c r="B1109" s="15">
        <f>Techo - ROW() + ROW(Categorias_Registro[])</f>
        <v>1520</v>
      </c>
      <c r="C1109" s="15">
        <f>IF(Categorias_Registro[[#This Row],[Puntos]]&lt;=ROUND(Piso,0),Piso,IF(Categorias_Registro[[#This Row],[Puntos]]&lt;D1110,C1110,D1110+1))</f>
        <v>1424</v>
      </c>
      <c r="D1109" s="15">
        <f>IF(Categorias_Registro[[#This Row],[Puntos]]=ROUND(Piso,0),ROUND(Categorias_Registro[[#This Row],[Puntos]]*(1+Categorias_Registro[[#This Row],[Amplitud]]),0),IF(Categorias_Registro[[#This Row],[Puntos]]&lt;D1110,D1110,ROUND(D1110*(1+Categorias_Registro[[#This Row],[Amplitud]]),0)))</f>
        <v>1636</v>
      </c>
      <c r="E1109" s="15">
        <f>E1110+IF(D1110=Categorias_Registro[[#This Row],[Máximo]],0,1)</f>
        <v>21</v>
      </c>
      <c r="F1109" s="15">
        <f>ROUND(Categorias_Registro[[#This Row],[Mínimo]]+((Categorias_Registro[[#This Row],[Máximo]]-Categorias_Registro[[#This Row],[Mínimo]])/2),0)</f>
        <v>1530</v>
      </c>
      <c r="G1109" s="78">
        <f>VLOOKUP(Categorias_Registro[[#This Row],[Puntos]],Categorias_Configuracion[],MATCH(Categorias_Configuracion[[#Headers],[% Amplitud]],Categorias_Configuracion[#Headers],0),TRUE)</f>
        <v>0.15</v>
      </c>
      <c r="H1109" s="15" t="str">
        <f ca="1">TEXT(Categorias_Registro[[#This Row],[Mínimo]],Formato_Rango_Categorias)&amp;" - "&amp;TEXT(Categorias_Registro[[#This Row],[Máximo]],Formato_Rango_Categorias)</f>
        <v>1.424 - 1.636</v>
      </c>
    </row>
    <row r="1110" spans="2:8">
      <c r="B1110" s="15">
        <f>Techo - ROW() + ROW(Categorias_Registro[])</f>
        <v>1519</v>
      </c>
      <c r="C1110" s="15">
        <f>IF(Categorias_Registro[[#This Row],[Puntos]]&lt;=ROUND(Piso,0),Piso,IF(Categorias_Registro[[#This Row],[Puntos]]&lt;D1111,C1111,D1111+1))</f>
        <v>1424</v>
      </c>
      <c r="D1110" s="15">
        <f>IF(Categorias_Registro[[#This Row],[Puntos]]=ROUND(Piso,0),ROUND(Categorias_Registro[[#This Row],[Puntos]]*(1+Categorias_Registro[[#This Row],[Amplitud]]),0),IF(Categorias_Registro[[#This Row],[Puntos]]&lt;D1111,D1111,ROUND(D1111*(1+Categorias_Registro[[#This Row],[Amplitud]]),0)))</f>
        <v>1636</v>
      </c>
      <c r="E1110" s="15">
        <f>E1111+IF(D1111=Categorias_Registro[[#This Row],[Máximo]],0,1)</f>
        <v>21</v>
      </c>
      <c r="F1110" s="15">
        <f>ROUND(Categorias_Registro[[#This Row],[Mínimo]]+((Categorias_Registro[[#This Row],[Máximo]]-Categorias_Registro[[#This Row],[Mínimo]])/2),0)</f>
        <v>1530</v>
      </c>
      <c r="G1110" s="78">
        <f>VLOOKUP(Categorias_Registro[[#This Row],[Puntos]],Categorias_Configuracion[],MATCH(Categorias_Configuracion[[#Headers],[% Amplitud]],Categorias_Configuracion[#Headers],0),TRUE)</f>
        <v>0.15</v>
      </c>
      <c r="H1110" s="15" t="str">
        <f ca="1">TEXT(Categorias_Registro[[#This Row],[Mínimo]],Formato_Rango_Categorias)&amp;" - "&amp;TEXT(Categorias_Registro[[#This Row],[Máximo]],Formato_Rango_Categorias)</f>
        <v>1.424 - 1.636</v>
      </c>
    </row>
    <row r="1111" spans="2:8">
      <c r="B1111" s="15">
        <f>Techo - ROW() + ROW(Categorias_Registro[])</f>
        <v>1518</v>
      </c>
      <c r="C1111" s="15">
        <f>IF(Categorias_Registro[[#This Row],[Puntos]]&lt;=ROUND(Piso,0),Piso,IF(Categorias_Registro[[#This Row],[Puntos]]&lt;D1112,C1112,D1112+1))</f>
        <v>1424</v>
      </c>
      <c r="D1111" s="15">
        <f>IF(Categorias_Registro[[#This Row],[Puntos]]=ROUND(Piso,0),ROUND(Categorias_Registro[[#This Row],[Puntos]]*(1+Categorias_Registro[[#This Row],[Amplitud]]),0),IF(Categorias_Registro[[#This Row],[Puntos]]&lt;D1112,D1112,ROUND(D1112*(1+Categorias_Registro[[#This Row],[Amplitud]]),0)))</f>
        <v>1636</v>
      </c>
      <c r="E1111" s="15">
        <f>E1112+IF(D1112=Categorias_Registro[[#This Row],[Máximo]],0,1)</f>
        <v>21</v>
      </c>
      <c r="F1111" s="15">
        <f>ROUND(Categorias_Registro[[#This Row],[Mínimo]]+((Categorias_Registro[[#This Row],[Máximo]]-Categorias_Registro[[#This Row],[Mínimo]])/2),0)</f>
        <v>1530</v>
      </c>
      <c r="G1111" s="78">
        <f>VLOOKUP(Categorias_Registro[[#This Row],[Puntos]],Categorias_Configuracion[],MATCH(Categorias_Configuracion[[#Headers],[% Amplitud]],Categorias_Configuracion[#Headers],0),TRUE)</f>
        <v>0.15</v>
      </c>
      <c r="H1111" s="15" t="str">
        <f ca="1">TEXT(Categorias_Registro[[#This Row],[Mínimo]],Formato_Rango_Categorias)&amp;" - "&amp;TEXT(Categorias_Registro[[#This Row],[Máximo]],Formato_Rango_Categorias)</f>
        <v>1.424 - 1.636</v>
      </c>
    </row>
    <row r="1112" spans="2:8">
      <c r="B1112" s="15">
        <f>Techo - ROW() + ROW(Categorias_Registro[])</f>
        <v>1517</v>
      </c>
      <c r="C1112" s="15">
        <f>IF(Categorias_Registro[[#This Row],[Puntos]]&lt;=ROUND(Piso,0),Piso,IF(Categorias_Registro[[#This Row],[Puntos]]&lt;D1113,C1113,D1113+1))</f>
        <v>1424</v>
      </c>
      <c r="D1112" s="15">
        <f>IF(Categorias_Registro[[#This Row],[Puntos]]=ROUND(Piso,0),ROUND(Categorias_Registro[[#This Row],[Puntos]]*(1+Categorias_Registro[[#This Row],[Amplitud]]),0),IF(Categorias_Registro[[#This Row],[Puntos]]&lt;D1113,D1113,ROUND(D1113*(1+Categorias_Registro[[#This Row],[Amplitud]]),0)))</f>
        <v>1636</v>
      </c>
      <c r="E1112" s="15">
        <f>E1113+IF(D1113=Categorias_Registro[[#This Row],[Máximo]],0,1)</f>
        <v>21</v>
      </c>
      <c r="F1112" s="15">
        <f>ROUND(Categorias_Registro[[#This Row],[Mínimo]]+((Categorias_Registro[[#This Row],[Máximo]]-Categorias_Registro[[#This Row],[Mínimo]])/2),0)</f>
        <v>1530</v>
      </c>
      <c r="G1112" s="78">
        <f>VLOOKUP(Categorias_Registro[[#This Row],[Puntos]],Categorias_Configuracion[],MATCH(Categorias_Configuracion[[#Headers],[% Amplitud]],Categorias_Configuracion[#Headers],0),TRUE)</f>
        <v>0.15</v>
      </c>
      <c r="H1112" s="15" t="str">
        <f ca="1">TEXT(Categorias_Registro[[#This Row],[Mínimo]],Formato_Rango_Categorias)&amp;" - "&amp;TEXT(Categorias_Registro[[#This Row],[Máximo]],Formato_Rango_Categorias)</f>
        <v>1.424 - 1.636</v>
      </c>
    </row>
    <row r="1113" spans="2:8">
      <c r="B1113" s="15">
        <f>Techo - ROW() + ROW(Categorias_Registro[])</f>
        <v>1516</v>
      </c>
      <c r="C1113" s="15">
        <f>IF(Categorias_Registro[[#This Row],[Puntos]]&lt;=ROUND(Piso,0),Piso,IF(Categorias_Registro[[#This Row],[Puntos]]&lt;D1114,C1114,D1114+1))</f>
        <v>1424</v>
      </c>
      <c r="D1113" s="15">
        <f>IF(Categorias_Registro[[#This Row],[Puntos]]=ROUND(Piso,0),ROUND(Categorias_Registro[[#This Row],[Puntos]]*(1+Categorias_Registro[[#This Row],[Amplitud]]),0),IF(Categorias_Registro[[#This Row],[Puntos]]&lt;D1114,D1114,ROUND(D1114*(1+Categorias_Registro[[#This Row],[Amplitud]]),0)))</f>
        <v>1636</v>
      </c>
      <c r="E1113" s="15">
        <f>E1114+IF(D1114=Categorias_Registro[[#This Row],[Máximo]],0,1)</f>
        <v>21</v>
      </c>
      <c r="F1113" s="15">
        <f>ROUND(Categorias_Registro[[#This Row],[Mínimo]]+((Categorias_Registro[[#This Row],[Máximo]]-Categorias_Registro[[#This Row],[Mínimo]])/2),0)</f>
        <v>1530</v>
      </c>
      <c r="G1113" s="78">
        <f>VLOOKUP(Categorias_Registro[[#This Row],[Puntos]],Categorias_Configuracion[],MATCH(Categorias_Configuracion[[#Headers],[% Amplitud]],Categorias_Configuracion[#Headers],0),TRUE)</f>
        <v>0.15</v>
      </c>
      <c r="H1113" s="15" t="str">
        <f ca="1">TEXT(Categorias_Registro[[#This Row],[Mínimo]],Formato_Rango_Categorias)&amp;" - "&amp;TEXT(Categorias_Registro[[#This Row],[Máximo]],Formato_Rango_Categorias)</f>
        <v>1.424 - 1.636</v>
      </c>
    </row>
    <row r="1114" spans="2:8">
      <c r="B1114" s="15">
        <f>Techo - ROW() + ROW(Categorias_Registro[])</f>
        <v>1515</v>
      </c>
      <c r="C1114" s="15">
        <f>IF(Categorias_Registro[[#This Row],[Puntos]]&lt;=ROUND(Piso,0),Piso,IF(Categorias_Registro[[#This Row],[Puntos]]&lt;D1115,C1115,D1115+1))</f>
        <v>1424</v>
      </c>
      <c r="D1114" s="15">
        <f>IF(Categorias_Registro[[#This Row],[Puntos]]=ROUND(Piso,0),ROUND(Categorias_Registro[[#This Row],[Puntos]]*(1+Categorias_Registro[[#This Row],[Amplitud]]),0),IF(Categorias_Registro[[#This Row],[Puntos]]&lt;D1115,D1115,ROUND(D1115*(1+Categorias_Registro[[#This Row],[Amplitud]]),0)))</f>
        <v>1636</v>
      </c>
      <c r="E1114" s="15">
        <f>E1115+IF(D1115=Categorias_Registro[[#This Row],[Máximo]],0,1)</f>
        <v>21</v>
      </c>
      <c r="F1114" s="15">
        <f>ROUND(Categorias_Registro[[#This Row],[Mínimo]]+((Categorias_Registro[[#This Row],[Máximo]]-Categorias_Registro[[#This Row],[Mínimo]])/2),0)</f>
        <v>1530</v>
      </c>
      <c r="G1114" s="78">
        <f>VLOOKUP(Categorias_Registro[[#This Row],[Puntos]],Categorias_Configuracion[],MATCH(Categorias_Configuracion[[#Headers],[% Amplitud]],Categorias_Configuracion[#Headers],0),TRUE)</f>
        <v>0.15</v>
      </c>
      <c r="H1114" s="15" t="str">
        <f ca="1">TEXT(Categorias_Registro[[#This Row],[Mínimo]],Formato_Rango_Categorias)&amp;" - "&amp;TEXT(Categorias_Registro[[#This Row],[Máximo]],Formato_Rango_Categorias)</f>
        <v>1.424 - 1.636</v>
      </c>
    </row>
    <row r="1115" spans="2:8">
      <c r="B1115" s="15">
        <f>Techo - ROW() + ROW(Categorias_Registro[])</f>
        <v>1514</v>
      </c>
      <c r="C1115" s="15">
        <f>IF(Categorias_Registro[[#This Row],[Puntos]]&lt;=ROUND(Piso,0),Piso,IF(Categorias_Registro[[#This Row],[Puntos]]&lt;D1116,C1116,D1116+1))</f>
        <v>1424</v>
      </c>
      <c r="D1115" s="15">
        <f>IF(Categorias_Registro[[#This Row],[Puntos]]=ROUND(Piso,0),ROUND(Categorias_Registro[[#This Row],[Puntos]]*(1+Categorias_Registro[[#This Row],[Amplitud]]),0),IF(Categorias_Registro[[#This Row],[Puntos]]&lt;D1116,D1116,ROUND(D1116*(1+Categorias_Registro[[#This Row],[Amplitud]]),0)))</f>
        <v>1636</v>
      </c>
      <c r="E1115" s="15">
        <f>E1116+IF(D1116=Categorias_Registro[[#This Row],[Máximo]],0,1)</f>
        <v>21</v>
      </c>
      <c r="F1115" s="15">
        <f>ROUND(Categorias_Registro[[#This Row],[Mínimo]]+((Categorias_Registro[[#This Row],[Máximo]]-Categorias_Registro[[#This Row],[Mínimo]])/2),0)</f>
        <v>1530</v>
      </c>
      <c r="G1115" s="78">
        <f>VLOOKUP(Categorias_Registro[[#This Row],[Puntos]],Categorias_Configuracion[],MATCH(Categorias_Configuracion[[#Headers],[% Amplitud]],Categorias_Configuracion[#Headers],0),TRUE)</f>
        <v>0.15</v>
      </c>
      <c r="H1115" s="15" t="str">
        <f ca="1">TEXT(Categorias_Registro[[#This Row],[Mínimo]],Formato_Rango_Categorias)&amp;" - "&amp;TEXT(Categorias_Registro[[#This Row],[Máximo]],Formato_Rango_Categorias)</f>
        <v>1.424 - 1.636</v>
      </c>
    </row>
    <row r="1116" spans="2:8">
      <c r="B1116" s="15">
        <f>Techo - ROW() + ROW(Categorias_Registro[])</f>
        <v>1513</v>
      </c>
      <c r="C1116" s="15">
        <f>IF(Categorias_Registro[[#This Row],[Puntos]]&lt;=ROUND(Piso,0),Piso,IF(Categorias_Registro[[#This Row],[Puntos]]&lt;D1117,C1117,D1117+1))</f>
        <v>1424</v>
      </c>
      <c r="D1116" s="15">
        <f>IF(Categorias_Registro[[#This Row],[Puntos]]=ROUND(Piso,0),ROUND(Categorias_Registro[[#This Row],[Puntos]]*(1+Categorias_Registro[[#This Row],[Amplitud]]),0),IF(Categorias_Registro[[#This Row],[Puntos]]&lt;D1117,D1117,ROUND(D1117*(1+Categorias_Registro[[#This Row],[Amplitud]]),0)))</f>
        <v>1636</v>
      </c>
      <c r="E1116" s="15">
        <f>E1117+IF(D1117=Categorias_Registro[[#This Row],[Máximo]],0,1)</f>
        <v>21</v>
      </c>
      <c r="F1116" s="15">
        <f>ROUND(Categorias_Registro[[#This Row],[Mínimo]]+((Categorias_Registro[[#This Row],[Máximo]]-Categorias_Registro[[#This Row],[Mínimo]])/2),0)</f>
        <v>1530</v>
      </c>
      <c r="G1116" s="78">
        <f>VLOOKUP(Categorias_Registro[[#This Row],[Puntos]],Categorias_Configuracion[],MATCH(Categorias_Configuracion[[#Headers],[% Amplitud]],Categorias_Configuracion[#Headers],0),TRUE)</f>
        <v>0.15</v>
      </c>
      <c r="H1116" s="15" t="str">
        <f ca="1">TEXT(Categorias_Registro[[#This Row],[Mínimo]],Formato_Rango_Categorias)&amp;" - "&amp;TEXT(Categorias_Registro[[#This Row],[Máximo]],Formato_Rango_Categorias)</f>
        <v>1.424 - 1.636</v>
      </c>
    </row>
    <row r="1117" spans="2:8">
      <c r="B1117" s="15">
        <f>Techo - ROW() + ROW(Categorias_Registro[])</f>
        <v>1512</v>
      </c>
      <c r="C1117" s="15">
        <f>IF(Categorias_Registro[[#This Row],[Puntos]]&lt;=ROUND(Piso,0),Piso,IF(Categorias_Registro[[#This Row],[Puntos]]&lt;D1118,C1118,D1118+1))</f>
        <v>1424</v>
      </c>
      <c r="D1117" s="15">
        <f>IF(Categorias_Registro[[#This Row],[Puntos]]=ROUND(Piso,0),ROUND(Categorias_Registro[[#This Row],[Puntos]]*(1+Categorias_Registro[[#This Row],[Amplitud]]),0),IF(Categorias_Registro[[#This Row],[Puntos]]&lt;D1118,D1118,ROUND(D1118*(1+Categorias_Registro[[#This Row],[Amplitud]]),0)))</f>
        <v>1636</v>
      </c>
      <c r="E1117" s="15">
        <f>E1118+IF(D1118=Categorias_Registro[[#This Row],[Máximo]],0,1)</f>
        <v>21</v>
      </c>
      <c r="F1117" s="15">
        <f>ROUND(Categorias_Registro[[#This Row],[Mínimo]]+((Categorias_Registro[[#This Row],[Máximo]]-Categorias_Registro[[#This Row],[Mínimo]])/2),0)</f>
        <v>1530</v>
      </c>
      <c r="G1117" s="78">
        <f>VLOOKUP(Categorias_Registro[[#This Row],[Puntos]],Categorias_Configuracion[],MATCH(Categorias_Configuracion[[#Headers],[% Amplitud]],Categorias_Configuracion[#Headers],0),TRUE)</f>
        <v>0.15</v>
      </c>
      <c r="H1117" s="15" t="str">
        <f ca="1">TEXT(Categorias_Registro[[#This Row],[Mínimo]],Formato_Rango_Categorias)&amp;" - "&amp;TEXT(Categorias_Registro[[#This Row],[Máximo]],Formato_Rango_Categorias)</f>
        <v>1.424 - 1.636</v>
      </c>
    </row>
    <row r="1118" spans="2:8">
      <c r="B1118" s="15">
        <f>Techo - ROW() + ROW(Categorias_Registro[])</f>
        <v>1511</v>
      </c>
      <c r="C1118" s="15">
        <f>IF(Categorias_Registro[[#This Row],[Puntos]]&lt;=ROUND(Piso,0),Piso,IF(Categorias_Registro[[#This Row],[Puntos]]&lt;D1119,C1119,D1119+1))</f>
        <v>1424</v>
      </c>
      <c r="D1118" s="15">
        <f>IF(Categorias_Registro[[#This Row],[Puntos]]=ROUND(Piso,0),ROUND(Categorias_Registro[[#This Row],[Puntos]]*(1+Categorias_Registro[[#This Row],[Amplitud]]),0),IF(Categorias_Registro[[#This Row],[Puntos]]&lt;D1119,D1119,ROUND(D1119*(1+Categorias_Registro[[#This Row],[Amplitud]]),0)))</f>
        <v>1636</v>
      </c>
      <c r="E1118" s="15">
        <f>E1119+IF(D1119=Categorias_Registro[[#This Row],[Máximo]],0,1)</f>
        <v>21</v>
      </c>
      <c r="F1118" s="15">
        <f>ROUND(Categorias_Registro[[#This Row],[Mínimo]]+((Categorias_Registro[[#This Row],[Máximo]]-Categorias_Registro[[#This Row],[Mínimo]])/2),0)</f>
        <v>1530</v>
      </c>
      <c r="G1118" s="78">
        <f>VLOOKUP(Categorias_Registro[[#This Row],[Puntos]],Categorias_Configuracion[],MATCH(Categorias_Configuracion[[#Headers],[% Amplitud]],Categorias_Configuracion[#Headers],0),TRUE)</f>
        <v>0.15</v>
      </c>
      <c r="H1118" s="15" t="str">
        <f ca="1">TEXT(Categorias_Registro[[#This Row],[Mínimo]],Formato_Rango_Categorias)&amp;" - "&amp;TEXT(Categorias_Registro[[#This Row],[Máximo]],Formato_Rango_Categorias)</f>
        <v>1.424 - 1.636</v>
      </c>
    </row>
    <row r="1119" spans="2:8">
      <c r="B1119" s="15">
        <f>Techo - ROW() + ROW(Categorias_Registro[])</f>
        <v>1510</v>
      </c>
      <c r="C1119" s="15">
        <f>IF(Categorias_Registro[[#This Row],[Puntos]]&lt;=ROUND(Piso,0),Piso,IF(Categorias_Registro[[#This Row],[Puntos]]&lt;D1120,C1120,D1120+1))</f>
        <v>1424</v>
      </c>
      <c r="D1119" s="15">
        <f>IF(Categorias_Registro[[#This Row],[Puntos]]=ROUND(Piso,0),ROUND(Categorias_Registro[[#This Row],[Puntos]]*(1+Categorias_Registro[[#This Row],[Amplitud]]),0),IF(Categorias_Registro[[#This Row],[Puntos]]&lt;D1120,D1120,ROUND(D1120*(1+Categorias_Registro[[#This Row],[Amplitud]]),0)))</f>
        <v>1636</v>
      </c>
      <c r="E1119" s="15">
        <f>E1120+IF(D1120=Categorias_Registro[[#This Row],[Máximo]],0,1)</f>
        <v>21</v>
      </c>
      <c r="F1119" s="15">
        <f>ROUND(Categorias_Registro[[#This Row],[Mínimo]]+((Categorias_Registro[[#This Row],[Máximo]]-Categorias_Registro[[#This Row],[Mínimo]])/2),0)</f>
        <v>1530</v>
      </c>
      <c r="G1119" s="78">
        <f>VLOOKUP(Categorias_Registro[[#This Row],[Puntos]],Categorias_Configuracion[],MATCH(Categorias_Configuracion[[#Headers],[% Amplitud]],Categorias_Configuracion[#Headers],0),TRUE)</f>
        <v>0.15</v>
      </c>
      <c r="H1119" s="15" t="str">
        <f ca="1">TEXT(Categorias_Registro[[#This Row],[Mínimo]],Formato_Rango_Categorias)&amp;" - "&amp;TEXT(Categorias_Registro[[#This Row],[Máximo]],Formato_Rango_Categorias)</f>
        <v>1.424 - 1.636</v>
      </c>
    </row>
    <row r="1120" spans="2:8">
      <c r="B1120" s="15">
        <f>Techo - ROW() + ROW(Categorias_Registro[])</f>
        <v>1509</v>
      </c>
      <c r="C1120" s="15">
        <f>IF(Categorias_Registro[[#This Row],[Puntos]]&lt;=ROUND(Piso,0),Piso,IF(Categorias_Registro[[#This Row],[Puntos]]&lt;D1121,C1121,D1121+1))</f>
        <v>1424</v>
      </c>
      <c r="D1120" s="15">
        <f>IF(Categorias_Registro[[#This Row],[Puntos]]=ROUND(Piso,0),ROUND(Categorias_Registro[[#This Row],[Puntos]]*(1+Categorias_Registro[[#This Row],[Amplitud]]),0),IF(Categorias_Registro[[#This Row],[Puntos]]&lt;D1121,D1121,ROUND(D1121*(1+Categorias_Registro[[#This Row],[Amplitud]]),0)))</f>
        <v>1636</v>
      </c>
      <c r="E1120" s="15">
        <f>E1121+IF(D1121=Categorias_Registro[[#This Row],[Máximo]],0,1)</f>
        <v>21</v>
      </c>
      <c r="F1120" s="15">
        <f>ROUND(Categorias_Registro[[#This Row],[Mínimo]]+((Categorias_Registro[[#This Row],[Máximo]]-Categorias_Registro[[#This Row],[Mínimo]])/2),0)</f>
        <v>1530</v>
      </c>
      <c r="G1120" s="78">
        <f>VLOOKUP(Categorias_Registro[[#This Row],[Puntos]],Categorias_Configuracion[],MATCH(Categorias_Configuracion[[#Headers],[% Amplitud]],Categorias_Configuracion[#Headers],0),TRUE)</f>
        <v>0.15</v>
      </c>
      <c r="H1120" s="15" t="str">
        <f ca="1">TEXT(Categorias_Registro[[#This Row],[Mínimo]],Formato_Rango_Categorias)&amp;" - "&amp;TEXT(Categorias_Registro[[#This Row],[Máximo]],Formato_Rango_Categorias)</f>
        <v>1.424 - 1.636</v>
      </c>
    </row>
    <row r="1121" spans="2:8">
      <c r="B1121" s="15">
        <f>Techo - ROW() + ROW(Categorias_Registro[])</f>
        <v>1508</v>
      </c>
      <c r="C1121" s="15">
        <f>IF(Categorias_Registro[[#This Row],[Puntos]]&lt;=ROUND(Piso,0),Piso,IF(Categorias_Registro[[#This Row],[Puntos]]&lt;D1122,C1122,D1122+1))</f>
        <v>1424</v>
      </c>
      <c r="D1121" s="15">
        <f>IF(Categorias_Registro[[#This Row],[Puntos]]=ROUND(Piso,0),ROUND(Categorias_Registro[[#This Row],[Puntos]]*(1+Categorias_Registro[[#This Row],[Amplitud]]),0),IF(Categorias_Registro[[#This Row],[Puntos]]&lt;D1122,D1122,ROUND(D1122*(1+Categorias_Registro[[#This Row],[Amplitud]]),0)))</f>
        <v>1636</v>
      </c>
      <c r="E1121" s="15">
        <f>E1122+IF(D1122=Categorias_Registro[[#This Row],[Máximo]],0,1)</f>
        <v>21</v>
      </c>
      <c r="F1121" s="15">
        <f>ROUND(Categorias_Registro[[#This Row],[Mínimo]]+((Categorias_Registro[[#This Row],[Máximo]]-Categorias_Registro[[#This Row],[Mínimo]])/2),0)</f>
        <v>1530</v>
      </c>
      <c r="G1121" s="78">
        <f>VLOOKUP(Categorias_Registro[[#This Row],[Puntos]],Categorias_Configuracion[],MATCH(Categorias_Configuracion[[#Headers],[% Amplitud]],Categorias_Configuracion[#Headers],0),TRUE)</f>
        <v>0.15</v>
      </c>
      <c r="H1121" s="15" t="str">
        <f ca="1">TEXT(Categorias_Registro[[#This Row],[Mínimo]],Formato_Rango_Categorias)&amp;" - "&amp;TEXT(Categorias_Registro[[#This Row],[Máximo]],Formato_Rango_Categorias)</f>
        <v>1.424 - 1.636</v>
      </c>
    </row>
    <row r="1122" spans="2:8">
      <c r="B1122" s="15">
        <f>Techo - ROW() + ROW(Categorias_Registro[])</f>
        <v>1507</v>
      </c>
      <c r="C1122" s="15">
        <f>IF(Categorias_Registro[[#This Row],[Puntos]]&lt;=ROUND(Piso,0),Piso,IF(Categorias_Registro[[#This Row],[Puntos]]&lt;D1123,C1123,D1123+1))</f>
        <v>1424</v>
      </c>
      <c r="D1122" s="15">
        <f>IF(Categorias_Registro[[#This Row],[Puntos]]=ROUND(Piso,0),ROUND(Categorias_Registro[[#This Row],[Puntos]]*(1+Categorias_Registro[[#This Row],[Amplitud]]),0),IF(Categorias_Registro[[#This Row],[Puntos]]&lt;D1123,D1123,ROUND(D1123*(1+Categorias_Registro[[#This Row],[Amplitud]]),0)))</f>
        <v>1636</v>
      </c>
      <c r="E1122" s="15">
        <f>E1123+IF(D1123=Categorias_Registro[[#This Row],[Máximo]],0,1)</f>
        <v>21</v>
      </c>
      <c r="F1122" s="15">
        <f>ROUND(Categorias_Registro[[#This Row],[Mínimo]]+((Categorias_Registro[[#This Row],[Máximo]]-Categorias_Registro[[#This Row],[Mínimo]])/2),0)</f>
        <v>1530</v>
      </c>
      <c r="G1122" s="78">
        <f>VLOOKUP(Categorias_Registro[[#This Row],[Puntos]],Categorias_Configuracion[],MATCH(Categorias_Configuracion[[#Headers],[% Amplitud]],Categorias_Configuracion[#Headers],0),TRUE)</f>
        <v>0.15</v>
      </c>
      <c r="H1122" s="15" t="str">
        <f ca="1">TEXT(Categorias_Registro[[#This Row],[Mínimo]],Formato_Rango_Categorias)&amp;" - "&amp;TEXT(Categorias_Registro[[#This Row],[Máximo]],Formato_Rango_Categorias)</f>
        <v>1.424 - 1.636</v>
      </c>
    </row>
    <row r="1123" spans="2:8">
      <c r="B1123" s="15">
        <f>Techo - ROW() + ROW(Categorias_Registro[])</f>
        <v>1506</v>
      </c>
      <c r="C1123" s="15">
        <f>IF(Categorias_Registro[[#This Row],[Puntos]]&lt;=ROUND(Piso,0),Piso,IF(Categorias_Registro[[#This Row],[Puntos]]&lt;D1124,C1124,D1124+1))</f>
        <v>1424</v>
      </c>
      <c r="D1123" s="15">
        <f>IF(Categorias_Registro[[#This Row],[Puntos]]=ROUND(Piso,0),ROUND(Categorias_Registro[[#This Row],[Puntos]]*(1+Categorias_Registro[[#This Row],[Amplitud]]),0),IF(Categorias_Registro[[#This Row],[Puntos]]&lt;D1124,D1124,ROUND(D1124*(1+Categorias_Registro[[#This Row],[Amplitud]]),0)))</f>
        <v>1636</v>
      </c>
      <c r="E1123" s="15">
        <f>E1124+IF(D1124=Categorias_Registro[[#This Row],[Máximo]],0,1)</f>
        <v>21</v>
      </c>
      <c r="F1123" s="15">
        <f>ROUND(Categorias_Registro[[#This Row],[Mínimo]]+((Categorias_Registro[[#This Row],[Máximo]]-Categorias_Registro[[#This Row],[Mínimo]])/2),0)</f>
        <v>1530</v>
      </c>
      <c r="G1123" s="78">
        <f>VLOOKUP(Categorias_Registro[[#This Row],[Puntos]],Categorias_Configuracion[],MATCH(Categorias_Configuracion[[#Headers],[% Amplitud]],Categorias_Configuracion[#Headers],0),TRUE)</f>
        <v>0.15</v>
      </c>
      <c r="H1123" s="15" t="str">
        <f ca="1">TEXT(Categorias_Registro[[#This Row],[Mínimo]],Formato_Rango_Categorias)&amp;" - "&amp;TEXT(Categorias_Registro[[#This Row],[Máximo]],Formato_Rango_Categorias)</f>
        <v>1.424 - 1.636</v>
      </c>
    </row>
    <row r="1124" spans="2:8">
      <c r="B1124" s="15">
        <f>Techo - ROW() + ROW(Categorias_Registro[])</f>
        <v>1505</v>
      </c>
      <c r="C1124" s="15">
        <f>IF(Categorias_Registro[[#This Row],[Puntos]]&lt;=ROUND(Piso,0),Piso,IF(Categorias_Registro[[#This Row],[Puntos]]&lt;D1125,C1125,D1125+1))</f>
        <v>1424</v>
      </c>
      <c r="D1124" s="15">
        <f>IF(Categorias_Registro[[#This Row],[Puntos]]=ROUND(Piso,0),ROUND(Categorias_Registro[[#This Row],[Puntos]]*(1+Categorias_Registro[[#This Row],[Amplitud]]),0),IF(Categorias_Registro[[#This Row],[Puntos]]&lt;D1125,D1125,ROUND(D1125*(1+Categorias_Registro[[#This Row],[Amplitud]]),0)))</f>
        <v>1636</v>
      </c>
      <c r="E1124" s="15">
        <f>E1125+IF(D1125=Categorias_Registro[[#This Row],[Máximo]],0,1)</f>
        <v>21</v>
      </c>
      <c r="F1124" s="15">
        <f>ROUND(Categorias_Registro[[#This Row],[Mínimo]]+((Categorias_Registro[[#This Row],[Máximo]]-Categorias_Registro[[#This Row],[Mínimo]])/2),0)</f>
        <v>1530</v>
      </c>
      <c r="G1124" s="78">
        <f>VLOOKUP(Categorias_Registro[[#This Row],[Puntos]],Categorias_Configuracion[],MATCH(Categorias_Configuracion[[#Headers],[% Amplitud]],Categorias_Configuracion[#Headers],0),TRUE)</f>
        <v>0.15</v>
      </c>
      <c r="H1124" s="15" t="str">
        <f ca="1">TEXT(Categorias_Registro[[#This Row],[Mínimo]],Formato_Rango_Categorias)&amp;" - "&amp;TEXT(Categorias_Registro[[#This Row],[Máximo]],Formato_Rango_Categorias)</f>
        <v>1.424 - 1.636</v>
      </c>
    </row>
    <row r="1125" spans="2:8">
      <c r="B1125" s="15">
        <f>Techo - ROW() + ROW(Categorias_Registro[])</f>
        <v>1504</v>
      </c>
      <c r="C1125" s="15">
        <f>IF(Categorias_Registro[[#This Row],[Puntos]]&lt;=ROUND(Piso,0),Piso,IF(Categorias_Registro[[#This Row],[Puntos]]&lt;D1126,C1126,D1126+1))</f>
        <v>1424</v>
      </c>
      <c r="D1125" s="15">
        <f>IF(Categorias_Registro[[#This Row],[Puntos]]=ROUND(Piso,0),ROUND(Categorias_Registro[[#This Row],[Puntos]]*(1+Categorias_Registro[[#This Row],[Amplitud]]),0),IF(Categorias_Registro[[#This Row],[Puntos]]&lt;D1126,D1126,ROUND(D1126*(1+Categorias_Registro[[#This Row],[Amplitud]]),0)))</f>
        <v>1636</v>
      </c>
      <c r="E1125" s="15">
        <f>E1126+IF(D1126=Categorias_Registro[[#This Row],[Máximo]],0,1)</f>
        <v>21</v>
      </c>
      <c r="F1125" s="15">
        <f>ROUND(Categorias_Registro[[#This Row],[Mínimo]]+((Categorias_Registro[[#This Row],[Máximo]]-Categorias_Registro[[#This Row],[Mínimo]])/2),0)</f>
        <v>1530</v>
      </c>
      <c r="G1125" s="78">
        <f>VLOOKUP(Categorias_Registro[[#This Row],[Puntos]],Categorias_Configuracion[],MATCH(Categorias_Configuracion[[#Headers],[% Amplitud]],Categorias_Configuracion[#Headers],0),TRUE)</f>
        <v>0.15</v>
      </c>
      <c r="H1125" s="15" t="str">
        <f ca="1">TEXT(Categorias_Registro[[#This Row],[Mínimo]],Formato_Rango_Categorias)&amp;" - "&amp;TEXT(Categorias_Registro[[#This Row],[Máximo]],Formato_Rango_Categorias)</f>
        <v>1.424 - 1.636</v>
      </c>
    </row>
    <row r="1126" spans="2:8">
      <c r="B1126" s="15">
        <f>Techo - ROW() + ROW(Categorias_Registro[])</f>
        <v>1503</v>
      </c>
      <c r="C1126" s="15">
        <f>IF(Categorias_Registro[[#This Row],[Puntos]]&lt;=ROUND(Piso,0),Piso,IF(Categorias_Registro[[#This Row],[Puntos]]&lt;D1127,C1127,D1127+1))</f>
        <v>1424</v>
      </c>
      <c r="D1126" s="15">
        <f>IF(Categorias_Registro[[#This Row],[Puntos]]=ROUND(Piso,0),ROUND(Categorias_Registro[[#This Row],[Puntos]]*(1+Categorias_Registro[[#This Row],[Amplitud]]),0),IF(Categorias_Registro[[#This Row],[Puntos]]&lt;D1127,D1127,ROUND(D1127*(1+Categorias_Registro[[#This Row],[Amplitud]]),0)))</f>
        <v>1636</v>
      </c>
      <c r="E1126" s="15">
        <f>E1127+IF(D1127=Categorias_Registro[[#This Row],[Máximo]],0,1)</f>
        <v>21</v>
      </c>
      <c r="F1126" s="15">
        <f>ROUND(Categorias_Registro[[#This Row],[Mínimo]]+((Categorias_Registro[[#This Row],[Máximo]]-Categorias_Registro[[#This Row],[Mínimo]])/2),0)</f>
        <v>1530</v>
      </c>
      <c r="G1126" s="78">
        <f>VLOOKUP(Categorias_Registro[[#This Row],[Puntos]],Categorias_Configuracion[],MATCH(Categorias_Configuracion[[#Headers],[% Amplitud]],Categorias_Configuracion[#Headers],0),TRUE)</f>
        <v>0.15</v>
      </c>
      <c r="H1126" s="15" t="str">
        <f ca="1">TEXT(Categorias_Registro[[#This Row],[Mínimo]],Formato_Rango_Categorias)&amp;" - "&amp;TEXT(Categorias_Registro[[#This Row],[Máximo]],Formato_Rango_Categorias)</f>
        <v>1.424 - 1.636</v>
      </c>
    </row>
    <row r="1127" spans="2:8">
      <c r="B1127" s="15">
        <f>Techo - ROW() + ROW(Categorias_Registro[])</f>
        <v>1502</v>
      </c>
      <c r="C1127" s="15">
        <f>IF(Categorias_Registro[[#This Row],[Puntos]]&lt;=ROUND(Piso,0),Piso,IF(Categorias_Registro[[#This Row],[Puntos]]&lt;D1128,C1128,D1128+1))</f>
        <v>1424</v>
      </c>
      <c r="D1127" s="15">
        <f>IF(Categorias_Registro[[#This Row],[Puntos]]=ROUND(Piso,0),ROUND(Categorias_Registro[[#This Row],[Puntos]]*(1+Categorias_Registro[[#This Row],[Amplitud]]),0),IF(Categorias_Registro[[#This Row],[Puntos]]&lt;D1128,D1128,ROUND(D1128*(1+Categorias_Registro[[#This Row],[Amplitud]]),0)))</f>
        <v>1636</v>
      </c>
      <c r="E1127" s="15">
        <f>E1128+IF(D1128=Categorias_Registro[[#This Row],[Máximo]],0,1)</f>
        <v>21</v>
      </c>
      <c r="F1127" s="15">
        <f>ROUND(Categorias_Registro[[#This Row],[Mínimo]]+((Categorias_Registro[[#This Row],[Máximo]]-Categorias_Registro[[#This Row],[Mínimo]])/2),0)</f>
        <v>1530</v>
      </c>
      <c r="G1127" s="78">
        <f>VLOOKUP(Categorias_Registro[[#This Row],[Puntos]],Categorias_Configuracion[],MATCH(Categorias_Configuracion[[#Headers],[% Amplitud]],Categorias_Configuracion[#Headers],0),TRUE)</f>
        <v>0.15</v>
      </c>
      <c r="H1127" s="15" t="str">
        <f ca="1">TEXT(Categorias_Registro[[#This Row],[Mínimo]],Formato_Rango_Categorias)&amp;" - "&amp;TEXT(Categorias_Registro[[#This Row],[Máximo]],Formato_Rango_Categorias)</f>
        <v>1.424 - 1.636</v>
      </c>
    </row>
    <row r="1128" spans="2:8">
      <c r="B1128" s="15">
        <f>Techo - ROW() + ROW(Categorias_Registro[])</f>
        <v>1501</v>
      </c>
      <c r="C1128" s="15">
        <f>IF(Categorias_Registro[[#This Row],[Puntos]]&lt;=ROUND(Piso,0),Piso,IF(Categorias_Registro[[#This Row],[Puntos]]&lt;D1129,C1129,D1129+1))</f>
        <v>1424</v>
      </c>
      <c r="D1128" s="15">
        <f>IF(Categorias_Registro[[#This Row],[Puntos]]=ROUND(Piso,0),ROUND(Categorias_Registro[[#This Row],[Puntos]]*(1+Categorias_Registro[[#This Row],[Amplitud]]),0),IF(Categorias_Registro[[#This Row],[Puntos]]&lt;D1129,D1129,ROUND(D1129*(1+Categorias_Registro[[#This Row],[Amplitud]]),0)))</f>
        <v>1636</v>
      </c>
      <c r="E1128" s="15">
        <f>E1129+IF(D1129=Categorias_Registro[[#This Row],[Máximo]],0,1)</f>
        <v>21</v>
      </c>
      <c r="F1128" s="15">
        <f>ROUND(Categorias_Registro[[#This Row],[Mínimo]]+((Categorias_Registro[[#This Row],[Máximo]]-Categorias_Registro[[#This Row],[Mínimo]])/2),0)</f>
        <v>1530</v>
      </c>
      <c r="G1128" s="78">
        <f>VLOOKUP(Categorias_Registro[[#This Row],[Puntos]],Categorias_Configuracion[],MATCH(Categorias_Configuracion[[#Headers],[% Amplitud]],Categorias_Configuracion[#Headers],0),TRUE)</f>
        <v>0.15</v>
      </c>
      <c r="H1128" s="15" t="str">
        <f ca="1">TEXT(Categorias_Registro[[#This Row],[Mínimo]],Formato_Rango_Categorias)&amp;" - "&amp;TEXT(Categorias_Registro[[#This Row],[Máximo]],Formato_Rango_Categorias)</f>
        <v>1.424 - 1.636</v>
      </c>
    </row>
    <row r="1129" spans="2:8">
      <c r="B1129" s="15">
        <f>Techo - ROW() + ROW(Categorias_Registro[])</f>
        <v>1500</v>
      </c>
      <c r="C1129" s="15">
        <f>IF(Categorias_Registro[[#This Row],[Puntos]]&lt;=ROUND(Piso,0),Piso,IF(Categorias_Registro[[#This Row],[Puntos]]&lt;D1130,C1130,D1130+1))</f>
        <v>1424</v>
      </c>
      <c r="D1129" s="15">
        <f>IF(Categorias_Registro[[#This Row],[Puntos]]=ROUND(Piso,0),ROUND(Categorias_Registro[[#This Row],[Puntos]]*(1+Categorias_Registro[[#This Row],[Amplitud]]),0),IF(Categorias_Registro[[#This Row],[Puntos]]&lt;D1130,D1130,ROUND(D1130*(1+Categorias_Registro[[#This Row],[Amplitud]]),0)))</f>
        <v>1636</v>
      </c>
      <c r="E1129" s="15">
        <f>E1130+IF(D1130=Categorias_Registro[[#This Row],[Máximo]],0,1)</f>
        <v>21</v>
      </c>
      <c r="F1129" s="15">
        <f>ROUND(Categorias_Registro[[#This Row],[Mínimo]]+((Categorias_Registro[[#This Row],[Máximo]]-Categorias_Registro[[#This Row],[Mínimo]])/2),0)</f>
        <v>1530</v>
      </c>
      <c r="G1129" s="78">
        <f>VLOOKUP(Categorias_Registro[[#This Row],[Puntos]],Categorias_Configuracion[],MATCH(Categorias_Configuracion[[#Headers],[% Amplitud]],Categorias_Configuracion[#Headers],0),TRUE)</f>
        <v>0.15</v>
      </c>
      <c r="H1129" s="15" t="str">
        <f ca="1">TEXT(Categorias_Registro[[#This Row],[Mínimo]],Formato_Rango_Categorias)&amp;" - "&amp;TEXT(Categorias_Registro[[#This Row],[Máximo]],Formato_Rango_Categorias)</f>
        <v>1.424 - 1.636</v>
      </c>
    </row>
    <row r="1130" spans="2:8">
      <c r="B1130" s="15">
        <f>Techo - ROW() + ROW(Categorias_Registro[])</f>
        <v>1499</v>
      </c>
      <c r="C1130" s="15">
        <f>IF(Categorias_Registro[[#This Row],[Puntos]]&lt;=ROUND(Piso,0),Piso,IF(Categorias_Registro[[#This Row],[Puntos]]&lt;D1131,C1131,D1131+1))</f>
        <v>1424</v>
      </c>
      <c r="D1130" s="15">
        <f>IF(Categorias_Registro[[#This Row],[Puntos]]=ROUND(Piso,0),ROUND(Categorias_Registro[[#This Row],[Puntos]]*(1+Categorias_Registro[[#This Row],[Amplitud]]),0),IF(Categorias_Registro[[#This Row],[Puntos]]&lt;D1131,D1131,ROUND(D1131*(1+Categorias_Registro[[#This Row],[Amplitud]]),0)))</f>
        <v>1636</v>
      </c>
      <c r="E1130" s="15">
        <f>E1131+IF(D1131=Categorias_Registro[[#This Row],[Máximo]],0,1)</f>
        <v>21</v>
      </c>
      <c r="F1130" s="15">
        <f>ROUND(Categorias_Registro[[#This Row],[Mínimo]]+((Categorias_Registro[[#This Row],[Máximo]]-Categorias_Registro[[#This Row],[Mínimo]])/2),0)</f>
        <v>1530</v>
      </c>
      <c r="G1130" s="78">
        <f>VLOOKUP(Categorias_Registro[[#This Row],[Puntos]],Categorias_Configuracion[],MATCH(Categorias_Configuracion[[#Headers],[% Amplitud]],Categorias_Configuracion[#Headers],0),TRUE)</f>
        <v>0.15</v>
      </c>
      <c r="H1130" s="15" t="str">
        <f ca="1">TEXT(Categorias_Registro[[#This Row],[Mínimo]],Formato_Rango_Categorias)&amp;" - "&amp;TEXT(Categorias_Registro[[#This Row],[Máximo]],Formato_Rango_Categorias)</f>
        <v>1.424 - 1.636</v>
      </c>
    </row>
    <row r="1131" spans="2:8">
      <c r="B1131" s="15">
        <f>Techo - ROW() + ROW(Categorias_Registro[])</f>
        <v>1498</v>
      </c>
      <c r="C1131" s="15">
        <f>IF(Categorias_Registro[[#This Row],[Puntos]]&lt;=ROUND(Piso,0),Piso,IF(Categorias_Registro[[#This Row],[Puntos]]&lt;D1132,C1132,D1132+1))</f>
        <v>1424</v>
      </c>
      <c r="D1131" s="15">
        <f>IF(Categorias_Registro[[#This Row],[Puntos]]=ROUND(Piso,0),ROUND(Categorias_Registro[[#This Row],[Puntos]]*(1+Categorias_Registro[[#This Row],[Amplitud]]),0),IF(Categorias_Registro[[#This Row],[Puntos]]&lt;D1132,D1132,ROUND(D1132*(1+Categorias_Registro[[#This Row],[Amplitud]]),0)))</f>
        <v>1636</v>
      </c>
      <c r="E1131" s="15">
        <f>E1132+IF(D1132=Categorias_Registro[[#This Row],[Máximo]],0,1)</f>
        <v>21</v>
      </c>
      <c r="F1131" s="15">
        <f>ROUND(Categorias_Registro[[#This Row],[Mínimo]]+((Categorias_Registro[[#This Row],[Máximo]]-Categorias_Registro[[#This Row],[Mínimo]])/2),0)</f>
        <v>1530</v>
      </c>
      <c r="G1131" s="78">
        <f>VLOOKUP(Categorias_Registro[[#This Row],[Puntos]],Categorias_Configuracion[],MATCH(Categorias_Configuracion[[#Headers],[% Amplitud]],Categorias_Configuracion[#Headers],0),TRUE)</f>
        <v>0.15</v>
      </c>
      <c r="H1131" s="15" t="str">
        <f ca="1">TEXT(Categorias_Registro[[#This Row],[Mínimo]],Formato_Rango_Categorias)&amp;" - "&amp;TEXT(Categorias_Registro[[#This Row],[Máximo]],Formato_Rango_Categorias)</f>
        <v>1.424 - 1.636</v>
      </c>
    </row>
    <row r="1132" spans="2:8">
      <c r="B1132" s="15">
        <f>Techo - ROW() + ROW(Categorias_Registro[])</f>
        <v>1497</v>
      </c>
      <c r="C1132" s="15">
        <f>IF(Categorias_Registro[[#This Row],[Puntos]]&lt;=ROUND(Piso,0),Piso,IF(Categorias_Registro[[#This Row],[Puntos]]&lt;D1133,C1133,D1133+1))</f>
        <v>1424</v>
      </c>
      <c r="D1132" s="15">
        <f>IF(Categorias_Registro[[#This Row],[Puntos]]=ROUND(Piso,0),ROUND(Categorias_Registro[[#This Row],[Puntos]]*(1+Categorias_Registro[[#This Row],[Amplitud]]),0),IF(Categorias_Registro[[#This Row],[Puntos]]&lt;D1133,D1133,ROUND(D1133*(1+Categorias_Registro[[#This Row],[Amplitud]]),0)))</f>
        <v>1636</v>
      </c>
      <c r="E1132" s="15">
        <f>E1133+IF(D1133=Categorias_Registro[[#This Row],[Máximo]],0,1)</f>
        <v>21</v>
      </c>
      <c r="F1132" s="15">
        <f>ROUND(Categorias_Registro[[#This Row],[Mínimo]]+((Categorias_Registro[[#This Row],[Máximo]]-Categorias_Registro[[#This Row],[Mínimo]])/2),0)</f>
        <v>1530</v>
      </c>
      <c r="G1132" s="78">
        <f>VLOOKUP(Categorias_Registro[[#This Row],[Puntos]],Categorias_Configuracion[],MATCH(Categorias_Configuracion[[#Headers],[% Amplitud]],Categorias_Configuracion[#Headers],0),TRUE)</f>
        <v>0.15</v>
      </c>
      <c r="H1132" s="15" t="str">
        <f ca="1">TEXT(Categorias_Registro[[#This Row],[Mínimo]],Formato_Rango_Categorias)&amp;" - "&amp;TEXT(Categorias_Registro[[#This Row],[Máximo]],Formato_Rango_Categorias)</f>
        <v>1.424 - 1.636</v>
      </c>
    </row>
    <row r="1133" spans="2:8">
      <c r="B1133" s="15">
        <f>Techo - ROW() + ROW(Categorias_Registro[])</f>
        <v>1496</v>
      </c>
      <c r="C1133" s="15">
        <f>IF(Categorias_Registro[[#This Row],[Puntos]]&lt;=ROUND(Piso,0),Piso,IF(Categorias_Registro[[#This Row],[Puntos]]&lt;D1134,C1134,D1134+1))</f>
        <v>1424</v>
      </c>
      <c r="D1133" s="15">
        <f>IF(Categorias_Registro[[#This Row],[Puntos]]=ROUND(Piso,0),ROUND(Categorias_Registro[[#This Row],[Puntos]]*(1+Categorias_Registro[[#This Row],[Amplitud]]),0),IF(Categorias_Registro[[#This Row],[Puntos]]&lt;D1134,D1134,ROUND(D1134*(1+Categorias_Registro[[#This Row],[Amplitud]]),0)))</f>
        <v>1636</v>
      </c>
      <c r="E1133" s="15">
        <f>E1134+IF(D1134=Categorias_Registro[[#This Row],[Máximo]],0,1)</f>
        <v>21</v>
      </c>
      <c r="F1133" s="15">
        <f>ROUND(Categorias_Registro[[#This Row],[Mínimo]]+((Categorias_Registro[[#This Row],[Máximo]]-Categorias_Registro[[#This Row],[Mínimo]])/2),0)</f>
        <v>1530</v>
      </c>
      <c r="G1133" s="78">
        <f>VLOOKUP(Categorias_Registro[[#This Row],[Puntos]],Categorias_Configuracion[],MATCH(Categorias_Configuracion[[#Headers],[% Amplitud]],Categorias_Configuracion[#Headers],0),TRUE)</f>
        <v>0.15</v>
      </c>
      <c r="H1133" s="15" t="str">
        <f ca="1">TEXT(Categorias_Registro[[#This Row],[Mínimo]],Formato_Rango_Categorias)&amp;" - "&amp;TEXT(Categorias_Registro[[#This Row],[Máximo]],Formato_Rango_Categorias)</f>
        <v>1.424 - 1.636</v>
      </c>
    </row>
    <row r="1134" spans="2:8">
      <c r="B1134" s="15">
        <f>Techo - ROW() + ROW(Categorias_Registro[])</f>
        <v>1495</v>
      </c>
      <c r="C1134" s="15">
        <f>IF(Categorias_Registro[[#This Row],[Puntos]]&lt;=ROUND(Piso,0),Piso,IF(Categorias_Registro[[#This Row],[Puntos]]&lt;D1135,C1135,D1135+1))</f>
        <v>1424</v>
      </c>
      <c r="D1134" s="15">
        <f>IF(Categorias_Registro[[#This Row],[Puntos]]=ROUND(Piso,0),ROUND(Categorias_Registro[[#This Row],[Puntos]]*(1+Categorias_Registro[[#This Row],[Amplitud]]),0),IF(Categorias_Registro[[#This Row],[Puntos]]&lt;D1135,D1135,ROUND(D1135*(1+Categorias_Registro[[#This Row],[Amplitud]]),0)))</f>
        <v>1636</v>
      </c>
      <c r="E1134" s="15">
        <f>E1135+IF(D1135=Categorias_Registro[[#This Row],[Máximo]],0,1)</f>
        <v>21</v>
      </c>
      <c r="F1134" s="15">
        <f>ROUND(Categorias_Registro[[#This Row],[Mínimo]]+((Categorias_Registro[[#This Row],[Máximo]]-Categorias_Registro[[#This Row],[Mínimo]])/2),0)</f>
        <v>1530</v>
      </c>
      <c r="G1134" s="78">
        <f>VLOOKUP(Categorias_Registro[[#This Row],[Puntos]],Categorias_Configuracion[],MATCH(Categorias_Configuracion[[#Headers],[% Amplitud]],Categorias_Configuracion[#Headers],0),TRUE)</f>
        <v>0.15</v>
      </c>
      <c r="H1134" s="15" t="str">
        <f ca="1">TEXT(Categorias_Registro[[#This Row],[Mínimo]],Formato_Rango_Categorias)&amp;" - "&amp;TEXT(Categorias_Registro[[#This Row],[Máximo]],Formato_Rango_Categorias)</f>
        <v>1.424 - 1.636</v>
      </c>
    </row>
    <row r="1135" spans="2:8">
      <c r="B1135" s="15">
        <f>Techo - ROW() + ROW(Categorias_Registro[])</f>
        <v>1494</v>
      </c>
      <c r="C1135" s="15">
        <f>IF(Categorias_Registro[[#This Row],[Puntos]]&lt;=ROUND(Piso,0),Piso,IF(Categorias_Registro[[#This Row],[Puntos]]&lt;D1136,C1136,D1136+1))</f>
        <v>1424</v>
      </c>
      <c r="D1135" s="15">
        <f>IF(Categorias_Registro[[#This Row],[Puntos]]=ROUND(Piso,0),ROUND(Categorias_Registro[[#This Row],[Puntos]]*(1+Categorias_Registro[[#This Row],[Amplitud]]),0),IF(Categorias_Registro[[#This Row],[Puntos]]&lt;D1136,D1136,ROUND(D1136*(1+Categorias_Registro[[#This Row],[Amplitud]]),0)))</f>
        <v>1636</v>
      </c>
      <c r="E1135" s="15">
        <f>E1136+IF(D1136=Categorias_Registro[[#This Row],[Máximo]],0,1)</f>
        <v>21</v>
      </c>
      <c r="F1135" s="15">
        <f>ROUND(Categorias_Registro[[#This Row],[Mínimo]]+((Categorias_Registro[[#This Row],[Máximo]]-Categorias_Registro[[#This Row],[Mínimo]])/2),0)</f>
        <v>1530</v>
      </c>
      <c r="G1135" s="78">
        <f>VLOOKUP(Categorias_Registro[[#This Row],[Puntos]],Categorias_Configuracion[],MATCH(Categorias_Configuracion[[#Headers],[% Amplitud]],Categorias_Configuracion[#Headers],0),TRUE)</f>
        <v>0.15</v>
      </c>
      <c r="H1135" s="15" t="str">
        <f ca="1">TEXT(Categorias_Registro[[#This Row],[Mínimo]],Formato_Rango_Categorias)&amp;" - "&amp;TEXT(Categorias_Registro[[#This Row],[Máximo]],Formato_Rango_Categorias)</f>
        <v>1.424 - 1.636</v>
      </c>
    </row>
    <row r="1136" spans="2:8">
      <c r="B1136" s="15">
        <f>Techo - ROW() + ROW(Categorias_Registro[])</f>
        <v>1493</v>
      </c>
      <c r="C1136" s="15">
        <f>IF(Categorias_Registro[[#This Row],[Puntos]]&lt;=ROUND(Piso,0),Piso,IF(Categorias_Registro[[#This Row],[Puntos]]&lt;D1137,C1137,D1137+1))</f>
        <v>1424</v>
      </c>
      <c r="D1136" s="15">
        <f>IF(Categorias_Registro[[#This Row],[Puntos]]=ROUND(Piso,0),ROUND(Categorias_Registro[[#This Row],[Puntos]]*(1+Categorias_Registro[[#This Row],[Amplitud]]),0),IF(Categorias_Registro[[#This Row],[Puntos]]&lt;D1137,D1137,ROUND(D1137*(1+Categorias_Registro[[#This Row],[Amplitud]]),0)))</f>
        <v>1636</v>
      </c>
      <c r="E1136" s="15">
        <f>E1137+IF(D1137=Categorias_Registro[[#This Row],[Máximo]],0,1)</f>
        <v>21</v>
      </c>
      <c r="F1136" s="15">
        <f>ROUND(Categorias_Registro[[#This Row],[Mínimo]]+((Categorias_Registro[[#This Row],[Máximo]]-Categorias_Registro[[#This Row],[Mínimo]])/2),0)</f>
        <v>1530</v>
      </c>
      <c r="G1136" s="78">
        <f>VLOOKUP(Categorias_Registro[[#This Row],[Puntos]],Categorias_Configuracion[],MATCH(Categorias_Configuracion[[#Headers],[% Amplitud]],Categorias_Configuracion[#Headers],0),TRUE)</f>
        <v>0.15</v>
      </c>
      <c r="H1136" s="15" t="str">
        <f ca="1">TEXT(Categorias_Registro[[#This Row],[Mínimo]],Formato_Rango_Categorias)&amp;" - "&amp;TEXT(Categorias_Registro[[#This Row],[Máximo]],Formato_Rango_Categorias)</f>
        <v>1.424 - 1.636</v>
      </c>
    </row>
    <row r="1137" spans="2:8">
      <c r="B1137" s="15">
        <f>Techo - ROW() + ROW(Categorias_Registro[])</f>
        <v>1492</v>
      </c>
      <c r="C1137" s="15">
        <f>IF(Categorias_Registro[[#This Row],[Puntos]]&lt;=ROUND(Piso,0),Piso,IF(Categorias_Registro[[#This Row],[Puntos]]&lt;D1138,C1138,D1138+1))</f>
        <v>1424</v>
      </c>
      <c r="D1137" s="15">
        <f>IF(Categorias_Registro[[#This Row],[Puntos]]=ROUND(Piso,0),ROUND(Categorias_Registro[[#This Row],[Puntos]]*(1+Categorias_Registro[[#This Row],[Amplitud]]),0),IF(Categorias_Registro[[#This Row],[Puntos]]&lt;D1138,D1138,ROUND(D1138*(1+Categorias_Registro[[#This Row],[Amplitud]]),0)))</f>
        <v>1636</v>
      </c>
      <c r="E1137" s="15">
        <f>E1138+IF(D1138=Categorias_Registro[[#This Row],[Máximo]],0,1)</f>
        <v>21</v>
      </c>
      <c r="F1137" s="15">
        <f>ROUND(Categorias_Registro[[#This Row],[Mínimo]]+((Categorias_Registro[[#This Row],[Máximo]]-Categorias_Registro[[#This Row],[Mínimo]])/2),0)</f>
        <v>1530</v>
      </c>
      <c r="G1137" s="78">
        <f>VLOOKUP(Categorias_Registro[[#This Row],[Puntos]],Categorias_Configuracion[],MATCH(Categorias_Configuracion[[#Headers],[% Amplitud]],Categorias_Configuracion[#Headers],0),TRUE)</f>
        <v>0.15</v>
      </c>
      <c r="H1137" s="15" t="str">
        <f ca="1">TEXT(Categorias_Registro[[#This Row],[Mínimo]],Formato_Rango_Categorias)&amp;" - "&amp;TEXT(Categorias_Registro[[#This Row],[Máximo]],Formato_Rango_Categorias)</f>
        <v>1.424 - 1.636</v>
      </c>
    </row>
    <row r="1138" spans="2:8">
      <c r="B1138" s="15">
        <f>Techo - ROW() + ROW(Categorias_Registro[])</f>
        <v>1491</v>
      </c>
      <c r="C1138" s="15">
        <f>IF(Categorias_Registro[[#This Row],[Puntos]]&lt;=ROUND(Piso,0),Piso,IF(Categorias_Registro[[#This Row],[Puntos]]&lt;D1139,C1139,D1139+1))</f>
        <v>1424</v>
      </c>
      <c r="D1138" s="15">
        <f>IF(Categorias_Registro[[#This Row],[Puntos]]=ROUND(Piso,0),ROUND(Categorias_Registro[[#This Row],[Puntos]]*(1+Categorias_Registro[[#This Row],[Amplitud]]),0),IF(Categorias_Registro[[#This Row],[Puntos]]&lt;D1139,D1139,ROUND(D1139*(1+Categorias_Registro[[#This Row],[Amplitud]]),0)))</f>
        <v>1636</v>
      </c>
      <c r="E1138" s="15">
        <f>E1139+IF(D1139=Categorias_Registro[[#This Row],[Máximo]],0,1)</f>
        <v>21</v>
      </c>
      <c r="F1138" s="15">
        <f>ROUND(Categorias_Registro[[#This Row],[Mínimo]]+((Categorias_Registro[[#This Row],[Máximo]]-Categorias_Registro[[#This Row],[Mínimo]])/2),0)</f>
        <v>1530</v>
      </c>
      <c r="G1138" s="78">
        <f>VLOOKUP(Categorias_Registro[[#This Row],[Puntos]],Categorias_Configuracion[],MATCH(Categorias_Configuracion[[#Headers],[% Amplitud]],Categorias_Configuracion[#Headers],0),TRUE)</f>
        <v>0.15</v>
      </c>
      <c r="H1138" s="15" t="str">
        <f ca="1">TEXT(Categorias_Registro[[#This Row],[Mínimo]],Formato_Rango_Categorias)&amp;" - "&amp;TEXT(Categorias_Registro[[#This Row],[Máximo]],Formato_Rango_Categorias)</f>
        <v>1.424 - 1.636</v>
      </c>
    </row>
    <row r="1139" spans="2:8">
      <c r="B1139" s="15">
        <f>Techo - ROW() + ROW(Categorias_Registro[])</f>
        <v>1490</v>
      </c>
      <c r="C1139" s="15">
        <f>IF(Categorias_Registro[[#This Row],[Puntos]]&lt;=ROUND(Piso,0),Piso,IF(Categorias_Registro[[#This Row],[Puntos]]&lt;D1140,C1140,D1140+1))</f>
        <v>1424</v>
      </c>
      <c r="D1139" s="15">
        <f>IF(Categorias_Registro[[#This Row],[Puntos]]=ROUND(Piso,0),ROUND(Categorias_Registro[[#This Row],[Puntos]]*(1+Categorias_Registro[[#This Row],[Amplitud]]),0),IF(Categorias_Registro[[#This Row],[Puntos]]&lt;D1140,D1140,ROUND(D1140*(1+Categorias_Registro[[#This Row],[Amplitud]]),0)))</f>
        <v>1636</v>
      </c>
      <c r="E1139" s="15">
        <f>E1140+IF(D1140=Categorias_Registro[[#This Row],[Máximo]],0,1)</f>
        <v>21</v>
      </c>
      <c r="F1139" s="15">
        <f>ROUND(Categorias_Registro[[#This Row],[Mínimo]]+((Categorias_Registro[[#This Row],[Máximo]]-Categorias_Registro[[#This Row],[Mínimo]])/2),0)</f>
        <v>1530</v>
      </c>
      <c r="G1139" s="78">
        <f>VLOOKUP(Categorias_Registro[[#This Row],[Puntos]],Categorias_Configuracion[],MATCH(Categorias_Configuracion[[#Headers],[% Amplitud]],Categorias_Configuracion[#Headers],0),TRUE)</f>
        <v>0.15</v>
      </c>
      <c r="H1139" s="15" t="str">
        <f ca="1">TEXT(Categorias_Registro[[#This Row],[Mínimo]],Formato_Rango_Categorias)&amp;" - "&amp;TEXT(Categorias_Registro[[#This Row],[Máximo]],Formato_Rango_Categorias)</f>
        <v>1.424 - 1.636</v>
      </c>
    </row>
    <row r="1140" spans="2:8">
      <c r="B1140" s="15">
        <f>Techo - ROW() + ROW(Categorias_Registro[])</f>
        <v>1489</v>
      </c>
      <c r="C1140" s="15">
        <f>IF(Categorias_Registro[[#This Row],[Puntos]]&lt;=ROUND(Piso,0),Piso,IF(Categorias_Registro[[#This Row],[Puntos]]&lt;D1141,C1141,D1141+1))</f>
        <v>1424</v>
      </c>
      <c r="D1140" s="15">
        <f>IF(Categorias_Registro[[#This Row],[Puntos]]=ROUND(Piso,0),ROUND(Categorias_Registro[[#This Row],[Puntos]]*(1+Categorias_Registro[[#This Row],[Amplitud]]),0),IF(Categorias_Registro[[#This Row],[Puntos]]&lt;D1141,D1141,ROUND(D1141*(1+Categorias_Registro[[#This Row],[Amplitud]]),0)))</f>
        <v>1636</v>
      </c>
      <c r="E1140" s="15">
        <f>E1141+IF(D1141=Categorias_Registro[[#This Row],[Máximo]],0,1)</f>
        <v>21</v>
      </c>
      <c r="F1140" s="15">
        <f>ROUND(Categorias_Registro[[#This Row],[Mínimo]]+((Categorias_Registro[[#This Row],[Máximo]]-Categorias_Registro[[#This Row],[Mínimo]])/2),0)</f>
        <v>1530</v>
      </c>
      <c r="G1140" s="78">
        <f>VLOOKUP(Categorias_Registro[[#This Row],[Puntos]],Categorias_Configuracion[],MATCH(Categorias_Configuracion[[#Headers],[% Amplitud]],Categorias_Configuracion[#Headers],0),TRUE)</f>
        <v>0.15</v>
      </c>
      <c r="H1140" s="15" t="str">
        <f ca="1">TEXT(Categorias_Registro[[#This Row],[Mínimo]],Formato_Rango_Categorias)&amp;" - "&amp;TEXT(Categorias_Registro[[#This Row],[Máximo]],Formato_Rango_Categorias)</f>
        <v>1.424 - 1.636</v>
      </c>
    </row>
    <row r="1141" spans="2:8">
      <c r="B1141" s="15">
        <f>Techo - ROW() + ROW(Categorias_Registro[])</f>
        <v>1488</v>
      </c>
      <c r="C1141" s="15">
        <f>IF(Categorias_Registro[[#This Row],[Puntos]]&lt;=ROUND(Piso,0),Piso,IF(Categorias_Registro[[#This Row],[Puntos]]&lt;D1142,C1142,D1142+1))</f>
        <v>1424</v>
      </c>
      <c r="D1141" s="15">
        <f>IF(Categorias_Registro[[#This Row],[Puntos]]=ROUND(Piso,0),ROUND(Categorias_Registro[[#This Row],[Puntos]]*(1+Categorias_Registro[[#This Row],[Amplitud]]),0),IF(Categorias_Registro[[#This Row],[Puntos]]&lt;D1142,D1142,ROUND(D1142*(1+Categorias_Registro[[#This Row],[Amplitud]]),0)))</f>
        <v>1636</v>
      </c>
      <c r="E1141" s="15">
        <f>E1142+IF(D1142=Categorias_Registro[[#This Row],[Máximo]],0,1)</f>
        <v>21</v>
      </c>
      <c r="F1141" s="15">
        <f>ROUND(Categorias_Registro[[#This Row],[Mínimo]]+((Categorias_Registro[[#This Row],[Máximo]]-Categorias_Registro[[#This Row],[Mínimo]])/2),0)</f>
        <v>1530</v>
      </c>
      <c r="G1141" s="78">
        <f>VLOOKUP(Categorias_Registro[[#This Row],[Puntos]],Categorias_Configuracion[],MATCH(Categorias_Configuracion[[#Headers],[% Amplitud]],Categorias_Configuracion[#Headers],0),TRUE)</f>
        <v>0.15</v>
      </c>
      <c r="H1141" s="15" t="str">
        <f ca="1">TEXT(Categorias_Registro[[#This Row],[Mínimo]],Formato_Rango_Categorias)&amp;" - "&amp;TEXT(Categorias_Registro[[#This Row],[Máximo]],Formato_Rango_Categorias)</f>
        <v>1.424 - 1.636</v>
      </c>
    </row>
    <row r="1142" spans="2:8">
      <c r="B1142" s="15">
        <f>Techo - ROW() + ROW(Categorias_Registro[])</f>
        <v>1487</v>
      </c>
      <c r="C1142" s="15">
        <f>IF(Categorias_Registro[[#This Row],[Puntos]]&lt;=ROUND(Piso,0),Piso,IF(Categorias_Registro[[#This Row],[Puntos]]&lt;D1143,C1143,D1143+1))</f>
        <v>1424</v>
      </c>
      <c r="D1142" s="15">
        <f>IF(Categorias_Registro[[#This Row],[Puntos]]=ROUND(Piso,0),ROUND(Categorias_Registro[[#This Row],[Puntos]]*(1+Categorias_Registro[[#This Row],[Amplitud]]),0),IF(Categorias_Registro[[#This Row],[Puntos]]&lt;D1143,D1143,ROUND(D1143*(1+Categorias_Registro[[#This Row],[Amplitud]]),0)))</f>
        <v>1636</v>
      </c>
      <c r="E1142" s="15">
        <f>E1143+IF(D1143=Categorias_Registro[[#This Row],[Máximo]],0,1)</f>
        <v>21</v>
      </c>
      <c r="F1142" s="15">
        <f>ROUND(Categorias_Registro[[#This Row],[Mínimo]]+((Categorias_Registro[[#This Row],[Máximo]]-Categorias_Registro[[#This Row],[Mínimo]])/2),0)</f>
        <v>1530</v>
      </c>
      <c r="G1142" s="78">
        <f>VLOOKUP(Categorias_Registro[[#This Row],[Puntos]],Categorias_Configuracion[],MATCH(Categorias_Configuracion[[#Headers],[% Amplitud]],Categorias_Configuracion[#Headers],0),TRUE)</f>
        <v>0.15</v>
      </c>
      <c r="H1142" s="15" t="str">
        <f ca="1">TEXT(Categorias_Registro[[#This Row],[Mínimo]],Formato_Rango_Categorias)&amp;" - "&amp;TEXT(Categorias_Registro[[#This Row],[Máximo]],Formato_Rango_Categorias)</f>
        <v>1.424 - 1.636</v>
      </c>
    </row>
    <row r="1143" spans="2:8">
      <c r="B1143" s="15">
        <f>Techo - ROW() + ROW(Categorias_Registro[])</f>
        <v>1486</v>
      </c>
      <c r="C1143" s="15">
        <f>IF(Categorias_Registro[[#This Row],[Puntos]]&lt;=ROUND(Piso,0),Piso,IF(Categorias_Registro[[#This Row],[Puntos]]&lt;D1144,C1144,D1144+1))</f>
        <v>1424</v>
      </c>
      <c r="D1143" s="15">
        <f>IF(Categorias_Registro[[#This Row],[Puntos]]=ROUND(Piso,0),ROUND(Categorias_Registro[[#This Row],[Puntos]]*(1+Categorias_Registro[[#This Row],[Amplitud]]),0),IF(Categorias_Registro[[#This Row],[Puntos]]&lt;D1144,D1144,ROUND(D1144*(1+Categorias_Registro[[#This Row],[Amplitud]]),0)))</f>
        <v>1636</v>
      </c>
      <c r="E1143" s="15">
        <f>E1144+IF(D1144=Categorias_Registro[[#This Row],[Máximo]],0,1)</f>
        <v>21</v>
      </c>
      <c r="F1143" s="15">
        <f>ROUND(Categorias_Registro[[#This Row],[Mínimo]]+((Categorias_Registro[[#This Row],[Máximo]]-Categorias_Registro[[#This Row],[Mínimo]])/2),0)</f>
        <v>1530</v>
      </c>
      <c r="G1143" s="78">
        <f>VLOOKUP(Categorias_Registro[[#This Row],[Puntos]],Categorias_Configuracion[],MATCH(Categorias_Configuracion[[#Headers],[% Amplitud]],Categorias_Configuracion[#Headers],0),TRUE)</f>
        <v>0.15</v>
      </c>
      <c r="H1143" s="15" t="str">
        <f ca="1">TEXT(Categorias_Registro[[#This Row],[Mínimo]],Formato_Rango_Categorias)&amp;" - "&amp;TEXT(Categorias_Registro[[#This Row],[Máximo]],Formato_Rango_Categorias)</f>
        <v>1.424 - 1.636</v>
      </c>
    </row>
    <row r="1144" spans="2:8">
      <c r="B1144" s="15">
        <f>Techo - ROW() + ROW(Categorias_Registro[])</f>
        <v>1485</v>
      </c>
      <c r="C1144" s="15">
        <f>IF(Categorias_Registro[[#This Row],[Puntos]]&lt;=ROUND(Piso,0),Piso,IF(Categorias_Registro[[#This Row],[Puntos]]&lt;D1145,C1145,D1145+1))</f>
        <v>1424</v>
      </c>
      <c r="D1144" s="15">
        <f>IF(Categorias_Registro[[#This Row],[Puntos]]=ROUND(Piso,0),ROUND(Categorias_Registro[[#This Row],[Puntos]]*(1+Categorias_Registro[[#This Row],[Amplitud]]),0),IF(Categorias_Registro[[#This Row],[Puntos]]&lt;D1145,D1145,ROUND(D1145*(1+Categorias_Registro[[#This Row],[Amplitud]]),0)))</f>
        <v>1636</v>
      </c>
      <c r="E1144" s="15">
        <f>E1145+IF(D1145=Categorias_Registro[[#This Row],[Máximo]],0,1)</f>
        <v>21</v>
      </c>
      <c r="F1144" s="15">
        <f>ROUND(Categorias_Registro[[#This Row],[Mínimo]]+((Categorias_Registro[[#This Row],[Máximo]]-Categorias_Registro[[#This Row],[Mínimo]])/2),0)</f>
        <v>1530</v>
      </c>
      <c r="G1144" s="78">
        <f>VLOOKUP(Categorias_Registro[[#This Row],[Puntos]],Categorias_Configuracion[],MATCH(Categorias_Configuracion[[#Headers],[% Amplitud]],Categorias_Configuracion[#Headers],0),TRUE)</f>
        <v>0.15</v>
      </c>
      <c r="H1144" s="15" t="str">
        <f ca="1">TEXT(Categorias_Registro[[#This Row],[Mínimo]],Formato_Rango_Categorias)&amp;" - "&amp;TEXT(Categorias_Registro[[#This Row],[Máximo]],Formato_Rango_Categorias)</f>
        <v>1.424 - 1.636</v>
      </c>
    </row>
    <row r="1145" spans="2:8">
      <c r="B1145" s="15">
        <f>Techo - ROW() + ROW(Categorias_Registro[])</f>
        <v>1484</v>
      </c>
      <c r="C1145" s="15">
        <f>IF(Categorias_Registro[[#This Row],[Puntos]]&lt;=ROUND(Piso,0),Piso,IF(Categorias_Registro[[#This Row],[Puntos]]&lt;D1146,C1146,D1146+1))</f>
        <v>1424</v>
      </c>
      <c r="D1145" s="15">
        <f>IF(Categorias_Registro[[#This Row],[Puntos]]=ROUND(Piso,0),ROUND(Categorias_Registro[[#This Row],[Puntos]]*(1+Categorias_Registro[[#This Row],[Amplitud]]),0),IF(Categorias_Registro[[#This Row],[Puntos]]&lt;D1146,D1146,ROUND(D1146*(1+Categorias_Registro[[#This Row],[Amplitud]]),0)))</f>
        <v>1636</v>
      </c>
      <c r="E1145" s="15">
        <f>E1146+IF(D1146=Categorias_Registro[[#This Row],[Máximo]],0,1)</f>
        <v>21</v>
      </c>
      <c r="F1145" s="15">
        <f>ROUND(Categorias_Registro[[#This Row],[Mínimo]]+((Categorias_Registro[[#This Row],[Máximo]]-Categorias_Registro[[#This Row],[Mínimo]])/2),0)</f>
        <v>1530</v>
      </c>
      <c r="G1145" s="78">
        <f>VLOOKUP(Categorias_Registro[[#This Row],[Puntos]],Categorias_Configuracion[],MATCH(Categorias_Configuracion[[#Headers],[% Amplitud]],Categorias_Configuracion[#Headers],0),TRUE)</f>
        <v>0.15</v>
      </c>
      <c r="H1145" s="15" t="str">
        <f ca="1">TEXT(Categorias_Registro[[#This Row],[Mínimo]],Formato_Rango_Categorias)&amp;" - "&amp;TEXT(Categorias_Registro[[#This Row],[Máximo]],Formato_Rango_Categorias)</f>
        <v>1.424 - 1.636</v>
      </c>
    </row>
    <row r="1146" spans="2:8">
      <c r="B1146" s="15">
        <f>Techo - ROW() + ROW(Categorias_Registro[])</f>
        <v>1483</v>
      </c>
      <c r="C1146" s="15">
        <f>IF(Categorias_Registro[[#This Row],[Puntos]]&lt;=ROUND(Piso,0),Piso,IF(Categorias_Registro[[#This Row],[Puntos]]&lt;D1147,C1147,D1147+1))</f>
        <v>1424</v>
      </c>
      <c r="D1146" s="15">
        <f>IF(Categorias_Registro[[#This Row],[Puntos]]=ROUND(Piso,0),ROUND(Categorias_Registro[[#This Row],[Puntos]]*(1+Categorias_Registro[[#This Row],[Amplitud]]),0),IF(Categorias_Registro[[#This Row],[Puntos]]&lt;D1147,D1147,ROUND(D1147*(1+Categorias_Registro[[#This Row],[Amplitud]]),0)))</f>
        <v>1636</v>
      </c>
      <c r="E1146" s="15">
        <f>E1147+IF(D1147=Categorias_Registro[[#This Row],[Máximo]],0,1)</f>
        <v>21</v>
      </c>
      <c r="F1146" s="15">
        <f>ROUND(Categorias_Registro[[#This Row],[Mínimo]]+((Categorias_Registro[[#This Row],[Máximo]]-Categorias_Registro[[#This Row],[Mínimo]])/2),0)</f>
        <v>1530</v>
      </c>
      <c r="G1146" s="78">
        <f>VLOOKUP(Categorias_Registro[[#This Row],[Puntos]],Categorias_Configuracion[],MATCH(Categorias_Configuracion[[#Headers],[% Amplitud]],Categorias_Configuracion[#Headers],0),TRUE)</f>
        <v>0.15</v>
      </c>
      <c r="H1146" s="15" t="str">
        <f ca="1">TEXT(Categorias_Registro[[#This Row],[Mínimo]],Formato_Rango_Categorias)&amp;" - "&amp;TEXT(Categorias_Registro[[#This Row],[Máximo]],Formato_Rango_Categorias)</f>
        <v>1.424 - 1.636</v>
      </c>
    </row>
    <row r="1147" spans="2:8">
      <c r="B1147" s="15">
        <f>Techo - ROW() + ROW(Categorias_Registro[])</f>
        <v>1482</v>
      </c>
      <c r="C1147" s="15">
        <f>IF(Categorias_Registro[[#This Row],[Puntos]]&lt;=ROUND(Piso,0),Piso,IF(Categorias_Registro[[#This Row],[Puntos]]&lt;D1148,C1148,D1148+1))</f>
        <v>1424</v>
      </c>
      <c r="D1147" s="15">
        <f>IF(Categorias_Registro[[#This Row],[Puntos]]=ROUND(Piso,0),ROUND(Categorias_Registro[[#This Row],[Puntos]]*(1+Categorias_Registro[[#This Row],[Amplitud]]),0),IF(Categorias_Registro[[#This Row],[Puntos]]&lt;D1148,D1148,ROUND(D1148*(1+Categorias_Registro[[#This Row],[Amplitud]]),0)))</f>
        <v>1636</v>
      </c>
      <c r="E1147" s="15">
        <f>E1148+IF(D1148=Categorias_Registro[[#This Row],[Máximo]],0,1)</f>
        <v>21</v>
      </c>
      <c r="F1147" s="15">
        <f>ROUND(Categorias_Registro[[#This Row],[Mínimo]]+((Categorias_Registro[[#This Row],[Máximo]]-Categorias_Registro[[#This Row],[Mínimo]])/2),0)</f>
        <v>1530</v>
      </c>
      <c r="G1147" s="78">
        <f>VLOOKUP(Categorias_Registro[[#This Row],[Puntos]],Categorias_Configuracion[],MATCH(Categorias_Configuracion[[#Headers],[% Amplitud]],Categorias_Configuracion[#Headers],0),TRUE)</f>
        <v>0.15</v>
      </c>
      <c r="H1147" s="15" t="str">
        <f ca="1">TEXT(Categorias_Registro[[#This Row],[Mínimo]],Formato_Rango_Categorias)&amp;" - "&amp;TEXT(Categorias_Registro[[#This Row],[Máximo]],Formato_Rango_Categorias)</f>
        <v>1.424 - 1.636</v>
      </c>
    </row>
    <row r="1148" spans="2:8">
      <c r="B1148" s="15">
        <f>Techo - ROW() + ROW(Categorias_Registro[])</f>
        <v>1481</v>
      </c>
      <c r="C1148" s="15">
        <f>IF(Categorias_Registro[[#This Row],[Puntos]]&lt;=ROUND(Piso,0),Piso,IF(Categorias_Registro[[#This Row],[Puntos]]&lt;D1149,C1149,D1149+1))</f>
        <v>1424</v>
      </c>
      <c r="D1148" s="15">
        <f>IF(Categorias_Registro[[#This Row],[Puntos]]=ROUND(Piso,0),ROUND(Categorias_Registro[[#This Row],[Puntos]]*(1+Categorias_Registro[[#This Row],[Amplitud]]),0),IF(Categorias_Registro[[#This Row],[Puntos]]&lt;D1149,D1149,ROUND(D1149*(1+Categorias_Registro[[#This Row],[Amplitud]]),0)))</f>
        <v>1636</v>
      </c>
      <c r="E1148" s="15">
        <f>E1149+IF(D1149=Categorias_Registro[[#This Row],[Máximo]],0,1)</f>
        <v>21</v>
      </c>
      <c r="F1148" s="15">
        <f>ROUND(Categorias_Registro[[#This Row],[Mínimo]]+((Categorias_Registro[[#This Row],[Máximo]]-Categorias_Registro[[#This Row],[Mínimo]])/2),0)</f>
        <v>1530</v>
      </c>
      <c r="G1148" s="78">
        <f>VLOOKUP(Categorias_Registro[[#This Row],[Puntos]],Categorias_Configuracion[],MATCH(Categorias_Configuracion[[#Headers],[% Amplitud]],Categorias_Configuracion[#Headers],0),TRUE)</f>
        <v>0.15</v>
      </c>
      <c r="H1148" s="15" t="str">
        <f ca="1">TEXT(Categorias_Registro[[#This Row],[Mínimo]],Formato_Rango_Categorias)&amp;" - "&amp;TEXT(Categorias_Registro[[#This Row],[Máximo]],Formato_Rango_Categorias)</f>
        <v>1.424 - 1.636</v>
      </c>
    </row>
    <row r="1149" spans="2:8">
      <c r="B1149" s="15">
        <f>Techo - ROW() + ROW(Categorias_Registro[])</f>
        <v>1480</v>
      </c>
      <c r="C1149" s="15">
        <f>IF(Categorias_Registro[[#This Row],[Puntos]]&lt;=ROUND(Piso,0),Piso,IF(Categorias_Registro[[#This Row],[Puntos]]&lt;D1150,C1150,D1150+1))</f>
        <v>1424</v>
      </c>
      <c r="D1149" s="15">
        <f>IF(Categorias_Registro[[#This Row],[Puntos]]=ROUND(Piso,0),ROUND(Categorias_Registro[[#This Row],[Puntos]]*(1+Categorias_Registro[[#This Row],[Amplitud]]),0),IF(Categorias_Registro[[#This Row],[Puntos]]&lt;D1150,D1150,ROUND(D1150*(1+Categorias_Registro[[#This Row],[Amplitud]]),0)))</f>
        <v>1636</v>
      </c>
      <c r="E1149" s="15">
        <f>E1150+IF(D1150=Categorias_Registro[[#This Row],[Máximo]],0,1)</f>
        <v>21</v>
      </c>
      <c r="F1149" s="15">
        <f>ROUND(Categorias_Registro[[#This Row],[Mínimo]]+((Categorias_Registro[[#This Row],[Máximo]]-Categorias_Registro[[#This Row],[Mínimo]])/2),0)</f>
        <v>1530</v>
      </c>
      <c r="G1149" s="78">
        <f>VLOOKUP(Categorias_Registro[[#This Row],[Puntos]],Categorias_Configuracion[],MATCH(Categorias_Configuracion[[#Headers],[% Amplitud]],Categorias_Configuracion[#Headers],0),TRUE)</f>
        <v>0.15</v>
      </c>
      <c r="H1149" s="15" t="str">
        <f ca="1">TEXT(Categorias_Registro[[#This Row],[Mínimo]],Formato_Rango_Categorias)&amp;" - "&amp;TEXT(Categorias_Registro[[#This Row],[Máximo]],Formato_Rango_Categorias)</f>
        <v>1.424 - 1.636</v>
      </c>
    </row>
    <row r="1150" spans="2:8">
      <c r="B1150" s="15">
        <f>Techo - ROW() + ROW(Categorias_Registro[])</f>
        <v>1479</v>
      </c>
      <c r="C1150" s="15">
        <f>IF(Categorias_Registro[[#This Row],[Puntos]]&lt;=ROUND(Piso,0),Piso,IF(Categorias_Registro[[#This Row],[Puntos]]&lt;D1151,C1151,D1151+1))</f>
        <v>1424</v>
      </c>
      <c r="D1150" s="15">
        <f>IF(Categorias_Registro[[#This Row],[Puntos]]=ROUND(Piso,0),ROUND(Categorias_Registro[[#This Row],[Puntos]]*(1+Categorias_Registro[[#This Row],[Amplitud]]),0),IF(Categorias_Registro[[#This Row],[Puntos]]&lt;D1151,D1151,ROUND(D1151*(1+Categorias_Registro[[#This Row],[Amplitud]]),0)))</f>
        <v>1636</v>
      </c>
      <c r="E1150" s="15">
        <f>E1151+IF(D1151=Categorias_Registro[[#This Row],[Máximo]],0,1)</f>
        <v>21</v>
      </c>
      <c r="F1150" s="15">
        <f>ROUND(Categorias_Registro[[#This Row],[Mínimo]]+((Categorias_Registro[[#This Row],[Máximo]]-Categorias_Registro[[#This Row],[Mínimo]])/2),0)</f>
        <v>1530</v>
      </c>
      <c r="G1150" s="78">
        <f>VLOOKUP(Categorias_Registro[[#This Row],[Puntos]],Categorias_Configuracion[],MATCH(Categorias_Configuracion[[#Headers],[% Amplitud]],Categorias_Configuracion[#Headers],0),TRUE)</f>
        <v>0.15</v>
      </c>
      <c r="H1150" s="15" t="str">
        <f ca="1">TEXT(Categorias_Registro[[#This Row],[Mínimo]],Formato_Rango_Categorias)&amp;" - "&amp;TEXT(Categorias_Registro[[#This Row],[Máximo]],Formato_Rango_Categorias)</f>
        <v>1.424 - 1.636</v>
      </c>
    </row>
    <row r="1151" spans="2:8">
      <c r="B1151" s="15">
        <f>Techo - ROW() + ROW(Categorias_Registro[])</f>
        <v>1478</v>
      </c>
      <c r="C1151" s="15">
        <f>IF(Categorias_Registro[[#This Row],[Puntos]]&lt;=ROUND(Piso,0),Piso,IF(Categorias_Registro[[#This Row],[Puntos]]&lt;D1152,C1152,D1152+1))</f>
        <v>1424</v>
      </c>
      <c r="D1151" s="15">
        <f>IF(Categorias_Registro[[#This Row],[Puntos]]=ROUND(Piso,0),ROUND(Categorias_Registro[[#This Row],[Puntos]]*(1+Categorias_Registro[[#This Row],[Amplitud]]),0),IF(Categorias_Registro[[#This Row],[Puntos]]&lt;D1152,D1152,ROUND(D1152*(1+Categorias_Registro[[#This Row],[Amplitud]]),0)))</f>
        <v>1636</v>
      </c>
      <c r="E1151" s="15">
        <f>E1152+IF(D1152=Categorias_Registro[[#This Row],[Máximo]],0,1)</f>
        <v>21</v>
      </c>
      <c r="F1151" s="15">
        <f>ROUND(Categorias_Registro[[#This Row],[Mínimo]]+((Categorias_Registro[[#This Row],[Máximo]]-Categorias_Registro[[#This Row],[Mínimo]])/2),0)</f>
        <v>1530</v>
      </c>
      <c r="G1151" s="78">
        <f>VLOOKUP(Categorias_Registro[[#This Row],[Puntos]],Categorias_Configuracion[],MATCH(Categorias_Configuracion[[#Headers],[% Amplitud]],Categorias_Configuracion[#Headers],0),TRUE)</f>
        <v>0.15</v>
      </c>
      <c r="H1151" s="15" t="str">
        <f ca="1">TEXT(Categorias_Registro[[#This Row],[Mínimo]],Formato_Rango_Categorias)&amp;" - "&amp;TEXT(Categorias_Registro[[#This Row],[Máximo]],Formato_Rango_Categorias)</f>
        <v>1.424 - 1.636</v>
      </c>
    </row>
    <row r="1152" spans="2:8">
      <c r="B1152" s="15">
        <f>Techo - ROW() + ROW(Categorias_Registro[])</f>
        <v>1477</v>
      </c>
      <c r="C1152" s="15">
        <f>IF(Categorias_Registro[[#This Row],[Puntos]]&lt;=ROUND(Piso,0),Piso,IF(Categorias_Registro[[#This Row],[Puntos]]&lt;D1153,C1153,D1153+1))</f>
        <v>1424</v>
      </c>
      <c r="D1152" s="15">
        <f>IF(Categorias_Registro[[#This Row],[Puntos]]=ROUND(Piso,0),ROUND(Categorias_Registro[[#This Row],[Puntos]]*(1+Categorias_Registro[[#This Row],[Amplitud]]),0),IF(Categorias_Registro[[#This Row],[Puntos]]&lt;D1153,D1153,ROUND(D1153*(1+Categorias_Registro[[#This Row],[Amplitud]]),0)))</f>
        <v>1636</v>
      </c>
      <c r="E1152" s="15">
        <f>E1153+IF(D1153=Categorias_Registro[[#This Row],[Máximo]],0,1)</f>
        <v>21</v>
      </c>
      <c r="F1152" s="15">
        <f>ROUND(Categorias_Registro[[#This Row],[Mínimo]]+((Categorias_Registro[[#This Row],[Máximo]]-Categorias_Registro[[#This Row],[Mínimo]])/2),0)</f>
        <v>1530</v>
      </c>
      <c r="G1152" s="78">
        <f>VLOOKUP(Categorias_Registro[[#This Row],[Puntos]],Categorias_Configuracion[],MATCH(Categorias_Configuracion[[#Headers],[% Amplitud]],Categorias_Configuracion[#Headers],0),TRUE)</f>
        <v>0.15</v>
      </c>
      <c r="H1152" s="15" t="str">
        <f ca="1">TEXT(Categorias_Registro[[#This Row],[Mínimo]],Formato_Rango_Categorias)&amp;" - "&amp;TEXT(Categorias_Registro[[#This Row],[Máximo]],Formato_Rango_Categorias)</f>
        <v>1.424 - 1.636</v>
      </c>
    </row>
    <row r="1153" spans="2:8">
      <c r="B1153" s="15">
        <f>Techo - ROW() + ROW(Categorias_Registro[])</f>
        <v>1476</v>
      </c>
      <c r="C1153" s="15">
        <f>IF(Categorias_Registro[[#This Row],[Puntos]]&lt;=ROUND(Piso,0),Piso,IF(Categorias_Registro[[#This Row],[Puntos]]&lt;D1154,C1154,D1154+1))</f>
        <v>1424</v>
      </c>
      <c r="D1153" s="15">
        <f>IF(Categorias_Registro[[#This Row],[Puntos]]=ROUND(Piso,0),ROUND(Categorias_Registro[[#This Row],[Puntos]]*(1+Categorias_Registro[[#This Row],[Amplitud]]),0),IF(Categorias_Registro[[#This Row],[Puntos]]&lt;D1154,D1154,ROUND(D1154*(1+Categorias_Registro[[#This Row],[Amplitud]]),0)))</f>
        <v>1636</v>
      </c>
      <c r="E1153" s="15">
        <f>E1154+IF(D1154=Categorias_Registro[[#This Row],[Máximo]],0,1)</f>
        <v>21</v>
      </c>
      <c r="F1153" s="15">
        <f>ROUND(Categorias_Registro[[#This Row],[Mínimo]]+((Categorias_Registro[[#This Row],[Máximo]]-Categorias_Registro[[#This Row],[Mínimo]])/2),0)</f>
        <v>1530</v>
      </c>
      <c r="G1153" s="78">
        <f>VLOOKUP(Categorias_Registro[[#This Row],[Puntos]],Categorias_Configuracion[],MATCH(Categorias_Configuracion[[#Headers],[% Amplitud]],Categorias_Configuracion[#Headers],0),TRUE)</f>
        <v>0.15</v>
      </c>
      <c r="H1153" s="15" t="str">
        <f ca="1">TEXT(Categorias_Registro[[#This Row],[Mínimo]],Formato_Rango_Categorias)&amp;" - "&amp;TEXT(Categorias_Registro[[#This Row],[Máximo]],Formato_Rango_Categorias)</f>
        <v>1.424 - 1.636</v>
      </c>
    </row>
    <row r="1154" spans="2:8">
      <c r="B1154" s="15">
        <f>Techo - ROW() + ROW(Categorias_Registro[])</f>
        <v>1475</v>
      </c>
      <c r="C1154" s="15">
        <f>IF(Categorias_Registro[[#This Row],[Puntos]]&lt;=ROUND(Piso,0),Piso,IF(Categorias_Registro[[#This Row],[Puntos]]&lt;D1155,C1155,D1155+1))</f>
        <v>1424</v>
      </c>
      <c r="D1154" s="15">
        <f>IF(Categorias_Registro[[#This Row],[Puntos]]=ROUND(Piso,0),ROUND(Categorias_Registro[[#This Row],[Puntos]]*(1+Categorias_Registro[[#This Row],[Amplitud]]),0),IF(Categorias_Registro[[#This Row],[Puntos]]&lt;D1155,D1155,ROUND(D1155*(1+Categorias_Registro[[#This Row],[Amplitud]]),0)))</f>
        <v>1636</v>
      </c>
      <c r="E1154" s="15">
        <f>E1155+IF(D1155=Categorias_Registro[[#This Row],[Máximo]],0,1)</f>
        <v>21</v>
      </c>
      <c r="F1154" s="15">
        <f>ROUND(Categorias_Registro[[#This Row],[Mínimo]]+((Categorias_Registro[[#This Row],[Máximo]]-Categorias_Registro[[#This Row],[Mínimo]])/2),0)</f>
        <v>1530</v>
      </c>
      <c r="G1154" s="78">
        <f>VLOOKUP(Categorias_Registro[[#This Row],[Puntos]],Categorias_Configuracion[],MATCH(Categorias_Configuracion[[#Headers],[% Amplitud]],Categorias_Configuracion[#Headers],0),TRUE)</f>
        <v>0.15</v>
      </c>
      <c r="H1154" s="15" t="str">
        <f ca="1">TEXT(Categorias_Registro[[#This Row],[Mínimo]],Formato_Rango_Categorias)&amp;" - "&amp;TEXT(Categorias_Registro[[#This Row],[Máximo]],Formato_Rango_Categorias)</f>
        <v>1.424 - 1.636</v>
      </c>
    </row>
    <row r="1155" spans="2:8">
      <c r="B1155" s="15">
        <f>Techo - ROW() + ROW(Categorias_Registro[])</f>
        <v>1474</v>
      </c>
      <c r="C1155" s="15">
        <f>IF(Categorias_Registro[[#This Row],[Puntos]]&lt;=ROUND(Piso,0),Piso,IF(Categorias_Registro[[#This Row],[Puntos]]&lt;D1156,C1156,D1156+1))</f>
        <v>1424</v>
      </c>
      <c r="D1155" s="15">
        <f>IF(Categorias_Registro[[#This Row],[Puntos]]=ROUND(Piso,0),ROUND(Categorias_Registro[[#This Row],[Puntos]]*(1+Categorias_Registro[[#This Row],[Amplitud]]),0),IF(Categorias_Registro[[#This Row],[Puntos]]&lt;D1156,D1156,ROUND(D1156*(1+Categorias_Registro[[#This Row],[Amplitud]]),0)))</f>
        <v>1636</v>
      </c>
      <c r="E1155" s="15">
        <f>E1156+IF(D1156=Categorias_Registro[[#This Row],[Máximo]],0,1)</f>
        <v>21</v>
      </c>
      <c r="F1155" s="15">
        <f>ROUND(Categorias_Registro[[#This Row],[Mínimo]]+((Categorias_Registro[[#This Row],[Máximo]]-Categorias_Registro[[#This Row],[Mínimo]])/2),0)</f>
        <v>1530</v>
      </c>
      <c r="G1155" s="78">
        <f>VLOOKUP(Categorias_Registro[[#This Row],[Puntos]],Categorias_Configuracion[],MATCH(Categorias_Configuracion[[#Headers],[% Amplitud]],Categorias_Configuracion[#Headers],0),TRUE)</f>
        <v>0.15</v>
      </c>
      <c r="H1155" s="15" t="str">
        <f ca="1">TEXT(Categorias_Registro[[#This Row],[Mínimo]],Formato_Rango_Categorias)&amp;" - "&amp;TEXT(Categorias_Registro[[#This Row],[Máximo]],Formato_Rango_Categorias)</f>
        <v>1.424 - 1.636</v>
      </c>
    </row>
    <row r="1156" spans="2:8">
      <c r="B1156" s="15">
        <f>Techo - ROW() + ROW(Categorias_Registro[])</f>
        <v>1473</v>
      </c>
      <c r="C1156" s="15">
        <f>IF(Categorias_Registro[[#This Row],[Puntos]]&lt;=ROUND(Piso,0),Piso,IF(Categorias_Registro[[#This Row],[Puntos]]&lt;D1157,C1157,D1157+1))</f>
        <v>1424</v>
      </c>
      <c r="D1156" s="15">
        <f>IF(Categorias_Registro[[#This Row],[Puntos]]=ROUND(Piso,0),ROUND(Categorias_Registro[[#This Row],[Puntos]]*(1+Categorias_Registro[[#This Row],[Amplitud]]),0),IF(Categorias_Registro[[#This Row],[Puntos]]&lt;D1157,D1157,ROUND(D1157*(1+Categorias_Registro[[#This Row],[Amplitud]]),0)))</f>
        <v>1636</v>
      </c>
      <c r="E1156" s="15">
        <f>E1157+IF(D1157=Categorias_Registro[[#This Row],[Máximo]],0,1)</f>
        <v>21</v>
      </c>
      <c r="F1156" s="15">
        <f>ROUND(Categorias_Registro[[#This Row],[Mínimo]]+((Categorias_Registro[[#This Row],[Máximo]]-Categorias_Registro[[#This Row],[Mínimo]])/2),0)</f>
        <v>1530</v>
      </c>
      <c r="G1156" s="78">
        <f>VLOOKUP(Categorias_Registro[[#This Row],[Puntos]],Categorias_Configuracion[],MATCH(Categorias_Configuracion[[#Headers],[% Amplitud]],Categorias_Configuracion[#Headers],0),TRUE)</f>
        <v>0.15</v>
      </c>
      <c r="H1156" s="15" t="str">
        <f ca="1">TEXT(Categorias_Registro[[#This Row],[Mínimo]],Formato_Rango_Categorias)&amp;" - "&amp;TEXT(Categorias_Registro[[#This Row],[Máximo]],Formato_Rango_Categorias)</f>
        <v>1.424 - 1.636</v>
      </c>
    </row>
    <row r="1157" spans="2:8">
      <c r="B1157" s="15">
        <f>Techo - ROW() + ROW(Categorias_Registro[])</f>
        <v>1472</v>
      </c>
      <c r="C1157" s="15">
        <f>IF(Categorias_Registro[[#This Row],[Puntos]]&lt;=ROUND(Piso,0),Piso,IF(Categorias_Registro[[#This Row],[Puntos]]&lt;D1158,C1158,D1158+1))</f>
        <v>1424</v>
      </c>
      <c r="D1157" s="15">
        <f>IF(Categorias_Registro[[#This Row],[Puntos]]=ROUND(Piso,0),ROUND(Categorias_Registro[[#This Row],[Puntos]]*(1+Categorias_Registro[[#This Row],[Amplitud]]),0),IF(Categorias_Registro[[#This Row],[Puntos]]&lt;D1158,D1158,ROUND(D1158*(1+Categorias_Registro[[#This Row],[Amplitud]]),0)))</f>
        <v>1636</v>
      </c>
      <c r="E1157" s="15">
        <f>E1158+IF(D1158=Categorias_Registro[[#This Row],[Máximo]],0,1)</f>
        <v>21</v>
      </c>
      <c r="F1157" s="15">
        <f>ROUND(Categorias_Registro[[#This Row],[Mínimo]]+((Categorias_Registro[[#This Row],[Máximo]]-Categorias_Registro[[#This Row],[Mínimo]])/2),0)</f>
        <v>1530</v>
      </c>
      <c r="G1157" s="78">
        <f>VLOOKUP(Categorias_Registro[[#This Row],[Puntos]],Categorias_Configuracion[],MATCH(Categorias_Configuracion[[#Headers],[% Amplitud]],Categorias_Configuracion[#Headers],0),TRUE)</f>
        <v>0.15</v>
      </c>
      <c r="H1157" s="15" t="str">
        <f ca="1">TEXT(Categorias_Registro[[#This Row],[Mínimo]],Formato_Rango_Categorias)&amp;" - "&amp;TEXT(Categorias_Registro[[#This Row],[Máximo]],Formato_Rango_Categorias)</f>
        <v>1.424 - 1.636</v>
      </c>
    </row>
    <row r="1158" spans="2:8">
      <c r="B1158" s="15">
        <f>Techo - ROW() + ROW(Categorias_Registro[])</f>
        <v>1471</v>
      </c>
      <c r="C1158" s="15">
        <f>IF(Categorias_Registro[[#This Row],[Puntos]]&lt;=ROUND(Piso,0),Piso,IF(Categorias_Registro[[#This Row],[Puntos]]&lt;D1159,C1159,D1159+1))</f>
        <v>1424</v>
      </c>
      <c r="D1158" s="15">
        <f>IF(Categorias_Registro[[#This Row],[Puntos]]=ROUND(Piso,0),ROUND(Categorias_Registro[[#This Row],[Puntos]]*(1+Categorias_Registro[[#This Row],[Amplitud]]),0),IF(Categorias_Registro[[#This Row],[Puntos]]&lt;D1159,D1159,ROUND(D1159*(1+Categorias_Registro[[#This Row],[Amplitud]]),0)))</f>
        <v>1636</v>
      </c>
      <c r="E1158" s="15">
        <f>E1159+IF(D1159=Categorias_Registro[[#This Row],[Máximo]],0,1)</f>
        <v>21</v>
      </c>
      <c r="F1158" s="15">
        <f>ROUND(Categorias_Registro[[#This Row],[Mínimo]]+((Categorias_Registro[[#This Row],[Máximo]]-Categorias_Registro[[#This Row],[Mínimo]])/2),0)</f>
        <v>1530</v>
      </c>
      <c r="G1158" s="78">
        <f>VLOOKUP(Categorias_Registro[[#This Row],[Puntos]],Categorias_Configuracion[],MATCH(Categorias_Configuracion[[#Headers],[% Amplitud]],Categorias_Configuracion[#Headers],0),TRUE)</f>
        <v>0.15</v>
      </c>
      <c r="H1158" s="15" t="str">
        <f ca="1">TEXT(Categorias_Registro[[#This Row],[Mínimo]],Formato_Rango_Categorias)&amp;" - "&amp;TEXT(Categorias_Registro[[#This Row],[Máximo]],Formato_Rango_Categorias)</f>
        <v>1.424 - 1.636</v>
      </c>
    </row>
    <row r="1159" spans="2:8">
      <c r="B1159" s="15">
        <f>Techo - ROW() + ROW(Categorias_Registro[])</f>
        <v>1470</v>
      </c>
      <c r="C1159" s="15">
        <f>IF(Categorias_Registro[[#This Row],[Puntos]]&lt;=ROUND(Piso,0),Piso,IF(Categorias_Registro[[#This Row],[Puntos]]&lt;D1160,C1160,D1160+1))</f>
        <v>1424</v>
      </c>
      <c r="D1159" s="15">
        <f>IF(Categorias_Registro[[#This Row],[Puntos]]=ROUND(Piso,0),ROUND(Categorias_Registro[[#This Row],[Puntos]]*(1+Categorias_Registro[[#This Row],[Amplitud]]),0),IF(Categorias_Registro[[#This Row],[Puntos]]&lt;D1160,D1160,ROUND(D1160*(1+Categorias_Registro[[#This Row],[Amplitud]]),0)))</f>
        <v>1636</v>
      </c>
      <c r="E1159" s="15">
        <f>E1160+IF(D1160=Categorias_Registro[[#This Row],[Máximo]],0,1)</f>
        <v>21</v>
      </c>
      <c r="F1159" s="15">
        <f>ROUND(Categorias_Registro[[#This Row],[Mínimo]]+((Categorias_Registro[[#This Row],[Máximo]]-Categorias_Registro[[#This Row],[Mínimo]])/2),0)</f>
        <v>1530</v>
      </c>
      <c r="G1159" s="78">
        <f>VLOOKUP(Categorias_Registro[[#This Row],[Puntos]],Categorias_Configuracion[],MATCH(Categorias_Configuracion[[#Headers],[% Amplitud]],Categorias_Configuracion[#Headers],0),TRUE)</f>
        <v>0.15</v>
      </c>
      <c r="H1159" s="15" t="str">
        <f ca="1">TEXT(Categorias_Registro[[#This Row],[Mínimo]],Formato_Rango_Categorias)&amp;" - "&amp;TEXT(Categorias_Registro[[#This Row],[Máximo]],Formato_Rango_Categorias)</f>
        <v>1.424 - 1.636</v>
      </c>
    </row>
    <row r="1160" spans="2:8">
      <c r="B1160" s="15">
        <f>Techo - ROW() + ROW(Categorias_Registro[])</f>
        <v>1469</v>
      </c>
      <c r="C1160" s="15">
        <f>IF(Categorias_Registro[[#This Row],[Puntos]]&lt;=ROUND(Piso,0),Piso,IF(Categorias_Registro[[#This Row],[Puntos]]&lt;D1161,C1161,D1161+1))</f>
        <v>1424</v>
      </c>
      <c r="D1160" s="15">
        <f>IF(Categorias_Registro[[#This Row],[Puntos]]=ROUND(Piso,0),ROUND(Categorias_Registro[[#This Row],[Puntos]]*(1+Categorias_Registro[[#This Row],[Amplitud]]),0),IF(Categorias_Registro[[#This Row],[Puntos]]&lt;D1161,D1161,ROUND(D1161*(1+Categorias_Registro[[#This Row],[Amplitud]]),0)))</f>
        <v>1636</v>
      </c>
      <c r="E1160" s="15">
        <f>E1161+IF(D1161=Categorias_Registro[[#This Row],[Máximo]],0,1)</f>
        <v>21</v>
      </c>
      <c r="F1160" s="15">
        <f>ROUND(Categorias_Registro[[#This Row],[Mínimo]]+((Categorias_Registro[[#This Row],[Máximo]]-Categorias_Registro[[#This Row],[Mínimo]])/2),0)</f>
        <v>1530</v>
      </c>
      <c r="G1160" s="78">
        <f>VLOOKUP(Categorias_Registro[[#This Row],[Puntos]],Categorias_Configuracion[],MATCH(Categorias_Configuracion[[#Headers],[% Amplitud]],Categorias_Configuracion[#Headers],0),TRUE)</f>
        <v>0.15</v>
      </c>
      <c r="H1160" s="15" t="str">
        <f ca="1">TEXT(Categorias_Registro[[#This Row],[Mínimo]],Formato_Rango_Categorias)&amp;" - "&amp;TEXT(Categorias_Registro[[#This Row],[Máximo]],Formato_Rango_Categorias)</f>
        <v>1.424 - 1.636</v>
      </c>
    </row>
    <row r="1161" spans="2:8">
      <c r="B1161" s="15">
        <f>Techo - ROW() + ROW(Categorias_Registro[])</f>
        <v>1468</v>
      </c>
      <c r="C1161" s="15">
        <f>IF(Categorias_Registro[[#This Row],[Puntos]]&lt;=ROUND(Piso,0),Piso,IF(Categorias_Registro[[#This Row],[Puntos]]&lt;D1162,C1162,D1162+1))</f>
        <v>1424</v>
      </c>
      <c r="D1161" s="15">
        <f>IF(Categorias_Registro[[#This Row],[Puntos]]=ROUND(Piso,0),ROUND(Categorias_Registro[[#This Row],[Puntos]]*(1+Categorias_Registro[[#This Row],[Amplitud]]),0),IF(Categorias_Registro[[#This Row],[Puntos]]&lt;D1162,D1162,ROUND(D1162*(1+Categorias_Registro[[#This Row],[Amplitud]]),0)))</f>
        <v>1636</v>
      </c>
      <c r="E1161" s="15">
        <f>E1162+IF(D1162=Categorias_Registro[[#This Row],[Máximo]],0,1)</f>
        <v>21</v>
      </c>
      <c r="F1161" s="15">
        <f>ROUND(Categorias_Registro[[#This Row],[Mínimo]]+((Categorias_Registro[[#This Row],[Máximo]]-Categorias_Registro[[#This Row],[Mínimo]])/2),0)</f>
        <v>1530</v>
      </c>
      <c r="G1161" s="78">
        <f>VLOOKUP(Categorias_Registro[[#This Row],[Puntos]],Categorias_Configuracion[],MATCH(Categorias_Configuracion[[#Headers],[% Amplitud]],Categorias_Configuracion[#Headers],0),TRUE)</f>
        <v>0.15</v>
      </c>
      <c r="H1161" s="15" t="str">
        <f ca="1">TEXT(Categorias_Registro[[#This Row],[Mínimo]],Formato_Rango_Categorias)&amp;" - "&amp;TEXT(Categorias_Registro[[#This Row],[Máximo]],Formato_Rango_Categorias)</f>
        <v>1.424 - 1.636</v>
      </c>
    </row>
    <row r="1162" spans="2:8">
      <c r="B1162" s="15">
        <f>Techo - ROW() + ROW(Categorias_Registro[])</f>
        <v>1467</v>
      </c>
      <c r="C1162" s="15">
        <f>IF(Categorias_Registro[[#This Row],[Puntos]]&lt;=ROUND(Piso,0),Piso,IF(Categorias_Registro[[#This Row],[Puntos]]&lt;D1163,C1163,D1163+1))</f>
        <v>1424</v>
      </c>
      <c r="D1162" s="15">
        <f>IF(Categorias_Registro[[#This Row],[Puntos]]=ROUND(Piso,0),ROUND(Categorias_Registro[[#This Row],[Puntos]]*(1+Categorias_Registro[[#This Row],[Amplitud]]),0),IF(Categorias_Registro[[#This Row],[Puntos]]&lt;D1163,D1163,ROUND(D1163*(1+Categorias_Registro[[#This Row],[Amplitud]]),0)))</f>
        <v>1636</v>
      </c>
      <c r="E1162" s="15">
        <f>E1163+IF(D1163=Categorias_Registro[[#This Row],[Máximo]],0,1)</f>
        <v>21</v>
      </c>
      <c r="F1162" s="15">
        <f>ROUND(Categorias_Registro[[#This Row],[Mínimo]]+((Categorias_Registro[[#This Row],[Máximo]]-Categorias_Registro[[#This Row],[Mínimo]])/2),0)</f>
        <v>1530</v>
      </c>
      <c r="G1162" s="78">
        <f>VLOOKUP(Categorias_Registro[[#This Row],[Puntos]],Categorias_Configuracion[],MATCH(Categorias_Configuracion[[#Headers],[% Amplitud]],Categorias_Configuracion[#Headers],0),TRUE)</f>
        <v>0.15</v>
      </c>
      <c r="H1162" s="15" t="str">
        <f ca="1">TEXT(Categorias_Registro[[#This Row],[Mínimo]],Formato_Rango_Categorias)&amp;" - "&amp;TEXT(Categorias_Registro[[#This Row],[Máximo]],Formato_Rango_Categorias)</f>
        <v>1.424 - 1.636</v>
      </c>
    </row>
    <row r="1163" spans="2:8">
      <c r="B1163" s="15">
        <f>Techo - ROW() + ROW(Categorias_Registro[])</f>
        <v>1466</v>
      </c>
      <c r="C1163" s="15">
        <f>IF(Categorias_Registro[[#This Row],[Puntos]]&lt;=ROUND(Piso,0),Piso,IF(Categorias_Registro[[#This Row],[Puntos]]&lt;D1164,C1164,D1164+1))</f>
        <v>1424</v>
      </c>
      <c r="D1163" s="15">
        <f>IF(Categorias_Registro[[#This Row],[Puntos]]=ROUND(Piso,0),ROUND(Categorias_Registro[[#This Row],[Puntos]]*(1+Categorias_Registro[[#This Row],[Amplitud]]),0),IF(Categorias_Registro[[#This Row],[Puntos]]&lt;D1164,D1164,ROUND(D1164*(1+Categorias_Registro[[#This Row],[Amplitud]]),0)))</f>
        <v>1636</v>
      </c>
      <c r="E1163" s="15">
        <f>E1164+IF(D1164=Categorias_Registro[[#This Row],[Máximo]],0,1)</f>
        <v>21</v>
      </c>
      <c r="F1163" s="15">
        <f>ROUND(Categorias_Registro[[#This Row],[Mínimo]]+((Categorias_Registro[[#This Row],[Máximo]]-Categorias_Registro[[#This Row],[Mínimo]])/2),0)</f>
        <v>1530</v>
      </c>
      <c r="G1163" s="78">
        <f>VLOOKUP(Categorias_Registro[[#This Row],[Puntos]],Categorias_Configuracion[],MATCH(Categorias_Configuracion[[#Headers],[% Amplitud]],Categorias_Configuracion[#Headers],0),TRUE)</f>
        <v>0.15</v>
      </c>
      <c r="H1163" s="15" t="str">
        <f ca="1">TEXT(Categorias_Registro[[#This Row],[Mínimo]],Formato_Rango_Categorias)&amp;" - "&amp;TEXT(Categorias_Registro[[#This Row],[Máximo]],Formato_Rango_Categorias)</f>
        <v>1.424 - 1.636</v>
      </c>
    </row>
    <row r="1164" spans="2:8">
      <c r="B1164" s="15">
        <f>Techo - ROW() + ROW(Categorias_Registro[])</f>
        <v>1465</v>
      </c>
      <c r="C1164" s="15">
        <f>IF(Categorias_Registro[[#This Row],[Puntos]]&lt;=ROUND(Piso,0),Piso,IF(Categorias_Registro[[#This Row],[Puntos]]&lt;D1165,C1165,D1165+1))</f>
        <v>1424</v>
      </c>
      <c r="D1164" s="15">
        <f>IF(Categorias_Registro[[#This Row],[Puntos]]=ROUND(Piso,0),ROUND(Categorias_Registro[[#This Row],[Puntos]]*(1+Categorias_Registro[[#This Row],[Amplitud]]),0),IF(Categorias_Registro[[#This Row],[Puntos]]&lt;D1165,D1165,ROUND(D1165*(1+Categorias_Registro[[#This Row],[Amplitud]]),0)))</f>
        <v>1636</v>
      </c>
      <c r="E1164" s="15">
        <f>E1165+IF(D1165=Categorias_Registro[[#This Row],[Máximo]],0,1)</f>
        <v>21</v>
      </c>
      <c r="F1164" s="15">
        <f>ROUND(Categorias_Registro[[#This Row],[Mínimo]]+((Categorias_Registro[[#This Row],[Máximo]]-Categorias_Registro[[#This Row],[Mínimo]])/2),0)</f>
        <v>1530</v>
      </c>
      <c r="G1164" s="78">
        <f>VLOOKUP(Categorias_Registro[[#This Row],[Puntos]],Categorias_Configuracion[],MATCH(Categorias_Configuracion[[#Headers],[% Amplitud]],Categorias_Configuracion[#Headers],0),TRUE)</f>
        <v>0.15</v>
      </c>
      <c r="H1164" s="15" t="str">
        <f ca="1">TEXT(Categorias_Registro[[#This Row],[Mínimo]],Formato_Rango_Categorias)&amp;" - "&amp;TEXT(Categorias_Registro[[#This Row],[Máximo]],Formato_Rango_Categorias)</f>
        <v>1.424 - 1.636</v>
      </c>
    </row>
    <row r="1165" spans="2:8">
      <c r="B1165" s="15">
        <f>Techo - ROW() + ROW(Categorias_Registro[])</f>
        <v>1464</v>
      </c>
      <c r="C1165" s="15">
        <f>IF(Categorias_Registro[[#This Row],[Puntos]]&lt;=ROUND(Piso,0),Piso,IF(Categorias_Registro[[#This Row],[Puntos]]&lt;D1166,C1166,D1166+1))</f>
        <v>1424</v>
      </c>
      <c r="D1165" s="15">
        <f>IF(Categorias_Registro[[#This Row],[Puntos]]=ROUND(Piso,0),ROUND(Categorias_Registro[[#This Row],[Puntos]]*(1+Categorias_Registro[[#This Row],[Amplitud]]),0),IF(Categorias_Registro[[#This Row],[Puntos]]&lt;D1166,D1166,ROUND(D1166*(1+Categorias_Registro[[#This Row],[Amplitud]]),0)))</f>
        <v>1636</v>
      </c>
      <c r="E1165" s="15">
        <f>E1166+IF(D1166=Categorias_Registro[[#This Row],[Máximo]],0,1)</f>
        <v>21</v>
      </c>
      <c r="F1165" s="15">
        <f>ROUND(Categorias_Registro[[#This Row],[Mínimo]]+((Categorias_Registro[[#This Row],[Máximo]]-Categorias_Registro[[#This Row],[Mínimo]])/2),0)</f>
        <v>1530</v>
      </c>
      <c r="G1165" s="78">
        <f>VLOOKUP(Categorias_Registro[[#This Row],[Puntos]],Categorias_Configuracion[],MATCH(Categorias_Configuracion[[#Headers],[% Amplitud]],Categorias_Configuracion[#Headers],0),TRUE)</f>
        <v>0.15</v>
      </c>
      <c r="H1165" s="15" t="str">
        <f ca="1">TEXT(Categorias_Registro[[#This Row],[Mínimo]],Formato_Rango_Categorias)&amp;" - "&amp;TEXT(Categorias_Registro[[#This Row],[Máximo]],Formato_Rango_Categorias)</f>
        <v>1.424 - 1.636</v>
      </c>
    </row>
    <row r="1166" spans="2:8">
      <c r="B1166" s="15">
        <f>Techo - ROW() + ROW(Categorias_Registro[])</f>
        <v>1463</v>
      </c>
      <c r="C1166" s="15">
        <f>IF(Categorias_Registro[[#This Row],[Puntos]]&lt;=ROUND(Piso,0),Piso,IF(Categorias_Registro[[#This Row],[Puntos]]&lt;D1167,C1167,D1167+1))</f>
        <v>1424</v>
      </c>
      <c r="D1166" s="15">
        <f>IF(Categorias_Registro[[#This Row],[Puntos]]=ROUND(Piso,0),ROUND(Categorias_Registro[[#This Row],[Puntos]]*(1+Categorias_Registro[[#This Row],[Amplitud]]),0),IF(Categorias_Registro[[#This Row],[Puntos]]&lt;D1167,D1167,ROUND(D1167*(1+Categorias_Registro[[#This Row],[Amplitud]]),0)))</f>
        <v>1636</v>
      </c>
      <c r="E1166" s="15">
        <f>E1167+IF(D1167=Categorias_Registro[[#This Row],[Máximo]],0,1)</f>
        <v>21</v>
      </c>
      <c r="F1166" s="15">
        <f>ROUND(Categorias_Registro[[#This Row],[Mínimo]]+((Categorias_Registro[[#This Row],[Máximo]]-Categorias_Registro[[#This Row],[Mínimo]])/2),0)</f>
        <v>1530</v>
      </c>
      <c r="G1166" s="78">
        <f>VLOOKUP(Categorias_Registro[[#This Row],[Puntos]],Categorias_Configuracion[],MATCH(Categorias_Configuracion[[#Headers],[% Amplitud]],Categorias_Configuracion[#Headers],0),TRUE)</f>
        <v>0.15</v>
      </c>
      <c r="H1166" s="15" t="str">
        <f ca="1">TEXT(Categorias_Registro[[#This Row],[Mínimo]],Formato_Rango_Categorias)&amp;" - "&amp;TEXT(Categorias_Registro[[#This Row],[Máximo]],Formato_Rango_Categorias)</f>
        <v>1.424 - 1.636</v>
      </c>
    </row>
    <row r="1167" spans="2:8">
      <c r="B1167" s="15">
        <f>Techo - ROW() + ROW(Categorias_Registro[])</f>
        <v>1462</v>
      </c>
      <c r="C1167" s="15">
        <f>IF(Categorias_Registro[[#This Row],[Puntos]]&lt;=ROUND(Piso,0),Piso,IF(Categorias_Registro[[#This Row],[Puntos]]&lt;D1168,C1168,D1168+1))</f>
        <v>1424</v>
      </c>
      <c r="D1167" s="15">
        <f>IF(Categorias_Registro[[#This Row],[Puntos]]=ROUND(Piso,0),ROUND(Categorias_Registro[[#This Row],[Puntos]]*(1+Categorias_Registro[[#This Row],[Amplitud]]),0),IF(Categorias_Registro[[#This Row],[Puntos]]&lt;D1168,D1168,ROUND(D1168*(1+Categorias_Registro[[#This Row],[Amplitud]]),0)))</f>
        <v>1636</v>
      </c>
      <c r="E1167" s="15">
        <f>E1168+IF(D1168=Categorias_Registro[[#This Row],[Máximo]],0,1)</f>
        <v>21</v>
      </c>
      <c r="F1167" s="15">
        <f>ROUND(Categorias_Registro[[#This Row],[Mínimo]]+((Categorias_Registro[[#This Row],[Máximo]]-Categorias_Registro[[#This Row],[Mínimo]])/2),0)</f>
        <v>1530</v>
      </c>
      <c r="G1167" s="78">
        <f>VLOOKUP(Categorias_Registro[[#This Row],[Puntos]],Categorias_Configuracion[],MATCH(Categorias_Configuracion[[#Headers],[% Amplitud]],Categorias_Configuracion[#Headers],0),TRUE)</f>
        <v>0.15</v>
      </c>
      <c r="H1167" s="15" t="str">
        <f ca="1">TEXT(Categorias_Registro[[#This Row],[Mínimo]],Formato_Rango_Categorias)&amp;" - "&amp;TEXT(Categorias_Registro[[#This Row],[Máximo]],Formato_Rango_Categorias)</f>
        <v>1.424 - 1.636</v>
      </c>
    </row>
    <row r="1168" spans="2:8">
      <c r="B1168" s="15">
        <f>Techo - ROW() + ROW(Categorias_Registro[])</f>
        <v>1461</v>
      </c>
      <c r="C1168" s="15">
        <f>IF(Categorias_Registro[[#This Row],[Puntos]]&lt;=ROUND(Piso,0),Piso,IF(Categorias_Registro[[#This Row],[Puntos]]&lt;D1169,C1169,D1169+1))</f>
        <v>1424</v>
      </c>
      <c r="D1168" s="15">
        <f>IF(Categorias_Registro[[#This Row],[Puntos]]=ROUND(Piso,0),ROUND(Categorias_Registro[[#This Row],[Puntos]]*(1+Categorias_Registro[[#This Row],[Amplitud]]),0),IF(Categorias_Registro[[#This Row],[Puntos]]&lt;D1169,D1169,ROUND(D1169*(1+Categorias_Registro[[#This Row],[Amplitud]]),0)))</f>
        <v>1636</v>
      </c>
      <c r="E1168" s="15">
        <f>E1169+IF(D1169=Categorias_Registro[[#This Row],[Máximo]],0,1)</f>
        <v>21</v>
      </c>
      <c r="F1168" s="15">
        <f>ROUND(Categorias_Registro[[#This Row],[Mínimo]]+((Categorias_Registro[[#This Row],[Máximo]]-Categorias_Registro[[#This Row],[Mínimo]])/2),0)</f>
        <v>1530</v>
      </c>
      <c r="G1168" s="78">
        <f>VLOOKUP(Categorias_Registro[[#This Row],[Puntos]],Categorias_Configuracion[],MATCH(Categorias_Configuracion[[#Headers],[% Amplitud]],Categorias_Configuracion[#Headers],0),TRUE)</f>
        <v>0.15</v>
      </c>
      <c r="H1168" s="15" t="str">
        <f ca="1">TEXT(Categorias_Registro[[#This Row],[Mínimo]],Formato_Rango_Categorias)&amp;" - "&amp;TEXT(Categorias_Registro[[#This Row],[Máximo]],Formato_Rango_Categorias)</f>
        <v>1.424 - 1.636</v>
      </c>
    </row>
    <row r="1169" spans="2:8">
      <c r="B1169" s="15">
        <f>Techo - ROW() + ROW(Categorias_Registro[])</f>
        <v>1460</v>
      </c>
      <c r="C1169" s="15">
        <f>IF(Categorias_Registro[[#This Row],[Puntos]]&lt;=ROUND(Piso,0),Piso,IF(Categorias_Registro[[#This Row],[Puntos]]&lt;D1170,C1170,D1170+1))</f>
        <v>1424</v>
      </c>
      <c r="D1169" s="15">
        <f>IF(Categorias_Registro[[#This Row],[Puntos]]=ROUND(Piso,0),ROUND(Categorias_Registro[[#This Row],[Puntos]]*(1+Categorias_Registro[[#This Row],[Amplitud]]),0),IF(Categorias_Registro[[#This Row],[Puntos]]&lt;D1170,D1170,ROUND(D1170*(1+Categorias_Registro[[#This Row],[Amplitud]]),0)))</f>
        <v>1636</v>
      </c>
      <c r="E1169" s="15">
        <f>E1170+IF(D1170=Categorias_Registro[[#This Row],[Máximo]],0,1)</f>
        <v>21</v>
      </c>
      <c r="F1169" s="15">
        <f>ROUND(Categorias_Registro[[#This Row],[Mínimo]]+((Categorias_Registro[[#This Row],[Máximo]]-Categorias_Registro[[#This Row],[Mínimo]])/2),0)</f>
        <v>1530</v>
      </c>
      <c r="G1169" s="78">
        <f>VLOOKUP(Categorias_Registro[[#This Row],[Puntos]],Categorias_Configuracion[],MATCH(Categorias_Configuracion[[#Headers],[% Amplitud]],Categorias_Configuracion[#Headers],0),TRUE)</f>
        <v>0.15</v>
      </c>
      <c r="H1169" s="15" t="str">
        <f ca="1">TEXT(Categorias_Registro[[#This Row],[Mínimo]],Formato_Rango_Categorias)&amp;" - "&amp;TEXT(Categorias_Registro[[#This Row],[Máximo]],Formato_Rango_Categorias)</f>
        <v>1.424 - 1.636</v>
      </c>
    </row>
    <row r="1170" spans="2:8">
      <c r="B1170" s="15">
        <f>Techo - ROW() + ROW(Categorias_Registro[])</f>
        <v>1459</v>
      </c>
      <c r="C1170" s="15">
        <f>IF(Categorias_Registro[[#This Row],[Puntos]]&lt;=ROUND(Piso,0),Piso,IF(Categorias_Registro[[#This Row],[Puntos]]&lt;D1171,C1171,D1171+1))</f>
        <v>1424</v>
      </c>
      <c r="D1170" s="15">
        <f>IF(Categorias_Registro[[#This Row],[Puntos]]=ROUND(Piso,0),ROUND(Categorias_Registro[[#This Row],[Puntos]]*(1+Categorias_Registro[[#This Row],[Amplitud]]),0),IF(Categorias_Registro[[#This Row],[Puntos]]&lt;D1171,D1171,ROUND(D1171*(1+Categorias_Registro[[#This Row],[Amplitud]]),0)))</f>
        <v>1636</v>
      </c>
      <c r="E1170" s="15">
        <f>E1171+IF(D1171=Categorias_Registro[[#This Row],[Máximo]],0,1)</f>
        <v>21</v>
      </c>
      <c r="F1170" s="15">
        <f>ROUND(Categorias_Registro[[#This Row],[Mínimo]]+((Categorias_Registro[[#This Row],[Máximo]]-Categorias_Registro[[#This Row],[Mínimo]])/2),0)</f>
        <v>1530</v>
      </c>
      <c r="G1170" s="78">
        <f>VLOOKUP(Categorias_Registro[[#This Row],[Puntos]],Categorias_Configuracion[],MATCH(Categorias_Configuracion[[#Headers],[% Amplitud]],Categorias_Configuracion[#Headers],0),TRUE)</f>
        <v>0.15</v>
      </c>
      <c r="H1170" s="15" t="str">
        <f ca="1">TEXT(Categorias_Registro[[#This Row],[Mínimo]],Formato_Rango_Categorias)&amp;" - "&amp;TEXT(Categorias_Registro[[#This Row],[Máximo]],Formato_Rango_Categorias)</f>
        <v>1.424 - 1.636</v>
      </c>
    </row>
    <row r="1171" spans="2:8">
      <c r="B1171" s="15">
        <f>Techo - ROW() + ROW(Categorias_Registro[])</f>
        <v>1458</v>
      </c>
      <c r="C1171" s="15">
        <f>IF(Categorias_Registro[[#This Row],[Puntos]]&lt;=ROUND(Piso,0),Piso,IF(Categorias_Registro[[#This Row],[Puntos]]&lt;D1172,C1172,D1172+1))</f>
        <v>1424</v>
      </c>
      <c r="D1171" s="15">
        <f>IF(Categorias_Registro[[#This Row],[Puntos]]=ROUND(Piso,0),ROUND(Categorias_Registro[[#This Row],[Puntos]]*(1+Categorias_Registro[[#This Row],[Amplitud]]),0),IF(Categorias_Registro[[#This Row],[Puntos]]&lt;D1172,D1172,ROUND(D1172*(1+Categorias_Registro[[#This Row],[Amplitud]]),0)))</f>
        <v>1636</v>
      </c>
      <c r="E1171" s="15">
        <f>E1172+IF(D1172=Categorias_Registro[[#This Row],[Máximo]],0,1)</f>
        <v>21</v>
      </c>
      <c r="F1171" s="15">
        <f>ROUND(Categorias_Registro[[#This Row],[Mínimo]]+((Categorias_Registro[[#This Row],[Máximo]]-Categorias_Registro[[#This Row],[Mínimo]])/2),0)</f>
        <v>1530</v>
      </c>
      <c r="G1171" s="78">
        <f>VLOOKUP(Categorias_Registro[[#This Row],[Puntos]],Categorias_Configuracion[],MATCH(Categorias_Configuracion[[#Headers],[% Amplitud]],Categorias_Configuracion[#Headers],0),TRUE)</f>
        <v>0.15</v>
      </c>
      <c r="H1171" s="15" t="str">
        <f ca="1">TEXT(Categorias_Registro[[#This Row],[Mínimo]],Formato_Rango_Categorias)&amp;" - "&amp;TEXT(Categorias_Registro[[#This Row],[Máximo]],Formato_Rango_Categorias)</f>
        <v>1.424 - 1.636</v>
      </c>
    </row>
    <row r="1172" spans="2:8">
      <c r="B1172" s="15">
        <f>Techo - ROW() + ROW(Categorias_Registro[])</f>
        <v>1457</v>
      </c>
      <c r="C1172" s="15">
        <f>IF(Categorias_Registro[[#This Row],[Puntos]]&lt;=ROUND(Piso,0),Piso,IF(Categorias_Registro[[#This Row],[Puntos]]&lt;D1173,C1173,D1173+1))</f>
        <v>1424</v>
      </c>
      <c r="D1172" s="15">
        <f>IF(Categorias_Registro[[#This Row],[Puntos]]=ROUND(Piso,0),ROUND(Categorias_Registro[[#This Row],[Puntos]]*(1+Categorias_Registro[[#This Row],[Amplitud]]),0),IF(Categorias_Registro[[#This Row],[Puntos]]&lt;D1173,D1173,ROUND(D1173*(1+Categorias_Registro[[#This Row],[Amplitud]]),0)))</f>
        <v>1636</v>
      </c>
      <c r="E1172" s="15">
        <f>E1173+IF(D1173=Categorias_Registro[[#This Row],[Máximo]],0,1)</f>
        <v>21</v>
      </c>
      <c r="F1172" s="15">
        <f>ROUND(Categorias_Registro[[#This Row],[Mínimo]]+((Categorias_Registro[[#This Row],[Máximo]]-Categorias_Registro[[#This Row],[Mínimo]])/2),0)</f>
        <v>1530</v>
      </c>
      <c r="G1172" s="78">
        <f>VLOOKUP(Categorias_Registro[[#This Row],[Puntos]],Categorias_Configuracion[],MATCH(Categorias_Configuracion[[#Headers],[% Amplitud]],Categorias_Configuracion[#Headers],0),TRUE)</f>
        <v>0.15</v>
      </c>
      <c r="H1172" s="15" t="str">
        <f ca="1">TEXT(Categorias_Registro[[#This Row],[Mínimo]],Formato_Rango_Categorias)&amp;" - "&amp;TEXT(Categorias_Registro[[#This Row],[Máximo]],Formato_Rango_Categorias)</f>
        <v>1.424 - 1.636</v>
      </c>
    </row>
    <row r="1173" spans="2:8">
      <c r="B1173" s="15">
        <f>Techo - ROW() + ROW(Categorias_Registro[])</f>
        <v>1456</v>
      </c>
      <c r="C1173" s="15">
        <f>IF(Categorias_Registro[[#This Row],[Puntos]]&lt;=ROUND(Piso,0),Piso,IF(Categorias_Registro[[#This Row],[Puntos]]&lt;D1174,C1174,D1174+1))</f>
        <v>1424</v>
      </c>
      <c r="D1173" s="15">
        <f>IF(Categorias_Registro[[#This Row],[Puntos]]=ROUND(Piso,0),ROUND(Categorias_Registro[[#This Row],[Puntos]]*(1+Categorias_Registro[[#This Row],[Amplitud]]),0),IF(Categorias_Registro[[#This Row],[Puntos]]&lt;D1174,D1174,ROUND(D1174*(1+Categorias_Registro[[#This Row],[Amplitud]]),0)))</f>
        <v>1636</v>
      </c>
      <c r="E1173" s="15">
        <f>E1174+IF(D1174=Categorias_Registro[[#This Row],[Máximo]],0,1)</f>
        <v>21</v>
      </c>
      <c r="F1173" s="15">
        <f>ROUND(Categorias_Registro[[#This Row],[Mínimo]]+((Categorias_Registro[[#This Row],[Máximo]]-Categorias_Registro[[#This Row],[Mínimo]])/2),0)</f>
        <v>1530</v>
      </c>
      <c r="G1173" s="78">
        <f>VLOOKUP(Categorias_Registro[[#This Row],[Puntos]],Categorias_Configuracion[],MATCH(Categorias_Configuracion[[#Headers],[% Amplitud]],Categorias_Configuracion[#Headers],0),TRUE)</f>
        <v>0.15</v>
      </c>
      <c r="H1173" s="15" t="str">
        <f ca="1">TEXT(Categorias_Registro[[#This Row],[Mínimo]],Formato_Rango_Categorias)&amp;" - "&amp;TEXT(Categorias_Registro[[#This Row],[Máximo]],Formato_Rango_Categorias)</f>
        <v>1.424 - 1.636</v>
      </c>
    </row>
    <row r="1174" spans="2:8">
      <c r="B1174" s="15">
        <f>Techo - ROW() + ROW(Categorias_Registro[])</f>
        <v>1455</v>
      </c>
      <c r="C1174" s="15">
        <f>IF(Categorias_Registro[[#This Row],[Puntos]]&lt;=ROUND(Piso,0),Piso,IF(Categorias_Registro[[#This Row],[Puntos]]&lt;D1175,C1175,D1175+1))</f>
        <v>1424</v>
      </c>
      <c r="D1174" s="15">
        <f>IF(Categorias_Registro[[#This Row],[Puntos]]=ROUND(Piso,0),ROUND(Categorias_Registro[[#This Row],[Puntos]]*(1+Categorias_Registro[[#This Row],[Amplitud]]),0),IF(Categorias_Registro[[#This Row],[Puntos]]&lt;D1175,D1175,ROUND(D1175*(1+Categorias_Registro[[#This Row],[Amplitud]]),0)))</f>
        <v>1636</v>
      </c>
      <c r="E1174" s="15">
        <f>E1175+IF(D1175=Categorias_Registro[[#This Row],[Máximo]],0,1)</f>
        <v>21</v>
      </c>
      <c r="F1174" s="15">
        <f>ROUND(Categorias_Registro[[#This Row],[Mínimo]]+((Categorias_Registro[[#This Row],[Máximo]]-Categorias_Registro[[#This Row],[Mínimo]])/2),0)</f>
        <v>1530</v>
      </c>
      <c r="G1174" s="78">
        <f>VLOOKUP(Categorias_Registro[[#This Row],[Puntos]],Categorias_Configuracion[],MATCH(Categorias_Configuracion[[#Headers],[% Amplitud]],Categorias_Configuracion[#Headers],0),TRUE)</f>
        <v>0.15</v>
      </c>
      <c r="H1174" s="15" t="str">
        <f ca="1">TEXT(Categorias_Registro[[#This Row],[Mínimo]],Formato_Rango_Categorias)&amp;" - "&amp;TEXT(Categorias_Registro[[#This Row],[Máximo]],Formato_Rango_Categorias)</f>
        <v>1.424 - 1.636</v>
      </c>
    </row>
    <row r="1175" spans="2:8">
      <c r="B1175" s="15">
        <f>Techo - ROW() + ROW(Categorias_Registro[])</f>
        <v>1454</v>
      </c>
      <c r="C1175" s="15">
        <f>IF(Categorias_Registro[[#This Row],[Puntos]]&lt;=ROUND(Piso,0),Piso,IF(Categorias_Registro[[#This Row],[Puntos]]&lt;D1176,C1176,D1176+1))</f>
        <v>1424</v>
      </c>
      <c r="D1175" s="15">
        <f>IF(Categorias_Registro[[#This Row],[Puntos]]=ROUND(Piso,0),ROUND(Categorias_Registro[[#This Row],[Puntos]]*(1+Categorias_Registro[[#This Row],[Amplitud]]),0),IF(Categorias_Registro[[#This Row],[Puntos]]&lt;D1176,D1176,ROUND(D1176*(1+Categorias_Registro[[#This Row],[Amplitud]]),0)))</f>
        <v>1636</v>
      </c>
      <c r="E1175" s="15">
        <f>E1176+IF(D1176=Categorias_Registro[[#This Row],[Máximo]],0,1)</f>
        <v>21</v>
      </c>
      <c r="F1175" s="15">
        <f>ROUND(Categorias_Registro[[#This Row],[Mínimo]]+((Categorias_Registro[[#This Row],[Máximo]]-Categorias_Registro[[#This Row],[Mínimo]])/2),0)</f>
        <v>1530</v>
      </c>
      <c r="G1175" s="78">
        <f>VLOOKUP(Categorias_Registro[[#This Row],[Puntos]],Categorias_Configuracion[],MATCH(Categorias_Configuracion[[#Headers],[% Amplitud]],Categorias_Configuracion[#Headers],0),TRUE)</f>
        <v>0.15</v>
      </c>
      <c r="H1175" s="15" t="str">
        <f ca="1">TEXT(Categorias_Registro[[#This Row],[Mínimo]],Formato_Rango_Categorias)&amp;" - "&amp;TEXT(Categorias_Registro[[#This Row],[Máximo]],Formato_Rango_Categorias)</f>
        <v>1.424 - 1.636</v>
      </c>
    </row>
    <row r="1176" spans="2:8">
      <c r="B1176" s="15">
        <f>Techo - ROW() + ROW(Categorias_Registro[])</f>
        <v>1453</v>
      </c>
      <c r="C1176" s="15">
        <f>IF(Categorias_Registro[[#This Row],[Puntos]]&lt;=ROUND(Piso,0),Piso,IF(Categorias_Registro[[#This Row],[Puntos]]&lt;D1177,C1177,D1177+1))</f>
        <v>1424</v>
      </c>
      <c r="D1176" s="15">
        <f>IF(Categorias_Registro[[#This Row],[Puntos]]=ROUND(Piso,0),ROUND(Categorias_Registro[[#This Row],[Puntos]]*(1+Categorias_Registro[[#This Row],[Amplitud]]),0),IF(Categorias_Registro[[#This Row],[Puntos]]&lt;D1177,D1177,ROUND(D1177*(1+Categorias_Registro[[#This Row],[Amplitud]]),0)))</f>
        <v>1636</v>
      </c>
      <c r="E1176" s="15">
        <f>E1177+IF(D1177=Categorias_Registro[[#This Row],[Máximo]],0,1)</f>
        <v>21</v>
      </c>
      <c r="F1176" s="15">
        <f>ROUND(Categorias_Registro[[#This Row],[Mínimo]]+((Categorias_Registro[[#This Row],[Máximo]]-Categorias_Registro[[#This Row],[Mínimo]])/2),0)</f>
        <v>1530</v>
      </c>
      <c r="G1176" s="78">
        <f>VLOOKUP(Categorias_Registro[[#This Row],[Puntos]],Categorias_Configuracion[],MATCH(Categorias_Configuracion[[#Headers],[% Amplitud]],Categorias_Configuracion[#Headers],0),TRUE)</f>
        <v>0.15</v>
      </c>
      <c r="H1176" s="15" t="str">
        <f ca="1">TEXT(Categorias_Registro[[#This Row],[Mínimo]],Formato_Rango_Categorias)&amp;" - "&amp;TEXT(Categorias_Registro[[#This Row],[Máximo]],Formato_Rango_Categorias)</f>
        <v>1.424 - 1.636</v>
      </c>
    </row>
    <row r="1177" spans="2:8">
      <c r="B1177" s="15">
        <f>Techo - ROW() + ROW(Categorias_Registro[])</f>
        <v>1452</v>
      </c>
      <c r="C1177" s="15">
        <f>IF(Categorias_Registro[[#This Row],[Puntos]]&lt;=ROUND(Piso,0),Piso,IF(Categorias_Registro[[#This Row],[Puntos]]&lt;D1178,C1178,D1178+1))</f>
        <v>1424</v>
      </c>
      <c r="D1177" s="15">
        <f>IF(Categorias_Registro[[#This Row],[Puntos]]=ROUND(Piso,0),ROUND(Categorias_Registro[[#This Row],[Puntos]]*(1+Categorias_Registro[[#This Row],[Amplitud]]),0),IF(Categorias_Registro[[#This Row],[Puntos]]&lt;D1178,D1178,ROUND(D1178*(1+Categorias_Registro[[#This Row],[Amplitud]]),0)))</f>
        <v>1636</v>
      </c>
      <c r="E1177" s="15">
        <f>E1178+IF(D1178=Categorias_Registro[[#This Row],[Máximo]],0,1)</f>
        <v>21</v>
      </c>
      <c r="F1177" s="15">
        <f>ROUND(Categorias_Registro[[#This Row],[Mínimo]]+((Categorias_Registro[[#This Row],[Máximo]]-Categorias_Registro[[#This Row],[Mínimo]])/2),0)</f>
        <v>1530</v>
      </c>
      <c r="G1177" s="78">
        <f>VLOOKUP(Categorias_Registro[[#This Row],[Puntos]],Categorias_Configuracion[],MATCH(Categorias_Configuracion[[#Headers],[% Amplitud]],Categorias_Configuracion[#Headers],0),TRUE)</f>
        <v>0.15</v>
      </c>
      <c r="H1177" s="15" t="str">
        <f ca="1">TEXT(Categorias_Registro[[#This Row],[Mínimo]],Formato_Rango_Categorias)&amp;" - "&amp;TEXT(Categorias_Registro[[#This Row],[Máximo]],Formato_Rango_Categorias)</f>
        <v>1.424 - 1.636</v>
      </c>
    </row>
    <row r="1178" spans="2:8">
      <c r="B1178" s="15">
        <f>Techo - ROW() + ROW(Categorias_Registro[])</f>
        <v>1451</v>
      </c>
      <c r="C1178" s="15">
        <f>IF(Categorias_Registro[[#This Row],[Puntos]]&lt;=ROUND(Piso,0),Piso,IF(Categorias_Registro[[#This Row],[Puntos]]&lt;D1179,C1179,D1179+1))</f>
        <v>1424</v>
      </c>
      <c r="D1178" s="15">
        <f>IF(Categorias_Registro[[#This Row],[Puntos]]=ROUND(Piso,0),ROUND(Categorias_Registro[[#This Row],[Puntos]]*(1+Categorias_Registro[[#This Row],[Amplitud]]),0),IF(Categorias_Registro[[#This Row],[Puntos]]&lt;D1179,D1179,ROUND(D1179*(1+Categorias_Registro[[#This Row],[Amplitud]]),0)))</f>
        <v>1636</v>
      </c>
      <c r="E1178" s="15">
        <f>E1179+IF(D1179=Categorias_Registro[[#This Row],[Máximo]],0,1)</f>
        <v>21</v>
      </c>
      <c r="F1178" s="15">
        <f>ROUND(Categorias_Registro[[#This Row],[Mínimo]]+((Categorias_Registro[[#This Row],[Máximo]]-Categorias_Registro[[#This Row],[Mínimo]])/2),0)</f>
        <v>1530</v>
      </c>
      <c r="G1178" s="78">
        <f>VLOOKUP(Categorias_Registro[[#This Row],[Puntos]],Categorias_Configuracion[],MATCH(Categorias_Configuracion[[#Headers],[% Amplitud]],Categorias_Configuracion[#Headers],0),TRUE)</f>
        <v>0.15</v>
      </c>
      <c r="H1178" s="15" t="str">
        <f ca="1">TEXT(Categorias_Registro[[#This Row],[Mínimo]],Formato_Rango_Categorias)&amp;" - "&amp;TEXT(Categorias_Registro[[#This Row],[Máximo]],Formato_Rango_Categorias)</f>
        <v>1.424 - 1.636</v>
      </c>
    </row>
    <row r="1179" spans="2:8">
      <c r="B1179" s="15">
        <f>Techo - ROW() + ROW(Categorias_Registro[])</f>
        <v>1450</v>
      </c>
      <c r="C1179" s="15">
        <f>IF(Categorias_Registro[[#This Row],[Puntos]]&lt;=ROUND(Piso,0),Piso,IF(Categorias_Registro[[#This Row],[Puntos]]&lt;D1180,C1180,D1180+1))</f>
        <v>1424</v>
      </c>
      <c r="D1179" s="15">
        <f>IF(Categorias_Registro[[#This Row],[Puntos]]=ROUND(Piso,0),ROUND(Categorias_Registro[[#This Row],[Puntos]]*(1+Categorias_Registro[[#This Row],[Amplitud]]),0),IF(Categorias_Registro[[#This Row],[Puntos]]&lt;D1180,D1180,ROUND(D1180*(1+Categorias_Registro[[#This Row],[Amplitud]]),0)))</f>
        <v>1636</v>
      </c>
      <c r="E1179" s="15">
        <f>E1180+IF(D1180=Categorias_Registro[[#This Row],[Máximo]],0,1)</f>
        <v>21</v>
      </c>
      <c r="F1179" s="15">
        <f>ROUND(Categorias_Registro[[#This Row],[Mínimo]]+((Categorias_Registro[[#This Row],[Máximo]]-Categorias_Registro[[#This Row],[Mínimo]])/2),0)</f>
        <v>1530</v>
      </c>
      <c r="G1179" s="78">
        <f>VLOOKUP(Categorias_Registro[[#This Row],[Puntos]],Categorias_Configuracion[],MATCH(Categorias_Configuracion[[#Headers],[% Amplitud]],Categorias_Configuracion[#Headers],0),TRUE)</f>
        <v>0.15</v>
      </c>
      <c r="H1179" s="15" t="str">
        <f ca="1">TEXT(Categorias_Registro[[#This Row],[Mínimo]],Formato_Rango_Categorias)&amp;" - "&amp;TEXT(Categorias_Registro[[#This Row],[Máximo]],Formato_Rango_Categorias)</f>
        <v>1.424 - 1.636</v>
      </c>
    </row>
    <row r="1180" spans="2:8">
      <c r="B1180" s="15">
        <f>Techo - ROW() + ROW(Categorias_Registro[])</f>
        <v>1449</v>
      </c>
      <c r="C1180" s="15">
        <f>IF(Categorias_Registro[[#This Row],[Puntos]]&lt;=ROUND(Piso,0),Piso,IF(Categorias_Registro[[#This Row],[Puntos]]&lt;D1181,C1181,D1181+1))</f>
        <v>1424</v>
      </c>
      <c r="D1180" s="15">
        <f>IF(Categorias_Registro[[#This Row],[Puntos]]=ROUND(Piso,0),ROUND(Categorias_Registro[[#This Row],[Puntos]]*(1+Categorias_Registro[[#This Row],[Amplitud]]),0),IF(Categorias_Registro[[#This Row],[Puntos]]&lt;D1181,D1181,ROUND(D1181*(1+Categorias_Registro[[#This Row],[Amplitud]]),0)))</f>
        <v>1636</v>
      </c>
      <c r="E1180" s="15">
        <f>E1181+IF(D1181=Categorias_Registro[[#This Row],[Máximo]],0,1)</f>
        <v>21</v>
      </c>
      <c r="F1180" s="15">
        <f>ROUND(Categorias_Registro[[#This Row],[Mínimo]]+((Categorias_Registro[[#This Row],[Máximo]]-Categorias_Registro[[#This Row],[Mínimo]])/2),0)</f>
        <v>1530</v>
      </c>
      <c r="G1180" s="78">
        <f>VLOOKUP(Categorias_Registro[[#This Row],[Puntos]],Categorias_Configuracion[],MATCH(Categorias_Configuracion[[#Headers],[% Amplitud]],Categorias_Configuracion[#Headers],0),TRUE)</f>
        <v>0.15</v>
      </c>
      <c r="H1180" s="15" t="str">
        <f ca="1">TEXT(Categorias_Registro[[#This Row],[Mínimo]],Formato_Rango_Categorias)&amp;" - "&amp;TEXT(Categorias_Registro[[#This Row],[Máximo]],Formato_Rango_Categorias)</f>
        <v>1.424 - 1.636</v>
      </c>
    </row>
    <row r="1181" spans="2:8">
      <c r="B1181" s="15">
        <f>Techo - ROW() + ROW(Categorias_Registro[])</f>
        <v>1448</v>
      </c>
      <c r="C1181" s="15">
        <f>IF(Categorias_Registro[[#This Row],[Puntos]]&lt;=ROUND(Piso,0),Piso,IF(Categorias_Registro[[#This Row],[Puntos]]&lt;D1182,C1182,D1182+1))</f>
        <v>1424</v>
      </c>
      <c r="D1181" s="15">
        <f>IF(Categorias_Registro[[#This Row],[Puntos]]=ROUND(Piso,0),ROUND(Categorias_Registro[[#This Row],[Puntos]]*(1+Categorias_Registro[[#This Row],[Amplitud]]),0),IF(Categorias_Registro[[#This Row],[Puntos]]&lt;D1182,D1182,ROUND(D1182*(1+Categorias_Registro[[#This Row],[Amplitud]]),0)))</f>
        <v>1636</v>
      </c>
      <c r="E1181" s="15">
        <f>E1182+IF(D1182=Categorias_Registro[[#This Row],[Máximo]],0,1)</f>
        <v>21</v>
      </c>
      <c r="F1181" s="15">
        <f>ROUND(Categorias_Registro[[#This Row],[Mínimo]]+((Categorias_Registro[[#This Row],[Máximo]]-Categorias_Registro[[#This Row],[Mínimo]])/2),0)</f>
        <v>1530</v>
      </c>
      <c r="G1181" s="78">
        <f>VLOOKUP(Categorias_Registro[[#This Row],[Puntos]],Categorias_Configuracion[],MATCH(Categorias_Configuracion[[#Headers],[% Amplitud]],Categorias_Configuracion[#Headers],0),TRUE)</f>
        <v>0.15</v>
      </c>
      <c r="H1181" s="15" t="str">
        <f ca="1">TEXT(Categorias_Registro[[#This Row],[Mínimo]],Formato_Rango_Categorias)&amp;" - "&amp;TEXT(Categorias_Registro[[#This Row],[Máximo]],Formato_Rango_Categorias)</f>
        <v>1.424 - 1.636</v>
      </c>
    </row>
    <row r="1182" spans="2:8">
      <c r="B1182" s="15">
        <f>Techo - ROW() + ROW(Categorias_Registro[])</f>
        <v>1447</v>
      </c>
      <c r="C1182" s="15">
        <f>IF(Categorias_Registro[[#This Row],[Puntos]]&lt;=ROUND(Piso,0),Piso,IF(Categorias_Registro[[#This Row],[Puntos]]&lt;D1183,C1183,D1183+1))</f>
        <v>1424</v>
      </c>
      <c r="D1182" s="15">
        <f>IF(Categorias_Registro[[#This Row],[Puntos]]=ROUND(Piso,0),ROUND(Categorias_Registro[[#This Row],[Puntos]]*(1+Categorias_Registro[[#This Row],[Amplitud]]),0),IF(Categorias_Registro[[#This Row],[Puntos]]&lt;D1183,D1183,ROUND(D1183*(1+Categorias_Registro[[#This Row],[Amplitud]]),0)))</f>
        <v>1636</v>
      </c>
      <c r="E1182" s="15">
        <f>E1183+IF(D1183=Categorias_Registro[[#This Row],[Máximo]],0,1)</f>
        <v>21</v>
      </c>
      <c r="F1182" s="15">
        <f>ROUND(Categorias_Registro[[#This Row],[Mínimo]]+((Categorias_Registro[[#This Row],[Máximo]]-Categorias_Registro[[#This Row],[Mínimo]])/2),0)</f>
        <v>1530</v>
      </c>
      <c r="G1182" s="78">
        <f>VLOOKUP(Categorias_Registro[[#This Row],[Puntos]],Categorias_Configuracion[],MATCH(Categorias_Configuracion[[#Headers],[% Amplitud]],Categorias_Configuracion[#Headers],0),TRUE)</f>
        <v>0.15</v>
      </c>
      <c r="H1182" s="15" t="str">
        <f ca="1">TEXT(Categorias_Registro[[#This Row],[Mínimo]],Formato_Rango_Categorias)&amp;" - "&amp;TEXT(Categorias_Registro[[#This Row],[Máximo]],Formato_Rango_Categorias)</f>
        <v>1.424 - 1.636</v>
      </c>
    </row>
    <row r="1183" spans="2:8">
      <c r="B1183" s="15">
        <f>Techo - ROW() + ROW(Categorias_Registro[])</f>
        <v>1446</v>
      </c>
      <c r="C1183" s="15">
        <f>IF(Categorias_Registro[[#This Row],[Puntos]]&lt;=ROUND(Piso,0),Piso,IF(Categorias_Registro[[#This Row],[Puntos]]&lt;D1184,C1184,D1184+1))</f>
        <v>1424</v>
      </c>
      <c r="D1183" s="15">
        <f>IF(Categorias_Registro[[#This Row],[Puntos]]=ROUND(Piso,0),ROUND(Categorias_Registro[[#This Row],[Puntos]]*(1+Categorias_Registro[[#This Row],[Amplitud]]),0),IF(Categorias_Registro[[#This Row],[Puntos]]&lt;D1184,D1184,ROUND(D1184*(1+Categorias_Registro[[#This Row],[Amplitud]]),0)))</f>
        <v>1636</v>
      </c>
      <c r="E1183" s="15">
        <f>E1184+IF(D1184=Categorias_Registro[[#This Row],[Máximo]],0,1)</f>
        <v>21</v>
      </c>
      <c r="F1183" s="15">
        <f>ROUND(Categorias_Registro[[#This Row],[Mínimo]]+((Categorias_Registro[[#This Row],[Máximo]]-Categorias_Registro[[#This Row],[Mínimo]])/2),0)</f>
        <v>1530</v>
      </c>
      <c r="G1183" s="78">
        <f>VLOOKUP(Categorias_Registro[[#This Row],[Puntos]],Categorias_Configuracion[],MATCH(Categorias_Configuracion[[#Headers],[% Amplitud]],Categorias_Configuracion[#Headers],0),TRUE)</f>
        <v>0.15</v>
      </c>
      <c r="H1183" s="15" t="str">
        <f ca="1">TEXT(Categorias_Registro[[#This Row],[Mínimo]],Formato_Rango_Categorias)&amp;" - "&amp;TEXT(Categorias_Registro[[#This Row],[Máximo]],Formato_Rango_Categorias)</f>
        <v>1.424 - 1.636</v>
      </c>
    </row>
    <row r="1184" spans="2:8">
      <c r="B1184" s="15">
        <f>Techo - ROW() + ROW(Categorias_Registro[])</f>
        <v>1445</v>
      </c>
      <c r="C1184" s="15">
        <f>IF(Categorias_Registro[[#This Row],[Puntos]]&lt;=ROUND(Piso,0),Piso,IF(Categorias_Registro[[#This Row],[Puntos]]&lt;D1185,C1185,D1185+1))</f>
        <v>1424</v>
      </c>
      <c r="D1184" s="15">
        <f>IF(Categorias_Registro[[#This Row],[Puntos]]=ROUND(Piso,0),ROUND(Categorias_Registro[[#This Row],[Puntos]]*(1+Categorias_Registro[[#This Row],[Amplitud]]),0),IF(Categorias_Registro[[#This Row],[Puntos]]&lt;D1185,D1185,ROUND(D1185*(1+Categorias_Registro[[#This Row],[Amplitud]]),0)))</f>
        <v>1636</v>
      </c>
      <c r="E1184" s="15">
        <f>E1185+IF(D1185=Categorias_Registro[[#This Row],[Máximo]],0,1)</f>
        <v>21</v>
      </c>
      <c r="F1184" s="15">
        <f>ROUND(Categorias_Registro[[#This Row],[Mínimo]]+((Categorias_Registro[[#This Row],[Máximo]]-Categorias_Registro[[#This Row],[Mínimo]])/2),0)</f>
        <v>1530</v>
      </c>
      <c r="G1184" s="78">
        <f>VLOOKUP(Categorias_Registro[[#This Row],[Puntos]],Categorias_Configuracion[],MATCH(Categorias_Configuracion[[#Headers],[% Amplitud]],Categorias_Configuracion[#Headers],0),TRUE)</f>
        <v>0.15</v>
      </c>
      <c r="H1184" s="15" t="str">
        <f ca="1">TEXT(Categorias_Registro[[#This Row],[Mínimo]],Formato_Rango_Categorias)&amp;" - "&amp;TEXT(Categorias_Registro[[#This Row],[Máximo]],Formato_Rango_Categorias)</f>
        <v>1.424 - 1.636</v>
      </c>
    </row>
    <row r="1185" spans="2:8">
      <c r="B1185" s="15">
        <f>Techo - ROW() + ROW(Categorias_Registro[])</f>
        <v>1444</v>
      </c>
      <c r="C1185" s="15">
        <f>IF(Categorias_Registro[[#This Row],[Puntos]]&lt;=ROUND(Piso,0),Piso,IF(Categorias_Registro[[#This Row],[Puntos]]&lt;D1186,C1186,D1186+1))</f>
        <v>1424</v>
      </c>
      <c r="D1185" s="15">
        <f>IF(Categorias_Registro[[#This Row],[Puntos]]=ROUND(Piso,0),ROUND(Categorias_Registro[[#This Row],[Puntos]]*(1+Categorias_Registro[[#This Row],[Amplitud]]),0),IF(Categorias_Registro[[#This Row],[Puntos]]&lt;D1186,D1186,ROUND(D1186*(1+Categorias_Registro[[#This Row],[Amplitud]]),0)))</f>
        <v>1636</v>
      </c>
      <c r="E1185" s="15">
        <f>E1186+IF(D1186=Categorias_Registro[[#This Row],[Máximo]],0,1)</f>
        <v>21</v>
      </c>
      <c r="F1185" s="15">
        <f>ROUND(Categorias_Registro[[#This Row],[Mínimo]]+((Categorias_Registro[[#This Row],[Máximo]]-Categorias_Registro[[#This Row],[Mínimo]])/2),0)</f>
        <v>1530</v>
      </c>
      <c r="G1185" s="78">
        <f>VLOOKUP(Categorias_Registro[[#This Row],[Puntos]],Categorias_Configuracion[],MATCH(Categorias_Configuracion[[#Headers],[% Amplitud]],Categorias_Configuracion[#Headers],0),TRUE)</f>
        <v>0.15</v>
      </c>
      <c r="H1185" s="15" t="str">
        <f ca="1">TEXT(Categorias_Registro[[#This Row],[Mínimo]],Formato_Rango_Categorias)&amp;" - "&amp;TEXT(Categorias_Registro[[#This Row],[Máximo]],Formato_Rango_Categorias)</f>
        <v>1.424 - 1.636</v>
      </c>
    </row>
    <row r="1186" spans="2:8">
      <c r="B1186" s="15">
        <f>Techo - ROW() + ROW(Categorias_Registro[])</f>
        <v>1443</v>
      </c>
      <c r="C1186" s="15">
        <f>IF(Categorias_Registro[[#This Row],[Puntos]]&lt;=ROUND(Piso,0),Piso,IF(Categorias_Registro[[#This Row],[Puntos]]&lt;D1187,C1187,D1187+1))</f>
        <v>1424</v>
      </c>
      <c r="D1186" s="15">
        <f>IF(Categorias_Registro[[#This Row],[Puntos]]=ROUND(Piso,0),ROUND(Categorias_Registro[[#This Row],[Puntos]]*(1+Categorias_Registro[[#This Row],[Amplitud]]),0),IF(Categorias_Registro[[#This Row],[Puntos]]&lt;D1187,D1187,ROUND(D1187*(1+Categorias_Registro[[#This Row],[Amplitud]]),0)))</f>
        <v>1636</v>
      </c>
      <c r="E1186" s="15">
        <f>E1187+IF(D1187=Categorias_Registro[[#This Row],[Máximo]],0,1)</f>
        <v>21</v>
      </c>
      <c r="F1186" s="15">
        <f>ROUND(Categorias_Registro[[#This Row],[Mínimo]]+((Categorias_Registro[[#This Row],[Máximo]]-Categorias_Registro[[#This Row],[Mínimo]])/2),0)</f>
        <v>1530</v>
      </c>
      <c r="G1186" s="78">
        <f>VLOOKUP(Categorias_Registro[[#This Row],[Puntos]],Categorias_Configuracion[],MATCH(Categorias_Configuracion[[#Headers],[% Amplitud]],Categorias_Configuracion[#Headers],0),TRUE)</f>
        <v>0.15</v>
      </c>
      <c r="H1186" s="15" t="str">
        <f ca="1">TEXT(Categorias_Registro[[#This Row],[Mínimo]],Formato_Rango_Categorias)&amp;" - "&amp;TEXT(Categorias_Registro[[#This Row],[Máximo]],Formato_Rango_Categorias)</f>
        <v>1.424 - 1.636</v>
      </c>
    </row>
    <row r="1187" spans="2:8">
      <c r="B1187" s="15">
        <f>Techo - ROW() + ROW(Categorias_Registro[])</f>
        <v>1442</v>
      </c>
      <c r="C1187" s="15">
        <f>IF(Categorias_Registro[[#This Row],[Puntos]]&lt;=ROUND(Piso,0),Piso,IF(Categorias_Registro[[#This Row],[Puntos]]&lt;D1188,C1188,D1188+1))</f>
        <v>1424</v>
      </c>
      <c r="D1187" s="15">
        <f>IF(Categorias_Registro[[#This Row],[Puntos]]=ROUND(Piso,0),ROUND(Categorias_Registro[[#This Row],[Puntos]]*(1+Categorias_Registro[[#This Row],[Amplitud]]),0),IF(Categorias_Registro[[#This Row],[Puntos]]&lt;D1188,D1188,ROUND(D1188*(1+Categorias_Registro[[#This Row],[Amplitud]]),0)))</f>
        <v>1636</v>
      </c>
      <c r="E1187" s="15">
        <f>E1188+IF(D1188=Categorias_Registro[[#This Row],[Máximo]],0,1)</f>
        <v>21</v>
      </c>
      <c r="F1187" s="15">
        <f>ROUND(Categorias_Registro[[#This Row],[Mínimo]]+((Categorias_Registro[[#This Row],[Máximo]]-Categorias_Registro[[#This Row],[Mínimo]])/2),0)</f>
        <v>1530</v>
      </c>
      <c r="G1187" s="78">
        <f>VLOOKUP(Categorias_Registro[[#This Row],[Puntos]],Categorias_Configuracion[],MATCH(Categorias_Configuracion[[#Headers],[% Amplitud]],Categorias_Configuracion[#Headers],0),TRUE)</f>
        <v>0.15</v>
      </c>
      <c r="H1187" s="15" t="str">
        <f ca="1">TEXT(Categorias_Registro[[#This Row],[Mínimo]],Formato_Rango_Categorias)&amp;" - "&amp;TEXT(Categorias_Registro[[#This Row],[Máximo]],Formato_Rango_Categorias)</f>
        <v>1.424 - 1.636</v>
      </c>
    </row>
    <row r="1188" spans="2:8">
      <c r="B1188" s="15">
        <f>Techo - ROW() + ROW(Categorias_Registro[])</f>
        <v>1441</v>
      </c>
      <c r="C1188" s="15">
        <f>IF(Categorias_Registro[[#This Row],[Puntos]]&lt;=ROUND(Piso,0),Piso,IF(Categorias_Registro[[#This Row],[Puntos]]&lt;D1189,C1189,D1189+1))</f>
        <v>1424</v>
      </c>
      <c r="D1188" s="15">
        <f>IF(Categorias_Registro[[#This Row],[Puntos]]=ROUND(Piso,0),ROUND(Categorias_Registro[[#This Row],[Puntos]]*(1+Categorias_Registro[[#This Row],[Amplitud]]),0),IF(Categorias_Registro[[#This Row],[Puntos]]&lt;D1189,D1189,ROUND(D1189*(1+Categorias_Registro[[#This Row],[Amplitud]]),0)))</f>
        <v>1636</v>
      </c>
      <c r="E1188" s="15">
        <f>E1189+IF(D1189=Categorias_Registro[[#This Row],[Máximo]],0,1)</f>
        <v>21</v>
      </c>
      <c r="F1188" s="15">
        <f>ROUND(Categorias_Registro[[#This Row],[Mínimo]]+((Categorias_Registro[[#This Row],[Máximo]]-Categorias_Registro[[#This Row],[Mínimo]])/2),0)</f>
        <v>1530</v>
      </c>
      <c r="G1188" s="78">
        <f>VLOOKUP(Categorias_Registro[[#This Row],[Puntos]],Categorias_Configuracion[],MATCH(Categorias_Configuracion[[#Headers],[% Amplitud]],Categorias_Configuracion[#Headers],0),TRUE)</f>
        <v>0.15</v>
      </c>
      <c r="H1188" s="15" t="str">
        <f ca="1">TEXT(Categorias_Registro[[#This Row],[Mínimo]],Formato_Rango_Categorias)&amp;" - "&amp;TEXT(Categorias_Registro[[#This Row],[Máximo]],Formato_Rango_Categorias)</f>
        <v>1.424 - 1.636</v>
      </c>
    </row>
    <row r="1189" spans="2:8">
      <c r="B1189" s="15">
        <f>Techo - ROW() + ROW(Categorias_Registro[])</f>
        <v>1440</v>
      </c>
      <c r="C1189" s="15">
        <f>IF(Categorias_Registro[[#This Row],[Puntos]]&lt;=ROUND(Piso,0),Piso,IF(Categorias_Registro[[#This Row],[Puntos]]&lt;D1190,C1190,D1190+1))</f>
        <v>1424</v>
      </c>
      <c r="D1189" s="15">
        <f>IF(Categorias_Registro[[#This Row],[Puntos]]=ROUND(Piso,0),ROUND(Categorias_Registro[[#This Row],[Puntos]]*(1+Categorias_Registro[[#This Row],[Amplitud]]),0),IF(Categorias_Registro[[#This Row],[Puntos]]&lt;D1190,D1190,ROUND(D1190*(1+Categorias_Registro[[#This Row],[Amplitud]]),0)))</f>
        <v>1636</v>
      </c>
      <c r="E1189" s="15">
        <f>E1190+IF(D1190=Categorias_Registro[[#This Row],[Máximo]],0,1)</f>
        <v>21</v>
      </c>
      <c r="F1189" s="15">
        <f>ROUND(Categorias_Registro[[#This Row],[Mínimo]]+((Categorias_Registro[[#This Row],[Máximo]]-Categorias_Registro[[#This Row],[Mínimo]])/2),0)</f>
        <v>1530</v>
      </c>
      <c r="G1189" s="78">
        <f>VLOOKUP(Categorias_Registro[[#This Row],[Puntos]],Categorias_Configuracion[],MATCH(Categorias_Configuracion[[#Headers],[% Amplitud]],Categorias_Configuracion[#Headers],0),TRUE)</f>
        <v>0.15</v>
      </c>
      <c r="H1189" s="15" t="str">
        <f ca="1">TEXT(Categorias_Registro[[#This Row],[Mínimo]],Formato_Rango_Categorias)&amp;" - "&amp;TEXT(Categorias_Registro[[#This Row],[Máximo]],Formato_Rango_Categorias)</f>
        <v>1.424 - 1.636</v>
      </c>
    </row>
    <row r="1190" spans="2:8">
      <c r="B1190" s="15">
        <f>Techo - ROW() + ROW(Categorias_Registro[])</f>
        <v>1439</v>
      </c>
      <c r="C1190" s="15">
        <f>IF(Categorias_Registro[[#This Row],[Puntos]]&lt;=ROUND(Piso,0),Piso,IF(Categorias_Registro[[#This Row],[Puntos]]&lt;D1191,C1191,D1191+1))</f>
        <v>1424</v>
      </c>
      <c r="D1190" s="15">
        <f>IF(Categorias_Registro[[#This Row],[Puntos]]=ROUND(Piso,0),ROUND(Categorias_Registro[[#This Row],[Puntos]]*(1+Categorias_Registro[[#This Row],[Amplitud]]),0),IF(Categorias_Registro[[#This Row],[Puntos]]&lt;D1191,D1191,ROUND(D1191*(1+Categorias_Registro[[#This Row],[Amplitud]]),0)))</f>
        <v>1636</v>
      </c>
      <c r="E1190" s="15">
        <f>E1191+IF(D1191=Categorias_Registro[[#This Row],[Máximo]],0,1)</f>
        <v>21</v>
      </c>
      <c r="F1190" s="15">
        <f>ROUND(Categorias_Registro[[#This Row],[Mínimo]]+((Categorias_Registro[[#This Row],[Máximo]]-Categorias_Registro[[#This Row],[Mínimo]])/2),0)</f>
        <v>1530</v>
      </c>
      <c r="G1190" s="78">
        <f>VLOOKUP(Categorias_Registro[[#This Row],[Puntos]],Categorias_Configuracion[],MATCH(Categorias_Configuracion[[#Headers],[% Amplitud]],Categorias_Configuracion[#Headers],0),TRUE)</f>
        <v>0.15</v>
      </c>
      <c r="H1190" s="15" t="str">
        <f ca="1">TEXT(Categorias_Registro[[#This Row],[Mínimo]],Formato_Rango_Categorias)&amp;" - "&amp;TEXT(Categorias_Registro[[#This Row],[Máximo]],Formato_Rango_Categorias)</f>
        <v>1.424 - 1.636</v>
      </c>
    </row>
    <row r="1191" spans="2:8">
      <c r="B1191" s="15">
        <f>Techo - ROW() + ROW(Categorias_Registro[])</f>
        <v>1438</v>
      </c>
      <c r="C1191" s="15">
        <f>IF(Categorias_Registro[[#This Row],[Puntos]]&lt;=ROUND(Piso,0),Piso,IF(Categorias_Registro[[#This Row],[Puntos]]&lt;D1192,C1192,D1192+1))</f>
        <v>1424</v>
      </c>
      <c r="D1191" s="15">
        <f>IF(Categorias_Registro[[#This Row],[Puntos]]=ROUND(Piso,0),ROUND(Categorias_Registro[[#This Row],[Puntos]]*(1+Categorias_Registro[[#This Row],[Amplitud]]),0),IF(Categorias_Registro[[#This Row],[Puntos]]&lt;D1192,D1192,ROUND(D1192*(1+Categorias_Registro[[#This Row],[Amplitud]]),0)))</f>
        <v>1636</v>
      </c>
      <c r="E1191" s="15">
        <f>E1192+IF(D1192=Categorias_Registro[[#This Row],[Máximo]],0,1)</f>
        <v>21</v>
      </c>
      <c r="F1191" s="15">
        <f>ROUND(Categorias_Registro[[#This Row],[Mínimo]]+((Categorias_Registro[[#This Row],[Máximo]]-Categorias_Registro[[#This Row],[Mínimo]])/2),0)</f>
        <v>1530</v>
      </c>
      <c r="G1191" s="78">
        <f>VLOOKUP(Categorias_Registro[[#This Row],[Puntos]],Categorias_Configuracion[],MATCH(Categorias_Configuracion[[#Headers],[% Amplitud]],Categorias_Configuracion[#Headers],0),TRUE)</f>
        <v>0.15</v>
      </c>
      <c r="H1191" s="15" t="str">
        <f ca="1">TEXT(Categorias_Registro[[#This Row],[Mínimo]],Formato_Rango_Categorias)&amp;" - "&amp;TEXT(Categorias_Registro[[#This Row],[Máximo]],Formato_Rango_Categorias)</f>
        <v>1.424 - 1.636</v>
      </c>
    </row>
    <row r="1192" spans="2:8">
      <c r="B1192" s="15">
        <f>Techo - ROW() + ROW(Categorias_Registro[])</f>
        <v>1437</v>
      </c>
      <c r="C1192" s="15">
        <f>IF(Categorias_Registro[[#This Row],[Puntos]]&lt;=ROUND(Piso,0),Piso,IF(Categorias_Registro[[#This Row],[Puntos]]&lt;D1193,C1193,D1193+1))</f>
        <v>1424</v>
      </c>
      <c r="D1192" s="15">
        <f>IF(Categorias_Registro[[#This Row],[Puntos]]=ROUND(Piso,0),ROUND(Categorias_Registro[[#This Row],[Puntos]]*(1+Categorias_Registro[[#This Row],[Amplitud]]),0),IF(Categorias_Registro[[#This Row],[Puntos]]&lt;D1193,D1193,ROUND(D1193*(1+Categorias_Registro[[#This Row],[Amplitud]]),0)))</f>
        <v>1636</v>
      </c>
      <c r="E1192" s="15">
        <f>E1193+IF(D1193=Categorias_Registro[[#This Row],[Máximo]],0,1)</f>
        <v>21</v>
      </c>
      <c r="F1192" s="15">
        <f>ROUND(Categorias_Registro[[#This Row],[Mínimo]]+((Categorias_Registro[[#This Row],[Máximo]]-Categorias_Registro[[#This Row],[Mínimo]])/2),0)</f>
        <v>1530</v>
      </c>
      <c r="G1192" s="78">
        <f>VLOOKUP(Categorias_Registro[[#This Row],[Puntos]],Categorias_Configuracion[],MATCH(Categorias_Configuracion[[#Headers],[% Amplitud]],Categorias_Configuracion[#Headers],0),TRUE)</f>
        <v>0.15</v>
      </c>
      <c r="H1192" s="15" t="str">
        <f ca="1">TEXT(Categorias_Registro[[#This Row],[Mínimo]],Formato_Rango_Categorias)&amp;" - "&amp;TEXT(Categorias_Registro[[#This Row],[Máximo]],Formato_Rango_Categorias)</f>
        <v>1.424 - 1.636</v>
      </c>
    </row>
    <row r="1193" spans="2:8">
      <c r="B1193" s="15">
        <f>Techo - ROW() + ROW(Categorias_Registro[])</f>
        <v>1436</v>
      </c>
      <c r="C1193" s="15">
        <f>IF(Categorias_Registro[[#This Row],[Puntos]]&lt;=ROUND(Piso,0),Piso,IF(Categorias_Registro[[#This Row],[Puntos]]&lt;D1194,C1194,D1194+1))</f>
        <v>1424</v>
      </c>
      <c r="D1193" s="15">
        <f>IF(Categorias_Registro[[#This Row],[Puntos]]=ROUND(Piso,0),ROUND(Categorias_Registro[[#This Row],[Puntos]]*(1+Categorias_Registro[[#This Row],[Amplitud]]),0),IF(Categorias_Registro[[#This Row],[Puntos]]&lt;D1194,D1194,ROUND(D1194*(1+Categorias_Registro[[#This Row],[Amplitud]]),0)))</f>
        <v>1636</v>
      </c>
      <c r="E1193" s="15">
        <f>E1194+IF(D1194=Categorias_Registro[[#This Row],[Máximo]],0,1)</f>
        <v>21</v>
      </c>
      <c r="F1193" s="15">
        <f>ROUND(Categorias_Registro[[#This Row],[Mínimo]]+((Categorias_Registro[[#This Row],[Máximo]]-Categorias_Registro[[#This Row],[Mínimo]])/2),0)</f>
        <v>1530</v>
      </c>
      <c r="G1193" s="78">
        <f>VLOOKUP(Categorias_Registro[[#This Row],[Puntos]],Categorias_Configuracion[],MATCH(Categorias_Configuracion[[#Headers],[% Amplitud]],Categorias_Configuracion[#Headers],0),TRUE)</f>
        <v>0.15</v>
      </c>
      <c r="H1193" s="15" t="str">
        <f ca="1">TEXT(Categorias_Registro[[#This Row],[Mínimo]],Formato_Rango_Categorias)&amp;" - "&amp;TEXT(Categorias_Registro[[#This Row],[Máximo]],Formato_Rango_Categorias)</f>
        <v>1.424 - 1.636</v>
      </c>
    </row>
    <row r="1194" spans="2:8">
      <c r="B1194" s="15">
        <f>Techo - ROW() + ROW(Categorias_Registro[])</f>
        <v>1435</v>
      </c>
      <c r="C1194" s="15">
        <f>IF(Categorias_Registro[[#This Row],[Puntos]]&lt;=ROUND(Piso,0),Piso,IF(Categorias_Registro[[#This Row],[Puntos]]&lt;D1195,C1195,D1195+1))</f>
        <v>1424</v>
      </c>
      <c r="D1194" s="15">
        <f>IF(Categorias_Registro[[#This Row],[Puntos]]=ROUND(Piso,0),ROUND(Categorias_Registro[[#This Row],[Puntos]]*(1+Categorias_Registro[[#This Row],[Amplitud]]),0),IF(Categorias_Registro[[#This Row],[Puntos]]&lt;D1195,D1195,ROUND(D1195*(1+Categorias_Registro[[#This Row],[Amplitud]]),0)))</f>
        <v>1636</v>
      </c>
      <c r="E1194" s="15">
        <f>E1195+IF(D1195=Categorias_Registro[[#This Row],[Máximo]],0,1)</f>
        <v>21</v>
      </c>
      <c r="F1194" s="15">
        <f>ROUND(Categorias_Registro[[#This Row],[Mínimo]]+((Categorias_Registro[[#This Row],[Máximo]]-Categorias_Registro[[#This Row],[Mínimo]])/2),0)</f>
        <v>1530</v>
      </c>
      <c r="G1194" s="78">
        <f>VLOOKUP(Categorias_Registro[[#This Row],[Puntos]],Categorias_Configuracion[],MATCH(Categorias_Configuracion[[#Headers],[% Amplitud]],Categorias_Configuracion[#Headers],0),TRUE)</f>
        <v>0.15</v>
      </c>
      <c r="H1194" s="15" t="str">
        <f ca="1">TEXT(Categorias_Registro[[#This Row],[Mínimo]],Formato_Rango_Categorias)&amp;" - "&amp;TEXT(Categorias_Registro[[#This Row],[Máximo]],Formato_Rango_Categorias)</f>
        <v>1.424 - 1.636</v>
      </c>
    </row>
    <row r="1195" spans="2:8">
      <c r="B1195" s="15">
        <f>Techo - ROW() + ROW(Categorias_Registro[])</f>
        <v>1434</v>
      </c>
      <c r="C1195" s="15">
        <f>IF(Categorias_Registro[[#This Row],[Puntos]]&lt;=ROUND(Piso,0),Piso,IF(Categorias_Registro[[#This Row],[Puntos]]&lt;D1196,C1196,D1196+1))</f>
        <v>1424</v>
      </c>
      <c r="D1195" s="15">
        <f>IF(Categorias_Registro[[#This Row],[Puntos]]=ROUND(Piso,0),ROUND(Categorias_Registro[[#This Row],[Puntos]]*(1+Categorias_Registro[[#This Row],[Amplitud]]),0),IF(Categorias_Registro[[#This Row],[Puntos]]&lt;D1196,D1196,ROUND(D1196*(1+Categorias_Registro[[#This Row],[Amplitud]]),0)))</f>
        <v>1636</v>
      </c>
      <c r="E1195" s="15">
        <f>E1196+IF(D1196=Categorias_Registro[[#This Row],[Máximo]],0,1)</f>
        <v>21</v>
      </c>
      <c r="F1195" s="15">
        <f>ROUND(Categorias_Registro[[#This Row],[Mínimo]]+((Categorias_Registro[[#This Row],[Máximo]]-Categorias_Registro[[#This Row],[Mínimo]])/2),0)</f>
        <v>1530</v>
      </c>
      <c r="G1195" s="78">
        <f>VLOOKUP(Categorias_Registro[[#This Row],[Puntos]],Categorias_Configuracion[],MATCH(Categorias_Configuracion[[#Headers],[% Amplitud]],Categorias_Configuracion[#Headers],0),TRUE)</f>
        <v>0.15</v>
      </c>
      <c r="H1195" s="15" t="str">
        <f ca="1">TEXT(Categorias_Registro[[#This Row],[Mínimo]],Formato_Rango_Categorias)&amp;" - "&amp;TEXT(Categorias_Registro[[#This Row],[Máximo]],Formato_Rango_Categorias)</f>
        <v>1.424 - 1.636</v>
      </c>
    </row>
    <row r="1196" spans="2:8">
      <c r="B1196" s="15">
        <f>Techo - ROW() + ROW(Categorias_Registro[])</f>
        <v>1433</v>
      </c>
      <c r="C1196" s="15">
        <f>IF(Categorias_Registro[[#This Row],[Puntos]]&lt;=ROUND(Piso,0),Piso,IF(Categorias_Registro[[#This Row],[Puntos]]&lt;D1197,C1197,D1197+1))</f>
        <v>1424</v>
      </c>
      <c r="D1196" s="15">
        <f>IF(Categorias_Registro[[#This Row],[Puntos]]=ROUND(Piso,0),ROUND(Categorias_Registro[[#This Row],[Puntos]]*(1+Categorias_Registro[[#This Row],[Amplitud]]),0),IF(Categorias_Registro[[#This Row],[Puntos]]&lt;D1197,D1197,ROUND(D1197*(1+Categorias_Registro[[#This Row],[Amplitud]]),0)))</f>
        <v>1636</v>
      </c>
      <c r="E1196" s="15">
        <f>E1197+IF(D1197=Categorias_Registro[[#This Row],[Máximo]],0,1)</f>
        <v>21</v>
      </c>
      <c r="F1196" s="15">
        <f>ROUND(Categorias_Registro[[#This Row],[Mínimo]]+((Categorias_Registro[[#This Row],[Máximo]]-Categorias_Registro[[#This Row],[Mínimo]])/2),0)</f>
        <v>1530</v>
      </c>
      <c r="G1196" s="78">
        <f>VLOOKUP(Categorias_Registro[[#This Row],[Puntos]],Categorias_Configuracion[],MATCH(Categorias_Configuracion[[#Headers],[% Amplitud]],Categorias_Configuracion[#Headers],0),TRUE)</f>
        <v>0.15</v>
      </c>
      <c r="H1196" s="15" t="str">
        <f ca="1">TEXT(Categorias_Registro[[#This Row],[Mínimo]],Formato_Rango_Categorias)&amp;" - "&amp;TEXT(Categorias_Registro[[#This Row],[Máximo]],Formato_Rango_Categorias)</f>
        <v>1.424 - 1.636</v>
      </c>
    </row>
    <row r="1197" spans="2:8">
      <c r="B1197" s="15">
        <f>Techo - ROW() + ROW(Categorias_Registro[])</f>
        <v>1432</v>
      </c>
      <c r="C1197" s="15">
        <f>IF(Categorias_Registro[[#This Row],[Puntos]]&lt;=ROUND(Piso,0),Piso,IF(Categorias_Registro[[#This Row],[Puntos]]&lt;D1198,C1198,D1198+1))</f>
        <v>1424</v>
      </c>
      <c r="D1197" s="15">
        <f>IF(Categorias_Registro[[#This Row],[Puntos]]=ROUND(Piso,0),ROUND(Categorias_Registro[[#This Row],[Puntos]]*(1+Categorias_Registro[[#This Row],[Amplitud]]),0),IF(Categorias_Registro[[#This Row],[Puntos]]&lt;D1198,D1198,ROUND(D1198*(1+Categorias_Registro[[#This Row],[Amplitud]]),0)))</f>
        <v>1636</v>
      </c>
      <c r="E1197" s="15">
        <f>E1198+IF(D1198=Categorias_Registro[[#This Row],[Máximo]],0,1)</f>
        <v>21</v>
      </c>
      <c r="F1197" s="15">
        <f>ROUND(Categorias_Registro[[#This Row],[Mínimo]]+((Categorias_Registro[[#This Row],[Máximo]]-Categorias_Registro[[#This Row],[Mínimo]])/2),0)</f>
        <v>1530</v>
      </c>
      <c r="G1197" s="78">
        <f>VLOOKUP(Categorias_Registro[[#This Row],[Puntos]],Categorias_Configuracion[],MATCH(Categorias_Configuracion[[#Headers],[% Amplitud]],Categorias_Configuracion[#Headers],0),TRUE)</f>
        <v>0.15</v>
      </c>
      <c r="H1197" s="15" t="str">
        <f ca="1">TEXT(Categorias_Registro[[#This Row],[Mínimo]],Formato_Rango_Categorias)&amp;" - "&amp;TEXT(Categorias_Registro[[#This Row],[Máximo]],Formato_Rango_Categorias)</f>
        <v>1.424 - 1.636</v>
      </c>
    </row>
    <row r="1198" spans="2:8">
      <c r="B1198" s="15">
        <f>Techo - ROW() + ROW(Categorias_Registro[])</f>
        <v>1431</v>
      </c>
      <c r="C1198" s="15">
        <f>IF(Categorias_Registro[[#This Row],[Puntos]]&lt;=ROUND(Piso,0),Piso,IF(Categorias_Registro[[#This Row],[Puntos]]&lt;D1199,C1199,D1199+1))</f>
        <v>1424</v>
      </c>
      <c r="D1198" s="15">
        <f>IF(Categorias_Registro[[#This Row],[Puntos]]=ROUND(Piso,0),ROUND(Categorias_Registro[[#This Row],[Puntos]]*(1+Categorias_Registro[[#This Row],[Amplitud]]),0),IF(Categorias_Registro[[#This Row],[Puntos]]&lt;D1199,D1199,ROUND(D1199*(1+Categorias_Registro[[#This Row],[Amplitud]]),0)))</f>
        <v>1636</v>
      </c>
      <c r="E1198" s="15">
        <f>E1199+IF(D1199=Categorias_Registro[[#This Row],[Máximo]],0,1)</f>
        <v>21</v>
      </c>
      <c r="F1198" s="15">
        <f>ROUND(Categorias_Registro[[#This Row],[Mínimo]]+((Categorias_Registro[[#This Row],[Máximo]]-Categorias_Registro[[#This Row],[Mínimo]])/2),0)</f>
        <v>1530</v>
      </c>
      <c r="G1198" s="78">
        <f>VLOOKUP(Categorias_Registro[[#This Row],[Puntos]],Categorias_Configuracion[],MATCH(Categorias_Configuracion[[#Headers],[% Amplitud]],Categorias_Configuracion[#Headers],0),TRUE)</f>
        <v>0.15</v>
      </c>
      <c r="H1198" s="15" t="str">
        <f ca="1">TEXT(Categorias_Registro[[#This Row],[Mínimo]],Formato_Rango_Categorias)&amp;" - "&amp;TEXT(Categorias_Registro[[#This Row],[Máximo]],Formato_Rango_Categorias)</f>
        <v>1.424 - 1.636</v>
      </c>
    </row>
    <row r="1199" spans="2:8">
      <c r="B1199" s="15">
        <f>Techo - ROW() + ROW(Categorias_Registro[])</f>
        <v>1430</v>
      </c>
      <c r="C1199" s="15">
        <f>IF(Categorias_Registro[[#This Row],[Puntos]]&lt;=ROUND(Piso,0),Piso,IF(Categorias_Registro[[#This Row],[Puntos]]&lt;D1200,C1200,D1200+1))</f>
        <v>1424</v>
      </c>
      <c r="D1199" s="15">
        <f>IF(Categorias_Registro[[#This Row],[Puntos]]=ROUND(Piso,0),ROUND(Categorias_Registro[[#This Row],[Puntos]]*(1+Categorias_Registro[[#This Row],[Amplitud]]),0),IF(Categorias_Registro[[#This Row],[Puntos]]&lt;D1200,D1200,ROUND(D1200*(1+Categorias_Registro[[#This Row],[Amplitud]]),0)))</f>
        <v>1636</v>
      </c>
      <c r="E1199" s="15">
        <f>E1200+IF(D1200=Categorias_Registro[[#This Row],[Máximo]],0,1)</f>
        <v>21</v>
      </c>
      <c r="F1199" s="15">
        <f>ROUND(Categorias_Registro[[#This Row],[Mínimo]]+((Categorias_Registro[[#This Row],[Máximo]]-Categorias_Registro[[#This Row],[Mínimo]])/2),0)</f>
        <v>1530</v>
      </c>
      <c r="G1199" s="78">
        <f>VLOOKUP(Categorias_Registro[[#This Row],[Puntos]],Categorias_Configuracion[],MATCH(Categorias_Configuracion[[#Headers],[% Amplitud]],Categorias_Configuracion[#Headers],0),TRUE)</f>
        <v>0.15</v>
      </c>
      <c r="H1199" s="15" t="str">
        <f ca="1">TEXT(Categorias_Registro[[#This Row],[Mínimo]],Formato_Rango_Categorias)&amp;" - "&amp;TEXT(Categorias_Registro[[#This Row],[Máximo]],Formato_Rango_Categorias)</f>
        <v>1.424 - 1.636</v>
      </c>
    </row>
    <row r="1200" spans="2:8">
      <c r="B1200" s="15">
        <f>Techo - ROW() + ROW(Categorias_Registro[])</f>
        <v>1429</v>
      </c>
      <c r="C1200" s="15">
        <f>IF(Categorias_Registro[[#This Row],[Puntos]]&lt;=ROUND(Piso,0),Piso,IF(Categorias_Registro[[#This Row],[Puntos]]&lt;D1201,C1201,D1201+1))</f>
        <v>1424</v>
      </c>
      <c r="D1200" s="15">
        <f>IF(Categorias_Registro[[#This Row],[Puntos]]=ROUND(Piso,0),ROUND(Categorias_Registro[[#This Row],[Puntos]]*(1+Categorias_Registro[[#This Row],[Amplitud]]),0),IF(Categorias_Registro[[#This Row],[Puntos]]&lt;D1201,D1201,ROUND(D1201*(1+Categorias_Registro[[#This Row],[Amplitud]]),0)))</f>
        <v>1636</v>
      </c>
      <c r="E1200" s="15">
        <f>E1201+IF(D1201=Categorias_Registro[[#This Row],[Máximo]],0,1)</f>
        <v>21</v>
      </c>
      <c r="F1200" s="15">
        <f>ROUND(Categorias_Registro[[#This Row],[Mínimo]]+((Categorias_Registro[[#This Row],[Máximo]]-Categorias_Registro[[#This Row],[Mínimo]])/2),0)</f>
        <v>1530</v>
      </c>
      <c r="G1200" s="78">
        <f>VLOOKUP(Categorias_Registro[[#This Row],[Puntos]],Categorias_Configuracion[],MATCH(Categorias_Configuracion[[#Headers],[% Amplitud]],Categorias_Configuracion[#Headers],0),TRUE)</f>
        <v>0.15</v>
      </c>
      <c r="H1200" s="15" t="str">
        <f ca="1">TEXT(Categorias_Registro[[#This Row],[Mínimo]],Formato_Rango_Categorias)&amp;" - "&amp;TEXT(Categorias_Registro[[#This Row],[Máximo]],Formato_Rango_Categorias)</f>
        <v>1.424 - 1.636</v>
      </c>
    </row>
    <row r="1201" spans="2:8">
      <c r="B1201" s="15">
        <f>Techo - ROW() + ROW(Categorias_Registro[])</f>
        <v>1428</v>
      </c>
      <c r="C1201" s="15">
        <f>IF(Categorias_Registro[[#This Row],[Puntos]]&lt;=ROUND(Piso,0),Piso,IF(Categorias_Registro[[#This Row],[Puntos]]&lt;D1202,C1202,D1202+1))</f>
        <v>1424</v>
      </c>
      <c r="D1201" s="15">
        <f>IF(Categorias_Registro[[#This Row],[Puntos]]=ROUND(Piso,0),ROUND(Categorias_Registro[[#This Row],[Puntos]]*(1+Categorias_Registro[[#This Row],[Amplitud]]),0),IF(Categorias_Registro[[#This Row],[Puntos]]&lt;D1202,D1202,ROUND(D1202*(1+Categorias_Registro[[#This Row],[Amplitud]]),0)))</f>
        <v>1636</v>
      </c>
      <c r="E1201" s="15">
        <f>E1202+IF(D1202=Categorias_Registro[[#This Row],[Máximo]],0,1)</f>
        <v>21</v>
      </c>
      <c r="F1201" s="15">
        <f>ROUND(Categorias_Registro[[#This Row],[Mínimo]]+((Categorias_Registro[[#This Row],[Máximo]]-Categorias_Registro[[#This Row],[Mínimo]])/2),0)</f>
        <v>1530</v>
      </c>
      <c r="G1201" s="78">
        <f>VLOOKUP(Categorias_Registro[[#This Row],[Puntos]],Categorias_Configuracion[],MATCH(Categorias_Configuracion[[#Headers],[% Amplitud]],Categorias_Configuracion[#Headers],0),TRUE)</f>
        <v>0.15</v>
      </c>
      <c r="H1201" s="15" t="str">
        <f ca="1">TEXT(Categorias_Registro[[#This Row],[Mínimo]],Formato_Rango_Categorias)&amp;" - "&amp;TEXT(Categorias_Registro[[#This Row],[Máximo]],Formato_Rango_Categorias)</f>
        <v>1.424 - 1.636</v>
      </c>
    </row>
    <row r="1202" spans="2:8">
      <c r="B1202" s="15">
        <f>Techo - ROW() + ROW(Categorias_Registro[])</f>
        <v>1427</v>
      </c>
      <c r="C1202" s="15">
        <f>IF(Categorias_Registro[[#This Row],[Puntos]]&lt;=ROUND(Piso,0),Piso,IF(Categorias_Registro[[#This Row],[Puntos]]&lt;D1203,C1203,D1203+1))</f>
        <v>1424</v>
      </c>
      <c r="D1202" s="15">
        <f>IF(Categorias_Registro[[#This Row],[Puntos]]=ROUND(Piso,0),ROUND(Categorias_Registro[[#This Row],[Puntos]]*(1+Categorias_Registro[[#This Row],[Amplitud]]),0),IF(Categorias_Registro[[#This Row],[Puntos]]&lt;D1203,D1203,ROUND(D1203*(1+Categorias_Registro[[#This Row],[Amplitud]]),0)))</f>
        <v>1636</v>
      </c>
      <c r="E1202" s="15">
        <f>E1203+IF(D1203=Categorias_Registro[[#This Row],[Máximo]],0,1)</f>
        <v>21</v>
      </c>
      <c r="F1202" s="15">
        <f>ROUND(Categorias_Registro[[#This Row],[Mínimo]]+((Categorias_Registro[[#This Row],[Máximo]]-Categorias_Registro[[#This Row],[Mínimo]])/2),0)</f>
        <v>1530</v>
      </c>
      <c r="G1202" s="78">
        <f>VLOOKUP(Categorias_Registro[[#This Row],[Puntos]],Categorias_Configuracion[],MATCH(Categorias_Configuracion[[#Headers],[% Amplitud]],Categorias_Configuracion[#Headers],0),TRUE)</f>
        <v>0.15</v>
      </c>
      <c r="H1202" s="15" t="str">
        <f ca="1">TEXT(Categorias_Registro[[#This Row],[Mínimo]],Formato_Rango_Categorias)&amp;" - "&amp;TEXT(Categorias_Registro[[#This Row],[Máximo]],Formato_Rango_Categorias)</f>
        <v>1.424 - 1.636</v>
      </c>
    </row>
    <row r="1203" spans="2:8">
      <c r="B1203" s="15">
        <f>Techo - ROW() + ROW(Categorias_Registro[])</f>
        <v>1426</v>
      </c>
      <c r="C1203" s="15">
        <f>IF(Categorias_Registro[[#This Row],[Puntos]]&lt;=ROUND(Piso,0),Piso,IF(Categorias_Registro[[#This Row],[Puntos]]&lt;D1204,C1204,D1204+1))</f>
        <v>1424</v>
      </c>
      <c r="D1203" s="15">
        <f>IF(Categorias_Registro[[#This Row],[Puntos]]=ROUND(Piso,0),ROUND(Categorias_Registro[[#This Row],[Puntos]]*(1+Categorias_Registro[[#This Row],[Amplitud]]),0),IF(Categorias_Registro[[#This Row],[Puntos]]&lt;D1204,D1204,ROUND(D1204*(1+Categorias_Registro[[#This Row],[Amplitud]]),0)))</f>
        <v>1636</v>
      </c>
      <c r="E1203" s="15">
        <f>E1204+IF(D1204=Categorias_Registro[[#This Row],[Máximo]],0,1)</f>
        <v>21</v>
      </c>
      <c r="F1203" s="15">
        <f>ROUND(Categorias_Registro[[#This Row],[Mínimo]]+((Categorias_Registro[[#This Row],[Máximo]]-Categorias_Registro[[#This Row],[Mínimo]])/2),0)</f>
        <v>1530</v>
      </c>
      <c r="G1203" s="78">
        <f>VLOOKUP(Categorias_Registro[[#This Row],[Puntos]],Categorias_Configuracion[],MATCH(Categorias_Configuracion[[#Headers],[% Amplitud]],Categorias_Configuracion[#Headers],0),TRUE)</f>
        <v>0.15</v>
      </c>
      <c r="H1203" s="15" t="str">
        <f ca="1">TEXT(Categorias_Registro[[#This Row],[Mínimo]],Formato_Rango_Categorias)&amp;" - "&amp;TEXT(Categorias_Registro[[#This Row],[Máximo]],Formato_Rango_Categorias)</f>
        <v>1.424 - 1.636</v>
      </c>
    </row>
    <row r="1204" spans="2:8">
      <c r="B1204" s="15">
        <f>Techo - ROW() + ROW(Categorias_Registro[])</f>
        <v>1425</v>
      </c>
      <c r="C1204" s="15">
        <f>IF(Categorias_Registro[[#This Row],[Puntos]]&lt;=ROUND(Piso,0),Piso,IF(Categorias_Registro[[#This Row],[Puntos]]&lt;D1205,C1205,D1205+1))</f>
        <v>1424</v>
      </c>
      <c r="D1204" s="15">
        <f>IF(Categorias_Registro[[#This Row],[Puntos]]=ROUND(Piso,0),ROUND(Categorias_Registro[[#This Row],[Puntos]]*(1+Categorias_Registro[[#This Row],[Amplitud]]),0),IF(Categorias_Registro[[#This Row],[Puntos]]&lt;D1205,D1205,ROUND(D1205*(1+Categorias_Registro[[#This Row],[Amplitud]]),0)))</f>
        <v>1636</v>
      </c>
      <c r="E1204" s="15">
        <f>E1205+IF(D1205=Categorias_Registro[[#This Row],[Máximo]],0,1)</f>
        <v>21</v>
      </c>
      <c r="F1204" s="15">
        <f>ROUND(Categorias_Registro[[#This Row],[Mínimo]]+((Categorias_Registro[[#This Row],[Máximo]]-Categorias_Registro[[#This Row],[Mínimo]])/2),0)</f>
        <v>1530</v>
      </c>
      <c r="G1204" s="78">
        <f>VLOOKUP(Categorias_Registro[[#This Row],[Puntos]],Categorias_Configuracion[],MATCH(Categorias_Configuracion[[#Headers],[% Amplitud]],Categorias_Configuracion[#Headers],0),TRUE)</f>
        <v>0.15</v>
      </c>
      <c r="H1204" s="15" t="str">
        <f ca="1">TEXT(Categorias_Registro[[#This Row],[Mínimo]],Formato_Rango_Categorias)&amp;" - "&amp;TEXT(Categorias_Registro[[#This Row],[Máximo]],Formato_Rango_Categorias)</f>
        <v>1.424 - 1.636</v>
      </c>
    </row>
    <row r="1205" spans="2:8">
      <c r="B1205" s="15">
        <f>Techo - ROW() + ROW(Categorias_Registro[])</f>
        <v>1424</v>
      </c>
      <c r="C1205" s="15">
        <f>IF(Categorias_Registro[[#This Row],[Puntos]]&lt;=ROUND(Piso,0),Piso,IF(Categorias_Registro[[#This Row],[Puntos]]&lt;D1206,C1206,D1206+1))</f>
        <v>1424</v>
      </c>
      <c r="D1205" s="15">
        <f>IF(Categorias_Registro[[#This Row],[Puntos]]=ROUND(Piso,0),ROUND(Categorias_Registro[[#This Row],[Puntos]]*(1+Categorias_Registro[[#This Row],[Amplitud]]),0),IF(Categorias_Registro[[#This Row],[Puntos]]&lt;D1206,D1206,ROUND(D1206*(1+Categorias_Registro[[#This Row],[Amplitud]]),0)))</f>
        <v>1636</v>
      </c>
      <c r="E1205" s="15">
        <f>E1206+IF(D1206=Categorias_Registro[[#This Row],[Máximo]],0,1)</f>
        <v>21</v>
      </c>
      <c r="F1205" s="15">
        <f>ROUND(Categorias_Registro[[#This Row],[Mínimo]]+((Categorias_Registro[[#This Row],[Máximo]]-Categorias_Registro[[#This Row],[Mínimo]])/2),0)</f>
        <v>1530</v>
      </c>
      <c r="G1205" s="78">
        <f>VLOOKUP(Categorias_Registro[[#This Row],[Puntos]],Categorias_Configuracion[],MATCH(Categorias_Configuracion[[#Headers],[% Amplitud]],Categorias_Configuracion[#Headers],0),TRUE)</f>
        <v>0.15</v>
      </c>
      <c r="H1205" s="15" t="str">
        <f ca="1">TEXT(Categorias_Registro[[#This Row],[Mínimo]],Formato_Rango_Categorias)&amp;" - "&amp;TEXT(Categorias_Registro[[#This Row],[Máximo]],Formato_Rango_Categorias)</f>
        <v>1.424 - 1.636</v>
      </c>
    </row>
    <row r="1206" spans="2:8">
      <c r="B1206" s="15">
        <f>Techo - ROW() + ROW(Categorias_Registro[])</f>
        <v>1423</v>
      </c>
      <c r="C1206" s="15">
        <f>IF(Categorias_Registro[[#This Row],[Puntos]]&lt;=ROUND(Piso,0),Piso,IF(Categorias_Registro[[#This Row],[Puntos]]&lt;D1207,C1207,D1207+1))</f>
        <v>1424</v>
      </c>
      <c r="D1206" s="15">
        <f>IF(Categorias_Registro[[#This Row],[Puntos]]=ROUND(Piso,0),ROUND(Categorias_Registro[[#This Row],[Puntos]]*(1+Categorias_Registro[[#This Row],[Amplitud]]),0),IF(Categorias_Registro[[#This Row],[Puntos]]&lt;D1207,D1207,ROUND(D1207*(1+Categorias_Registro[[#This Row],[Amplitud]]),0)))</f>
        <v>1636</v>
      </c>
      <c r="E1206" s="15">
        <f>E1207+IF(D1207=Categorias_Registro[[#This Row],[Máximo]],0,1)</f>
        <v>21</v>
      </c>
      <c r="F1206" s="15">
        <f>ROUND(Categorias_Registro[[#This Row],[Mínimo]]+((Categorias_Registro[[#This Row],[Máximo]]-Categorias_Registro[[#This Row],[Mínimo]])/2),0)</f>
        <v>1530</v>
      </c>
      <c r="G1206" s="78">
        <f>VLOOKUP(Categorias_Registro[[#This Row],[Puntos]],Categorias_Configuracion[],MATCH(Categorias_Configuracion[[#Headers],[% Amplitud]],Categorias_Configuracion[#Headers],0),TRUE)</f>
        <v>0.15</v>
      </c>
      <c r="H1206" s="15" t="str">
        <f ca="1">TEXT(Categorias_Registro[[#This Row],[Mínimo]],Formato_Rango_Categorias)&amp;" - "&amp;TEXT(Categorias_Registro[[#This Row],[Máximo]],Formato_Rango_Categorias)</f>
        <v>1.424 - 1.636</v>
      </c>
    </row>
    <row r="1207" spans="2:8">
      <c r="B1207" s="15">
        <f>Techo - ROW() + ROW(Categorias_Registro[])</f>
        <v>1422</v>
      </c>
      <c r="C1207" s="15">
        <f>IF(Categorias_Registro[[#This Row],[Puntos]]&lt;=ROUND(Piso,0),Piso,IF(Categorias_Registro[[#This Row],[Puntos]]&lt;D1208,C1208,D1208+1))</f>
        <v>1238</v>
      </c>
      <c r="D1207" s="15">
        <f>IF(Categorias_Registro[[#This Row],[Puntos]]=ROUND(Piso,0),ROUND(Categorias_Registro[[#This Row],[Puntos]]*(1+Categorias_Registro[[#This Row],[Amplitud]]),0),IF(Categorias_Registro[[#This Row],[Puntos]]&lt;D1208,D1208,ROUND(D1208*(1+Categorias_Registro[[#This Row],[Amplitud]]),0)))</f>
        <v>1423</v>
      </c>
      <c r="E1207" s="15">
        <f>E1208+IF(D1208=Categorias_Registro[[#This Row],[Máximo]],0,1)</f>
        <v>20</v>
      </c>
      <c r="F1207" s="15">
        <f>ROUND(Categorias_Registro[[#This Row],[Mínimo]]+((Categorias_Registro[[#This Row],[Máximo]]-Categorias_Registro[[#This Row],[Mínimo]])/2),0)</f>
        <v>1331</v>
      </c>
      <c r="G1207" s="78">
        <f>VLOOKUP(Categorias_Registro[[#This Row],[Puntos]],Categorias_Configuracion[],MATCH(Categorias_Configuracion[[#Headers],[% Amplitud]],Categorias_Configuracion[#Headers],0),TRUE)</f>
        <v>0.15</v>
      </c>
      <c r="H1207" s="15" t="str">
        <f ca="1">TEXT(Categorias_Registro[[#This Row],[Mínimo]],Formato_Rango_Categorias)&amp;" - "&amp;TEXT(Categorias_Registro[[#This Row],[Máximo]],Formato_Rango_Categorias)</f>
        <v>1.238 - 1.423</v>
      </c>
    </row>
    <row r="1208" spans="2:8">
      <c r="B1208" s="15">
        <f>Techo - ROW() + ROW(Categorias_Registro[])</f>
        <v>1421</v>
      </c>
      <c r="C1208" s="15">
        <f>IF(Categorias_Registro[[#This Row],[Puntos]]&lt;=ROUND(Piso,0),Piso,IF(Categorias_Registro[[#This Row],[Puntos]]&lt;D1209,C1209,D1209+1))</f>
        <v>1238</v>
      </c>
      <c r="D1208" s="15">
        <f>IF(Categorias_Registro[[#This Row],[Puntos]]=ROUND(Piso,0),ROUND(Categorias_Registro[[#This Row],[Puntos]]*(1+Categorias_Registro[[#This Row],[Amplitud]]),0),IF(Categorias_Registro[[#This Row],[Puntos]]&lt;D1209,D1209,ROUND(D1209*(1+Categorias_Registro[[#This Row],[Amplitud]]),0)))</f>
        <v>1423</v>
      </c>
      <c r="E1208" s="15">
        <f>E1209+IF(D1209=Categorias_Registro[[#This Row],[Máximo]],0,1)</f>
        <v>20</v>
      </c>
      <c r="F1208" s="15">
        <f>ROUND(Categorias_Registro[[#This Row],[Mínimo]]+((Categorias_Registro[[#This Row],[Máximo]]-Categorias_Registro[[#This Row],[Mínimo]])/2),0)</f>
        <v>1331</v>
      </c>
      <c r="G1208" s="78">
        <f>VLOOKUP(Categorias_Registro[[#This Row],[Puntos]],Categorias_Configuracion[],MATCH(Categorias_Configuracion[[#Headers],[% Amplitud]],Categorias_Configuracion[#Headers],0),TRUE)</f>
        <v>0.15</v>
      </c>
      <c r="H1208" s="15" t="str">
        <f ca="1">TEXT(Categorias_Registro[[#This Row],[Mínimo]],Formato_Rango_Categorias)&amp;" - "&amp;TEXT(Categorias_Registro[[#This Row],[Máximo]],Formato_Rango_Categorias)</f>
        <v>1.238 - 1.423</v>
      </c>
    </row>
    <row r="1209" spans="2:8">
      <c r="B1209" s="15">
        <f>Techo - ROW() + ROW(Categorias_Registro[])</f>
        <v>1420</v>
      </c>
      <c r="C1209" s="15">
        <f>IF(Categorias_Registro[[#This Row],[Puntos]]&lt;=ROUND(Piso,0),Piso,IF(Categorias_Registro[[#This Row],[Puntos]]&lt;D1210,C1210,D1210+1))</f>
        <v>1238</v>
      </c>
      <c r="D1209" s="15">
        <f>IF(Categorias_Registro[[#This Row],[Puntos]]=ROUND(Piso,0),ROUND(Categorias_Registro[[#This Row],[Puntos]]*(1+Categorias_Registro[[#This Row],[Amplitud]]),0),IF(Categorias_Registro[[#This Row],[Puntos]]&lt;D1210,D1210,ROUND(D1210*(1+Categorias_Registro[[#This Row],[Amplitud]]),0)))</f>
        <v>1423</v>
      </c>
      <c r="E1209" s="15">
        <f>E1210+IF(D1210=Categorias_Registro[[#This Row],[Máximo]],0,1)</f>
        <v>20</v>
      </c>
      <c r="F1209" s="15">
        <f>ROUND(Categorias_Registro[[#This Row],[Mínimo]]+((Categorias_Registro[[#This Row],[Máximo]]-Categorias_Registro[[#This Row],[Mínimo]])/2),0)</f>
        <v>1331</v>
      </c>
      <c r="G1209" s="78">
        <f>VLOOKUP(Categorias_Registro[[#This Row],[Puntos]],Categorias_Configuracion[],MATCH(Categorias_Configuracion[[#Headers],[% Amplitud]],Categorias_Configuracion[#Headers],0),TRUE)</f>
        <v>0.15</v>
      </c>
      <c r="H1209" s="15" t="str">
        <f ca="1">TEXT(Categorias_Registro[[#This Row],[Mínimo]],Formato_Rango_Categorias)&amp;" - "&amp;TEXT(Categorias_Registro[[#This Row],[Máximo]],Formato_Rango_Categorias)</f>
        <v>1.238 - 1.423</v>
      </c>
    </row>
    <row r="1210" spans="2:8">
      <c r="B1210" s="15">
        <f>Techo - ROW() + ROW(Categorias_Registro[])</f>
        <v>1419</v>
      </c>
      <c r="C1210" s="15">
        <f>IF(Categorias_Registro[[#This Row],[Puntos]]&lt;=ROUND(Piso,0),Piso,IF(Categorias_Registro[[#This Row],[Puntos]]&lt;D1211,C1211,D1211+1))</f>
        <v>1238</v>
      </c>
      <c r="D1210" s="15">
        <f>IF(Categorias_Registro[[#This Row],[Puntos]]=ROUND(Piso,0),ROUND(Categorias_Registro[[#This Row],[Puntos]]*(1+Categorias_Registro[[#This Row],[Amplitud]]),0),IF(Categorias_Registro[[#This Row],[Puntos]]&lt;D1211,D1211,ROUND(D1211*(1+Categorias_Registro[[#This Row],[Amplitud]]),0)))</f>
        <v>1423</v>
      </c>
      <c r="E1210" s="15">
        <f>E1211+IF(D1211=Categorias_Registro[[#This Row],[Máximo]],0,1)</f>
        <v>20</v>
      </c>
      <c r="F1210" s="15">
        <f>ROUND(Categorias_Registro[[#This Row],[Mínimo]]+((Categorias_Registro[[#This Row],[Máximo]]-Categorias_Registro[[#This Row],[Mínimo]])/2),0)</f>
        <v>1331</v>
      </c>
      <c r="G1210" s="78">
        <f>VLOOKUP(Categorias_Registro[[#This Row],[Puntos]],Categorias_Configuracion[],MATCH(Categorias_Configuracion[[#Headers],[% Amplitud]],Categorias_Configuracion[#Headers],0),TRUE)</f>
        <v>0.15</v>
      </c>
      <c r="H1210" s="15" t="str">
        <f ca="1">TEXT(Categorias_Registro[[#This Row],[Mínimo]],Formato_Rango_Categorias)&amp;" - "&amp;TEXT(Categorias_Registro[[#This Row],[Máximo]],Formato_Rango_Categorias)</f>
        <v>1.238 - 1.423</v>
      </c>
    </row>
    <row r="1211" spans="2:8">
      <c r="B1211" s="15">
        <f>Techo - ROW() + ROW(Categorias_Registro[])</f>
        <v>1418</v>
      </c>
      <c r="C1211" s="15">
        <f>IF(Categorias_Registro[[#This Row],[Puntos]]&lt;=ROUND(Piso,0),Piso,IF(Categorias_Registro[[#This Row],[Puntos]]&lt;D1212,C1212,D1212+1))</f>
        <v>1238</v>
      </c>
      <c r="D1211" s="15">
        <f>IF(Categorias_Registro[[#This Row],[Puntos]]=ROUND(Piso,0),ROUND(Categorias_Registro[[#This Row],[Puntos]]*(1+Categorias_Registro[[#This Row],[Amplitud]]),0),IF(Categorias_Registro[[#This Row],[Puntos]]&lt;D1212,D1212,ROUND(D1212*(1+Categorias_Registro[[#This Row],[Amplitud]]),0)))</f>
        <v>1423</v>
      </c>
      <c r="E1211" s="15">
        <f>E1212+IF(D1212=Categorias_Registro[[#This Row],[Máximo]],0,1)</f>
        <v>20</v>
      </c>
      <c r="F1211" s="15">
        <f>ROUND(Categorias_Registro[[#This Row],[Mínimo]]+((Categorias_Registro[[#This Row],[Máximo]]-Categorias_Registro[[#This Row],[Mínimo]])/2),0)</f>
        <v>1331</v>
      </c>
      <c r="G1211" s="78">
        <f>VLOOKUP(Categorias_Registro[[#This Row],[Puntos]],Categorias_Configuracion[],MATCH(Categorias_Configuracion[[#Headers],[% Amplitud]],Categorias_Configuracion[#Headers],0),TRUE)</f>
        <v>0.15</v>
      </c>
      <c r="H1211" s="15" t="str">
        <f ca="1">TEXT(Categorias_Registro[[#This Row],[Mínimo]],Formato_Rango_Categorias)&amp;" - "&amp;TEXT(Categorias_Registro[[#This Row],[Máximo]],Formato_Rango_Categorias)</f>
        <v>1.238 - 1.423</v>
      </c>
    </row>
    <row r="1212" spans="2:8">
      <c r="B1212" s="15">
        <f>Techo - ROW() + ROW(Categorias_Registro[])</f>
        <v>1417</v>
      </c>
      <c r="C1212" s="15">
        <f>IF(Categorias_Registro[[#This Row],[Puntos]]&lt;=ROUND(Piso,0),Piso,IF(Categorias_Registro[[#This Row],[Puntos]]&lt;D1213,C1213,D1213+1))</f>
        <v>1238</v>
      </c>
      <c r="D1212" s="15">
        <f>IF(Categorias_Registro[[#This Row],[Puntos]]=ROUND(Piso,0),ROUND(Categorias_Registro[[#This Row],[Puntos]]*(1+Categorias_Registro[[#This Row],[Amplitud]]),0),IF(Categorias_Registro[[#This Row],[Puntos]]&lt;D1213,D1213,ROUND(D1213*(1+Categorias_Registro[[#This Row],[Amplitud]]),0)))</f>
        <v>1423</v>
      </c>
      <c r="E1212" s="15">
        <f>E1213+IF(D1213=Categorias_Registro[[#This Row],[Máximo]],0,1)</f>
        <v>20</v>
      </c>
      <c r="F1212" s="15">
        <f>ROUND(Categorias_Registro[[#This Row],[Mínimo]]+((Categorias_Registro[[#This Row],[Máximo]]-Categorias_Registro[[#This Row],[Mínimo]])/2),0)</f>
        <v>1331</v>
      </c>
      <c r="G1212" s="78">
        <f>VLOOKUP(Categorias_Registro[[#This Row],[Puntos]],Categorias_Configuracion[],MATCH(Categorias_Configuracion[[#Headers],[% Amplitud]],Categorias_Configuracion[#Headers],0),TRUE)</f>
        <v>0.15</v>
      </c>
      <c r="H1212" s="15" t="str">
        <f ca="1">TEXT(Categorias_Registro[[#This Row],[Mínimo]],Formato_Rango_Categorias)&amp;" - "&amp;TEXT(Categorias_Registro[[#This Row],[Máximo]],Formato_Rango_Categorias)</f>
        <v>1.238 - 1.423</v>
      </c>
    </row>
    <row r="1213" spans="2:8">
      <c r="B1213" s="15">
        <f>Techo - ROW() + ROW(Categorias_Registro[])</f>
        <v>1416</v>
      </c>
      <c r="C1213" s="15">
        <f>IF(Categorias_Registro[[#This Row],[Puntos]]&lt;=ROUND(Piso,0),Piso,IF(Categorias_Registro[[#This Row],[Puntos]]&lt;D1214,C1214,D1214+1))</f>
        <v>1238</v>
      </c>
      <c r="D1213" s="15">
        <f>IF(Categorias_Registro[[#This Row],[Puntos]]=ROUND(Piso,0),ROUND(Categorias_Registro[[#This Row],[Puntos]]*(1+Categorias_Registro[[#This Row],[Amplitud]]),0),IF(Categorias_Registro[[#This Row],[Puntos]]&lt;D1214,D1214,ROUND(D1214*(1+Categorias_Registro[[#This Row],[Amplitud]]),0)))</f>
        <v>1423</v>
      </c>
      <c r="E1213" s="15">
        <f>E1214+IF(D1214=Categorias_Registro[[#This Row],[Máximo]],0,1)</f>
        <v>20</v>
      </c>
      <c r="F1213" s="15">
        <f>ROUND(Categorias_Registro[[#This Row],[Mínimo]]+((Categorias_Registro[[#This Row],[Máximo]]-Categorias_Registro[[#This Row],[Mínimo]])/2),0)</f>
        <v>1331</v>
      </c>
      <c r="G1213" s="78">
        <f>VLOOKUP(Categorias_Registro[[#This Row],[Puntos]],Categorias_Configuracion[],MATCH(Categorias_Configuracion[[#Headers],[% Amplitud]],Categorias_Configuracion[#Headers],0),TRUE)</f>
        <v>0.15</v>
      </c>
      <c r="H1213" s="15" t="str">
        <f ca="1">TEXT(Categorias_Registro[[#This Row],[Mínimo]],Formato_Rango_Categorias)&amp;" - "&amp;TEXT(Categorias_Registro[[#This Row],[Máximo]],Formato_Rango_Categorias)</f>
        <v>1.238 - 1.423</v>
      </c>
    </row>
    <row r="1214" spans="2:8">
      <c r="B1214" s="15">
        <f>Techo - ROW() + ROW(Categorias_Registro[])</f>
        <v>1415</v>
      </c>
      <c r="C1214" s="15">
        <f>IF(Categorias_Registro[[#This Row],[Puntos]]&lt;=ROUND(Piso,0),Piso,IF(Categorias_Registro[[#This Row],[Puntos]]&lt;D1215,C1215,D1215+1))</f>
        <v>1238</v>
      </c>
      <c r="D1214" s="15">
        <f>IF(Categorias_Registro[[#This Row],[Puntos]]=ROUND(Piso,0),ROUND(Categorias_Registro[[#This Row],[Puntos]]*(1+Categorias_Registro[[#This Row],[Amplitud]]),0),IF(Categorias_Registro[[#This Row],[Puntos]]&lt;D1215,D1215,ROUND(D1215*(1+Categorias_Registro[[#This Row],[Amplitud]]),0)))</f>
        <v>1423</v>
      </c>
      <c r="E1214" s="15">
        <f>E1215+IF(D1215=Categorias_Registro[[#This Row],[Máximo]],0,1)</f>
        <v>20</v>
      </c>
      <c r="F1214" s="15">
        <f>ROUND(Categorias_Registro[[#This Row],[Mínimo]]+((Categorias_Registro[[#This Row],[Máximo]]-Categorias_Registro[[#This Row],[Mínimo]])/2),0)</f>
        <v>1331</v>
      </c>
      <c r="G1214" s="78">
        <f>VLOOKUP(Categorias_Registro[[#This Row],[Puntos]],Categorias_Configuracion[],MATCH(Categorias_Configuracion[[#Headers],[% Amplitud]],Categorias_Configuracion[#Headers],0),TRUE)</f>
        <v>0.15</v>
      </c>
      <c r="H1214" s="15" t="str">
        <f ca="1">TEXT(Categorias_Registro[[#This Row],[Mínimo]],Formato_Rango_Categorias)&amp;" - "&amp;TEXT(Categorias_Registro[[#This Row],[Máximo]],Formato_Rango_Categorias)</f>
        <v>1.238 - 1.423</v>
      </c>
    </row>
    <row r="1215" spans="2:8">
      <c r="B1215" s="15">
        <f>Techo - ROW() + ROW(Categorias_Registro[])</f>
        <v>1414</v>
      </c>
      <c r="C1215" s="15">
        <f>IF(Categorias_Registro[[#This Row],[Puntos]]&lt;=ROUND(Piso,0),Piso,IF(Categorias_Registro[[#This Row],[Puntos]]&lt;D1216,C1216,D1216+1))</f>
        <v>1238</v>
      </c>
      <c r="D1215" s="15">
        <f>IF(Categorias_Registro[[#This Row],[Puntos]]=ROUND(Piso,0),ROUND(Categorias_Registro[[#This Row],[Puntos]]*(1+Categorias_Registro[[#This Row],[Amplitud]]),0),IF(Categorias_Registro[[#This Row],[Puntos]]&lt;D1216,D1216,ROUND(D1216*(1+Categorias_Registro[[#This Row],[Amplitud]]),0)))</f>
        <v>1423</v>
      </c>
      <c r="E1215" s="15">
        <f>E1216+IF(D1216=Categorias_Registro[[#This Row],[Máximo]],0,1)</f>
        <v>20</v>
      </c>
      <c r="F1215" s="15">
        <f>ROUND(Categorias_Registro[[#This Row],[Mínimo]]+((Categorias_Registro[[#This Row],[Máximo]]-Categorias_Registro[[#This Row],[Mínimo]])/2),0)</f>
        <v>1331</v>
      </c>
      <c r="G1215" s="78">
        <f>VLOOKUP(Categorias_Registro[[#This Row],[Puntos]],Categorias_Configuracion[],MATCH(Categorias_Configuracion[[#Headers],[% Amplitud]],Categorias_Configuracion[#Headers],0),TRUE)</f>
        <v>0.15</v>
      </c>
      <c r="H1215" s="15" t="str">
        <f ca="1">TEXT(Categorias_Registro[[#This Row],[Mínimo]],Formato_Rango_Categorias)&amp;" - "&amp;TEXT(Categorias_Registro[[#This Row],[Máximo]],Formato_Rango_Categorias)</f>
        <v>1.238 - 1.423</v>
      </c>
    </row>
    <row r="1216" spans="2:8">
      <c r="B1216" s="15">
        <f>Techo - ROW() + ROW(Categorias_Registro[])</f>
        <v>1413</v>
      </c>
      <c r="C1216" s="15">
        <f>IF(Categorias_Registro[[#This Row],[Puntos]]&lt;=ROUND(Piso,0),Piso,IF(Categorias_Registro[[#This Row],[Puntos]]&lt;D1217,C1217,D1217+1))</f>
        <v>1238</v>
      </c>
      <c r="D1216" s="15">
        <f>IF(Categorias_Registro[[#This Row],[Puntos]]=ROUND(Piso,0),ROUND(Categorias_Registro[[#This Row],[Puntos]]*(1+Categorias_Registro[[#This Row],[Amplitud]]),0),IF(Categorias_Registro[[#This Row],[Puntos]]&lt;D1217,D1217,ROUND(D1217*(1+Categorias_Registro[[#This Row],[Amplitud]]),0)))</f>
        <v>1423</v>
      </c>
      <c r="E1216" s="15">
        <f>E1217+IF(D1217=Categorias_Registro[[#This Row],[Máximo]],0,1)</f>
        <v>20</v>
      </c>
      <c r="F1216" s="15">
        <f>ROUND(Categorias_Registro[[#This Row],[Mínimo]]+((Categorias_Registro[[#This Row],[Máximo]]-Categorias_Registro[[#This Row],[Mínimo]])/2),0)</f>
        <v>1331</v>
      </c>
      <c r="G1216" s="78">
        <f>VLOOKUP(Categorias_Registro[[#This Row],[Puntos]],Categorias_Configuracion[],MATCH(Categorias_Configuracion[[#Headers],[% Amplitud]],Categorias_Configuracion[#Headers],0),TRUE)</f>
        <v>0.15</v>
      </c>
      <c r="H1216" s="15" t="str">
        <f ca="1">TEXT(Categorias_Registro[[#This Row],[Mínimo]],Formato_Rango_Categorias)&amp;" - "&amp;TEXT(Categorias_Registro[[#This Row],[Máximo]],Formato_Rango_Categorias)</f>
        <v>1.238 - 1.423</v>
      </c>
    </row>
    <row r="1217" spans="2:8">
      <c r="B1217" s="15">
        <f>Techo - ROW() + ROW(Categorias_Registro[])</f>
        <v>1412</v>
      </c>
      <c r="C1217" s="15">
        <f>IF(Categorias_Registro[[#This Row],[Puntos]]&lt;=ROUND(Piso,0),Piso,IF(Categorias_Registro[[#This Row],[Puntos]]&lt;D1218,C1218,D1218+1))</f>
        <v>1238</v>
      </c>
      <c r="D1217" s="15">
        <f>IF(Categorias_Registro[[#This Row],[Puntos]]=ROUND(Piso,0),ROUND(Categorias_Registro[[#This Row],[Puntos]]*(1+Categorias_Registro[[#This Row],[Amplitud]]),0),IF(Categorias_Registro[[#This Row],[Puntos]]&lt;D1218,D1218,ROUND(D1218*(1+Categorias_Registro[[#This Row],[Amplitud]]),0)))</f>
        <v>1423</v>
      </c>
      <c r="E1217" s="15">
        <f>E1218+IF(D1218=Categorias_Registro[[#This Row],[Máximo]],0,1)</f>
        <v>20</v>
      </c>
      <c r="F1217" s="15">
        <f>ROUND(Categorias_Registro[[#This Row],[Mínimo]]+((Categorias_Registro[[#This Row],[Máximo]]-Categorias_Registro[[#This Row],[Mínimo]])/2),0)</f>
        <v>1331</v>
      </c>
      <c r="G1217" s="78">
        <f>VLOOKUP(Categorias_Registro[[#This Row],[Puntos]],Categorias_Configuracion[],MATCH(Categorias_Configuracion[[#Headers],[% Amplitud]],Categorias_Configuracion[#Headers],0),TRUE)</f>
        <v>0.15</v>
      </c>
      <c r="H1217" s="15" t="str">
        <f ca="1">TEXT(Categorias_Registro[[#This Row],[Mínimo]],Formato_Rango_Categorias)&amp;" - "&amp;TEXT(Categorias_Registro[[#This Row],[Máximo]],Formato_Rango_Categorias)</f>
        <v>1.238 - 1.423</v>
      </c>
    </row>
    <row r="1218" spans="2:8">
      <c r="B1218" s="15">
        <f>Techo - ROW() + ROW(Categorias_Registro[])</f>
        <v>1411</v>
      </c>
      <c r="C1218" s="15">
        <f>IF(Categorias_Registro[[#This Row],[Puntos]]&lt;=ROUND(Piso,0),Piso,IF(Categorias_Registro[[#This Row],[Puntos]]&lt;D1219,C1219,D1219+1))</f>
        <v>1238</v>
      </c>
      <c r="D1218" s="15">
        <f>IF(Categorias_Registro[[#This Row],[Puntos]]=ROUND(Piso,0),ROUND(Categorias_Registro[[#This Row],[Puntos]]*(1+Categorias_Registro[[#This Row],[Amplitud]]),0),IF(Categorias_Registro[[#This Row],[Puntos]]&lt;D1219,D1219,ROUND(D1219*(1+Categorias_Registro[[#This Row],[Amplitud]]),0)))</f>
        <v>1423</v>
      </c>
      <c r="E1218" s="15">
        <f>E1219+IF(D1219=Categorias_Registro[[#This Row],[Máximo]],0,1)</f>
        <v>20</v>
      </c>
      <c r="F1218" s="15">
        <f>ROUND(Categorias_Registro[[#This Row],[Mínimo]]+((Categorias_Registro[[#This Row],[Máximo]]-Categorias_Registro[[#This Row],[Mínimo]])/2),0)</f>
        <v>1331</v>
      </c>
      <c r="G1218" s="78">
        <f>VLOOKUP(Categorias_Registro[[#This Row],[Puntos]],Categorias_Configuracion[],MATCH(Categorias_Configuracion[[#Headers],[% Amplitud]],Categorias_Configuracion[#Headers],0),TRUE)</f>
        <v>0.15</v>
      </c>
      <c r="H1218" s="15" t="str">
        <f ca="1">TEXT(Categorias_Registro[[#This Row],[Mínimo]],Formato_Rango_Categorias)&amp;" - "&amp;TEXT(Categorias_Registro[[#This Row],[Máximo]],Formato_Rango_Categorias)</f>
        <v>1.238 - 1.423</v>
      </c>
    </row>
    <row r="1219" spans="2:8">
      <c r="B1219" s="15">
        <f>Techo - ROW() + ROW(Categorias_Registro[])</f>
        <v>1410</v>
      </c>
      <c r="C1219" s="15">
        <f>IF(Categorias_Registro[[#This Row],[Puntos]]&lt;=ROUND(Piso,0),Piso,IF(Categorias_Registro[[#This Row],[Puntos]]&lt;D1220,C1220,D1220+1))</f>
        <v>1238</v>
      </c>
      <c r="D1219" s="15">
        <f>IF(Categorias_Registro[[#This Row],[Puntos]]=ROUND(Piso,0),ROUND(Categorias_Registro[[#This Row],[Puntos]]*(1+Categorias_Registro[[#This Row],[Amplitud]]),0),IF(Categorias_Registro[[#This Row],[Puntos]]&lt;D1220,D1220,ROUND(D1220*(1+Categorias_Registro[[#This Row],[Amplitud]]),0)))</f>
        <v>1423</v>
      </c>
      <c r="E1219" s="15">
        <f>E1220+IF(D1220=Categorias_Registro[[#This Row],[Máximo]],0,1)</f>
        <v>20</v>
      </c>
      <c r="F1219" s="15">
        <f>ROUND(Categorias_Registro[[#This Row],[Mínimo]]+((Categorias_Registro[[#This Row],[Máximo]]-Categorias_Registro[[#This Row],[Mínimo]])/2),0)</f>
        <v>1331</v>
      </c>
      <c r="G1219" s="78">
        <f>VLOOKUP(Categorias_Registro[[#This Row],[Puntos]],Categorias_Configuracion[],MATCH(Categorias_Configuracion[[#Headers],[% Amplitud]],Categorias_Configuracion[#Headers],0),TRUE)</f>
        <v>0.15</v>
      </c>
      <c r="H1219" s="15" t="str">
        <f ca="1">TEXT(Categorias_Registro[[#This Row],[Mínimo]],Formato_Rango_Categorias)&amp;" - "&amp;TEXT(Categorias_Registro[[#This Row],[Máximo]],Formato_Rango_Categorias)</f>
        <v>1.238 - 1.423</v>
      </c>
    </row>
    <row r="1220" spans="2:8">
      <c r="B1220" s="15">
        <f>Techo - ROW() + ROW(Categorias_Registro[])</f>
        <v>1409</v>
      </c>
      <c r="C1220" s="15">
        <f>IF(Categorias_Registro[[#This Row],[Puntos]]&lt;=ROUND(Piso,0),Piso,IF(Categorias_Registro[[#This Row],[Puntos]]&lt;D1221,C1221,D1221+1))</f>
        <v>1238</v>
      </c>
      <c r="D1220" s="15">
        <f>IF(Categorias_Registro[[#This Row],[Puntos]]=ROUND(Piso,0),ROUND(Categorias_Registro[[#This Row],[Puntos]]*(1+Categorias_Registro[[#This Row],[Amplitud]]),0),IF(Categorias_Registro[[#This Row],[Puntos]]&lt;D1221,D1221,ROUND(D1221*(1+Categorias_Registro[[#This Row],[Amplitud]]),0)))</f>
        <v>1423</v>
      </c>
      <c r="E1220" s="15">
        <f>E1221+IF(D1221=Categorias_Registro[[#This Row],[Máximo]],0,1)</f>
        <v>20</v>
      </c>
      <c r="F1220" s="15">
        <f>ROUND(Categorias_Registro[[#This Row],[Mínimo]]+((Categorias_Registro[[#This Row],[Máximo]]-Categorias_Registro[[#This Row],[Mínimo]])/2),0)</f>
        <v>1331</v>
      </c>
      <c r="G1220" s="78">
        <f>VLOOKUP(Categorias_Registro[[#This Row],[Puntos]],Categorias_Configuracion[],MATCH(Categorias_Configuracion[[#Headers],[% Amplitud]],Categorias_Configuracion[#Headers],0),TRUE)</f>
        <v>0.15</v>
      </c>
      <c r="H1220" s="15" t="str">
        <f ca="1">TEXT(Categorias_Registro[[#This Row],[Mínimo]],Formato_Rango_Categorias)&amp;" - "&amp;TEXT(Categorias_Registro[[#This Row],[Máximo]],Formato_Rango_Categorias)</f>
        <v>1.238 - 1.423</v>
      </c>
    </row>
    <row r="1221" spans="2:8">
      <c r="B1221" s="15">
        <f>Techo - ROW() + ROW(Categorias_Registro[])</f>
        <v>1408</v>
      </c>
      <c r="C1221" s="15">
        <f>IF(Categorias_Registro[[#This Row],[Puntos]]&lt;=ROUND(Piso,0),Piso,IF(Categorias_Registro[[#This Row],[Puntos]]&lt;D1222,C1222,D1222+1))</f>
        <v>1238</v>
      </c>
      <c r="D1221" s="15">
        <f>IF(Categorias_Registro[[#This Row],[Puntos]]=ROUND(Piso,0),ROUND(Categorias_Registro[[#This Row],[Puntos]]*(1+Categorias_Registro[[#This Row],[Amplitud]]),0),IF(Categorias_Registro[[#This Row],[Puntos]]&lt;D1222,D1222,ROUND(D1222*(1+Categorias_Registro[[#This Row],[Amplitud]]),0)))</f>
        <v>1423</v>
      </c>
      <c r="E1221" s="15">
        <f>E1222+IF(D1222=Categorias_Registro[[#This Row],[Máximo]],0,1)</f>
        <v>20</v>
      </c>
      <c r="F1221" s="15">
        <f>ROUND(Categorias_Registro[[#This Row],[Mínimo]]+((Categorias_Registro[[#This Row],[Máximo]]-Categorias_Registro[[#This Row],[Mínimo]])/2),0)</f>
        <v>1331</v>
      </c>
      <c r="G1221" s="78">
        <f>VLOOKUP(Categorias_Registro[[#This Row],[Puntos]],Categorias_Configuracion[],MATCH(Categorias_Configuracion[[#Headers],[% Amplitud]],Categorias_Configuracion[#Headers],0),TRUE)</f>
        <v>0.15</v>
      </c>
      <c r="H1221" s="15" t="str">
        <f ca="1">TEXT(Categorias_Registro[[#This Row],[Mínimo]],Formato_Rango_Categorias)&amp;" - "&amp;TEXT(Categorias_Registro[[#This Row],[Máximo]],Formato_Rango_Categorias)</f>
        <v>1.238 - 1.423</v>
      </c>
    </row>
    <row r="1222" spans="2:8">
      <c r="B1222" s="15">
        <f>Techo - ROW() + ROW(Categorias_Registro[])</f>
        <v>1407</v>
      </c>
      <c r="C1222" s="15">
        <f>IF(Categorias_Registro[[#This Row],[Puntos]]&lt;=ROUND(Piso,0),Piso,IF(Categorias_Registro[[#This Row],[Puntos]]&lt;D1223,C1223,D1223+1))</f>
        <v>1238</v>
      </c>
      <c r="D1222" s="15">
        <f>IF(Categorias_Registro[[#This Row],[Puntos]]=ROUND(Piso,0),ROUND(Categorias_Registro[[#This Row],[Puntos]]*(1+Categorias_Registro[[#This Row],[Amplitud]]),0),IF(Categorias_Registro[[#This Row],[Puntos]]&lt;D1223,D1223,ROUND(D1223*(1+Categorias_Registro[[#This Row],[Amplitud]]),0)))</f>
        <v>1423</v>
      </c>
      <c r="E1222" s="15">
        <f>E1223+IF(D1223=Categorias_Registro[[#This Row],[Máximo]],0,1)</f>
        <v>20</v>
      </c>
      <c r="F1222" s="15">
        <f>ROUND(Categorias_Registro[[#This Row],[Mínimo]]+((Categorias_Registro[[#This Row],[Máximo]]-Categorias_Registro[[#This Row],[Mínimo]])/2),0)</f>
        <v>1331</v>
      </c>
      <c r="G1222" s="78">
        <f>VLOOKUP(Categorias_Registro[[#This Row],[Puntos]],Categorias_Configuracion[],MATCH(Categorias_Configuracion[[#Headers],[% Amplitud]],Categorias_Configuracion[#Headers],0),TRUE)</f>
        <v>0.15</v>
      </c>
      <c r="H1222" s="15" t="str">
        <f ca="1">TEXT(Categorias_Registro[[#This Row],[Mínimo]],Formato_Rango_Categorias)&amp;" - "&amp;TEXT(Categorias_Registro[[#This Row],[Máximo]],Formato_Rango_Categorias)</f>
        <v>1.238 - 1.423</v>
      </c>
    </row>
    <row r="1223" spans="2:8">
      <c r="B1223" s="15">
        <f>Techo - ROW() + ROW(Categorias_Registro[])</f>
        <v>1406</v>
      </c>
      <c r="C1223" s="15">
        <f>IF(Categorias_Registro[[#This Row],[Puntos]]&lt;=ROUND(Piso,0),Piso,IF(Categorias_Registro[[#This Row],[Puntos]]&lt;D1224,C1224,D1224+1))</f>
        <v>1238</v>
      </c>
      <c r="D1223" s="15">
        <f>IF(Categorias_Registro[[#This Row],[Puntos]]=ROUND(Piso,0),ROUND(Categorias_Registro[[#This Row],[Puntos]]*(1+Categorias_Registro[[#This Row],[Amplitud]]),0),IF(Categorias_Registro[[#This Row],[Puntos]]&lt;D1224,D1224,ROUND(D1224*(1+Categorias_Registro[[#This Row],[Amplitud]]),0)))</f>
        <v>1423</v>
      </c>
      <c r="E1223" s="15">
        <f>E1224+IF(D1224=Categorias_Registro[[#This Row],[Máximo]],0,1)</f>
        <v>20</v>
      </c>
      <c r="F1223" s="15">
        <f>ROUND(Categorias_Registro[[#This Row],[Mínimo]]+((Categorias_Registro[[#This Row],[Máximo]]-Categorias_Registro[[#This Row],[Mínimo]])/2),0)</f>
        <v>1331</v>
      </c>
      <c r="G1223" s="78">
        <f>VLOOKUP(Categorias_Registro[[#This Row],[Puntos]],Categorias_Configuracion[],MATCH(Categorias_Configuracion[[#Headers],[% Amplitud]],Categorias_Configuracion[#Headers],0),TRUE)</f>
        <v>0.15</v>
      </c>
      <c r="H1223" s="15" t="str">
        <f ca="1">TEXT(Categorias_Registro[[#This Row],[Mínimo]],Formato_Rango_Categorias)&amp;" - "&amp;TEXT(Categorias_Registro[[#This Row],[Máximo]],Formato_Rango_Categorias)</f>
        <v>1.238 - 1.423</v>
      </c>
    </row>
    <row r="1224" spans="2:8">
      <c r="B1224" s="15">
        <f>Techo - ROW() + ROW(Categorias_Registro[])</f>
        <v>1405</v>
      </c>
      <c r="C1224" s="15">
        <f>IF(Categorias_Registro[[#This Row],[Puntos]]&lt;=ROUND(Piso,0),Piso,IF(Categorias_Registro[[#This Row],[Puntos]]&lt;D1225,C1225,D1225+1))</f>
        <v>1238</v>
      </c>
      <c r="D1224" s="15">
        <f>IF(Categorias_Registro[[#This Row],[Puntos]]=ROUND(Piso,0),ROUND(Categorias_Registro[[#This Row],[Puntos]]*(1+Categorias_Registro[[#This Row],[Amplitud]]),0),IF(Categorias_Registro[[#This Row],[Puntos]]&lt;D1225,D1225,ROUND(D1225*(1+Categorias_Registro[[#This Row],[Amplitud]]),0)))</f>
        <v>1423</v>
      </c>
      <c r="E1224" s="15">
        <f>E1225+IF(D1225=Categorias_Registro[[#This Row],[Máximo]],0,1)</f>
        <v>20</v>
      </c>
      <c r="F1224" s="15">
        <f>ROUND(Categorias_Registro[[#This Row],[Mínimo]]+((Categorias_Registro[[#This Row],[Máximo]]-Categorias_Registro[[#This Row],[Mínimo]])/2),0)</f>
        <v>1331</v>
      </c>
      <c r="G1224" s="78">
        <f>VLOOKUP(Categorias_Registro[[#This Row],[Puntos]],Categorias_Configuracion[],MATCH(Categorias_Configuracion[[#Headers],[% Amplitud]],Categorias_Configuracion[#Headers],0),TRUE)</f>
        <v>0.15</v>
      </c>
      <c r="H1224" s="15" t="str">
        <f ca="1">TEXT(Categorias_Registro[[#This Row],[Mínimo]],Formato_Rango_Categorias)&amp;" - "&amp;TEXT(Categorias_Registro[[#This Row],[Máximo]],Formato_Rango_Categorias)</f>
        <v>1.238 - 1.423</v>
      </c>
    </row>
    <row r="1225" spans="2:8">
      <c r="B1225" s="15">
        <f>Techo - ROW() + ROW(Categorias_Registro[])</f>
        <v>1404</v>
      </c>
      <c r="C1225" s="15">
        <f>IF(Categorias_Registro[[#This Row],[Puntos]]&lt;=ROUND(Piso,0),Piso,IF(Categorias_Registro[[#This Row],[Puntos]]&lt;D1226,C1226,D1226+1))</f>
        <v>1238</v>
      </c>
      <c r="D1225" s="15">
        <f>IF(Categorias_Registro[[#This Row],[Puntos]]=ROUND(Piso,0),ROUND(Categorias_Registro[[#This Row],[Puntos]]*(1+Categorias_Registro[[#This Row],[Amplitud]]),0),IF(Categorias_Registro[[#This Row],[Puntos]]&lt;D1226,D1226,ROUND(D1226*(1+Categorias_Registro[[#This Row],[Amplitud]]),0)))</f>
        <v>1423</v>
      </c>
      <c r="E1225" s="15">
        <f>E1226+IF(D1226=Categorias_Registro[[#This Row],[Máximo]],0,1)</f>
        <v>20</v>
      </c>
      <c r="F1225" s="15">
        <f>ROUND(Categorias_Registro[[#This Row],[Mínimo]]+((Categorias_Registro[[#This Row],[Máximo]]-Categorias_Registro[[#This Row],[Mínimo]])/2),0)</f>
        <v>1331</v>
      </c>
      <c r="G1225" s="78">
        <f>VLOOKUP(Categorias_Registro[[#This Row],[Puntos]],Categorias_Configuracion[],MATCH(Categorias_Configuracion[[#Headers],[% Amplitud]],Categorias_Configuracion[#Headers],0),TRUE)</f>
        <v>0.15</v>
      </c>
      <c r="H1225" s="15" t="str">
        <f ca="1">TEXT(Categorias_Registro[[#This Row],[Mínimo]],Formato_Rango_Categorias)&amp;" - "&amp;TEXT(Categorias_Registro[[#This Row],[Máximo]],Formato_Rango_Categorias)</f>
        <v>1.238 - 1.423</v>
      </c>
    </row>
    <row r="1226" spans="2:8">
      <c r="B1226" s="15">
        <f>Techo - ROW() + ROW(Categorias_Registro[])</f>
        <v>1403</v>
      </c>
      <c r="C1226" s="15">
        <f>IF(Categorias_Registro[[#This Row],[Puntos]]&lt;=ROUND(Piso,0),Piso,IF(Categorias_Registro[[#This Row],[Puntos]]&lt;D1227,C1227,D1227+1))</f>
        <v>1238</v>
      </c>
      <c r="D1226" s="15">
        <f>IF(Categorias_Registro[[#This Row],[Puntos]]=ROUND(Piso,0),ROUND(Categorias_Registro[[#This Row],[Puntos]]*(1+Categorias_Registro[[#This Row],[Amplitud]]),0),IF(Categorias_Registro[[#This Row],[Puntos]]&lt;D1227,D1227,ROUND(D1227*(1+Categorias_Registro[[#This Row],[Amplitud]]),0)))</f>
        <v>1423</v>
      </c>
      <c r="E1226" s="15">
        <f>E1227+IF(D1227=Categorias_Registro[[#This Row],[Máximo]],0,1)</f>
        <v>20</v>
      </c>
      <c r="F1226" s="15">
        <f>ROUND(Categorias_Registro[[#This Row],[Mínimo]]+((Categorias_Registro[[#This Row],[Máximo]]-Categorias_Registro[[#This Row],[Mínimo]])/2),0)</f>
        <v>1331</v>
      </c>
      <c r="G1226" s="78">
        <f>VLOOKUP(Categorias_Registro[[#This Row],[Puntos]],Categorias_Configuracion[],MATCH(Categorias_Configuracion[[#Headers],[% Amplitud]],Categorias_Configuracion[#Headers],0),TRUE)</f>
        <v>0.15</v>
      </c>
      <c r="H1226" s="15" t="str">
        <f ca="1">TEXT(Categorias_Registro[[#This Row],[Mínimo]],Formato_Rango_Categorias)&amp;" - "&amp;TEXT(Categorias_Registro[[#This Row],[Máximo]],Formato_Rango_Categorias)</f>
        <v>1.238 - 1.423</v>
      </c>
    </row>
    <row r="1227" spans="2:8">
      <c r="B1227" s="15">
        <f>Techo - ROW() + ROW(Categorias_Registro[])</f>
        <v>1402</v>
      </c>
      <c r="C1227" s="15">
        <f>IF(Categorias_Registro[[#This Row],[Puntos]]&lt;=ROUND(Piso,0),Piso,IF(Categorias_Registro[[#This Row],[Puntos]]&lt;D1228,C1228,D1228+1))</f>
        <v>1238</v>
      </c>
      <c r="D1227" s="15">
        <f>IF(Categorias_Registro[[#This Row],[Puntos]]=ROUND(Piso,0),ROUND(Categorias_Registro[[#This Row],[Puntos]]*(1+Categorias_Registro[[#This Row],[Amplitud]]),0),IF(Categorias_Registro[[#This Row],[Puntos]]&lt;D1228,D1228,ROUND(D1228*(1+Categorias_Registro[[#This Row],[Amplitud]]),0)))</f>
        <v>1423</v>
      </c>
      <c r="E1227" s="15">
        <f>E1228+IF(D1228=Categorias_Registro[[#This Row],[Máximo]],0,1)</f>
        <v>20</v>
      </c>
      <c r="F1227" s="15">
        <f>ROUND(Categorias_Registro[[#This Row],[Mínimo]]+((Categorias_Registro[[#This Row],[Máximo]]-Categorias_Registro[[#This Row],[Mínimo]])/2),0)</f>
        <v>1331</v>
      </c>
      <c r="G1227" s="78">
        <f>VLOOKUP(Categorias_Registro[[#This Row],[Puntos]],Categorias_Configuracion[],MATCH(Categorias_Configuracion[[#Headers],[% Amplitud]],Categorias_Configuracion[#Headers],0),TRUE)</f>
        <v>0.15</v>
      </c>
      <c r="H1227" s="15" t="str">
        <f ca="1">TEXT(Categorias_Registro[[#This Row],[Mínimo]],Formato_Rango_Categorias)&amp;" - "&amp;TEXT(Categorias_Registro[[#This Row],[Máximo]],Formato_Rango_Categorias)</f>
        <v>1.238 - 1.423</v>
      </c>
    </row>
    <row r="1228" spans="2:8">
      <c r="B1228" s="15">
        <f>Techo - ROW() + ROW(Categorias_Registro[])</f>
        <v>1401</v>
      </c>
      <c r="C1228" s="15">
        <f>IF(Categorias_Registro[[#This Row],[Puntos]]&lt;=ROUND(Piso,0),Piso,IF(Categorias_Registro[[#This Row],[Puntos]]&lt;D1229,C1229,D1229+1))</f>
        <v>1238</v>
      </c>
      <c r="D1228" s="15">
        <f>IF(Categorias_Registro[[#This Row],[Puntos]]=ROUND(Piso,0),ROUND(Categorias_Registro[[#This Row],[Puntos]]*(1+Categorias_Registro[[#This Row],[Amplitud]]),0),IF(Categorias_Registro[[#This Row],[Puntos]]&lt;D1229,D1229,ROUND(D1229*(1+Categorias_Registro[[#This Row],[Amplitud]]),0)))</f>
        <v>1423</v>
      </c>
      <c r="E1228" s="15">
        <f>E1229+IF(D1229=Categorias_Registro[[#This Row],[Máximo]],0,1)</f>
        <v>20</v>
      </c>
      <c r="F1228" s="15">
        <f>ROUND(Categorias_Registro[[#This Row],[Mínimo]]+((Categorias_Registro[[#This Row],[Máximo]]-Categorias_Registro[[#This Row],[Mínimo]])/2),0)</f>
        <v>1331</v>
      </c>
      <c r="G1228" s="78">
        <f>VLOOKUP(Categorias_Registro[[#This Row],[Puntos]],Categorias_Configuracion[],MATCH(Categorias_Configuracion[[#Headers],[% Amplitud]],Categorias_Configuracion[#Headers],0),TRUE)</f>
        <v>0.15</v>
      </c>
      <c r="H1228" s="15" t="str">
        <f ca="1">TEXT(Categorias_Registro[[#This Row],[Mínimo]],Formato_Rango_Categorias)&amp;" - "&amp;TEXT(Categorias_Registro[[#This Row],[Máximo]],Formato_Rango_Categorias)</f>
        <v>1.238 - 1.423</v>
      </c>
    </row>
    <row r="1229" spans="2:8">
      <c r="B1229" s="15">
        <f>Techo - ROW() + ROW(Categorias_Registro[])</f>
        <v>1400</v>
      </c>
      <c r="C1229" s="15">
        <f>IF(Categorias_Registro[[#This Row],[Puntos]]&lt;=ROUND(Piso,0),Piso,IF(Categorias_Registro[[#This Row],[Puntos]]&lt;D1230,C1230,D1230+1))</f>
        <v>1238</v>
      </c>
      <c r="D1229" s="15">
        <f>IF(Categorias_Registro[[#This Row],[Puntos]]=ROUND(Piso,0),ROUND(Categorias_Registro[[#This Row],[Puntos]]*(1+Categorias_Registro[[#This Row],[Amplitud]]),0),IF(Categorias_Registro[[#This Row],[Puntos]]&lt;D1230,D1230,ROUND(D1230*(1+Categorias_Registro[[#This Row],[Amplitud]]),0)))</f>
        <v>1423</v>
      </c>
      <c r="E1229" s="15">
        <f>E1230+IF(D1230=Categorias_Registro[[#This Row],[Máximo]],0,1)</f>
        <v>20</v>
      </c>
      <c r="F1229" s="15">
        <f>ROUND(Categorias_Registro[[#This Row],[Mínimo]]+((Categorias_Registro[[#This Row],[Máximo]]-Categorias_Registro[[#This Row],[Mínimo]])/2),0)</f>
        <v>1331</v>
      </c>
      <c r="G1229" s="78">
        <f>VLOOKUP(Categorias_Registro[[#This Row],[Puntos]],Categorias_Configuracion[],MATCH(Categorias_Configuracion[[#Headers],[% Amplitud]],Categorias_Configuracion[#Headers],0),TRUE)</f>
        <v>0.15</v>
      </c>
      <c r="H1229" s="15" t="str">
        <f ca="1">TEXT(Categorias_Registro[[#This Row],[Mínimo]],Formato_Rango_Categorias)&amp;" - "&amp;TEXT(Categorias_Registro[[#This Row],[Máximo]],Formato_Rango_Categorias)</f>
        <v>1.238 - 1.423</v>
      </c>
    </row>
    <row r="1230" spans="2:8">
      <c r="B1230" s="15">
        <f>Techo - ROW() + ROW(Categorias_Registro[])</f>
        <v>1399</v>
      </c>
      <c r="C1230" s="15">
        <f>IF(Categorias_Registro[[#This Row],[Puntos]]&lt;=ROUND(Piso,0),Piso,IF(Categorias_Registro[[#This Row],[Puntos]]&lt;D1231,C1231,D1231+1))</f>
        <v>1238</v>
      </c>
      <c r="D1230" s="15">
        <f>IF(Categorias_Registro[[#This Row],[Puntos]]=ROUND(Piso,0),ROUND(Categorias_Registro[[#This Row],[Puntos]]*(1+Categorias_Registro[[#This Row],[Amplitud]]),0),IF(Categorias_Registro[[#This Row],[Puntos]]&lt;D1231,D1231,ROUND(D1231*(1+Categorias_Registro[[#This Row],[Amplitud]]),0)))</f>
        <v>1423</v>
      </c>
      <c r="E1230" s="15">
        <f>E1231+IF(D1231=Categorias_Registro[[#This Row],[Máximo]],0,1)</f>
        <v>20</v>
      </c>
      <c r="F1230" s="15">
        <f>ROUND(Categorias_Registro[[#This Row],[Mínimo]]+((Categorias_Registro[[#This Row],[Máximo]]-Categorias_Registro[[#This Row],[Mínimo]])/2),0)</f>
        <v>1331</v>
      </c>
      <c r="G1230" s="78">
        <f>VLOOKUP(Categorias_Registro[[#This Row],[Puntos]],Categorias_Configuracion[],MATCH(Categorias_Configuracion[[#Headers],[% Amplitud]],Categorias_Configuracion[#Headers],0),TRUE)</f>
        <v>0.15</v>
      </c>
      <c r="H1230" s="15" t="str">
        <f ca="1">TEXT(Categorias_Registro[[#This Row],[Mínimo]],Formato_Rango_Categorias)&amp;" - "&amp;TEXT(Categorias_Registro[[#This Row],[Máximo]],Formato_Rango_Categorias)</f>
        <v>1.238 - 1.423</v>
      </c>
    </row>
    <row r="1231" spans="2:8">
      <c r="B1231" s="15">
        <f>Techo - ROW() + ROW(Categorias_Registro[])</f>
        <v>1398</v>
      </c>
      <c r="C1231" s="15">
        <f>IF(Categorias_Registro[[#This Row],[Puntos]]&lt;=ROUND(Piso,0),Piso,IF(Categorias_Registro[[#This Row],[Puntos]]&lt;D1232,C1232,D1232+1))</f>
        <v>1238</v>
      </c>
      <c r="D1231" s="15">
        <f>IF(Categorias_Registro[[#This Row],[Puntos]]=ROUND(Piso,0),ROUND(Categorias_Registro[[#This Row],[Puntos]]*(1+Categorias_Registro[[#This Row],[Amplitud]]),0),IF(Categorias_Registro[[#This Row],[Puntos]]&lt;D1232,D1232,ROUND(D1232*(1+Categorias_Registro[[#This Row],[Amplitud]]),0)))</f>
        <v>1423</v>
      </c>
      <c r="E1231" s="15">
        <f>E1232+IF(D1232=Categorias_Registro[[#This Row],[Máximo]],0,1)</f>
        <v>20</v>
      </c>
      <c r="F1231" s="15">
        <f>ROUND(Categorias_Registro[[#This Row],[Mínimo]]+((Categorias_Registro[[#This Row],[Máximo]]-Categorias_Registro[[#This Row],[Mínimo]])/2),0)</f>
        <v>1331</v>
      </c>
      <c r="G1231" s="78">
        <f>VLOOKUP(Categorias_Registro[[#This Row],[Puntos]],Categorias_Configuracion[],MATCH(Categorias_Configuracion[[#Headers],[% Amplitud]],Categorias_Configuracion[#Headers],0),TRUE)</f>
        <v>0.15</v>
      </c>
      <c r="H1231" s="15" t="str">
        <f ca="1">TEXT(Categorias_Registro[[#This Row],[Mínimo]],Formato_Rango_Categorias)&amp;" - "&amp;TEXT(Categorias_Registro[[#This Row],[Máximo]],Formato_Rango_Categorias)</f>
        <v>1.238 - 1.423</v>
      </c>
    </row>
    <row r="1232" spans="2:8">
      <c r="B1232" s="15">
        <f>Techo - ROW() + ROW(Categorias_Registro[])</f>
        <v>1397</v>
      </c>
      <c r="C1232" s="15">
        <f>IF(Categorias_Registro[[#This Row],[Puntos]]&lt;=ROUND(Piso,0),Piso,IF(Categorias_Registro[[#This Row],[Puntos]]&lt;D1233,C1233,D1233+1))</f>
        <v>1238</v>
      </c>
      <c r="D1232" s="15">
        <f>IF(Categorias_Registro[[#This Row],[Puntos]]=ROUND(Piso,0),ROUND(Categorias_Registro[[#This Row],[Puntos]]*(1+Categorias_Registro[[#This Row],[Amplitud]]),0),IF(Categorias_Registro[[#This Row],[Puntos]]&lt;D1233,D1233,ROUND(D1233*(1+Categorias_Registro[[#This Row],[Amplitud]]),0)))</f>
        <v>1423</v>
      </c>
      <c r="E1232" s="15">
        <f>E1233+IF(D1233=Categorias_Registro[[#This Row],[Máximo]],0,1)</f>
        <v>20</v>
      </c>
      <c r="F1232" s="15">
        <f>ROUND(Categorias_Registro[[#This Row],[Mínimo]]+((Categorias_Registro[[#This Row],[Máximo]]-Categorias_Registro[[#This Row],[Mínimo]])/2),0)</f>
        <v>1331</v>
      </c>
      <c r="G1232" s="78">
        <f>VLOOKUP(Categorias_Registro[[#This Row],[Puntos]],Categorias_Configuracion[],MATCH(Categorias_Configuracion[[#Headers],[% Amplitud]],Categorias_Configuracion[#Headers],0),TRUE)</f>
        <v>0.15</v>
      </c>
      <c r="H1232" s="15" t="str">
        <f ca="1">TEXT(Categorias_Registro[[#This Row],[Mínimo]],Formato_Rango_Categorias)&amp;" - "&amp;TEXT(Categorias_Registro[[#This Row],[Máximo]],Formato_Rango_Categorias)</f>
        <v>1.238 - 1.423</v>
      </c>
    </row>
    <row r="1233" spans="2:8">
      <c r="B1233" s="15">
        <f>Techo - ROW() + ROW(Categorias_Registro[])</f>
        <v>1396</v>
      </c>
      <c r="C1233" s="15">
        <f>IF(Categorias_Registro[[#This Row],[Puntos]]&lt;=ROUND(Piso,0),Piso,IF(Categorias_Registro[[#This Row],[Puntos]]&lt;D1234,C1234,D1234+1))</f>
        <v>1238</v>
      </c>
      <c r="D1233" s="15">
        <f>IF(Categorias_Registro[[#This Row],[Puntos]]=ROUND(Piso,0),ROUND(Categorias_Registro[[#This Row],[Puntos]]*(1+Categorias_Registro[[#This Row],[Amplitud]]),0),IF(Categorias_Registro[[#This Row],[Puntos]]&lt;D1234,D1234,ROUND(D1234*(1+Categorias_Registro[[#This Row],[Amplitud]]),0)))</f>
        <v>1423</v>
      </c>
      <c r="E1233" s="15">
        <f>E1234+IF(D1234=Categorias_Registro[[#This Row],[Máximo]],0,1)</f>
        <v>20</v>
      </c>
      <c r="F1233" s="15">
        <f>ROUND(Categorias_Registro[[#This Row],[Mínimo]]+((Categorias_Registro[[#This Row],[Máximo]]-Categorias_Registro[[#This Row],[Mínimo]])/2),0)</f>
        <v>1331</v>
      </c>
      <c r="G1233" s="78">
        <f>VLOOKUP(Categorias_Registro[[#This Row],[Puntos]],Categorias_Configuracion[],MATCH(Categorias_Configuracion[[#Headers],[% Amplitud]],Categorias_Configuracion[#Headers],0),TRUE)</f>
        <v>0.15</v>
      </c>
      <c r="H1233" s="15" t="str">
        <f ca="1">TEXT(Categorias_Registro[[#This Row],[Mínimo]],Formato_Rango_Categorias)&amp;" - "&amp;TEXT(Categorias_Registro[[#This Row],[Máximo]],Formato_Rango_Categorias)</f>
        <v>1.238 - 1.423</v>
      </c>
    </row>
    <row r="1234" spans="2:8">
      <c r="B1234" s="15">
        <f>Techo - ROW() + ROW(Categorias_Registro[])</f>
        <v>1395</v>
      </c>
      <c r="C1234" s="15">
        <f>IF(Categorias_Registro[[#This Row],[Puntos]]&lt;=ROUND(Piso,0),Piso,IF(Categorias_Registro[[#This Row],[Puntos]]&lt;D1235,C1235,D1235+1))</f>
        <v>1238</v>
      </c>
      <c r="D1234" s="15">
        <f>IF(Categorias_Registro[[#This Row],[Puntos]]=ROUND(Piso,0),ROUND(Categorias_Registro[[#This Row],[Puntos]]*(1+Categorias_Registro[[#This Row],[Amplitud]]),0),IF(Categorias_Registro[[#This Row],[Puntos]]&lt;D1235,D1235,ROUND(D1235*(1+Categorias_Registro[[#This Row],[Amplitud]]),0)))</f>
        <v>1423</v>
      </c>
      <c r="E1234" s="15">
        <f>E1235+IF(D1235=Categorias_Registro[[#This Row],[Máximo]],0,1)</f>
        <v>20</v>
      </c>
      <c r="F1234" s="15">
        <f>ROUND(Categorias_Registro[[#This Row],[Mínimo]]+((Categorias_Registro[[#This Row],[Máximo]]-Categorias_Registro[[#This Row],[Mínimo]])/2),0)</f>
        <v>1331</v>
      </c>
      <c r="G1234" s="78">
        <f>VLOOKUP(Categorias_Registro[[#This Row],[Puntos]],Categorias_Configuracion[],MATCH(Categorias_Configuracion[[#Headers],[% Amplitud]],Categorias_Configuracion[#Headers],0),TRUE)</f>
        <v>0.15</v>
      </c>
      <c r="H1234" s="15" t="str">
        <f ca="1">TEXT(Categorias_Registro[[#This Row],[Mínimo]],Formato_Rango_Categorias)&amp;" - "&amp;TEXT(Categorias_Registro[[#This Row],[Máximo]],Formato_Rango_Categorias)</f>
        <v>1.238 - 1.423</v>
      </c>
    </row>
    <row r="1235" spans="2:8">
      <c r="B1235" s="15">
        <f>Techo - ROW() + ROW(Categorias_Registro[])</f>
        <v>1394</v>
      </c>
      <c r="C1235" s="15">
        <f>IF(Categorias_Registro[[#This Row],[Puntos]]&lt;=ROUND(Piso,0),Piso,IF(Categorias_Registro[[#This Row],[Puntos]]&lt;D1236,C1236,D1236+1))</f>
        <v>1238</v>
      </c>
      <c r="D1235" s="15">
        <f>IF(Categorias_Registro[[#This Row],[Puntos]]=ROUND(Piso,0),ROUND(Categorias_Registro[[#This Row],[Puntos]]*(1+Categorias_Registro[[#This Row],[Amplitud]]),0),IF(Categorias_Registro[[#This Row],[Puntos]]&lt;D1236,D1236,ROUND(D1236*(1+Categorias_Registro[[#This Row],[Amplitud]]),0)))</f>
        <v>1423</v>
      </c>
      <c r="E1235" s="15">
        <f>E1236+IF(D1236=Categorias_Registro[[#This Row],[Máximo]],0,1)</f>
        <v>20</v>
      </c>
      <c r="F1235" s="15">
        <f>ROUND(Categorias_Registro[[#This Row],[Mínimo]]+((Categorias_Registro[[#This Row],[Máximo]]-Categorias_Registro[[#This Row],[Mínimo]])/2),0)</f>
        <v>1331</v>
      </c>
      <c r="G1235" s="78">
        <f>VLOOKUP(Categorias_Registro[[#This Row],[Puntos]],Categorias_Configuracion[],MATCH(Categorias_Configuracion[[#Headers],[% Amplitud]],Categorias_Configuracion[#Headers],0),TRUE)</f>
        <v>0.15</v>
      </c>
      <c r="H1235" s="15" t="str">
        <f ca="1">TEXT(Categorias_Registro[[#This Row],[Mínimo]],Formato_Rango_Categorias)&amp;" - "&amp;TEXT(Categorias_Registro[[#This Row],[Máximo]],Formato_Rango_Categorias)</f>
        <v>1.238 - 1.423</v>
      </c>
    </row>
    <row r="1236" spans="2:8">
      <c r="B1236" s="15">
        <f>Techo - ROW() + ROW(Categorias_Registro[])</f>
        <v>1393</v>
      </c>
      <c r="C1236" s="15">
        <f>IF(Categorias_Registro[[#This Row],[Puntos]]&lt;=ROUND(Piso,0),Piso,IF(Categorias_Registro[[#This Row],[Puntos]]&lt;D1237,C1237,D1237+1))</f>
        <v>1238</v>
      </c>
      <c r="D1236" s="15">
        <f>IF(Categorias_Registro[[#This Row],[Puntos]]=ROUND(Piso,0),ROUND(Categorias_Registro[[#This Row],[Puntos]]*(1+Categorias_Registro[[#This Row],[Amplitud]]),0),IF(Categorias_Registro[[#This Row],[Puntos]]&lt;D1237,D1237,ROUND(D1237*(1+Categorias_Registro[[#This Row],[Amplitud]]),0)))</f>
        <v>1423</v>
      </c>
      <c r="E1236" s="15">
        <f>E1237+IF(D1237=Categorias_Registro[[#This Row],[Máximo]],0,1)</f>
        <v>20</v>
      </c>
      <c r="F1236" s="15">
        <f>ROUND(Categorias_Registro[[#This Row],[Mínimo]]+((Categorias_Registro[[#This Row],[Máximo]]-Categorias_Registro[[#This Row],[Mínimo]])/2),0)</f>
        <v>1331</v>
      </c>
      <c r="G1236" s="78">
        <f>VLOOKUP(Categorias_Registro[[#This Row],[Puntos]],Categorias_Configuracion[],MATCH(Categorias_Configuracion[[#Headers],[% Amplitud]],Categorias_Configuracion[#Headers],0),TRUE)</f>
        <v>0.15</v>
      </c>
      <c r="H1236" s="15" t="str">
        <f ca="1">TEXT(Categorias_Registro[[#This Row],[Mínimo]],Formato_Rango_Categorias)&amp;" - "&amp;TEXT(Categorias_Registro[[#This Row],[Máximo]],Formato_Rango_Categorias)</f>
        <v>1.238 - 1.423</v>
      </c>
    </row>
    <row r="1237" spans="2:8">
      <c r="B1237" s="15">
        <f>Techo - ROW() + ROW(Categorias_Registro[])</f>
        <v>1392</v>
      </c>
      <c r="C1237" s="15">
        <f>IF(Categorias_Registro[[#This Row],[Puntos]]&lt;=ROUND(Piso,0),Piso,IF(Categorias_Registro[[#This Row],[Puntos]]&lt;D1238,C1238,D1238+1))</f>
        <v>1238</v>
      </c>
      <c r="D1237" s="15">
        <f>IF(Categorias_Registro[[#This Row],[Puntos]]=ROUND(Piso,0),ROUND(Categorias_Registro[[#This Row],[Puntos]]*(1+Categorias_Registro[[#This Row],[Amplitud]]),0),IF(Categorias_Registro[[#This Row],[Puntos]]&lt;D1238,D1238,ROUND(D1238*(1+Categorias_Registro[[#This Row],[Amplitud]]),0)))</f>
        <v>1423</v>
      </c>
      <c r="E1237" s="15">
        <f>E1238+IF(D1238=Categorias_Registro[[#This Row],[Máximo]],0,1)</f>
        <v>20</v>
      </c>
      <c r="F1237" s="15">
        <f>ROUND(Categorias_Registro[[#This Row],[Mínimo]]+((Categorias_Registro[[#This Row],[Máximo]]-Categorias_Registro[[#This Row],[Mínimo]])/2),0)</f>
        <v>1331</v>
      </c>
      <c r="G1237" s="78">
        <f>VLOOKUP(Categorias_Registro[[#This Row],[Puntos]],Categorias_Configuracion[],MATCH(Categorias_Configuracion[[#Headers],[% Amplitud]],Categorias_Configuracion[#Headers],0),TRUE)</f>
        <v>0.15</v>
      </c>
      <c r="H1237" s="15" t="str">
        <f ca="1">TEXT(Categorias_Registro[[#This Row],[Mínimo]],Formato_Rango_Categorias)&amp;" - "&amp;TEXT(Categorias_Registro[[#This Row],[Máximo]],Formato_Rango_Categorias)</f>
        <v>1.238 - 1.423</v>
      </c>
    </row>
    <row r="1238" spans="2:8">
      <c r="B1238" s="15">
        <f>Techo - ROW() + ROW(Categorias_Registro[])</f>
        <v>1391</v>
      </c>
      <c r="C1238" s="15">
        <f>IF(Categorias_Registro[[#This Row],[Puntos]]&lt;=ROUND(Piso,0),Piso,IF(Categorias_Registro[[#This Row],[Puntos]]&lt;D1239,C1239,D1239+1))</f>
        <v>1238</v>
      </c>
      <c r="D1238" s="15">
        <f>IF(Categorias_Registro[[#This Row],[Puntos]]=ROUND(Piso,0),ROUND(Categorias_Registro[[#This Row],[Puntos]]*(1+Categorias_Registro[[#This Row],[Amplitud]]),0),IF(Categorias_Registro[[#This Row],[Puntos]]&lt;D1239,D1239,ROUND(D1239*(1+Categorias_Registro[[#This Row],[Amplitud]]),0)))</f>
        <v>1423</v>
      </c>
      <c r="E1238" s="15">
        <f>E1239+IF(D1239=Categorias_Registro[[#This Row],[Máximo]],0,1)</f>
        <v>20</v>
      </c>
      <c r="F1238" s="15">
        <f>ROUND(Categorias_Registro[[#This Row],[Mínimo]]+((Categorias_Registro[[#This Row],[Máximo]]-Categorias_Registro[[#This Row],[Mínimo]])/2),0)</f>
        <v>1331</v>
      </c>
      <c r="G1238" s="78">
        <f>VLOOKUP(Categorias_Registro[[#This Row],[Puntos]],Categorias_Configuracion[],MATCH(Categorias_Configuracion[[#Headers],[% Amplitud]],Categorias_Configuracion[#Headers],0),TRUE)</f>
        <v>0.15</v>
      </c>
      <c r="H1238" s="15" t="str">
        <f ca="1">TEXT(Categorias_Registro[[#This Row],[Mínimo]],Formato_Rango_Categorias)&amp;" - "&amp;TEXT(Categorias_Registro[[#This Row],[Máximo]],Formato_Rango_Categorias)</f>
        <v>1.238 - 1.423</v>
      </c>
    </row>
    <row r="1239" spans="2:8">
      <c r="B1239" s="15">
        <f>Techo - ROW() + ROW(Categorias_Registro[])</f>
        <v>1390</v>
      </c>
      <c r="C1239" s="15">
        <f>IF(Categorias_Registro[[#This Row],[Puntos]]&lt;=ROUND(Piso,0),Piso,IF(Categorias_Registro[[#This Row],[Puntos]]&lt;D1240,C1240,D1240+1))</f>
        <v>1238</v>
      </c>
      <c r="D1239" s="15">
        <f>IF(Categorias_Registro[[#This Row],[Puntos]]=ROUND(Piso,0),ROUND(Categorias_Registro[[#This Row],[Puntos]]*(1+Categorias_Registro[[#This Row],[Amplitud]]),0),IF(Categorias_Registro[[#This Row],[Puntos]]&lt;D1240,D1240,ROUND(D1240*(1+Categorias_Registro[[#This Row],[Amplitud]]),0)))</f>
        <v>1423</v>
      </c>
      <c r="E1239" s="15">
        <f>E1240+IF(D1240=Categorias_Registro[[#This Row],[Máximo]],0,1)</f>
        <v>20</v>
      </c>
      <c r="F1239" s="15">
        <f>ROUND(Categorias_Registro[[#This Row],[Mínimo]]+((Categorias_Registro[[#This Row],[Máximo]]-Categorias_Registro[[#This Row],[Mínimo]])/2),0)</f>
        <v>1331</v>
      </c>
      <c r="G1239" s="78">
        <f>VLOOKUP(Categorias_Registro[[#This Row],[Puntos]],Categorias_Configuracion[],MATCH(Categorias_Configuracion[[#Headers],[% Amplitud]],Categorias_Configuracion[#Headers],0),TRUE)</f>
        <v>0.15</v>
      </c>
      <c r="H1239" s="15" t="str">
        <f ca="1">TEXT(Categorias_Registro[[#This Row],[Mínimo]],Formato_Rango_Categorias)&amp;" - "&amp;TEXT(Categorias_Registro[[#This Row],[Máximo]],Formato_Rango_Categorias)</f>
        <v>1.238 - 1.423</v>
      </c>
    </row>
    <row r="1240" spans="2:8">
      <c r="B1240" s="15">
        <f>Techo - ROW() + ROW(Categorias_Registro[])</f>
        <v>1389</v>
      </c>
      <c r="C1240" s="15">
        <f>IF(Categorias_Registro[[#This Row],[Puntos]]&lt;=ROUND(Piso,0),Piso,IF(Categorias_Registro[[#This Row],[Puntos]]&lt;D1241,C1241,D1241+1))</f>
        <v>1238</v>
      </c>
      <c r="D1240" s="15">
        <f>IF(Categorias_Registro[[#This Row],[Puntos]]=ROUND(Piso,0),ROUND(Categorias_Registro[[#This Row],[Puntos]]*(1+Categorias_Registro[[#This Row],[Amplitud]]),0),IF(Categorias_Registro[[#This Row],[Puntos]]&lt;D1241,D1241,ROUND(D1241*(1+Categorias_Registro[[#This Row],[Amplitud]]),0)))</f>
        <v>1423</v>
      </c>
      <c r="E1240" s="15">
        <f>E1241+IF(D1241=Categorias_Registro[[#This Row],[Máximo]],0,1)</f>
        <v>20</v>
      </c>
      <c r="F1240" s="15">
        <f>ROUND(Categorias_Registro[[#This Row],[Mínimo]]+((Categorias_Registro[[#This Row],[Máximo]]-Categorias_Registro[[#This Row],[Mínimo]])/2),0)</f>
        <v>1331</v>
      </c>
      <c r="G1240" s="78">
        <f>VLOOKUP(Categorias_Registro[[#This Row],[Puntos]],Categorias_Configuracion[],MATCH(Categorias_Configuracion[[#Headers],[% Amplitud]],Categorias_Configuracion[#Headers],0),TRUE)</f>
        <v>0.15</v>
      </c>
      <c r="H1240" s="15" t="str">
        <f ca="1">TEXT(Categorias_Registro[[#This Row],[Mínimo]],Formato_Rango_Categorias)&amp;" - "&amp;TEXT(Categorias_Registro[[#This Row],[Máximo]],Formato_Rango_Categorias)</f>
        <v>1.238 - 1.423</v>
      </c>
    </row>
    <row r="1241" spans="2:8">
      <c r="B1241" s="15">
        <f>Techo - ROW() + ROW(Categorias_Registro[])</f>
        <v>1388</v>
      </c>
      <c r="C1241" s="15">
        <f>IF(Categorias_Registro[[#This Row],[Puntos]]&lt;=ROUND(Piso,0),Piso,IF(Categorias_Registro[[#This Row],[Puntos]]&lt;D1242,C1242,D1242+1))</f>
        <v>1238</v>
      </c>
      <c r="D1241" s="15">
        <f>IF(Categorias_Registro[[#This Row],[Puntos]]=ROUND(Piso,0),ROUND(Categorias_Registro[[#This Row],[Puntos]]*(1+Categorias_Registro[[#This Row],[Amplitud]]),0),IF(Categorias_Registro[[#This Row],[Puntos]]&lt;D1242,D1242,ROUND(D1242*(1+Categorias_Registro[[#This Row],[Amplitud]]),0)))</f>
        <v>1423</v>
      </c>
      <c r="E1241" s="15">
        <f>E1242+IF(D1242=Categorias_Registro[[#This Row],[Máximo]],0,1)</f>
        <v>20</v>
      </c>
      <c r="F1241" s="15">
        <f>ROUND(Categorias_Registro[[#This Row],[Mínimo]]+((Categorias_Registro[[#This Row],[Máximo]]-Categorias_Registro[[#This Row],[Mínimo]])/2),0)</f>
        <v>1331</v>
      </c>
      <c r="G1241" s="78">
        <f>VLOOKUP(Categorias_Registro[[#This Row],[Puntos]],Categorias_Configuracion[],MATCH(Categorias_Configuracion[[#Headers],[% Amplitud]],Categorias_Configuracion[#Headers],0),TRUE)</f>
        <v>0.15</v>
      </c>
      <c r="H1241" s="15" t="str">
        <f ca="1">TEXT(Categorias_Registro[[#This Row],[Mínimo]],Formato_Rango_Categorias)&amp;" - "&amp;TEXT(Categorias_Registro[[#This Row],[Máximo]],Formato_Rango_Categorias)</f>
        <v>1.238 - 1.423</v>
      </c>
    </row>
    <row r="1242" spans="2:8">
      <c r="B1242" s="15">
        <f>Techo - ROW() + ROW(Categorias_Registro[])</f>
        <v>1387</v>
      </c>
      <c r="C1242" s="15">
        <f>IF(Categorias_Registro[[#This Row],[Puntos]]&lt;=ROUND(Piso,0),Piso,IF(Categorias_Registro[[#This Row],[Puntos]]&lt;D1243,C1243,D1243+1))</f>
        <v>1238</v>
      </c>
      <c r="D1242" s="15">
        <f>IF(Categorias_Registro[[#This Row],[Puntos]]=ROUND(Piso,0),ROUND(Categorias_Registro[[#This Row],[Puntos]]*(1+Categorias_Registro[[#This Row],[Amplitud]]),0),IF(Categorias_Registro[[#This Row],[Puntos]]&lt;D1243,D1243,ROUND(D1243*(1+Categorias_Registro[[#This Row],[Amplitud]]),0)))</f>
        <v>1423</v>
      </c>
      <c r="E1242" s="15">
        <f>E1243+IF(D1243=Categorias_Registro[[#This Row],[Máximo]],0,1)</f>
        <v>20</v>
      </c>
      <c r="F1242" s="15">
        <f>ROUND(Categorias_Registro[[#This Row],[Mínimo]]+((Categorias_Registro[[#This Row],[Máximo]]-Categorias_Registro[[#This Row],[Mínimo]])/2),0)</f>
        <v>1331</v>
      </c>
      <c r="G1242" s="78">
        <f>VLOOKUP(Categorias_Registro[[#This Row],[Puntos]],Categorias_Configuracion[],MATCH(Categorias_Configuracion[[#Headers],[% Amplitud]],Categorias_Configuracion[#Headers],0),TRUE)</f>
        <v>0.15</v>
      </c>
      <c r="H1242" s="15" t="str">
        <f ca="1">TEXT(Categorias_Registro[[#This Row],[Mínimo]],Formato_Rango_Categorias)&amp;" - "&amp;TEXT(Categorias_Registro[[#This Row],[Máximo]],Formato_Rango_Categorias)</f>
        <v>1.238 - 1.423</v>
      </c>
    </row>
    <row r="1243" spans="2:8">
      <c r="B1243" s="15">
        <f>Techo - ROW() + ROW(Categorias_Registro[])</f>
        <v>1386</v>
      </c>
      <c r="C1243" s="15">
        <f>IF(Categorias_Registro[[#This Row],[Puntos]]&lt;=ROUND(Piso,0),Piso,IF(Categorias_Registro[[#This Row],[Puntos]]&lt;D1244,C1244,D1244+1))</f>
        <v>1238</v>
      </c>
      <c r="D1243" s="15">
        <f>IF(Categorias_Registro[[#This Row],[Puntos]]=ROUND(Piso,0),ROUND(Categorias_Registro[[#This Row],[Puntos]]*(1+Categorias_Registro[[#This Row],[Amplitud]]),0),IF(Categorias_Registro[[#This Row],[Puntos]]&lt;D1244,D1244,ROUND(D1244*(1+Categorias_Registro[[#This Row],[Amplitud]]),0)))</f>
        <v>1423</v>
      </c>
      <c r="E1243" s="15">
        <f>E1244+IF(D1244=Categorias_Registro[[#This Row],[Máximo]],0,1)</f>
        <v>20</v>
      </c>
      <c r="F1243" s="15">
        <f>ROUND(Categorias_Registro[[#This Row],[Mínimo]]+((Categorias_Registro[[#This Row],[Máximo]]-Categorias_Registro[[#This Row],[Mínimo]])/2),0)</f>
        <v>1331</v>
      </c>
      <c r="G1243" s="78">
        <f>VLOOKUP(Categorias_Registro[[#This Row],[Puntos]],Categorias_Configuracion[],MATCH(Categorias_Configuracion[[#Headers],[% Amplitud]],Categorias_Configuracion[#Headers],0),TRUE)</f>
        <v>0.15</v>
      </c>
      <c r="H1243" s="15" t="str">
        <f ca="1">TEXT(Categorias_Registro[[#This Row],[Mínimo]],Formato_Rango_Categorias)&amp;" - "&amp;TEXT(Categorias_Registro[[#This Row],[Máximo]],Formato_Rango_Categorias)</f>
        <v>1.238 - 1.423</v>
      </c>
    </row>
    <row r="1244" spans="2:8">
      <c r="B1244" s="15">
        <f>Techo - ROW() + ROW(Categorias_Registro[])</f>
        <v>1385</v>
      </c>
      <c r="C1244" s="15">
        <f>IF(Categorias_Registro[[#This Row],[Puntos]]&lt;=ROUND(Piso,0),Piso,IF(Categorias_Registro[[#This Row],[Puntos]]&lt;D1245,C1245,D1245+1))</f>
        <v>1238</v>
      </c>
      <c r="D1244" s="15">
        <f>IF(Categorias_Registro[[#This Row],[Puntos]]=ROUND(Piso,0),ROUND(Categorias_Registro[[#This Row],[Puntos]]*(1+Categorias_Registro[[#This Row],[Amplitud]]),0),IF(Categorias_Registro[[#This Row],[Puntos]]&lt;D1245,D1245,ROUND(D1245*(1+Categorias_Registro[[#This Row],[Amplitud]]),0)))</f>
        <v>1423</v>
      </c>
      <c r="E1244" s="15">
        <f>E1245+IF(D1245=Categorias_Registro[[#This Row],[Máximo]],0,1)</f>
        <v>20</v>
      </c>
      <c r="F1244" s="15">
        <f>ROUND(Categorias_Registro[[#This Row],[Mínimo]]+((Categorias_Registro[[#This Row],[Máximo]]-Categorias_Registro[[#This Row],[Mínimo]])/2),0)</f>
        <v>1331</v>
      </c>
      <c r="G1244" s="78">
        <f>VLOOKUP(Categorias_Registro[[#This Row],[Puntos]],Categorias_Configuracion[],MATCH(Categorias_Configuracion[[#Headers],[% Amplitud]],Categorias_Configuracion[#Headers],0),TRUE)</f>
        <v>0.15</v>
      </c>
      <c r="H1244" s="15" t="str">
        <f ca="1">TEXT(Categorias_Registro[[#This Row],[Mínimo]],Formato_Rango_Categorias)&amp;" - "&amp;TEXT(Categorias_Registro[[#This Row],[Máximo]],Formato_Rango_Categorias)</f>
        <v>1.238 - 1.423</v>
      </c>
    </row>
    <row r="1245" spans="2:8">
      <c r="B1245" s="15">
        <f>Techo - ROW() + ROW(Categorias_Registro[])</f>
        <v>1384</v>
      </c>
      <c r="C1245" s="15">
        <f>IF(Categorias_Registro[[#This Row],[Puntos]]&lt;=ROUND(Piso,0),Piso,IF(Categorias_Registro[[#This Row],[Puntos]]&lt;D1246,C1246,D1246+1))</f>
        <v>1238</v>
      </c>
      <c r="D1245" s="15">
        <f>IF(Categorias_Registro[[#This Row],[Puntos]]=ROUND(Piso,0),ROUND(Categorias_Registro[[#This Row],[Puntos]]*(1+Categorias_Registro[[#This Row],[Amplitud]]),0),IF(Categorias_Registro[[#This Row],[Puntos]]&lt;D1246,D1246,ROUND(D1246*(1+Categorias_Registro[[#This Row],[Amplitud]]),0)))</f>
        <v>1423</v>
      </c>
      <c r="E1245" s="15">
        <f>E1246+IF(D1246=Categorias_Registro[[#This Row],[Máximo]],0,1)</f>
        <v>20</v>
      </c>
      <c r="F1245" s="15">
        <f>ROUND(Categorias_Registro[[#This Row],[Mínimo]]+((Categorias_Registro[[#This Row],[Máximo]]-Categorias_Registro[[#This Row],[Mínimo]])/2),0)</f>
        <v>1331</v>
      </c>
      <c r="G1245" s="78">
        <f>VLOOKUP(Categorias_Registro[[#This Row],[Puntos]],Categorias_Configuracion[],MATCH(Categorias_Configuracion[[#Headers],[% Amplitud]],Categorias_Configuracion[#Headers],0),TRUE)</f>
        <v>0.15</v>
      </c>
      <c r="H1245" s="15" t="str">
        <f ca="1">TEXT(Categorias_Registro[[#This Row],[Mínimo]],Formato_Rango_Categorias)&amp;" - "&amp;TEXT(Categorias_Registro[[#This Row],[Máximo]],Formato_Rango_Categorias)</f>
        <v>1.238 - 1.423</v>
      </c>
    </row>
    <row r="1246" spans="2:8">
      <c r="B1246" s="15">
        <f>Techo - ROW() + ROW(Categorias_Registro[])</f>
        <v>1383</v>
      </c>
      <c r="C1246" s="15">
        <f>IF(Categorias_Registro[[#This Row],[Puntos]]&lt;=ROUND(Piso,0),Piso,IF(Categorias_Registro[[#This Row],[Puntos]]&lt;D1247,C1247,D1247+1))</f>
        <v>1238</v>
      </c>
      <c r="D1246" s="15">
        <f>IF(Categorias_Registro[[#This Row],[Puntos]]=ROUND(Piso,0),ROUND(Categorias_Registro[[#This Row],[Puntos]]*(1+Categorias_Registro[[#This Row],[Amplitud]]),0),IF(Categorias_Registro[[#This Row],[Puntos]]&lt;D1247,D1247,ROUND(D1247*(1+Categorias_Registro[[#This Row],[Amplitud]]),0)))</f>
        <v>1423</v>
      </c>
      <c r="E1246" s="15">
        <f>E1247+IF(D1247=Categorias_Registro[[#This Row],[Máximo]],0,1)</f>
        <v>20</v>
      </c>
      <c r="F1246" s="15">
        <f>ROUND(Categorias_Registro[[#This Row],[Mínimo]]+((Categorias_Registro[[#This Row],[Máximo]]-Categorias_Registro[[#This Row],[Mínimo]])/2),0)</f>
        <v>1331</v>
      </c>
      <c r="G1246" s="78">
        <f>VLOOKUP(Categorias_Registro[[#This Row],[Puntos]],Categorias_Configuracion[],MATCH(Categorias_Configuracion[[#Headers],[% Amplitud]],Categorias_Configuracion[#Headers],0),TRUE)</f>
        <v>0.15</v>
      </c>
      <c r="H1246" s="15" t="str">
        <f ca="1">TEXT(Categorias_Registro[[#This Row],[Mínimo]],Formato_Rango_Categorias)&amp;" - "&amp;TEXT(Categorias_Registro[[#This Row],[Máximo]],Formato_Rango_Categorias)</f>
        <v>1.238 - 1.423</v>
      </c>
    </row>
    <row r="1247" spans="2:8">
      <c r="B1247" s="15">
        <f>Techo - ROW() + ROW(Categorias_Registro[])</f>
        <v>1382</v>
      </c>
      <c r="C1247" s="15">
        <f>IF(Categorias_Registro[[#This Row],[Puntos]]&lt;=ROUND(Piso,0),Piso,IF(Categorias_Registro[[#This Row],[Puntos]]&lt;D1248,C1248,D1248+1))</f>
        <v>1238</v>
      </c>
      <c r="D1247" s="15">
        <f>IF(Categorias_Registro[[#This Row],[Puntos]]=ROUND(Piso,0),ROUND(Categorias_Registro[[#This Row],[Puntos]]*(1+Categorias_Registro[[#This Row],[Amplitud]]),0),IF(Categorias_Registro[[#This Row],[Puntos]]&lt;D1248,D1248,ROUND(D1248*(1+Categorias_Registro[[#This Row],[Amplitud]]),0)))</f>
        <v>1423</v>
      </c>
      <c r="E1247" s="15">
        <f>E1248+IF(D1248=Categorias_Registro[[#This Row],[Máximo]],0,1)</f>
        <v>20</v>
      </c>
      <c r="F1247" s="15">
        <f>ROUND(Categorias_Registro[[#This Row],[Mínimo]]+((Categorias_Registro[[#This Row],[Máximo]]-Categorias_Registro[[#This Row],[Mínimo]])/2),0)</f>
        <v>1331</v>
      </c>
      <c r="G1247" s="78">
        <f>VLOOKUP(Categorias_Registro[[#This Row],[Puntos]],Categorias_Configuracion[],MATCH(Categorias_Configuracion[[#Headers],[% Amplitud]],Categorias_Configuracion[#Headers],0),TRUE)</f>
        <v>0.15</v>
      </c>
      <c r="H1247" s="15" t="str">
        <f ca="1">TEXT(Categorias_Registro[[#This Row],[Mínimo]],Formato_Rango_Categorias)&amp;" - "&amp;TEXT(Categorias_Registro[[#This Row],[Máximo]],Formato_Rango_Categorias)</f>
        <v>1.238 - 1.423</v>
      </c>
    </row>
    <row r="1248" spans="2:8">
      <c r="B1248" s="15">
        <f>Techo - ROW() + ROW(Categorias_Registro[])</f>
        <v>1381</v>
      </c>
      <c r="C1248" s="15">
        <f>IF(Categorias_Registro[[#This Row],[Puntos]]&lt;=ROUND(Piso,0),Piso,IF(Categorias_Registro[[#This Row],[Puntos]]&lt;D1249,C1249,D1249+1))</f>
        <v>1238</v>
      </c>
      <c r="D1248" s="15">
        <f>IF(Categorias_Registro[[#This Row],[Puntos]]=ROUND(Piso,0),ROUND(Categorias_Registro[[#This Row],[Puntos]]*(1+Categorias_Registro[[#This Row],[Amplitud]]),0),IF(Categorias_Registro[[#This Row],[Puntos]]&lt;D1249,D1249,ROUND(D1249*(1+Categorias_Registro[[#This Row],[Amplitud]]),0)))</f>
        <v>1423</v>
      </c>
      <c r="E1248" s="15">
        <f>E1249+IF(D1249=Categorias_Registro[[#This Row],[Máximo]],0,1)</f>
        <v>20</v>
      </c>
      <c r="F1248" s="15">
        <f>ROUND(Categorias_Registro[[#This Row],[Mínimo]]+((Categorias_Registro[[#This Row],[Máximo]]-Categorias_Registro[[#This Row],[Mínimo]])/2),0)</f>
        <v>1331</v>
      </c>
      <c r="G1248" s="78">
        <f>VLOOKUP(Categorias_Registro[[#This Row],[Puntos]],Categorias_Configuracion[],MATCH(Categorias_Configuracion[[#Headers],[% Amplitud]],Categorias_Configuracion[#Headers],0),TRUE)</f>
        <v>0.15</v>
      </c>
      <c r="H1248" s="15" t="str">
        <f ca="1">TEXT(Categorias_Registro[[#This Row],[Mínimo]],Formato_Rango_Categorias)&amp;" - "&amp;TEXT(Categorias_Registro[[#This Row],[Máximo]],Formato_Rango_Categorias)</f>
        <v>1.238 - 1.423</v>
      </c>
    </row>
    <row r="1249" spans="2:8">
      <c r="B1249" s="15">
        <f>Techo - ROW() + ROW(Categorias_Registro[])</f>
        <v>1380</v>
      </c>
      <c r="C1249" s="15">
        <f>IF(Categorias_Registro[[#This Row],[Puntos]]&lt;=ROUND(Piso,0),Piso,IF(Categorias_Registro[[#This Row],[Puntos]]&lt;D1250,C1250,D1250+1))</f>
        <v>1238</v>
      </c>
      <c r="D1249" s="15">
        <f>IF(Categorias_Registro[[#This Row],[Puntos]]=ROUND(Piso,0),ROUND(Categorias_Registro[[#This Row],[Puntos]]*(1+Categorias_Registro[[#This Row],[Amplitud]]),0),IF(Categorias_Registro[[#This Row],[Puntos]]&lt;D1250,D1250,ROUND(D1250*(1+Categorias_Registro[[#This Row],[Amplitud]]),0)))</f>
        <v>1423</v>
      </c>
      <c r="E1249" s="15">
        <f>E1250+IF(D1250=Categorias_Registro[[#This Row],[Máximo]],0,1)</f>
        <v>20</v>
      </c>
      <c r="F1249" s="15">
        <f>ROUND(Categorias_Registro[[#This Row],[Mínimo]]+((Categorias_Registro[[#This Row],[Máximo]]-Categorias_Registro[[#This Row],[Mínimo]])/2),0)</f>
        <v>1331</v>
      </c>
      <c r="G1249" s="78">
        <f>VLOOKUP(Categorias_Registro[[#This Row],[Puntos]],Categorias_Configuracion[],MATCH(Categorias_Configuracion[[#Headers],[% Amplitud]],Categorias_Configuracion[#Headers],0),TRUE)</f>
        <v>0.15</v>
      </c>
      <c r="H1249" s="15" t="str">
        <f ca="1">TEXT(Categorias_Registro[[#This Row],[Mínimo]],Formato_Rango_Categorias)&amp;" - "&amp;TEXT(Categorias_Registro[[#This Row],[Máximo]],Formato_Rango_Categorias)</f>
        <v>1.238 - 1.423</v>
      </c>
    </row>
    <row r="1250" spans="2:8">
      <c r="B1250" s="15">
        <f>Techo - ROW() + ROW(Categorias_Registro[])</f>
        <v>1379</v>
      </c>
      <c r="C1250" s="15">
        <f>IF(Categorias_Registro[[#This Row],[Puntos]]&lt;=ROUND(Piso,0),Piso,IF(Categorias_Registro[[#This Row],[Puntos]]&lt;D1251,C1251,D1251+1))</f>
        <v>1238</v>
      </c>
      <c r="D1250" s="15">
        <f>IF(Categorias_Registro[[#This Row],[Puntos]]=ROUND(Piso,0),ROUND(Categorias_Registro[[#This Row],[Puntos]]*(1+Categorias_Registro[[#This Row],[Amplitud]]),0),IF(Categorias_Registro[[#This Row],[Puntos]]&lt;D1251,D1251,ROUND(D1251*(1+Categorias_Registro[[#This Row],[Amplitud]]),0)))</f>
        <v>1423</v>
      </c>
      <c r="E1250" s="15">
        <f>E1251+IF(D1251=Categorias_Registro[[#This Row],[Máximo]],0,1)</f>
        <v>20</v>
      </c>
      <c r="F1250" s="15">
        <f>ROUND(Categorias_Registro[[#This Row],[Mínimo]]+((Categorias_Registro[[#This Row],[Máximo]]-Categorias_Registro[[#This Row],[Mínimo]])/2),0)</f>
        <v>1331</v>
      </c>
      <c r="G1250" s="78">
        <f>VLOOKUP(Categorias_Registro[[#This Row],[Puntos]],Categorias_Configuracion[],MATCH(Categorias_Configuracion[[#Headers],[% Amplitud]],Categorias_Configuracion[#Headers],0),TRUE)</f>
        <v>0.15</v>
      </c>
      <c r="H1250" s="15" t="str">
        <f ca="1">TEXT(Categorias_Registro[[#This Row],[Mínimo]],Formato_Rango_Categorias)&amp;" - "&amp;TEXT(Categorias_Registro[[#This Row],[Máximo]],Formato_Rango_Categorias)</f>
        <v>1.238 - 1.423</v>
      </c>
    </row>
    <row r="1251" spans="2:8">
      <c r="B1251" s="15">
        <f>Techo - ROW() + ROW(Categorias_Registro[])</f>
        <v>1378</v>
      </c>
      <c r="C1251" s="15">
        <f>IF(Categorias_Registro[[#This Row],[Puntos]]&lt;=ROUND(Piso,0),Piso,IF(Categorias_Registro[[#This Row],[Puntos]]&lt;D1252,C1252,D1252+1))</f>
        <v>1238</v>
      </c>
      <c r="D1251" s="15">
        <f>IF(Categorias_Registro[[#This Row],[Puntos]]=ROUND(Piso,0),ROUND(Categorias_Registro[[#This Row],[Puntos]]*(1+Categorias_Registro[[#This Row],[Amplitud]]),0),IF(Categorias_Registro[[#This Row],[Puntos]]&lt;D1252,D1252,ROUND(D1252*(1+Categorias_Registro[[#This Row],[Amplitud]]),0)))</f>
        <v>1423</v>
      </c>
      <c r="E1251" s="15">
        <f>E1252+IF(D1252=Categorias_Registro[[#This Row],[Máximo]],0,1)</f>
        <v>20</v>
      </c>
      <c r="F1251" s="15">
        <f>ROUND(Categorias_Registro[[#This Row],[Mínimo]]+((Categorias_Registro[[#This Row],[Máximo]]-Categorias_Registro[[#This Row],[Mínimo]])/2),0)</f>
        <v>1331</v>
      </c>
      <c r="G1251" s="78">
        <f>VLOOKUP(Categorias_Registro[[#This Row],[Puntos]],Categorias_Configuracion[],MATCH(Categorias_Configuracion[[#Headers],[% Amplitud]],Categorias_Configuracion[#Headers],0),TRUE)</f>
        <v>0.15</v>
      </c>
      <c r="H1251" s="15" t="str">
        <f ca="1">TEXT(Categorias_Registro[[#This Row],[Mínimo]],Formato_Rango_Categorias)&amp;" - "&amp;TEXT(Categorias_Registro[[#This Row],[Máximo]],Formato_Rango_Categorias)</f>
        <v>1.238 - 1.423</v>
      </c>
    </row>
    <row r="1252" spans="2:8">
      <c r="B1252" s="15">
        <f>Techo - ROW() + ROW(Categorias_Registro[])</f>
        <v>1377</v>
      </c>
      <c r="C1252" s="15">
        <f>IF(Categorias_Registro[[#This Row],[Puntos]]&lt;=ROUND(Piso,0),Piso,IF(Categorias_Registro[[#This Row],[Puntos]]&lt;D1253,C1253,D1253+1))</f>
        <v>1238</v>
      </c>
      <c r="D1252" s="15">
        <f>IF(Categorias_Registro[[#This Row],[Puntos]]=ROUND(Piso,0),ROUND(Categorias_Registro[[#This Row],[Puntos]]*(1+Categorias_Registro[[#This Row],[Amplitud]]),0),IF(Categorias_Registro[[#This Row],[Puntos]]&lt;D1253,D1253,ROUND(D1253*(1+Categorias_Registro[[#This Row],[Amplitud]]),0)))</f>
        <v>1423</v>
      </c>
      <c r="E1252" s="15">
        <f>E1253+IF(D1253=Categorias_Registro[[#This Row],[Máximo]],0,1)</f>
        <v>20</v>
      </c>
      <c r="F1252" s="15">
        <f>ROUND(Categorias_Registro[[#This Row],[Mínimo]]+((Categorias_Registro[[#This Row],[Máximo]]-Categorias_Registro[[#This Row],[Mínimo]])/2),0)</f>
        <v>1331</v>
      </c>
      <c r="G1252" s="78">
        <f>VLOOKUP(Categorias_Registro[[#This Row],[Puntos]],Categorias_Configuracion[],MATCH(Categorias_Configuracion[[#Headers],[% Amplitud]],Categorias_Configuracion[#Headers],0),TRUE)</f>
        <v>0.15</v>
      </c>
      <c r="H1252" s="15" t="str">
        <f ca="1">TEXT(Categorias_Registro[[#This Row],[Mínimo]],Formato_Rango_Categorias)&amp;" - "&amp;TEXT(Categorias_Registro[[#This Row],[Máximo]],Formato_Rango_Categorias)</f>
        <v>1.238 - 1.423</v>
      </c>
    </row>
    <row r="1253" spans="2:8">
      <c r="B1253" s="15">
        <f>Techo - ROW() + ROW(Categorias_Registro[])</f>
        <v>1376</v>
      </c>
      <c r="C1253" s="15">
        <f>IF(Categorias_Registro[[#This Row],[Puntos]]&lt;=ROUND(Piso,0),Piso,IF(Categorias_Registro[[#This Row],[Puntos]]&lt;D1254,C1254,D1254+1))</f>
        <v>1238</v>
      </c>
      <c r="D1253" s="15">
        <f>IF(Categorias_Registro[[#This Row],[Puntos]]=ROUND(Piso,0),ROUND(Categorias_Registro[[#This Row],[Puntos]]*(1+Categorias_Registro[[#This Row],[Amplitud]]),0),IF(Categorias_Registro[[#This Row],[Puntos]]&lt;D1254,D1254,ROUND(D1254*(1+Categorias_Registro[[#This Row],[Amplitud]]),0)))</f>
        <v>1423</v>
      </c>
      <c r="E1253" s="15">
        <f>E1254+IF(D1254=Categorias_Registro[[#This Row],[Máximo]],0,1)</f>
        <v>20</v>
      </c>
      <c r="F1253" s="15">
        <f>ROUND(Categorias_Registro[[#This Row],[Mínimo]]+((Categorias_Registro[[#This Row],[Máximo]]-Categorias_Registro[[#This Row],[Mínimo]])/2),0)</f>
        <v>1331</v>
      </c>
      <c r="G1253" s="78">
        <f>VLOOKUP(Categorias_Registro[[#This Row],[Puntos]],Categorias_Configuracion[],MATCH(Categorias_Configuracion[[#Headers],[% Amplitud]],Categorias_Configuracion[#Headers],0),TRUE)</f>
        <v>0.15</v>
      </c>
      <c r="H1253" s="15" t="str">
        <f ca="1">TEXT(Categorias_Registro[[#This Row],[Mínimo]],Formato_Rango_Categorias)&amp;" - "&amp;TEXT(Categorias_Registro[[#This Row],[Máximo]],Formato_Rango_Categorias)</f>
        <v>1.238 - 1.423</v>
      </c>
    </row>
    <row r="1254" spans="2:8">
      <c r="B1254" s="15">
        <f>Techo - ROW() + ROW(Categorias_Registro[])</f>
        <v>1375</v>
      </c>
      <c r="C1254" s="15">
        <f>IF(Categorias_Registro[[#This Row],[Puntos]]&lt;=ROUND(Piso,0),Piso,IF(Categorias_Registro[[#This Row],[Puntos]]&lt;D1255,C1255,D1255+1))</f>
        <v>1238</v>
      </c>
      <c r="D1254" s="15">
        <f>IF(Categorias_Registro[[#This Row],[Puntos]]=ROUND(Piso,0),ROUND(Categorias_Registro[[#This Row],[Puntos]]*(1+Categorias_Registro[[#This Row],[Amplitud]]),0),IF(Categorias_Registro[[#This Row],[Puntos]]&lt;D1255,D1255,ROUND(D1255*(1+Categorias_Registro[[#This Row],[Amplitud]]),0)))</f>
        <v>1423</v>
      </c>
      <c r="E1254" s="15">
        <f>E1255+IF(D1255=Categorias_Registro[[#This Row],[Máximo]],0,1)</f>
        <v>20</v>
      </c>
      <c r="F1254" s="15">
        <f>ROUND(Categorias_Registro[[#This Row],[Mínimo]]+((Categorias_Registro[[#This Row],[Máximo]]-Categorias_Registro[[#This Row],[Mínimo]])/2),0)</f>
        <v>1331</v>
      </c>
      <c r="G1254" s="78">
        <f>VLOOKUP(Categorias_Registro[[#This Row],[Puntos]],Categorias_Configuracion[],MATCH(Categorias_Configuracion[[#Headers],[% Amplitud]],Categorias_Configuracion[#Headers],0),TRUE)</f>
        <v>0.15</v>
      </c>
      <c r="H1254" s="15" t="str">
        <f ca="1">TEXT(Categorias_Registro[[#This Row],[Mínimo]],Formato_Rango_Categorias)&amp;" - "&amp;TEXT(Categorias_Registro[[#This Row],[Máximo]],Formato_Rango_Categorias)</f>
        <v>1.238 - 1.423</v>
      </c>
    </row>
    <row r="1255" spans="2:8">
      <c r="B1255" s="15">
        <f>Techo - ROW() + ROW(Categorias_Registro[])</f>
        <v>1374</v>
      </c>
      <c r="C1255" s="15">
        <f>IF(Categorias_Registro[[#This Row],[Puntos]]&lt;=ROUND(Piso,0),Piso,IF(Categorias_Registro[[#This Row],[Puntos]]&lt;D1256,C1256,D1256+1))</f>
        <v>1238</v>
      </c>
      <c r="D1255" s="15">
        <f>IF(Categorias_Registro[[#This Row],[Puntos]]=ROUND(Piso,0),ROUND(Categorias_Registro[[#This Row],[Puntos]]*(1+Categorias_Registro[[#This Row],[Amplitud]]),0),IF(Categorias_Registro[[#This Row],[Puntos]]&lt;D1256,D1256,ROUND(D1256*(1+Categorias_Registro[[#This Row],[Amplitud]]),0)))</f>
        <v>1423</v>
      </c>
      <c r="E1255" s="15">
        <f>E1256+IF(D1256=Categorias_Registro[[#This Row],[Máximo]],0,1)</f>
        <v>20</v>
      </c>
      <c r="F1255" s="15">
        <f>ROUND(Categorias_Registro[[#This Row],[Mínimo]]+((Categorias_Registro[[#This Row],[Máximo]]-Categorias_Registro[[#This Row],[Mínimo]])/2),0)</f>
        <v>1331</v>
      </c>
      <c r="G1255" s="78">
        <f>VLOOKUP(Categorias_Registro[[#This Row],[Puntos]],Categorias_Configuracion[],MATCH(Categorias_Configuracion[[#Headers],[% Amplitud]],Categorias_Configuracion[#Headers],0),TRUE)</f>
        <v>0.15</v>
      </c>
      <c r="H1255" s="15" t="str">
        <f ca="1">TEXT(Categorias_Registro[[#This Row],[Mínimo]],Formato_Rango_Categorias)&amp;" - "&amp;TEXT(Categorias_Registro[[#This Row],[Máximo]],Formato_Rango_Categorias)</f>
        <v>1.238 - 1.423</v>
      </c>
    </row>
    <row r="1256" spans="2:8">
      <c r="B1256" s="15">
        <f>Techo - ROW() + ROW(Categorias_Registro[])</f>
        <v>1373</v>
      </c>
      <c r="C1256" s="15">
        <f>IF(Categorias_Registro[[#This Row],[Puntos]]&lt;=ROUND(Piso,0),Piso,IF(Categorias_Registro[[#This Row],[Puntos]]&lt;D1257,C1257,D1257+1))</f>
        <v>1238</v>
      </c>
      <c r="D1256" s="15">
        <f>IF(Categorias_Registro[[#This Row],[Puntos]]=ROUND(Piso,0),ROUND(Categorias_Registro[[#This Row],[Puntos]]*(1+Categorias_Registro[[#This Row],[Amplitud]]),0),IF(Categorias_Registro[[#This Row],[Puntos]]&lt;D1257,D1257,ROUND(D1257*(1+Categorias_Registro[[#This Row],[Amplitud]]),0)))</f>
        <v>1423</v>
      </c>
      <c r="E1256" s="15">
        <f>E1257+IF(D1257=Categorias_Registro[[#This Row],[Máximo]],0,1)</f>
        <v>20</v>
      </c>
      <c r="F1256" s="15">
        <f>ROUND(Categorias_Registro[[#This Row],[Mínimo]]+((Categorias_Registro[[#This Row],[Máximo]]-Categorias_Registro[[#This Row],[Mínimo]])/2),0)</f>
        <v>1331</v>
      </c>
      <c r="G1256" s="78">
        <f>VLOOKUP(Categorias_Registro[[#This Row],[Puntos]],Categorias_Configuracion[],MATCH(Categorias_Configuracion[[#Headers],[% Amplitud]],Categorias_Configuracion[#Headers],0),TRUE)</f>
        <v>0.15</v>
      </c>
      <c r="H1256" s="15" t="str">
        <f ca="1">TEXT(Categorias_Registro[[#This Row],[Mínimo]],Formato_Rango_Categorias)&amp;" - "&amp;TEXT(Categorias_Registro[[#This Row],[Máximo]],Formato_Rango_Categorias)</f>
        <v>1.238 - 1.423</v>
      </c>
    </row>
    <row r="1257" spans="2:8">
      <c r="B1257" s="15">
        <f>Techo - ROW() + ROW(Categorias_Registro[])</f>
        <v>1372</v>
      </c>
      <c r="C1257" s="15">
        <f>IF(Categorias_Registro[[#This Row],[Puntos]]&lt;=ROUND(Piso,0),Piso,IF(Categorias_Registro[[#This Row],[Puntos]]&lt;D1258,C1258,D1258+1))</f>
        <v>1238</v>
      </c>
      <c r="D1257" s="15">
        <f>IF(Categorias_Registro[[#This Row],[Puntos]]=ROUND(Piso,0),ROUND(Categorias_Registro[[#This Row],[Puntos]]*(1+Categorias_Registro[[#This Row],[Amplitud]]),0),IF(Categorias_Registro[[#This Row],[Puntos]]&lt;D1258,D1258,ROUND(D1258*(1+Categorias_Registro[[#This Row],[Amplitud]]),0)))</f>
        <v>1423</v>
      </c>
      <c r="E1257" s="15">
        <f>E1258+IF(D1258=Categorias_Registro[[#This Row],[Máximo]],0,1)</f>
        <v>20</v>
      </c>
      <c r="F1257" s="15">
        <f>ROUND(Categorias_Registro[[#This Row],[Mínimo]]+((Categorias_Registro[[#This Row],[Máximo]]-Categorias_Registro[[#This Row],[Mínimo]])/2),0)</f>
        <v>1331</v>
      </c>
      <c r="G1257" s="78">
        <f>VLOOKUP(Categorias_Registro[[#This Row],[Puntos]],Categorias_Configuracion[],MATCH(Categorias_Configuracion[[#Headers],[% Amplitud]],Categorias_Configuracion[#Headers],0),TRUE)</f>
        <v>0.15</v>
      </c>
      <c r="H1257" s="15" t="str">
        <f ca="1">TEXT(Categorias_Registro[[#This Row],[Mínimo]],Formato_Rango_Categorias)&amp;" - "&amp;TEXT(Categorias_Registro[[#This Row],[Máximo]],Formato_Rango_Categorias)</f>
        <v>1.238 - 1.423</v>
      </c>
    </row>
    <row r="1258" spans="2:8">
      <c r="B1258" s="15">
        <f>Techo - ROW() + ROW(Categorias_Registro[])</f>
        <v>1371</v>
      </c>
      <c r="C1258" s="15">
        <f>IF(Categorias_Registro[[#This Row],[Puntos]]&lt;=ROUND(Piso,0),Piso,IF(Categorias_Registro[[#This Row],[Puntos]]&lt;D1259,C1259,D1259+1))</f>
        <v>1238</v>
      </c>
      <c r="D1258" s="15">
        <f>IF(Categorias_Registro[[#This Row],[Puntos]]=ROUND(Piso,0),ROUND(Categorias_Registro[[#This Row],[Puntos]]*(1+Categorias_Registro[[#This Row],[Amplitud]]),0),IF(Categorias_Registro[[#This Row],[Puntos]]&lt;D1259,D1259,ROUND(D1259*(1+Categorias_Registro[[#This Row],[Amplitud]]),0)))</f>
        <v>1423</v>
      </c>
      <c r="E1258" s="15">
        <f>E1259+IF(D1259=Categorias_Registro[[#This Row],[Máximo]],0,1)</f>
        <v>20</v>
      </c>
      <c r="F1258" s="15">
        <f>ROUND(Categorias_Registro[[#This Row],[Mínimo]]+((Categorias_Registro[[#This Row],[Máximo]]-Categorias_Registro[[#This Row],[Mínimo]])/2),0)</f>
        <v>1331</v>
      </c>
      <c r="G1258" s="78">
        <f>VLOOKUP(Categorias_Registro[[#This Row],[Puntos]],Categorias_Configuracion[],MATCH(Categorias_Configuracion[[#Headers],[% Amplitud]],Categorias_Configuracion[#Headers],0),TRUE)</f>
        <v>0.15</v>
      </c>
      <c r="H1258" s="15" t="str">
        <f ca="1">TEXT(Categorias_Registro[[#This Row],[Mínimo]],Formato_Rango_Categorias)&amp;" - "&amp;TEXT(Categorias_Registro[[#This Row],[Máximo]],Formato_Rango_Categorias)</f>
        <v>1.238 - 1.423</v>
      </c>
    </row>
    <row r="1259" spans="2:8">
      <c r="B1259" s="15">
        <f>Techo - ROW() + ROW(Categorias_Registro[])</f>
        <v>1370</v>
      </c>
      <c r="C1259" s="15">
        <f>IF(Categorias_Registro[[#This Row],[Puntos]]&lt;=ROUND(Piso,0),Piso,IF(Categorias_Registro[[#This Row],[Puntos]]&lt;D1260,C1260,D1260+1))</f>
        <v>1238</v>
      </c>
      <c r="D1259" s="15">
        <f>IF(Categorias_Registro[[#This Row],[Puntos]]=ROUND(Piso,0),ROUND(Categorias_Registro[[#This Row],[Puntos]]*(1+Categorias_Registro[[#This Row],[Amplitud]]),0),IF(Categorias_Registro[[#This Row],[Puntos]]&lt;D1260,D1260,ROUND(D1260*(1+Categorias_Registro[[#This Row],[Amplitud]]),0)))</f>
        <v>1423</v>
      </c>
      <c r="E1259" s="15">
        <f>E1260+IF(D1260=Categorias_Registro[[#This Row],[Máximo]],0,1)</f>
        <v>20</v>
      </c>
      <c r="F1259" s="15">
        <f>ROUND(Categorias_Registro[[#This Row],[Mínimo]]+((Categorias_Registro[[#This Row],[Máximo]]-Categorias_Registro[[#This Row],[Mínimo]])/2),0)</f>
        <v>1331</v>
      </c>
      <c r="G1259" s="78">
        <f>VLOOKUP(Categorias_Registro[[#This Row],[Puntos]],Categorias_Configuracion[],MATCH(Categorias_Configuracion[[#Headers],[% Amplitud]],Categorias_Configuracion[#Headers],0),TRUE)</f>
        <v>0.15</v>
      </c>
      <c r="H1259" s="15" t="str">
        <f ca="1">TEXT(Categorias_Registro[[#This Row],[Mínimo]],Formato_Rango_Categorias)&amp;" - "&amp;TEXT(Categorias_Registro[[#This Row],[Máximo]],Formato_Rango_Categorias)</f>
        <v>1.238 - 1.423</v>
      </c>
    </row>
    <row r="1260" spans="2:8">
      <c r="B1260" s="15">
        <f>Techo - ROW() + ROW(Categorias_Registro[])</f>
        <v>1369</v>
      </c>
      <c r="C1260" s="15">
        <f>IF(Categorias_Registro[[#This Row],[Puntos]]&lt;=ROUND(Piso,0),Piso,IF(Categorias_Registro[[#This Row],[Puntos]]&lt;D1261,C1261,D1261+1))</f>
        <v>1238</v>
      </c>
      <c r="D1260" s="15">
        <f>IF(Categorias_Registro[[#This Row],[Puntos]]=ROUND(Piso,0),ROUND(Categorias_Registro[[#This Row],[Puntos]]*(1+Categorias_Registro[[#This Row],[Amplitud]]),0),IF(Categorias_Registro[[#This Row],[Puntos]]&lt;D1261,D1261,ROUND(D1261*(1+Categorias_Registro[[#This Row],[Amplitud]]),0)))</f>
        <v>1423</v>
      </c>
      <c r="E1260" s="15">
        <f>E1261+IF(D1261=Categorias_Registro[[#This Row],[Máximo]],0,1)</f>
        <v>20</v>
      </c>
      <c r="F1260" s="15">
        <f>ROUND(Categorias_Registro[[#This Row],[Mínimo]]+((Categorias_Registro[[#This Row],[Máximo]]-Categorias_Registro[[#This Row],[Mínimo]])/2),0)</f>
        <v>1331</v>
      </c>
      <c r="G1260" s="78">
        <f>VLOOKUP(Categorias_Registro[[#This Row],[Puntos]],Categorias_Configuracion[],MATCH(Categorias_Configuracion[[#Headers],[% Amplitud]],Categorias_Configuracion[#Headers],0),TRUE)</f>
        <v>0.15</v>
      </c>
      <c r="H1260" s="15" t="str">
        <f ca="1">TEXT(Categorias_Registro[[#This Row],[Mínimo]],Formato_Rango_Categorias)&amp;" - "&amp;TEXT(Categorias_Registro[[#This Row],[Máximo]],Formato_Rango_Categorias)</f>
        <v>1.238 - 1.423</v>
      </c>
    </row>
    <row r="1261" spans="2:8">
      <c r="B1261" s="15">
        <f>Techo - ROW() + ROW(Categorias_Registro[])</f>
        <v>1368</v>
      </c>
      <c r="C1261" s="15">
        <f>IF(Categorias_Registro[[#This Row],[Puntos]]&lt;=ROUND(Piso,0),Piso,IF(Categorias_Registro[[#This Row],[Puntos]]&lt;D1262,C1262,D1262+1))</f>
        <v>1238</v>
      </c>
      <c r="D1261" s="15">
        <f>IF(Categorias_Registro[[#This Row],[Puntos]]=ROUND(Piso,0),ROUND(Categorias_Registro[[#This Row],[Puntos]]*(1+Categorias_Registro[[#This Row],[Amplitud]]),0),IF(Categorias_Registro[[#This Row],[Puntos]]&lt;D1262,D1262,ROUND(D1262*(1+Categorias_Registro[[#This Row],[Amplitud]]),0)))</f>
        <v>1423</v>
      </c>
      <c r="E1261" s="15">
        <f>E1262+IF(D1262=Categorias_Registro[[#This Row],[Máximo]],0,1)</f>
        <v>20</v>
      </c>
      <c r="F1261" s="15">
        <f>ROUND(Categorias_Registro[[#This Row],[Mínimo]]+((Categorias_Registro[[#This Row],[Máximo]]-Categorias_Registro[[#This Row],[Mínimo]])/2),0)</f>
        <v>1331</v>
      </c>
      <c r="G1261" s="78">
        <f>VLOOKUP(Categorias_Registro[[#This Row],[Puntos]],Categorias_Configuracion[],MATCH(Categorias_Configuracion[[#Headers],[% Amplitud]],Categorias_Configuracion[#Headers],0),TRUE)</f>
        <v>0.15</v>
      </c>
      <c r="H1261" s="15" t="str">
        <f ca="1">TEXT(Categorias_Registro[[#This Row],[Mínimo]],Formato_Rango_Categorias)&amp;" - "&amp;TEXT(Categorias_Registro[[#This Row],[Máximo]],Formato_Rango_Categorias)</f>
        <v>1.238 - 1.423</v>
      </c>
    </row>
    <row r="1262" spans="2:8">
      <c r="B1262" s="15">
        <f>Techo - ROW() + ROW(Categorias_Registro[])</f>
        <v>1367</v>
      </c>
      <c r="C1262" s="15">
        <f>IF(Categorias_Registro[[#This Row],[Puntos]]&lt;=ROUND(Piso,0),Piso,IF(Categorias_Registro[[#This Row],[Puntos]]&lt;D1263,C1263,D1263+1))</f>
        <v>1238</v>
      </c>
      <c r="D1262" s="15">
        <f>IF(Categorias_Registro[[#This Row],[Puntos]]=ROUND(Piso,0),ROUND(Categorias_Registro[[#This Row],[Puntos]]*(1+Categorias_Registro[[#This Row],[Amplitud]]),0),IF(Categorias_Registro[[#This Row],[Puntos]]&lt;D1263,D1263,ROUND(D1263*(1+Categorias_Registro[[#This Row],[Amplitud]]),0)))</f>
        <v>1423</v>
      </c>
      <c r="E1262" s="15">
        <f>E1263+IF(D1263=Categorias_Registro[[#This Row],[Máximo]],0,1)</f>
        <v>20</v>
      </c>
      <c r="F1262" s="15">
        <f>ROUND(Categorias_Registro[[#This Row],[Mínimo]]+((Categorias_Registro[[#This Row],[Máximo]]-Categorias_Registro[[#This Row],[Mínimo]])/2),0)</f>
        <v>1331</v>
      </c>
      <c r="G1262" s="78">
        <f>VLOOKUP(Categorias_Registro[[#This Row],[Puntos]],Categorias_Configuracion[],MATCH(Categorias_Configuracion[[#Headers],[% Amplitud]],Categorias_Configuracion[#Headers],0),TRUE)</f>
        <v>0.15</v>
      </c>
      <c r="H1262" s="15" t="str">
        <f ca="1">TEXT(Categorias_Registro[[#This Row],[Mínimo]],Formato_Rango_Categorias)&amp;" - "&amp;TEXT(Categorias_Registro[[#This Row],[Máximo]],Formato_Rango_Categorias)</f>
        <v>1.238 - 1.423</v>
      </c>
    </row>
    <row r="1263" spans="2:8">
      <c r="B1263" s="15">
        <f>Techo - ROW() + ROW(Categorias_Registro[])</f>
        <v>1366</v>
      </c>
      <c r="C1263" s="15">
        <f>IF(Categorias_Registro[[#This Row],[Puntos]]&lt;=ROUND(Piso,0),Piso,IF(Categorias_Registro[[#This Row],[Puntos]]&lt;D1264,C1264,D1264+1))</f>
        <v>1238</v>
      </c>
      <c r="D1263" s="15">
        <f>IF(Categorias_Registro[[#This Row],[Puntos]]=ROUND(Piso,0),ROUND(Categorias_Registro[[#This Row],[Puntos]]*(1+Categorias_Registro[[#This Row],[Amplitud]]),0),IF(Categorias_Registro[[#This Row],[Puntos]]&lt;D1264,D1264,ROUND(D1264*(1+Categorias_Registro[[#This Row],[Amplitud]]),0)))</f>
        <v>1423</v>
      </c>
      <c r="E1263" s="15">
        <f>E1264+IF(D1264=Categorias_Registro[[#This Row],[Máximo]],0,1)</f>
        <v>20</v>
      </c>
      <c r="F1263" s="15">
        <f>ROUND(Categorias_Registro[[#This Row],[Mínimo]]+((Categorias_Registro[[#This Row],[Máximo]]-Categorias_Registro[[#This Row],[Mínimo]])/2),0)</f>
        <v>1331</v>
      </c>
      <c r="G1263" s="78">
        <f>VLOOKUP(Categorias_Registro[[#This Row],[Puntos]],Categorias_Configuracion[],MATCH(Categorias_Configuracion[[#Headers],[% Amplitud]],Categorias_Configuracion[#Headers],0),TRUE)</f>
        <v>0.15</v>
      </c>
      <c r="H1263" s="15" t="str">
        <f ca="1">TEXT(Categorias_Registro[[#This Row],[Mínimo]],Formato_Rango_Categorias)&amp;" - "&amp;TEXT(Categorias_Registro[[#This Row],[Máximo]],Formato_Rango_Categorias)</f>
        <v>1.238 - 1.423</v>
      </c>
    </row>
    <row r="1264" spans="2:8">
      <c r="B1264" s="15">
        <f>Techo - ROW() + ROW(Categorias_Registro[])</f>
        <v>1365</v>
      </c>
      <c r="C1264" s="15">
        <f>IF(Categorias_Registro[[#This Row],[Puntos]]&lt;=ROUND(Piso,0),Piso,IF(Categorias_Registro[[#This Row],[Puntos]]&lt;D1265,C1265,D1265+1))</f>
        <v>1238</v>
      </c>
      <c r="D1264" s="15">
        <f>IF(Categorias_Registro[[#This Row],[Puntos]]=ROUND(Piso,0),ROUND(Categorias_Registro[[#This Row],[Puntos]]*(1+Categorias_Registro[[#This Row],[Amplitud]]),0),IF(Categorias_Registro[[#This Row],[Puntos]]&lt;D1265,D1265,ROUND(D1265*(1+Categorias_Registro[[#This Row],[Amplitud]]),0)))</f>
        <v>1423</v>
      </c>
      <c r="E1264" s="15">
        <f>E1265+IF(D1265=Categorias_Registro[[#This Row],[Máximo]],0,1)</f>
        <v>20</v>
      </c>
      <c r="F1264" s="15">
        <f>ROUND(Categorias_Registro[[#This Row],[Mínimo]]+((Categorias_Registro[[#This Row],[Máximo]]-Categorias_Registro[[#This Row],[Mínimo]])/2),0)</f>
        <v>1331</v>
      </c>
      <c r="G1264" s="78">
        <f>VLOOKUP(Categorias_Registro[[#This Row],[Puntos]],Categorias_Configuracion[],MATCH(Categorias_Configuracion[[#Headers],[% Amplitud]],Categorias_Configuracion[#Headers],0),TRUE)</f>
        <v>0.15</v>
      </c>
      <c r="H1264" s="15" t="str">
        <f ca="1">TEXT(Categorias_Registro[[#This Row],[Mínimo]],Formato_Rango_Categorias)&amp;" - "&amp;TEXT(Categorias_Registro[[#This Row],[Máximo]],Formato_Rango_Categorias)</f>
        <v>1.238 - 1.423</v>
      </c>
    </row>
    <row r="1265" spans="2:8">
      <c r="B1265" s="15">
        <f>Techo - ROW() + ROW(Categorias_Registro[])</f>
        <v>1364</v>
      </c>
      <c r="C1265" s="15">
        <f>IF(Categorias_Registro[[#This Row],[Puntos]]&lt;=ROUND(Piso,0),Piso,IF(Categorias_Registro[[#This Row],[Puntos]]&lt;D1266,C1266,D1266+1))</f>
        <v>1238</v>
      </c>
      <c r="D1265" s="15">
        <f>IF(Categorias_Registro[[#This Row],[Puntos]]=ROUND(Piso,0),ROUND(Categorias_Registro[[#This Row],[Puntos]]*(1+Categorias_Registro[[#This Row],[Amplitud]]),0),IF(Categorias_Registro[[#This Row],[Puntos]]&lt;D1266,D1266,ROUND(D1266*(1+Categorias_Registro[[#This Row],[Amplitud]]),0)))</f>
        <v>1423</v>
      </c>
      <c r="E1265" s="15">
        <f>E1266+IF(D1266=Categorias_Registro[[#This Row],[Máximo]],0,1)</f>
        <v>20</v>
      </c>
      <c r="F1265" s="15">
        <f>ROUND(Categorias_Registro[[#This Row],[Mínimo]]+((Categorias_Registro[[#This Row],[Máximo]]-Categorias_Registro[[#This Row],[Mínimo]])/2),0)</f>
        <v>1331</v>
      </c>
      <c r="G1265" s="78">
        <f>VLOOKUP(Categorias_Registro[[#This Row],[Puntos]],Categorias_Configuracion[],MATCH(Categorias_Configuracion[[#Headers],[% Amplitud]],Categorias_Configuracion[#Headers],0),TRUE)</f>
        <v>0.15</v>
      </c>
      <c r="H1265" s="15" t="str">
        <f ca="1">TEXT(Categorias_Registro[[#This Row],[Mínimo]],Formato_Rango_Categorias)&amp;" - "&amp;TEXT(Categorias_Registro[[#This Row],[Máximo]],Formato_Rango_Categorias)</f>
        <v>1.238 - 1.423</v>
      </c>
    </row>
    <row r="1266" spans="2:8">
      <c r="B1266" s="15">
        <f>Techo - ROW() + ROW(Categorias_Registro[])</f>
        <v>1363</v>
      </c>
      <c r="C1266" s="15">
        <f>IF(Categorias_Registro[[#This Row],[Puntos]]&lt;=ROUND(Piso,0),Piso,IF(Categorias_Registro[[#This Row],[Puntos]]&lt;D1267,C1267,D1267+1))</f>
        <v>1238</v>
      </c>
      <c r="D1266" s="15">
        <f>IF(Categorias_Registro[[#This Row],[Puntos]]=ROUND(Piso,0),ROUND(Categorias_Registro[[#This Row],[Puntos]]*(1+Categorias_Registro[[#This Row],[Amplitud]]),0),IF(Categorias_Registro[[#This Row],[Puntos]]&lt;D1267,D1267,ROUND(D1267*(1+Categorias_Registro[[#This Row],[Amplitud]]),0)))</f>
        <v>1423</v>
      </c>
      <c r="E1266" s="15">
        <f>E1267+IF(D1267=Categorias_Registro[[#This Row],[Máximo]],0,1)</f>
        <v>20</v>
      </c>
      <c r="F1266" s="15">
        <f>ROUND(Categorias_Registro[[#This Row],[Mínimo]]+((Categorias_Registro[[#This Row],[Máximo]]-Categorias_Registro[[#This Row],[Mínimo]])/2),0)</f>
        <v>1331</v>
      </c>
      <c r="G1266" s="78">
        <f>VLOOKUP(Categorias_Registro[[#This Row],[Puntos]],Categorias_Configuracion[],MATCH(Categorias_Configuracion[[#Headers],[% Amplitud]],Categorias_Configuracion[#Headers],0),TRUE)</f>
        <v>0.15</v>
      </c>
      <c r="H1266" s="15" t="str">
        <f ca="1">TEXT(Categorias_Registro[[#This Row],[Mínimo]],Formato_Rango_Categorias)&amp;" - "&amp;TEXT(Categorias_Registro[[#This Row],[Máximo]],Formato_Rango_Categorias)</f>
        <v>1.238 - 1.423</v>
      </c>
    </row>
    <row r="1267" spans="2:8">
      <c r="B1267" s="15">
        <f>Techo - ROW() + ROW(Categorias_Registro[])</f>
        <v>1362</v>
      </c>
      <c r="C1267" s="15">
        <f>IF(Categorias_Registro[[#This Row],[Puntos]]&lt;=ROUND(Piso,0),Piso,IF(Categorias_Registro[[#This Row],[Puntos]]&lt;D1268,C1268,D1268+1))</f>
        <v>1238</v>
      </c>
      <c r="D1267" s="15">
        <f>IF(Categorias_Registro[[#This Row],[Puntos]]=ROUND(Piso,0),ROUND(Categorias_Registro[[#This Row],[Puntos]]*(1+Categorias_Registro[[#This Row],[Amplitud]]),0),IF(Categorias_Registro[[#This Row],[Puntos]]&lt;D1268,D1268,ROUND(D1268*(1+Categorias_Registro[[#This Row],[Amplitud]]),0)))</f>
        <v>1423</v>
      </c>
      <c r="E1267" s="15">
        <f>E1268+IF(D1268=Categorias_Registro[[#This Row],[Máximo]],0,1)</f>
        <v>20</v>
      </c>
      <c r="F1267" s="15">
        <f>ROUND(Categorias_Registro[[#This Row],[Mínimo]]+((Categorias_Registro[[#This Row],[Máximo]]-Categorias_Registro[[#This Row],[Mínimo]])/2),0)</f>
        <v>1331</v>
      </c>
      <c r="G1267" s="78">
        <f>VLOOKUP(Categorias_Registro[[#This Row],[Puntos]],Categorias_Configuracion[],MATCH(Categorias_Configuracion[[#Headers],[% Amplitud]],Categorias_Configuracion[#Headers],0),TRUE)</f>
        <v>0.15</v>
      </c>
      <c r="H1267" s="15" t="str">
        <f ca="1">TEXT(Categorias_Registro[[#This Row],[Mínimo]],Formato_Rango_Categorias)&amp;" - "&amp;TEXT(Categorias_Registro[[#This Row],[Máximo]],Formato_Rango_Categorias)</f>
        <v>1.238 - 1.423</v>
      </c>
    </row>
    <row r="1268" spans="2:8">
      <c r="B1268" s="15">
        <f>Techo - ROW() + ROW(Categorias_Registro[])</f>
        <v>1361</v>
      </c>
      <c r="C1268" s="15">
        <f>IF(Categorias_Registro[[#This Row],[Puntos]]&lt;=ROUND(Piso,0),Piso,IF(Categorias_Registro[[#This Row],[Puntos]]&lt;D1269,C1269,D1269+1))</f>
        <v>1238</v>
      </c>
      <c r="D1268" s="15">
        <f>IF(Categorias_Registro[[#This Row],[Puntos]]=ROUND(Piso,0),ROUND(Categorias_Registro[[#This Row],[Puntos]]*(1+Categorias_Registro[[#This Row],[Amplitud]]),0),IF(Categorias_Registro[[#This Row],[Puntos]]&lt;D1269,D1269,ROUND(D1269*(1+Categorias_Registro[[#This Row],[Amplitud]]),0)))</f>
        <v>1423</v>
      </c>
      <c r="E1268" s="15">
        <f>E1269+IF(D1269=Categorias_Registro[[#This Row],[Máximo]],0,1)</f>
        <v>20</v>
      </c>
      <c r="F1268" s="15">
        <f>ROUND(Categorias_Registro[[#This Row],[Mínimo]]+((Categorias_Registro[[#This Row],[Máximo]]-Categorias_Registro[[#This Row],[Mínimo]])/2),0)</f>
        <v>1331</v>
      </c>
      <c r="G1268" s="78">
        <f>VLOOKUP(Categorias_Registro[[#This Row],[Puntos]],Categorias_Configuracion[],MATCH(Categorias_Configuracion[[#Headers],[% Amplitud]],Categorias_Configuracion[#Headers],0),TRUE)</f>
        <v>0.15</v>
      </c>
      <c r="H1268" s="15" t="str">
        <f ca="1">TEXT(Categorias_Registro[[#This Row],[Mínimo]],Formato_Rango_Categorias)&amp;" - "&amp;TEXT(Categorias_Registro[[#This Row],[Máximo]],Formato_Rango_Categorias)</f>
        <v>1.238 - 1.423</v>
      </c>
    </row>
    <row r="1269" spans="2:8">
      <c r="B1269" s="15">
        <f>Techo - ROW() + ROW(Categorias_Registro[])</f>
        <v>1360</v>
      </c>
      <c r="C1269" s="15">
        <f>IF(Categorias_Registro[[#This Row],[Puntos]]&lt;=ROUND(Piso,0),Piso,IF(Categorias_Registro[[#This Row],[Puntos]]&lt;D1270,C1270,D1270+1))</f>
        <v>1238</v>
      </c>
      <c r="D1269" s="15">
        <f>IF(Categorias_Registro[[#This Row],[Puntos]]=ROUND(Piso,0),ROUND(Categorias_Registro[[#This Row],[Puntos]]*(1+Categorias_Registro[[#This Row],[Amplitud]]),0),IF(Categorias_Registro[[#This Row],[Puntos]]&lt;D1270,D1270,ROUND(D1270*(1+Categorias_Registro[[#This Row],[Amplitud]]),0)))</f>
        <v>1423</v>
      </c>
      <c r="E1269" s="15">
        <f>E1270+IF(D1270=Categorias_Registro[[#This Row],[Máximo]],0,1)</f>
        <v>20</v>
      </c>
      <c r="F1269" s="15">
        <f>ROUND(Categorias_Registro[[#This Row],[Mínimo]]+((Categorias_Registro[[#This Row],[Máximo]]-Categorias_Registro[[#This Row],[Mínimo]])/2),0)</f>
        <v>1331</v>
      </c>
      <c r="G1269" s="78">
        <f>VLOOKUP(Categorias_Registro[[#This Row],[Puntos]],Categorias_Configuracion[],MATCH(Categorias_Configuracion[[#Headers],[% Amplitud]],Categorias_Configuracion[#Headers],0),TRUE)</f>
        <v>0.15</v>
      </c>
      <c r="H1269" s="15" t="str">
        <f ca="1">TEXT(Categorias_Registro[[#This Row],[Mínimo]],Formato_Rango_Categorias)&amp;" - "&amp;TEXT(Categorias_Registro[[#This Row],[Máximo]],Formato_Rango_Categorias)</f>
        <v>1.238 - 1.423</v>
      </c>
    </row>
    <row r="1270" spans="2:8">
      <c r="B1270" s="15">
        <f>Techo - ROW() + ROW(Categorias_Registro[])</f>
        <v>1359</v>
      </c>
      <c r="C1270" s="15">
        <f>IF(Categorias_Registro[[#This Row],[Puntos]]&lt;=ROUND(Piso,0),Piso,IF(Categorias_Registro[[#This Row],[Puntos]]&lt;D1271,C1271,D1271+1))</f>
        <v>1238</v>
      </c>
      <c r="D1270" s="15">
        <f>IF(Categorias_Registro[[#This Row],[Puntos]]=ROUND(Piso,0),ROUND(Categorias_Registro[[#This Row],[Puntos]]*(1+Categorias_Registro[[#This Row],[Amplitud]]),0),IF(Categorias_Registro[[#This Row],[Puntos]]&lt;D1271,D1271,ROUND(D1271*(1+Categorias_Registro[[#This Row],[Amplitud]]),0)))</f>
        <v>1423</v>
      </c>
      <c r="E1270" s="15">
        <f>E1271+IF(D1271=Categorias_Registro[[#This Row],[Máximo]],0,1)</f>
        <v>20</v>
      </c>
      <c r="F1270" s="15">
        <f>ROUND(Categorias_Registro[[#This Row],[Mínimo]]+((Categorias_Registro[[#This Row],[Máximo]]-Categorias_Registro[[#This Row],[Mínimo]])/2),0)</f>
        <v>1331</v>
      </c>
      <c r="G1270" s="78">
        <f>VLOOKUP(Categorias_Registro[[#This Row],[Puntos]],Categorias_Configuracion[],MATCH(Categorias_Configuracion[[#Headers],[% Amplitud]],Categorias_Configuracion[#Headers],0),TRUE)</f>
        <v>0.15</v>
      </c>
      <c r="H1270" s="15" t="str">
        <f ca="1">TEXT(Categorias_Registro[[#This Row],[Mínimo]],Formato_Rango_Categorias)&amp;" - "&amp;TEXT(Categorias_Registro[[#This Row],[Máximo]],Formato_Rango_Categorias)</f>
        <v>1.238 - 1.423</v>
      </c>
    </row>
    <row r="1271" spans="2:8">
      <c r="B1271" s="15">
        <f>Techo - ROW() + ROW(Categorias_Registro[])</f>
        <v>1358</v>
      </c>
      <c r="C1271" s="15">
        <f>IF(Categorias_Registro[[#This Row],[Puntos]]&lt;=ROUND(Piso,0),Piso,IF(Categorias_Registro[[#This Row],[Puntos]]&lt;D1272,C1272,D1272+1))</f>
        <v>1238</v>
      </c>
      <c r="D1271" s="15">
        <f>IF(Categorias_Registro[[#This Row],[Puntos]]=ROUND(Piso,0),ROUND(Categorias_Registro[[#This Row],[Puntos]]*(1+Categorias_Registro[[#This Row],[Amplitud]]),0),IF(Categorias_Registro[[#This Row],[Puntos]]&lt;D1272,D1272,ROUND(D1272*(1+Categorias_Registro[[#This Row],[Amplitud]]),0)))</f>
        <v>1423</v>
      </c>
      <c r="E1271" s="15">
        <f>E1272+IF(D1272=Categorias_Registro[[#This Row],[Máximo]],0,1)</f>
        <v>20</v>
      </c>
      <c r="F1271" s="15">
        <f>ROUND(Categorias_Registro[[#This Row],[Mínimo]]+((Categorias_Registro[[#This Row],[Máximo]]-Categorias_Registro[[#This Row],[Mínimo]])/2),0)</f>
        <v>1331</v>
      </c>
      <c r="G1271" s="78">
        <f>VLOOKUP(Categorias_Registro[[#This Row],[Puntos]],Categorias_Configuracion[],MATCH(Categorias_Configuracion[[#Headers],[% Amplitud]],Categorias_Configuracion[#Headers],0),TRUE)</f>
        <v>0.15</v>
      </c>
      <c r="H1271" s="15" t="str">
        <f ca="1">TEXT(Categorias_Registro[[#This Row],[Mínimo]],Formato_Rango_Categorias)&amp;" - "&amp;TEXT(Categorias_Registro[[#This Row],[Máximo]],Formato_Rango_Categorias)</f>
        <v>1.238 - 1.423</v>
      </c>
    </row>
    <row r="1272" spans="2:8">
      <c r="B1272" s="15">
        <f>Techo - ROW() + ROW(Categorias_Registro[])</f>
        <v>1357</v>
      </c>
      <c r="C1272" s="15">
        <f>IF(Categorias_Registro[[#This Row],[Puntos]]&lt;=ROUND(Piso,0),Piso,IF(Categorias_Registro[[#This Row],[Puntos]]&lt;D1273,C1273,D1273+1))</f>
        <v>1238</v>
      </c>
      <c r="D1272" s="15">
        <f>IF(Categorias_Registro[[#This Row],[Puntos]]=ROUND(Piso,0),ROUND(Categorias_Registro[[#This Row],[Puntos]]*(1+Categorias_Registro[[#This Row],[Amplitud]]),0),IF(Categorias_Registro[[#This Row],[Puntos]]&lt;D1273,D1273,ROUND(D1273*(1+Categorias_Registro[[#This Row],[Amplitud]]),0)))</f>
        <v>1423</v>
      </c>
      <c r="E1272" s="15">
        <f>E1273+IF(D1273=Categorias_Registro[[#This Row],[Máximo]],0,1)</f>
        <v>20</v>
      </c>
      <c r="F1272" s="15">
        <f>ROUND(Categorias_Registro[[#This Row],[Mínimo]]+((Categorias_Registro[[#This Row],[Máximo]]-Categorias_Registro[[#This Row],[Mínimo]])/2),0)</f>
        <v>1331</v>
      </c>
      <c r="G1272" s="78">
        <f>VLOOKUP(Categorias_Registro[[#This Row],[Puntos]],Categorias_Configuracion[],MATCH(Categorias_Configuracion[[#Headers],[% Amplitud]],Categorias_Configuracion[#Headers],0),TRUE)</f>
        <v>0.15</v>
      </c>
      <c r="H1272" s="15" t="str">
        <f ca="1">TEXT(Categorias_Registro[[#This Row],[Mínimo]],Formato_Rango_Categorias)&amp;" - "&amp;TEXT(Categorias_Registro[[#This Row],[Máximo]],Formato_Rango_Categorias)</f>
        <v>1.238 - 1.423</v>
      </c>
    </row>
    <row r="1273" spans="2:8">
      <c r="B1273" s="15">
        <f>Techo - ROW() + ROW(Categorias_Registro[])</f>
        <v>1356</v>
      </c>
      <c r="C1273" s="15">
        <f>IF(Categorias_Registro[[#This Row],[Puntos]]&lt;=ROUND(Piso,0),Piso,IF(Categorias_Registro[[#This Row],[Puntos]]&lt;D1274,C1274,D1274+1))</f>
        <v>1238</v>
      </c>
      <c r="D1273" s="15">
        <f>IF(Categorias_Registro[[#This Row],[Puntos]]=ROUND(Piso,0),ROUND(Categorias_Registro[[#This Row],[Puntos]]*(1+Categorias_Registro[[#This Row],[Amplitud]]),0),IF(Categorias_Registro[[#This Row],[Puntos]]&lt;D1274,D1274,ROUND(D1274*(1+Categorias_Registro[[#This Row],[Amplitud]]),0)))</f>
        <v>1423</v>
      </c>
      <c r="E1273" s="15">
        <f>E1274+IF(D1274=Categorias_Registro[[#This Row],[Máximo]],0,1)</f>
        <v>20</v>
      </c>
      <c r="F1273" s="15">
        <f>ROUND(Categorias_Registro[[#This Row],[Mínimo]]+((Categorias_Registro[[#This Row],[Máximo]]-Categorias_Registro[[#This Row],[Mínimo]])/2),0)</f>
        <v>1331</v>
      </c>
      <c r="G1273" s="78">
        <f>VLOOKUP(Categorias_Registro[[#This Row],[Puntos]],Categorias_Configuracion[],MATCH(Categorias_Configuracion[[#Headers],[% Amplitud]],Categorias_Configuracion[#Headers],0),TRUE)</f>
        <v>0.15</v>
      </c>
      <c r="H1273" s="15" t="str">
        <f ca="1">TEXT(Categorias_Registro[[#This Row],[Mínimo]],Formato_Rango_Categorias)&amp;" - "&amp;TEXT(Categorias_Registro[[#This Row],[Máximo]],Formato_Rango_Categorias)</f>
        <v>1.238 - 1.423</v>
      </c>
    </row>
    <row r="1274" spans="2:8">
      <c r="B1274" s="15">
        <f>Techo - ROW() + ROW(Categorias_Registro[])</f>
        <v>1355</v>
      </c>
      <c r="C1274" s="15">
        <f>IF(Categorias_Registro[[#This Row],[Puntos]]&lt;=ROUND(Piso,0),Piso,IF(Categorias_Registro[[#This Row],[Puntos]]&lt;D1275,C1275,D1275+1))</f>
        <v>1238</v>
      </c>
      <c r="D1274" s="15">
        <f>IF(Categorias_Registro[[#This Row],[Puntos]]=ROUND(Piso,0),ROUND(Categorias_Registro[[#This Row],[Puntos]]*(1+Categorias_Registro[[#This Row],[Amplitud]]),0),IF(Categorias_Registro[[#This Row],[Puntos]]&lt;D1275,D1275,ROUND(D1275*(1+Categorias_Registro[[#This Row],[Amplitud]]),0)))</f>
        <v>1423</v>
      </c>
      <c r="E1274" s="15">
        <f>E1275+IF(D1275=Categorias_Registro[[#This Row],[Máximo]],0,1)</f>
        <v>20</v>
      </c>
      <c r="F1274" s="15">
        <f>ROUND(Categorias_Registro[[#This Row],[Mínimo]]+((Categorias_Registro[[#This Row],[Máximo]]-Categorias_Registro[[#This Row],[Mínimo]])/2),0)</f>
        <v>1331</v>
      </c>
      <c r="G1274" s="78">
        <f>VLOOKUP(Categorias_Registro[[#This Row],[Puntos]],Categorias_Configuracion[],MATCH(Categorias_Configuracion[[#Headers],[% Amplitud]],Categorias_Configuracion[#Headers],0),TRUE)</f>
        <v>0.15</v>
      </c>
      <c r="H1274" s="15" t="str">
        <f ca="1">TEXT(Categorias_Registro[[#This Row],[Mínimo]],Formato_Rango_Categorias)&amp;" - "&amp;TEXT(Categorias_Registro[[#This Row],[Máximo]],Formato_Rango_Categorias)</f>
        <v>1.238 - 1.423</v>
      </c>
    </row>
    <row r="1275" spans="2:8">
      <c r="B1275" s="15">
        <f>Techo - ROW() + ROW(Categorias_Registro[])</f>
        <v>1354</v>
      </c>
      <c r="C1275" s="15">
        <f>IF(Categorias_Registro[[#This Row],[Puntos]]&lt;=ROUND(Piso,0),Piso,IF(Categorias_Registro[[#This Row],[Puntos]]&lt;D1276,C1276,D1276+1))</f>
        <v>1238</v>
      </c>
      <c r="D1275" s="15">
        <f>IF(Categorias_Registro[[#This Row],[Puntos]]=ROUND(Piso,0),ROUND(Categorias_Registro[[#This Row],[Puntos]]*(1+Categorias_Registro[[#This Row],[Amplitud]]),0),IF(Categorias_Registro[[#This Row],[Puntos]]&lt;D1276,D1276,ROUND(D1276*(1+Categorias_Registro[[#This Row],[Amplitud]]),0)))</f>
        <v>1423</v>
      </c>
      <c r="E1275" s="15">
        <f>E1276+IF(D1276=Categorias_Registro[[#This Row],[Máximo]],0,1)</f>
        <v>20</v>
      </c>
      <c r="F1275" s="15">
        <f>ROUND(Categorias_Registro[[#This Row],[Mínimo]]+((Categorias_Registro[[#This Row],[Máximo]]-Categorias_Registro[[#This Row],[Mínimo]])/2),0)</f>
        <v>1331</v>
      </c>
      <c r="G1275" s="78">
        <f>VLOOKUP(Categorias_Registro[[#This Row],[Puntos]],Categorias_Configuracion[],MATCH(Categorias_Configuracion[[#Headers],[% Amplitud]],Categorias_Configuracion[#Headers],0),TRUE)</f>
        <v>0.15</v>
      </c>
      <c r="H1275" s="15" t="str">
        <f ca="1">TEXT(Categorias_Registro[[#This Row],[Mínimo]],Formato_Rango_Categorias)&amp;" - "&amp;TEXT(Categorias_Registro[[#This Row],[Máximo]],Formato_Rango_Categorias)</f>
        <v>1.238 - 1.423</v>
      </c>
    </row>
    <row r="1276" spans="2:8">
      <c r="B1276" s="15">
        <f>Techo - ROW() + ROW(Categorias_Registro[])</f>
        <v>1353</v>
      </c>
      <c r="C1276" s="15">
        <f>IF(Categorias_Registro[[#This Row],[Puntos]]&lt;=ROUND(Piso,0),Piso,IF(Categorias_Registro[[#This Row],[Puntos]]&lt;D1277,C1277,D1277+1))</f>
        <v>1238</v>
      </c>
      <c r="D1276" s="15">
        <f>IF(Categorias_Registro[[#This Row],[Puntos]]=ROUND(Piso,0),ROUND(Categorias_Registro[[#This Row],[Puntos]]*(1+Categorias_Registro[[#This Row],[Amplitud]]),0),IF(Categorias_Registro[[#This Row],[Puntos]]&lt;D1277,D1277,ROUND(D1277*(1+Categorias_Registro[[#This Row],[Amplitud]]),0)))</f>
        <v>1423</v>
      </c>
      <c r="E1276" s="15">
        <f>E1277+IF(D1277=Categorias_Registro[[#This Row],[Máximo]],0,1)</f>
        <v>20</v>
      </c>
      <c r="F1276" s="15">
        <f>ROUND(Categorias_Registro[[#This Row],[Mínimo]]+((Categorias_Registro[[#This Row],[Máximo]]-Categorias_Registro[[#This Row],[Mínimo]])/2),0)</f>
        <v>1331</v>
      </c>
      <c r="G1276" s="78">
        <f>VLOOKUP(Categorias_Registro[[#This Row],[Puntos]],Categorias_Configuracion[],MATCH(Categorias_Configuracion[[#Headers],[% Amplitud]],Categorias_Configuracion[#Headers],0),TRUE)</f>
        <v>0.15</v>
      </c>
      <c r="H1276" s="15" t="str">
        <f ca="1">TEXT(Categorias_Registro[[#This Row],[Mínimo]],Formato_Rango_Categorias)&amp;" - "&amp;TEXT(Categorias_Registro[[#This Row],[Máximo]],Formato_Rango_Categorias)</f>
        <v>1.238 - 1.423</v>
      </c>
    </row>
    <row r="1277" spans="2:8">
      <c r="B1277" s="15">
        <f>Techo - ROW() + ROW(Categorias_Registro[])</f>
        <v>1352</v>
      </c>
      <c r="C1277" s="15">
        <f>IF(Categorias_Registro[[#This Row],[Puntos]]&lt;=ROUND(Piso,0),Piso,IF(Categorias_Registro[[#This Row],[Puntos]]&lt;D1278,C1278,D1278+1))</f>
        <v>1238</v>
      </c>
      <c r="D1277" s="15">
        <f>IF(Categorias_Registro[[#This Row],[Puntos]]=ROUND(Piso,0),ROUND(Categorias_Registro[[#This Row],[Puntos]]*(1+Categorias_Registro[[#This Row],[Amplitud]]),0),IF(Categorias_Registro[[#This Row],[Puntos]]&lt;D1278,D1278,ROUND(D1278*(1+Categorias_Registro[[#This Row],[Amplitud]]),0)))</f>
        <v>1423</v>
      </c>
      <c r="E1277" s="15">
        <f>E1278+IF(D1278=Categorias_Registro[[#This Row],[Máximo]],0,1)</f>
        <v>20</v>
      </c>
      <c r="F1277" s="15">
        <f>ROUND(Categorias_Registro[[#This Row],[Mínimo]]+((Categorias_Registro[[#This Row],[Máximo]]-Categorias_Registro[[#This Row],[Mínimo]])/2),0)</f>
        <v>1331</v>
      </c>
      <c r="G1277" s="78">
        <f>VLOOKUP(Categorias_Registro[[#This Row],[Puntos]],Categorias_Configuracion[],MATCH(Categorias_Configuracion[[#Headers],[% Amplitud]],Categorias_Configuracion[#Headers],0),TRUE)</f>
        <v>0.15</v>
      </c>
      <c r="H1277" s="15" t="str">
        <f ca="1">TEXT(Categorias_Registro[[#This Row],[Mínimo]],Formato_Rango_Categorias)&amp;" - "&amp;TEXT(Categorias_Registro[[#This Row],[Máximo]],Formato_Rango_Categorias)</f>
        <v>1.238 - 1.423</v>
      </c>
    </row>
    <row r="1278" spans="2:8">
      <c r="B1278" s="15">
        <f>Techo - ROW() + ROW(Categorias_Registro[])</f>
        <v>1351</v>
      </c>
      <c r="C1278" s="15">
        <f>IF(Categorias_Registro[[#This Row],[Puntos]]&lt;=ROUND(Piso,0),Piso,IF(Categorias_Registro[[#This Row],[Puntos]]&lt;D1279,C1279,D1279+1))</f>
        <v>1238</v>
      </c>
      <c r="D1278" s="15">
        <f>IF(Categorias_Registro[[#This Row],[Puntos]]=ROUND(Piso,0),ROUND(Categorias_Registro[[#This Row],[Puntos]]*(1+Categorias_Registro[[#This Row],[Amplitud]]),0),IF(Categorias_Registro[[#This Row],[Puntos]]&lt;D1279,D1279,ROUND(D1279*(1+Categorias_Registro[[#This Row],[Amplitud]]),0)))</f>
        <v>1423</v>
      </c>
      <c r="E1278" s="15">
        <f>E1279+IF(D1279=Categorias_Registro[[#This Row],[Máximo]],0,1)</f>
        <v>20</v>
      </c>
      <c r="F1278" s="15">
        <f>ROUND(Categorias_Registro[[#This Row],[Mínimo]]+((Categorias_Registro[[#This Row],[Máximo]]-Categorias_Registro[[#This Row],[Mínimo]])/2),0)</f>
        <v>1331</v>
      </c>
      <c r="G1278" s="78">
        <f>VLOOKUP(Categorias_Registro[[#This Row],[Puntos]],Categorias_Configuracion[],MATCH(Categorias_Configuracion[[#Headers],[% Amplitud]],Categorias_Configuracion[#Headers],0),TRUE)</f>
        <v>0.15</v>
      </c>
      <c r="H1278" s="15" t="str">
        <f ca="1">TEXT(Categorias_Registro[[#This Row],[Mínimo]],Formato_Rango_Categorias)&amp;" - "&amp;TEXT(Categorias_Registro[[#This Row],[Máximo]],Formato_Rango_Categorias)</f>
        <v>1.238 - 1.423</v>
      </c>
    </row>
    <row r="1279" spans="2:8">
      <c r="B1279" s="15">
        <f>Techo - ROW() + ROW(Categorias_Registro[])</f>
        <v>1350</v>
      </c>
      <c r="C1279" s="15">
        <f>IF(Categorias_Registro[[#This Row],[Puntos]]&lt;=ROUND(Piso,0),Piso,IF(Categorias_Registro[[#This Row],[Puntos]]&lt;D1280,C1280,D1280+1))</f>
        <v>1238</v>
      </c>
      <c r="D1279" s="15">
        <f>IF(Categorias_Registro[[#This Row],[Puntos]]=ROUND(Piso,0),ROUND(Categorias_Registro[[#This Row],[Puntos]]*(1+Categorias_Registro[[#This Row],[Amplitud]]),0),IF(Categorias_Registro[[#This Row],[Puntos]]&lt;D1280,D1280,ROUND(D1280*(1+Categorias_Registro[[#This Row],[Amplitud]]),0)))</f>
        <v>1423</v>
      </c>
      <c r="E1279" s="15">
        <f>E1280+IF(D1280=Categorias_Registro[[#This Row],[Máximo]],0,1)</f>
        <v>20</v>
      </c>
      <c r="F1279" s="15">
        <f>ROUND(Categorias_Registro[[#This Row],[Mínimo]]+((Categorias_Registro[[#This Row],[Máximo]]-Categorias_Registro[[#This Row],[Mínimo]])/2),0)</f>
        <v>1331</v>
      </c>
      <c r="G1279" s="78">
        <f>VLOOKUP(Categorias_Registro[[#This Row],[Puntos]],Categorias_Configuracion[],MATCH(Categorias_Configuracion[[#Headers],[% Amplitud]],Categorias_Configuracion[#Headers],0),TRUE)</f>
        <v>0.15</v>
      </c>
      <c r="H1279" s="15" t="str">
        <f ca="1">TEXT(Categorias_Registro[[#This Row],[Mínimo]],Formato_Rango_Categorias)&amp;" - "&amp;TEXT(Categorias_Registro[[#This Row],[Máximo]],Formato_Rango_Categorias)</f>
        <v>1.238 - 1.423</v>
      </c>
    </row>
    <row r="1280" spans="2:8">
      <c r="B1280" s="15">
        <f>Techo - ROW() + ROW(Categorias_Registro[])</f>
        <v>1349</v>
      </c>
      <c r="C1280" s="15">
        <f>IF(Categorias_Registro[[#This Row],[Puntos]]&lt;=ROUND(Piso,0),Piso,IF(Categorias_Registro[[#This Row],[Puntos]]&lt;D1281,C1281,D1281+1))</f>
        <v>1238</v>
      </c>
      <c r="D1280" s="15">
        <f>IF(Categorias_Registro[[#This Row],[Puntos]]=ROUND(Piso,0),ROUND(Categorias_Registro[[#This Row],[Puntos]]*(1+Categorias_Registro[[#This Row],[Amplitud]]),0),IF(Categorias_Registro[[#This Row],[Puntos]]&lt;D1281,D1281,ROUND(D1281*(1+Categorias_Registro[[#This Row],[Amplitud]]),0)))</f>
        <v>1423</v>
      </c>
      <c r="E1280" s="15">
        <f>E1281+IF(D1281=Categorias_Registro[[#This Row],[Máximo]],0,1)</f>
        <v>20</v>
      </c>
      <c r="F1280" s="15">
        <f>ROUND(Categorias_Registro[[#This Row],[Mínimo]]+((Categorias_Registro[[#This Row],[Máximo]]-Categorias_Registro[[#This Row],[Mínimo]])/2),0)</f>
        <v>1331</v>
      </c>
      <c r="G1280" s="78">
        <f>VLOOKUP(Categorias_Registro[[#This Row],[Puntos]],Categorias_Configuracion[],MATCH(Categorias_Configuracion[[#Headers],[% Amplitud]],Categorias_Configuracion[#Headers],0),TRUE)</f>
        <v>0.15</v>
      </c>
      <c r="H1280" s="15" t="str">
        <f ca="1">TEXT(Categorias_Registro[[#This Row],[Mínimo]],Formato_Rango_Categorias)&amp;" - "&amp;TEXT(Categorias_Registro[[#This Row],[Máximo]],Formato_Rango_Categorias)</f>
        <v>1.238 - 1.423</v>
      </c>
    </row>
    <row r="1281" spans="2:8">
      <c r="B1281" s="15">
        <f>Techo - ROW() + ROW(Categorias_Registro[])</f>
        <v>1348</v>
      </c>
      <c r="C1281" s="15">
        <f>IF(Categorias_Registro[[#This Row],[Puntos]]&lt;=ROUND(Piso,0),Piso,IF(Categorias_Registro[[#This Row],[Puntos]]&lt;D1282,C1282,D1282+1))</f>
        <v>1238</v>
      </c>
      <c r="D1281" s="15">
        <f>IF(Categorias_Registro[[#This Row],[Puntos]]=ROUND(Piso,0),ROUND(Categorias_Registro[[#This Row],[Puntos]]*(1+Categorias_Registro[[#This Row],[Amplitud]]),0),IF(Categorias_Registro[[#This Row],[Puntos]]&lt;D1282,D1282,ROUND(D1282*(1+Categorias_Registro[[#This Row],[Amplitud]]),0)))</f>
        <v>1423</v>
      </c>
      <c r="E1281" s="15">
        <f>E1282+IF(D1282=Categorias_Registro[[#This Row],[Máximo]],0,1)</f>
        <v>20</v>
      </c>
      <c r="F1281" s="15">
        <f>ROUND(Categorias_Registro[[#This Row],[Mínimo]]+((Categorias_Registro[[#This Row],[Máximo]]-Categorias_Registro[[#This Row],[Mínimo]])/2),0)</f>
        <v>1331</v>
      </c>
      <c r="G1281" s="78">
        <f>VLOOKUP(Categorias_Registro[[#This Row],[Puntos]],Categorias_Configuracion[],MATCH(Categorias_Configuracion[[#Headers],[% Amplitud]],Categorias_Configuracion[#Headers],0),TRUE)</f>
        <v>0.15</v>
      </c>
      <c r="H1281" s="15" t="str">
        <f ca="1">TEXT(Categorias_Registro[[#This Row],[Mínimo]],Formato_Rango_Categorias)&amp;" - "&amp;TEXT(Categorias_Registro[[#This Row],[Máximo]],Formato_Rango_Categorias)</f>
        <v>1.238 - 1.423</v>
      </c>
    </row>
    <row r="1282" spans="2:8">
      <c r="B1282" s="15">
        <f>Techo - ROW() + ROW(Categorias_Registro[])</f>
        <v>1347</v>
      </c>
      <c r="C1282" s="15">
        <f>IF(Categorias_Registro[[#This Row],[Puntos]]&lt;=ROUND(Piso,0),Piso,IF(Categorias_Registro[[#This Row],[Puntos]]&lt;D1283,C1283,D1283+1))</f>
        <v>1238</v>
      </c>
      <c r="D1282" s="15">
        <f>IF(Categorias_Registro[[#This Row],[Puntos]]=ROUND(Piso,0),ROUND(Categorias_Registro[[#This Row],[Puntos]]*(1+Categorias_Registro[[#This Row],[Amplitud]]),0),IF(Categorias_Registro[[#This Row],[Puntos]]&lt;D1283,D1283,ROUND(D1283*(1+Categorias_Registro[[#This Row],[Amplitud]]),0)))</f>
        <v>1423</v>
      </c>
      <c r="E1282" s="15">
        <f>E1283+IF(D1283=Categorias_Registro[[#This Row],[Máximo]],0,1)</f>
        <v>20</v>
      </c>
      <c r="F1282" s="15">
        <f>ROUND(Categorias_Registro[[#This Row],[Mínimo]]+((Categorias_Registro[[#This Row],[Máximo]]-Categorias_Registro[[#This Row],[Mínimo]])/2),0)</f>
        <v>1331</v>
      </c>
      <c r="G1282" s="78">
        <f>VLOOKUP(Categorias_Registro[[#This Row],[Puntos]],Categorias_Configuracion[],MATCH(Categorias_Configuracion[[#Headers],[% Amplitud]],Categorias_Configuracion[#Headers],0),TRUE)</f>
        <v>0.15</v>
      </c>
      <c r="H1282" s="15" t="str">
        <f ca="1">TEXT(Categorias_Registro[[#This Row],[Mínimo]],Formato_Rango_Categorias)&amp;" - "&amp;TEXT(Categorias_Registro[[#This Row],[Máximo]],Formato_Rango_Categorias)</f>
        <v>1.238 - 1.423</v>
      </c>
    </row>
    <row r="1283" spans="2:8">
      <c r="B1283" s="15">
        <f>Techo - ROW() + ROW(Categorias_Registro[])</f>
        <v>1346</v>
      </c>
      <c r="C1283" s="15">
        <f>IF(Categorias_Registro[[#This Row],[Puntos]]&lt;=ROUND(Piso,0),Piso,IF(Categorias_Registro[[#This Row],[Puntos]]&lt;D1284,C1284,D1284+1))</f>
        <v>1238</v>
      </c>
      <c r="D1283" s="15">
        <f>IF(Categorias_Registro[[#This Row],[Puntos]]=ROUND(Piso,0),ROUND(Categorias_Registro[[#This Row],[Puntos]]*(1+Categorias_Registro[[#This Row],[Amplitud]]),0),IF(Categorias_Registro[[#This Row],[Puntos]]&lt;D1284,D1284,ROUND(D1284*(1+Categorias_Registro[[#This Row],[Amplitud]]),0)))</f>
        <v>1423</v>
      </c>
      <c r="E1283" s="15">
        <f>E1284+IF(D1284=Categorias_Registro[[#This Row],[Máximo]],0,1)</f>
        <v>20</v>
      </c>
      <c r="F1283" s="15">
        <f>ROUND(Categorias_Registro[[#This Row],[Mínimo]]+((Categorias_Registro[[#This Row],[Máximo]]-Categorias_Registro[[#This Row],[Mínimo]])/2),0)</f>
        <v>1331</v>
      </c>
      <c r="G1283" s="78">
        <f>VLOOKUP(Categorias_Registro[[#This Row],[Puntos]],Categorias_Configuracion[],MATCH(Categorias_Configuracion[[#Headers],[% Amplitud]],Categorias_Configuracion[#Headers],0),TRUE)</f>
        <v>0.15</v>
      </c>
      <c r="H1283" s="15" t="str">
        <f ca="1">TEXT(Categorias_Registro[[#This Row],[Mínimo]],Formato_Rango_Categorias)&amp;" - "&amp;TEXT(Categorias_Registro[[#This Row],[Máximo]],Formato_Rango_Categorias)</f>
        <v>1.238 - 1.423</v>
      </c>
    </row>
    <row r="1284" spans="2:8">
      <c r="B1284" s="15">
        <f>Techo - ROW() + ROW(Categorias_Registro[])</f>
        <v>1345</v>
      </c>
      <c r="C1284" s="15">
        <f>IF(Categorias_Registro[[#This Row],[Puntos]]&lt;=ROUND(Piso,0),Piso,IF(Categorias_Registro[[#This Row],[Puntos]]&lt;D1285,C1285,D1285+1))</f>
        <v>1238</v>
      </c>
      <c r="D1284" s="15">
        <f>IF(Categorias_Registro[[#This Row],[Puntos]]=ROUND(Piso,0),ROUND(Categorias_Registro[[#This Row],[Puntos]]*(1+Categorias_Registro[[#This Row],[Amplitud]]),0),IF(Categorias_Registro[[#This Row],[Puntos]]&lt;D1285,D1285,ROUND(D1285*(1+Categorias_Registro[[#This Row],[Amplitud]]),0)))</f>
        <v>1423</v>
      </c>
      <c r="E1284" s="15">
        <f>E1285+IF(D1285=Categorias_Registro[[#This Row],[Máximo]],0,1)</f>
        <v>20</v>
      </c>
      <c r="F1284" s="15">
        <f>ROUND(Categorias_Registro[[#This Row],[Mínimo]]+((Categorias_Registro[[#This Row],[Máximo]]-Categorias_Registro[[#This Row],[Mínimo]])/2),0)</f>
        <v>1331</v>
      </c>
      <c r="G1284" s="78">
        <f>VLOOKUP(Categorias_Registro[[#This Row],[Puntos]],Categorias_Configuracion[],MATCH(Categorias_Configuracion[[#Headers],[% Amplitud]],Categorias_Configuracion[#Headers],0),TRUE)</f>
        <v>0.15</v>
      </c>
      <c r="H1284" s="15" t="str">
        <f ca="1">TEXT(Categorias_Registro[[#This Row],[Mínimo]],Formato_Rango_Categorias)&amp;" - "&amp;TEXT(Categorias_Registro[[#This Row],[Máximo]],Formato_Rango_Categorias)</f>
        <v>1.238 - 1.423</v>
      </c>
    </row>
    <row r="1285" spans="2:8">
      <c r="B1285" s="15">
        <f>Techo - ROW() + ROW(Categorias_Registro[])</f>
        <v>1344</v>
      </c>
      <c r="C1285" s="15">
        <f>IF(Categorias_Registro[[#This Row],[Puntos]]&lt;=ROUND(Piso,0),Piso,IF(Categorias_Registro[[#This Row],[Puntos]]&lt;D1286,C1286,D1286+1))</f>
        <v>1238</v>
      </c>
      <c r="D1285" s="15">
        <f>IF(Categorias_Registro[[#This Row],[Puntos]]=ROUND(Piso,0),ROUND(Categorias_Registro[[#This Row],[Puntos]]*(1+Categorias_Registro[[#This Row],[Amplitud]]),0),IF(Categorias_Registro[[#This Row],[Puntos]]&lt;D1286,D1286,ROUND(D1286*(1+Categorias_Registro[[#This Row],[Amplitud]]),0)))</f>
        <v>1423</v>
      </c>
      <c r="E1285" s="15">
        <f>E1286+IF(D1286=Categorias_Registro[[#This Row],[Máximo]],0,1)</f>
        <v>20</v>
      </c>
      <c r="F1285" s="15">
        <f>ROUND(Categorias_Registro[[#This Row],[Mínimo]]+((Categorias_Registro[[#This Row],[Máximo]]-Categorias_Registro[[#This Row],[Mínimo]])/2),0)</f>
        <v>1331</v>
      </c>
      <c r="G1285" s="78">
        <f>VLOOKUP(Categorias_Registro[[#This Row],[Puntos]],Categorias_Configuracion[],MATCH(Categorias_Configuracion[[#Headers],[% Amplitud]],Categorias_Configuracion[#Headers],0),TRUE)</f>
        <v>0.15</v>
      </c>
      <c r="H1285" s="15" t="str">
        <f ca="1">TEXT(Categorias_Registro[[#This Row],[Mínimo]],Formato_Rango_Categorias)&amp;" - "&amp;TEXT(Categorias_Registro[[#This Row],[Máximo]],Formato_Rango_Categorias)</f>
        <v>1.238 - 1.423</v>
      </c>
    </row>
    <row r="1286" spans="2:8">
      <c r="B1286" s="15">
        <f>Techo - ROW() + ROW(Categorias_Registro[])</f>
        <v>1343</v>
      </c>
      <c r="C1286" s="15">
        <f>IF(Categorias_Registro[[#This Row],[Puntos]]&lt;=ROUND(Piso,0),Piso,IF(Categorias_Registro[[#This Row],[Puntos]]&lt;D1287,C1287,D1287+1))</f>
        <v>1238</v>
      </c>
      <c r="D1286" s="15">
        <f>IF(Categorias_Registro[[#This Row],[Puntos]]=ROUND(Piso,0),ROUND(Categorias_Registro[[#This Row],[Puntos]]*(1+Categorias_Registro[[#This Row],[Amplitud]]),0),IF(Categorias_Registro[[#This Row],[Puntos]]&lt;D1287,D1287,ROUND(D1287*(1+Categorias_Registro[[#This Row],[Amplitud]]),0)))</f>
        <v>1423</v>
      </c>
      <c r="E1286" s="15">
        <f>E1287+IF(D1287=Categorias_Registro[[#This Row],[Máximo]],0,1)</f>
        <v>20</v>
      </c>
      <c r="F1286" s="15">
        <f>ROUND(Categorias_Registro[[#This Row],[Mínimo]]+((Categorias_Registro[[#This Row],[Máximo]]-Categorias_Registro[[#This Row],[Mínimo]])/2),0)</f>
        <v>1331</v>
      </c>
      <c r="G1286" s="78">
        <f>VLOOKUP(Categorias_Registro[[#This Row],[Puntos]],Categorias_Configuracion[],MATCH(Categorias_Configuracion[[#Headers],[% Amplitud]],Categorias_Configuracion[#Headers],0),TRUE)</f>
        <v>0.15</v>
      </c>
      <c r="H1286" s="15" t="str">
        <f ca="1">TEXT(Categorias_Registro[[#This Row],[Mínimo]],Formato_Rango_Categorias)&amp;" - "&amp;TEXT(Categorias_Registro[[#This Row],[Máximo]],Formato_Rango_Categorias)</f>
        <v>1.238 - 1.423</v>
      </c>
    </row>
    <row r="1287" spans="2:8">
      <c r="B1287" s="15">
        <f>Techo - ROW() + ROW(Categorias_Registro[])</f>
        <v>1342</v>
      </c>
      <c r="C1287" s="15">
        <f>IF(Categorias_Registro[[#This Row],[Puntos]]&lt;=ROUND(Piso,0),Piso,IF(Categorias_Registro[[#This Row],[Puntos]]&lt;D1288,C1288,D1288+1))</f>
        <v>1238</v>
      </c>
      <c r="D1287" s="15">
        <f>IF(Categorias_Registro[[#This Row],[Puntos]]=ROUND(Piso,0),ROUND(Categorias_Registro[[#This Row],[Puntos]]*(1+Categorias_Registro[[#This Row],[Amplitud]]),0),IF(Categorias_Registro[[#This Row],[Puntos]]&lt;D1288,D1288,ROUND(D1288*(1+Categorias_Registro[[#This Row],[Amplitud]]),0)))</f>
        <v>1423</v>
      </c>
      <c r="E1287" s="15">
        <f>E1288+IF(D1288=Categorias_Registro[[#This Row],[Máximo]],0,1)</f>
        <v>20</v>
      </c>
      <c r="F1287" s="15">
        <f>ROUND(Categorias_Registro[[#This Row],[Mínimo]]+((Categorias_Registro[[#This Row],[Máximo]]-Categorias_Registro[[#This Row],[Mínimo]])/2),0)</f>
        <v>1331</v>
      </c>
      <c r="G1287" s="78">
        <f>VLOOKUP(Categorias_Registro[[#This Row],[Puntos]],Categorias_Configuracion[],MATCH(Categorias_Configuracion[[#Headers],[% Amplitud]],Categorias_Configuracion[#Headers],0),TRUE)</f>
        <v>0.15</v>
      </c>
      <c r="H1287" s="15" t="str">
        <f ca="1">TEXT(Categorias_Registro[[#This Row],[Mínimo]],Formato_Rango_Categorias)&amp;" - "&amp;TEXT(Categorias_Registro[[#This Row],[Máximo]],Formato_Rango_Categorias)</f>
        <v>1.238 - 1.423</v>
      </c>
    </row>
    <row r="1288" spans="2:8">
      <c r="B1288" s="15">
        <f>Techo - ROW() + ROW(Categorias_Registro[])</f>
        <v>1341</v>
      </c>
      <c r="C1288" s="15">
        <f>IF(Categorias_Registro[[#This Row],[Puntos]]&lt;=ROUND(Piso,0),Piso,IF(Categorias_Registro[[#This Row],[Puntos]]&lt;D1289,C1289,D1289+1))</f>
        <v>1238</v>
      </c>
      <c r="D1288" s="15">
        <f>IF(Categorias_Registro[[#This Row],[Puntos]]=ROUND(Piso,0),ROUND(Categorias_Registro[[#This Row],[Puntos]]*(1+Categorias_Registro[[#This Row],[Amplitud]]),0),IF(Categorias_Registro[[#This Row],[Puntos]]&lt;D1289,D1289,ROUND(D1289*(1+Categorias_Registro[[#This Row],[Amplitud]]),0)))</f>
        <v>1423</v>
      </c>
      <c r="E1288" s="15">
        <f>E1289+IF(D1289=Categorias_Registro[[#This Row],[Máximo]],0,1)</f>
        <v>20</v>
      </c>
      <c r="F1288" s="15">
        <f>ROUND(Categorias_Registro[[#This Row],[Mínimo]]+((Categorias_Registro[[#This Row],[Máximo]]-Categorias_Registro[[#This Row],[Mínimo]])/2),0)</f>
        <v>1331</v>
      </c>
      <c r="G1288" s="78">
        <f>VLOOKUP(Categorias_Registro[[#This Row],[Puntos]],Categorias_Configuracion[],MATCH(Categorias_Configuracion[[#Headers],[% Amplitud]],Categorias_Configuracion[#Headers],0),TRUE)</f>
        <v>0.15</v>
      </c>
      <c r="H1288" s="15" t="str">
        <f ca="1">TEXT(Categorias_Registro[[#This Row],[Mínimo]],Formato_Rango_Categorias)&amp;" - "&amp;TEXT(Categorias_Registro[[#This Row],[Máximo]],Formato_Rango_Categorias)</f>
        <v>1.238 - 1.423</v>
      </c>
    </row>
    <row r="1289" spans="2:8">
      <c r="B1289" s="15">
        <f>Techo - ROW() + ROW(Categorias_Registro[])</f>
        <v>1340</v>
      </c>
      <c r="C1289" s="15">
        <f>IF(Categorias_Registro[[#This Row],[Puntos]]&lt;=ROUND(Piso,0),Piso,IF(Categorias_Registro[[#This Row],[Puntos]]&lt;D1290,C1290,D1290+1))</f>
        <v>1238</v>
      </c>
      <c r="D1289" s="15">
        <f>IF(Categorias_Registro[[#This Row],[Puntos]]=ROUND(Piso,0),ROUND(Categorias_Registro[[#This Row],[Puntos]]*(1+Categorias_Registro[[#This Row],[Amplitud]]),0),IF(Categorias_Registro[[#This Row],[Puntos]]&lt;D1290,D1290,ROUND(D1290*(1+Categorias_Registro[[#This Row],[Amplitud]]),0)))</f>
        <v>1423</v>
      </c>
      <c r="E1289" s="15">
        <f>E1290+IF(D1290=Categorias_Registro[[#This Row],[Máximo]],0,1)</f>
        <v>20</v>
      </c>
      <c r="F1289" s="15">
        <f>ROUND(Categorias_Registro[[#This Row],[Mínimo]]+((Categorias_Registro[[#This Row],[Máximo]]-Categorias_Registro[[#This Row],[Mínimo]])/2),0)</f>
        <v>1331</v>
      </c>
      <c r="G1289" s="78">
        <f>VLOOKUP(Categorias_Registro[[#This Row],[Puntos]],Categorias_Configuracion[],MATCH(Categorias_Configuracion[[#Headers],[% Amplitud]],Categorias_Configuracion[#Headers],0),TRUE)</f>
        <v>0.15</v>
      </c>
      <c r="H1289" s="15" t="str">
        <f ca="1">TEXT(Categorias_Registro[[#This Row],[Mínimo]],Formato_Rango_Categorias)&amp;" - "&amp;TEXT(Categorias_Registro[[#This Row],[Máximo]],Formato_Rango_Categorias)</f>
        <v>1.238 - 1.423</v>
      </c>
    </row>
    <row r="1290" spans="2:8">
      <c r="B1290" s="15">
        <f>Techo - ROW() + ROW(Categorias_Registro[])</f>
        <v>1339</v>
      </c>
      <c r="C1290" s="15">
        <f>IF(Categorias_Registro[[#This Row],[Puntos]]&lt;=ROUND(Piso,0),Piso,IF(Categorias_Registro[[#This Row],[Puntos]]&lt;D1291,C1291,D1291+1))</f>
        <v>1238</v>
      </c>
      <c r="D1290" s="15">
        <f>IF(Categorias_Registro[[#This Row],[Puntos]]=ROUND(Piso,0),ROUND(Categorias_Registro[[#This Row],[Puntos]]*(1+Categorias_Registro[[#This Row],[Amplitud]]),0),IF(Categorias_Registro[[#This Row],[Puntos]]&lt;D1291,D1291,ROUND(D1291*(1+Categorias_Registro[[#This Row],[Amplitud]]),0)))</f>
        <v>1423</v>
      </c>
      <c r="E1290" s="15">
        <f>E1291+IF(D1291=Categorias_Registro[[#This Row],[Máximo]],0,1)</f>
        <v>20</v>
      </c>
      <c r="F1290" s="15">
        <f>ROUND(Categorias_Registro[[#This Row],[Mínimo]]+((Categorias_Registro[[#This Row],[Máximo]]-Categorias_Registro[[#This Row],[Mínimo]])/2),0)</f>
        <v>1331</v>
      </c>
      <c r="G1290" s="78">
        <f>VLOOKUP(Categorias_Registro[[#This Row],[Puntos]],Categorias_Configuracion[],MATCH(Categorias_Configuracion[[#Headers],[% Amplitud]],Categorias_Configuracion[#Headers],0),TRUE)</f>
        <v>0.15</v>
      </c>
      <c r="H1290" s="15" t="str">
        <f ca="1">TEXT(Categorias_Registro[[#This Row],[Mínimo]],Formato_Rango_Categorias)&amp;" - "&amp;TEXT(Categorias_Registro[[#This Row],[Máximo]],Formato_Rango_Categorias)</f>
        <v>1.238 - 1.423</v>
      </c>
    </row>
    <row r="1291" spans="2:8">
      <c r="B1291" s="15">
        <f>Techo - ROW() + ROW(Categorias_Registro[])</f>
        <v>1338</v>
      </c>
      <c r="C1291" s="15">
        <f>IF(Categorias_Registro[[#This Row],[Puntos]]&lt;=ROUND(Piso,0),Piso,IF(Categorias_Registro[[#This Row],[Puntos]]&lt;D1292,C1292,D1292+1))</f>
        <v>1238</v>
      </c>
      <c r="D1291" s="15">
        <f>IF(Categorias_Registro[[#This Row],[Puntos]]=ROUND(Piso,0),ROUND(Categorias_Registro[[#This Row],[Puntos]]*(1+Categorias_Registro[[#This Row],[Amplitud]]),0),IF(Categorias_Registro[[#This Row],[Puntos]]&lt;D1292,D1292,ROUND(D1292*(1+Categorias_Registro[[#This Row],[Amplitud]]),0)))</f>
        <v>1423</v>
      </c>
      <c r="E1291" s="15">
        <f>E1292+IF(D1292=Categorias_Registro[[#This Row],[Máximo]],0,1)</f>
        <v>20</v>
      </c>
      <c r="F1291" s="15">
        <f>ROUND(Categorias_Registro[[#This Row],[Mínimo]]+((Categorias_Registro[[#This Row],[Máximo]]-Categorias_Registro[[#This Row],[Mínimo]])/2),0)</f>
        <v>1331</v>
      </c>
      <c r="G1291" s="78">
        <f>VLOOKUP(Categorias_Registro[[#This Row],[Puntos]],Categorias_Configuracion[],MATCH(Categorias_Configuracion[[#Headers],[% Amplitud]],Categorias_Configuracion[#Headers],0),TRUE)</f>
        <v>0.15</v>
      </c>
      <c r="H1291" s="15" t="str">
        <f ca="1">TEXT(Categorias_Registro[[#This Row],[Mínimo]],Formato_Rango_Categorias)&amp;" - "&amp;TEXT(Categorias_Registro[[#This Row],[Máximo]],Formato_Rango_Categorias)</f>
        <v>1.238 - 1.423</v>
      </c>
    </row>
    <row r="1292" spans="2:8">
      <c r="B1292" s="15">
        <f>Techo - ROW() + ROW(Categorias_Registro[])</f>
        <v>1337</v>
      </c>
      <c r="C1292" s="15">
        <f>IF(Categorias_Registro[[#This Row],[Puntos]]&lt;=ROUND(Piso,0),Piso,IF(Categorias_Registro[[#This Row],[Puntos]]&lt;D1293,C1293,D1293+1))</f>
        <v>1238</v>
      </c>
      <c r="D1292" s="15">
        <f>IF(Categorias_Registro[[#This Row],[Puntos]]=ROUND(Piso,0),ROUND(Categorias_Registro[[#This Row],[Puntos]]*(1+Categorias_Registro[[#This Row],[Amplitud]]),0),IF(Categorias_Registro[[#This Row],[Puntos]]&lt;D1293,D1293,ROUND(D1293*(1+Categorias_Registro[[#This Row],[Amplitud]]),0)))</f>
        <v>1423</v>
      </c>
      <c r="E1292" s="15">
        <f>E1293+IF(D1293=Categorias_Registro[[#This Row],[Máximo]],0,1)</f>
        <v>20</v>
      </c>
      <c r="F1292" s="15">
        <f>ROUND(Categorias_Registro[[#This Row],[Mínimo]]+((Categorias_Registro[[#This Row],[Máximo]]-Categorias_Registro[[#This Row],[Mínimo]])/2),0)</f>
        <v>1331</v>
      </c>
      <c r="G1292" s="78">
        <f>VLOOKUP(Categorias_Registro[[#This Row],[Puntos]],Categorias_Configuracion[],MATCH(Categorias_Configuracion[[#Headers],[% Amplitud]],Categorias_Configuracion[#Headers],0),TRUE)</f>
        <v>0.15</v>
      </c>
      <c r="H1292" s="15" t="str">
        <f ca="1">TEXT(Categorias_Registro[[#This Row],[Mínimo]],Formato_Rango_Categorias)&amp;" - "&amp;TEXT(Categorias_Registro[[#This Row],[Máximo]],Formato_Rango_Categorias)</f>
        <v>1.238 - 1.423</v>
      </c>
    </row>
    <row r="1293" spans="2:8">
      <c r="B1293" s="15">
        <f>Techo - ROW() + ROW(Categorias_Registro[])</f>
        <v>1336</v>
      </c>
      <c r="C1293" s="15">
        <f>IF(Categorias_Registro[[#This Row],[Puntos]]&lt;=ROUND(Piso,0),Piso,IF(Categorias_Registro[[#This Row],[Puntos]]&lt;D1294,C1294,D1294+1))</f>
        <v>1238</v>
      </c>
      <c r="D1293" s="15">
        <f>IF(Categorias_Registro[[#This Row],[Puntos]]=ROUND(Piso,0),ROUND(Categorias_Registro[[#This Row],[Puntos]]*(1+Categorias_Registro[[#This Row],[Amplitud]]),0),IF(Categorias_Registro[[#This Row],[Puntos]]&lt;D1294,D1294,ROUND(D1294*(1+Categorias_Registro[[#This Row],[Amplitud]]),0)))</f>
        <v>1423</v>
      </c>
      <c r="E1293" s="15">
        <f>E1294+IF(D1294=Categorias_Registro[[#This Row],[Máximo]],0,1)</f>
        <v>20</v>
      </c>
      <c r="F1293" s="15">
        <f>ROUND(Categorias_Registro[[#This Row],[Mínimo]]+((Categorias_Registro[[#This Row],[Máximo]]-Categorias_Registro[[#This Row],[Mínimo]])/2),0)</f>
        <v>1331</v>
      </c>
      <c r="G1293" s="78">
        <f>VLOOKUP(Categorias_Registro[[#This Row],[Puntos]],Categorias_Configuracion[],MATCH(Categorias_Configuracion[[#Headers],[% Amplitud]],Categorias_Configuracion[#Headers],0),TRUE)</f>
        <v>0.15</v>
      </c>
      <c r="H1293" s="15" t="str">
        <f ca="1">TEXT(Categorias_Registro[[#This Row],[Mínimo]],Formato_Rango_Categorias)&amp;" - "&amp;TEXT(Categorias_Registro[[#This Row],[Máximo]],Formato_Rango_Categorias)</f>
        <v>1.238 - 1.423</v>
      </c>
    </row>
    <row r="1294" spans="2:8">
      <c r="B1294" s="15">
        <f>Techo - ROW() + ROW(Categorias_Registro[])</f>
        <v>1335</v>
      </c>
      <c r="C1294" s="15">
        <f>IF(Categorias_Registro[[#This Row],[Puntos]]&lt;=ROUND(Piso,0),Piso,IF(Categorias_Registro[[#This Row],[Puntos]]&lt;D1295,C1295,D1295+1))</f>
        <v>1238</v>
      </c>
      <c r="D1294" s="15">
        <f>IF(Categorias_Registro[[#This Row],[Puntos]]=ROUND(Piso,0),ROUND(Categorias_Registro[[#This Row],[Puntos]]*(1+Categorias_Registro[[#This Row],[Amplitud]]),0),IF(Categorias_Registro[[#This Row],[Puntos]]&lt;D1295,D1295,ROUND(D1295*(1+Categorias_Registro[[#This Row],[Amplitud]]),0)))</f>
        <v>1423</v>
      </c>
      <c r="E1294" s="15">
        <f>E1295+IF(D1295=Categorias_Registro[[#This Row],[Máximo]],0,1)</f>
        <v>20</v>
      </c>
      <c r="F1294" s="15">
        <f>ROUND(Categorias_Registro[[#This Row],[Mínimo]]+((Categorias_Registro[[#This Row],[Máximo]]-Categorias_Registro[[#This Row],[Mínimo]])/2),0)</f>
        <v>1331</v>
      </c>
      <c r="G1294" s="78">
        <f>VLOOKUP(Categorias_Registro[[#This Row],[Puntos]],Categorias_Configuracion[],MATCH(Categorias_Configuracion[[#Headers],[% Amplitud]],Categorias_Configuracion[#Headers],0),TRUE)</f>
        <v>0.15</v>
      </c>
      <c r="H1294" s="15" t="str">
        <f ca="1">TEXT(Categorias_Registro[[#This Row],[Mínimo]],Formato_Rango_Categorias)&amp;" - "&amp;TEXT(Categorias_Registro[[#This Row],[Máximo]],Formato_Rango_Categorias)</f>
        <v>1.238 - 1.423</v>
      </c>
    </row>
    <row r="1295" spans="2:8">
      <c r="B1295" s="15">
        <f>Techo - ROW() + ROW(Categorias_Registro[])</f>
        <v>1334</v>
      </c>
      <c r="C1295" s="15">
        <f>IF(Categorias_Registro[[#This Row],[Puntos]]&lt;=ROUND(Piso,0),Piso,IF(Categorias_Registro[[#This Row],[Puntos]]&lt;D1296,C1296,D1296+1))</f>
        <v>1238</v>
      </c>
      <c r="D1295" s="15">
        <f>IF(Categorias_Registro[[#This Row],[Puntos]]=ROUND(Piso,0),ROUND(Categorias_Registro[[#This Row],[Puntos]]*(1+Categorias_Registro[[#This Row],[Amplitud]]),0),IF(Categorias_Registro[[#This Row],[Puntos]]&lt;D1296,D1296,ROUND(D1296*(1+Categorias_Registro[[#This Row],[Amplitud]]),0)))</f>
        <v>1423</v>
      </c>
      <c r="E1295" s="15">
        <f>E1296+IF(D1296=Categorias_Registro[[#This Row],[Máximo]],0,1)</f>
        <v>20</v>
      </c>
      <c r="F1295" s="15">
        <f>ROUND(Categorias_Registro[[#This Row],[Mínimo]]+((Categorias_Registro[[#This Row],[Máximo]]-Categorias_Registro[[#This Row],[Mínimo]])/2),0)</f>
        <v>1331</v>
      </c>
      <c r="G1295" s="78">
        <f>VLOOKUP(Categorias_Registro[[#This Row],[Puntos]],Categorias_Configuracion[],MATCH(Categorias_Configuracion[[#Headers],[% Amplitud]],Categorias_Configuracion[#Headers],0),TRUE)</f>
        <v>0.15</v>
      </c>
      <c r="H1295" s="15" t="str">
        <f ca="1">TEXT(Categorias_Registro[[#This Row],[Mínimo]],Formato_Rango_Categorias)&amp;" - "&amp;TEXT(Categorias_Registro[[#This Row],[Máximo]],Formato_Rango_Categorias)</f>
        <v>1.238 - 1.423</v>
      </c>
    </row>
    <row r="1296" spans="2:8">
      <c r="B1296" s="15">
        <f>Techo - ROW() + ROW(Categorias_Registro[])</f>
        <v>1333</v>
      </c>
      <c r="C1296" s="15">
        <f>IF(Categorias_Registro[[#This Row],[Puntos]]&lt;=ROUND(Piso,0),Piso,IF(Categorias_Registro[[#This Row],[Puntos]]&lt;D1297,C1297,D1297+1))</f>
        <v>1238</v>
      </c>
      <c r="D1296" s="15">
        <f>IF(Categorias_Registro[[#This Row],[Puntos]]=ROUND(Piso,0),ROUND(Categorias_Registro[[#This Row],[Puntos]]*(1+Categorias_Registro[[#This Row],[Amplitud]]),0),IF(Categorias_Registro[[#This Row],[Puntos]]&lt;D1297,D1297,ROUND(D1297*(1+Categorias_Registro[[#This Row],[Amplitud]]),0)))</f>
        <v>1423</v>
      </c>
      <c r="E1296" s="15">
        <f>E1297+IF(D1297=Categorias_Registro[[#This Row],[Máximo]],0,1)</f>
        <v>20</v>
      </c>
      <c r="F1296" s="15">
        <f>ROUND(Categorias_Registro[[#This Row],[Mínimo]]+((Categorias_Registro[[#This Row],[Máximo]]-Categorias_Registro[[#This Row],[Mínimo]])/2),0)</f>
        <v>1331</v>
      </c>
      <c r="G1296" s="78">
        <f>VLOOKUP(Categorias_Registro[[#This Row],[Puntos]],Categorias_Configuracion[],MATCH(Categorias_Configuracion[[#Headers],[% Amplitud]],Categorias_Configuracion[#Headers],0),TRUE)</f>
        <v>0.15</v>
      </c>
      <c r="H1296" s="15" t="str">
        <f ca="1">TEXT(Categorias_Registro[[#This Row],[Mínimo]],Formato_Rango_Categorias)&amp;" - "&amp;TEXT(Categorias_Registro[[#This Row],[Máximo]],Formato_Rango_Categorias)</f>
        <v>1.238 - 1.423</v>
      </c>
    </row>
    <row r="1297" spans="2:8">
      <c r="B1297" s="15">
        <f>Techo - ROW() + ROW(Categorias_Registro[])</f>
        <v>1332</v>
      </c>
      <c r="C1297" s="15">
        <f>IF(Categorias_Registro[[#This Row],[Puntos]]&lt;=ROUND(Piso,0),Piso,IF(Categorias_Registro[[#This Row],[Puntos]]&lt;D1298,C1298,D1298+1))</f>
        <v>1238</v>
      </c>
      <c r="D1297" s="15">
        <f>IF(Categorias_Registro[[#This Row],[Puntos]]=ROUND(Piso,0),ROUND(Categorias_Registro[[#This Row],[Puntos]]*(1+Categorias_Registro[[#This Row],[Amplitud]]),0),IF(Categorias_Registro[[#This Row],[Puntos]]&lt;D1298,D1298,ROUND(D1298*(1+Categorias_Registro[[#This Row],[Amplitud]]),0)))</f>
        <v>1423</v>
      </c>
      <c r="E1297" s="15">
        <f>E1298+IF(D1298=Categorias_Registro[[#This Row],[Máximo]],0,1)</f>
        <v>20</v>
      </c>
      <c r="F1297" s="15">
        <f>ROUND(Categorias_Registro[[#This Row],[Mínimo]]+((Categorias_Registro[[#This Row],[Máximo]]-Categorias_Registro[[#This Row],[Mínimo]])/2),0)</f>
        <v>1331</v>
      </c>
      <c r="G1297" s="78">
        <f>VLOOKUP(Categorias_Registro[[#This Row],[Puntos]],Categorias_Configuracion[],MATCH(Categorias_Configuracion[[#Headers],[% Amplitud]],Categorias_Configuracion[#Headers],0),TRUE)</f>
        <v>0.15</v>
      </c>
      <c r="H1297" s="15" t="str">
        <f ca="1">TEXT(Categorias_Registro[[#This Row],[Mínimo]],Formato_Rango_Categorias)&amp;" - "&amp;TEXT(Categorias_Registro[[#This Row],[Máximo]],Formato_Rango_Categorias)</f>
        <v>1.238 - 1.423</v>
      </c>
    </row>
    <row r="1298" spans="2:8">
      <c r="B1298" s="15">
        <f>Techo - ROW() + ROW(Categorias_Registro[])</f>
        <v>1331</v>
      </c>
      <c r="C1298" s="15">
        <f>IF(Categorias_Registro[[#This Row],[Puntos]]&lt;=ROUND(Piso,0),Piso,IF(Categorias_Registro[[#This Row],[Puntos]]&lt;D1299,C1299,D1299+1))</f>
        <v>1238</v>
      </c>
      <c r="D1298" s="15">
        <f>IF(Categorias_Registro[[#This Row],[Puntos]]=ROUND(Piso,0),ROUND(Categorias_Registro[[#This Row],[Puntos]]*(1+Categorias_Registro[[#This Row],[Amplitud]]),0),IF(Categorias_Registro[[#This Row],[Puntos]]&lt;D1299,D1299,ROUND(D1299*(1+Categorias_Registro[[#This Row],[Amplitud]]),0)))</f>
        <v>1423</v>
      </c>
      <c r="E1298" s="15">
        <f>E1299+IF(D1299=Categorias_Registro[[#This Row],[Máximo]],0,1)</f>
        <v>20</v>
      </c>
      <c r="F1298" s="15">
        <f>ROUND(Categorias_Registro[[#This Row],[Mínimo]]+((Categorias_Registro[[#This Row],[Máximo]]-Categorias_Registro[[#This Row],[Mínimo]])/2),0)</f>
        <v>1331</v>
      </c>
      <c r="G1298" s="78">
        <f>VLOOKUP(Categorias_Registro[[#This Row],[Puntos]],Categorias_Configuracion[],MATCH(Categorias_Configuracion[[#Headers],[% Amplitud]],Categorias_Configuracion[#Headers],0),TRUE)</f>
        <v>0.15</v>
      </c>
      <c r="H1298" s="15" t="str">
        <f ca="1">TEXT(Categorias_Registro[[#This Row],[Mínimo]],Formato_Rango_Categorias)&amp;" - "&amp;TEXT(Categorias_Registro[[#This Row],[Máximo]],Formato_Rango_Categorias)</f>
        <v>1.238 - 1.423</v>
      </c>
    </row>
    <row r="1299" spans="2:8">
      <c r="B1299" s="15">
        <f>Techo - ROW() + ROW(Categorias_Registro[])</f>
        <v>1330</v>
      </c>
      <c r="C1299" s="15">
        <f>IF(Categorias_Registro[[#This Row],[Puntos]]&lt;=ROUND(Piso,0),Piso,IF(Categorias_Registro[[#This Row],[Puntos]]&lt;D1300,C1300,D1300+1))</f>
        <v>1238</v>
      </c>
      <c r="D1299" s="15">
        <f>IF(Categorias_Registro[[#This Row],[Puntos]]=ROUND(Piso,0),ROUND(Categorias_Registro[[#This Row],[Puntos]]*(1+Categorias_Registro[[#This Row],[Amplitud]]),0),IF(Categorias_Registro[[#This Row],[Puntos]]&lt;D1300,D1300,ROUND(D1300*(1+Categorias_Registro[[#This Row],[Amplitud]]),0)))</f>
        <v>1423</v>
      </c>
      <c r="E1299" s="15">
        <f>E1300+IF(D1300=Categorias_Registro[[#This Row],[Máximo]],0,1)</f>
        <v>20</v>
      </c>
      <c r="F1299" s="15">
        <f>ROUND(Categorias_Registro[[#This Row],[Mínimo]]+((Categorias_Registro[[#This Row],[Máximo]]-Categorias_Registro[[#This Row],[Mínimo]])/2),0)</f>
        <v>1331</v>
      </c>
      <c r="G1299" s="78">
        <f>VLOOKUP(Categorias_Registro[[#This Row],[Puntos]],Categorias_Configuracion[],MATCH(Categorias_Configuracion[[#Headers],[% Amplitud]],Categorias_Configuracion[#Headers],0),TRUE)</f>
        <v>0.15</v>
      </c>
      <c r="H1299" s="15" t="str">
        <f ca="1">TEXT(Categorias_Registro[[#This Row],[Mínimo]],Formato_Rango_Categorias)&amp;" - "&amp;TEXT(Categorias_Registro[[#This Row],[Máximo]],Formato_Rango_Categorias)</f>
        <v>1.238 - 1.423</v>
      </c>
    </row>
    <row r="1300" spans="2:8">
      <c r="B1300" s="15">
        <f>Techo - ROW() + ROW(Categorias_Registro[])</f>
        <v>1329</v>
      </c>
      <c r="C1300" s="15">
        <f>IF(Categorias_Registro[[#This Row],[Puntos]]&lt;=ROUND(Piso,0),Piso,IF(Categorias_Registro[[#This Row],[Puntos]]&lt;D1301,C1301,D1301+1))</f>
        <v>1238</v>
      </c>
      <c r="D1300" s="15">
        <f>IF(Categorias_Registro[[#This Row],[Puntos]]=ROUND(Piso,0),ROUND(Categorias_Registro[[#This Row],[Puntos]]*(1+Categorias_Registro[[#This Row],[Amplitud]]),0),IF(Categorias_Registro[[#This Row],[Puntos]]&lt;D1301,D1301,ROUND(D1301*(1+Categorias_Registro[[#This Row],[Amplitud]]),0)))</f>
        <v>1423</v>
      </c>
      <c r="E1300" s="15">
        <f>E1301+IF(D1301=Categorias_Registro[[#This Row],[Máximo]],0,1)</f>
        <v>20</v>
      </c>
      <c r="F1300" s="15">
        <f>ROUND(Categorias_Registro[[#This Row],[Mínimo]]+((Categorias_Registro[[#This Row],[Máximo]]-Categorias_Registro[[#This Row],[Mínimo]])/2),0)</f>
        <v>1331</v>
      </c>
      <c r="G1300" s="78">
        <f>VLOOKUP(Categorias_Registro[[#This Row],[Puntos]],Categorias_Configuracion[],MATCH(Categorias_Configuracion[[#Headers],[% Amplitud]],Categorias_Configuracion[#Headers],0),TRUE)</f>
        <v>0.15</v>
      </c>
      <c r="H1300" s="15" t="str">
        <f ca="1">TEXT(Categorias_Registro[[#This Row],[Mínimo]],Formato_Rango_Categorias)&amp;" - "&amp;TEXT(Categorias_Registro[[#This Row],[Máximo]],Formato_Rango_Categorias)</f>
        <v>1.238 - 1.423</v>
      </c>
    </row>
    <row r="1301" spans="2:8">
      <c r="B1301" s="15">
        <f>Techo - ROW() + ROW(Categorias_Registro[])</f>
        <v>1328</v>
      </c>
      <c r="C1301" s="15">
        <f>IF(Categorias_Registro[[#This Row],[Puntos]]&lt;=ROUND(Piso,0),Piso,IF(Categorias_Registro[[#This Row],[Puntos]]&lt;D1302,C1302,D1302+1))</f>
        <v>1238</v>
      </c>
      <c r="D1301" s="15">
        <f>IF(Categorias_Registro[[#This Row],[Puntos]]=ROUND(Piso,0),ROUND(Categorias_Registro[[#This Row],[Puntos]]*(1+Categorias_Registro[[#This Row],[Amplitud]]),0),IF(Categorias_Registro[[#This Row],[Puntos]]&lt;D1302,D1302,ROUND(D1302*(1+Categorias_Registro[[#This Row],[Amplitud]]),0)))</f>
        <v>1423</v>
      </c>
      <c r="E1301" s="15">
        <f>E1302+IF(D1302=Categorias_Registro[[#This Row],[Máximo]],0,1)</f>
        <v>20</v>
      </c>
      <c r="F1301" s="15">
        <f>ROUND(Categorias_Registro[[#This Row],[Mínimo]]+((Categorias_Registro[[#This Row],[Máximo]]-Categorias_Registro[[#This Row],[Mínimo]])/2),0)</f>
        <v>1331</v>
      </c>
      <c r="G1301" s="78">
        <f>VLOOKUP(Categorias_Registro[[#This Row],[Puntos]],Categorias_Configuracion[],MATCH(Categorias_Configuracion[[#Headers],[% Amplitud]],Categorias_Configuracion[#Headers],0),TRUE)</f>
        <v>0.15</v>
      </c>
      <c r="H1301" s="15" t="str">
        <f ca="1">TEXT(Categorias_Registro[[#This Row],[Mínimo]],Formato_Rango_Categorias)&amp;" - "&amp;TEXT(Categorias_Registro[[#This Row],[Máximo]],Formato_Rango_Categorias)</f>
        <v>1.238 - 1.423</v>
      </c>
    </row>
    <row r="1302" spans="2:8">
      <c r="B1302" s="15">
        <f>Techo - ROW() + ROW(Categorias_Registro[])</f>
        <v>1327</v>
      </c>
      <c r="C1302" s="15">
        <f>IF(Categorias_Registro[[#This Row],[Puntos]]&lt;=ROUND(Piso,0),Piso,IF(Categorias_Registro[[#This Row],[Puntos]]&lt;D1303,C1303,D1303+1))</f>
        <v>1238</v>
      </c>
      <c r="D1302" s="15">
        <f>IF(Categorias_Registro[[#This Row],[Puntos]]=ROUND(Piso,0),ROUND(Categorias_Registro[[#This Row],[Puntos]]*(1+Categorias_Registro[[#This Row],[Amplitud]]),0),IF(Categorias_Registro[[#This Row],[Puntos]]&lt;D1303,D1303,ROUND(D1303*(1+Categorias_Registro[[#This Row],[Amplitud]]),0)))</f>
        <v>1423</v>
      </c>
      <c r="E1302" s="15">
        <f>E1303+IF(D1303=Categorias_Registro[[#This Row],[Máximo]],0,1)</f>
        <v>20</v>
      </c>
      <c r="F1302" s="15">
        <f>ROUND(Categorias_Registro[[#This Row],[Mínimo]]+((Categorias_Registro[[#This Row],[Máximo]]-Categorias_Registro[[#This Row],[Mínimo]])/2),0)</f>
        <v>1331</v>
      </c>
      <c r="G1302" s="78">
        <f>VLOOKUP(Categorias_Registro[[#This Row],[Puntos]],Categorias_Configuracion[],MATCH(Categorias_Configuracion[[#Headers],[% Amplitud]],Categorias_Configuracion[#Headers],0),TRUE)</f>
        <v>0.15</v>
      </c>
      <c r="H1302" s="15" t="str">
        <f ca="1">TEXT(Categorias_Registro[[#This Row],[Mínimo]],Formato_Rango_Categorias)&amp;" - "&amp;TEXT(Categorias_Registro[[#This Row],[Máximo]],Formato_Rango_Categorias)</f>
        <v>1.238 - 1.423</v>
      </c>
    </row>
    <row r="1303" spans="2:8">
      <c r="B1303" s="15">
        <f>Techo - ROW() + ROW(Categorias_Registro[])</f>
        <v>1326</v>
      </c>
      <c r="C1303" s="15">
        <f>IF(Categorias_Registro[[#This Row],[Puntos]]&lt;=ROUND(Piso,0),Piso,IF(Categorias_Registro[[#This Row],[Puntos]]&lt;D1304,C1304,D1304+1))</f>
        <v>1238</v>
      </c>
      <c r="D1303" s="15">
        <f>IF(Categorias_Registro[[#This Row],[Puntos]]=ROUND(Piso,0),ROUND(Categorias_Registro[[#This Row],[Puntos]]*(1+Categorias_Registro[[#This Row],[Amplitud]]),0),IF(Categorias_Registro[[#This Row],[Puntos]]&lt;D1304,D1304,ROUND(D1304*(1+Categorias_Registro[[#This Row],[Amplitud]]),0)))</f>
        <v>1423</v>
      </c>
      <c r="E1303" s="15">
        <f>E1304+IF(D1304=Categorias_Registro[[#This Row],[Máximo]],0,1)</f>
        <v>20</v>
      </c>
      <c r="F1303" s="15">
        <f>ROUND(Categorias_Registro[[#This Row],[Mínimo]]+((Categorias_Registro[[#This Row],[Máximo]]-Categorias_Registro[[#This Row],[Mínimo]])/2),0)</f>
        <v>1331</v>
      </c>
      <c r="G1303" s="78">
        <f>VLOOKUP(Categorias_Registro[[#This Row],[Puntos]],Categorias_Configuracion[],MATCH(Categorias_Configuracion[[#Headers],[% Amplitud]],Categorias_Configuracion[#Headers],0),TRUE)</f>
        <v>0.15</v>
      </c>
      <c r="H1303" s="15" t="str">
        <f ca="1">TEXT(Categorias_Registro[[#This Row],[Mínimo]],Formato_Rango_Categorias)&amp;" - "&amp;TEXT(Categorias_Registro[[#This Row],[Máximo]],Formato_Rango_Categorias)</f>
        <v>1.238 - 1.423</v>
      </c>
    </row>
    <row r="1304" spans="2:8">
      <c r="B1304" s="15">
        <f>Techo - ROW() + ROW(Categorias_Registro[])</f>
        <v>1325</v>
      </c>
      <c r="C1304" s="15">
        <f>IF(Categorias_Registro[[#This Row],[Puntos]]&lt;=ROUND(Piso,0),Piso,IF(Categorias_Registro[[#This Row],[Puntos]]&lt;D1305,C1305,D1305+1))</f>
        <v>1238</v>
      </c>
      <c r="D1304" s="15">
        <f>IF(Categorias_Registro[[#This Row],[Puntos]]=ROUND(Piso,0),ROUND(Categorias_Registro[[#This Row],[Puntos]]*(1+Categorias_Registro[[#This Row],[Amplitud]]),0),IF(Categorias_Registro[[#This Row],[Puntos]]&lt;D1305,D1305,ROUND(D1305*(1+Categorias_Registro[[#This Row],[Amplitud]]),0)))</f>
        <v>1423</v>
      </c>
      <c r="E1304" s="15">
        <f>E1305+IF(D1305=Categorias_Registro[[#This Row],[Máximo]],0,1)</f>
        <v>20</v>
      </c>
      <c r="F1304" s="15">
        <f>ROUND(Categorias_Registro[[#This Row],[Mínimo]]+((Categorias_Registro[[#This Row],[Máximo]]-Categorias_Registro[[#This Row],[Mínimo]])/2),0)</f>
        <v>1331</v>
      </c>
      <c r="G1304" s="78">
        <f>VLOOKUP(Categorias_Registro[[#This Row],[Puntos]],Categorias_Configuracion[],MATCH(Categorias_Configuracion[[#Headers],[% Amplitud]],Categorias_Configuracion[#Headers],0),TRUE)</f>
        <v>0.15</v>
      </c>
      <c r="H1304" s="15" t="str">
        <f ca="1">TEXT(Categorias_Registro[[#This Row],[Mínimo]],Formato_Rango_Categorias)&amp;" - "&amp;TEXT(Categorias_Registro[[#This Row],[Máximo]],Formato_Rango_Categorias)</f>
        <v>1.238 - 1.423</v>
      </c>
    </row>
    <row r="1305" spans="2:8">
      <c r="B1305" s="15">
        <f>Techo - ROW() + ROW(Categorias_Registro[])</f>
        <v>1324</v>
      </c>
      <c r="C1305" s="15">
        <f>IF(Categorias_Registro[[#This Row],[Puntos]]&lt;=ROUND(Piso,0),Piso,IF(Categorias_Registro[[#This Row],[Puntos]]&lt;D1306,C1306,D1306+1))</f>
        <v>1238</v>
      </c>
      <c r="D1305" s="15">
        <f>IF(Categorias_Registro[[#This Row],[Puntos]]=ROUND(Piso,0),ROUND(Categorias_Registro[[#This Row],[Puntos]]*(1+Categorias_Registro[[#This Row],[Amplitud]]),0),IF(Categorias_Registro[[#This Row],[Puntos]]&lt;D1306,D1306,ROUND(D1306*(1+Categorias_Registro[[#This Row],[Amplitud]]),0)))</f>
        <v>1423</v>
      </c>
      <c r="E1305" s="15">
        <f>E1306+IF(D1306=Categorias_Registro[[#This Row],[Máximo]],0,1)</f>
        <v>20</v>
      </c>
      <c r="F1305" s="15">
        <f>ROUND(Categorias_Registro[[#This Row],[Mínimo]]+((Categorias_Registro[[#This Row],[Máximo]]-Categorias_Registro[[#This Row],[Mínimo]])/2),0)</f>
        <v>1331</v>
      </c>
      <c r="G1305" s="78">
        <f>VLOOKUP(Categorias_Registro[[#This Row],[Puntos]],Categorias_Configuracion[],MATCH(Categorias_Configuracion[[#Headers],[% Amplitud]],Categorias_Configuracion[#Headers],0),TRUE)</f>
        <v>0.15</v>
      </c>
      <c r="H1305" s="15" t="str">
        <f ca="1">TEXT(Categorias_Registro[[#This Row],[Mínimo]],Formato_Rango_Categorias)&amp;" - "&amp;TEXT(Categorias_Registro[[#This Row],[Máximo]],Formato_Rango_Categorias)</f>
        <v>1.238 - 1.423</v>
      </c>
    </row>
    <row r="1306" spans="2:8">
      <c r="B1306" s="15">
        <f>Techo - ROW() + ROW(Categorias_Registro[])</f>
        <v>1323</v>
      </c>
      <c r="C1306" s="15">
        <f>IF(Categorias_Registro[[#This Row],[Puntos]]&lt;=ROUND(Piso,0),Piso,IF(Categorias_Registro[[#This Row],[Puntos]]&lt;D1307,C1307,D1307+1))</f>
        <v>1238</v>
      </c>
      <c r="D1306" s="15">
        <f>IF(Categorias_Registro[[#This Row],[Puntos]]=ROUND(Piso,0),ROUND(Categorias_Registro[[#This Row],[Puntos]]*(1+Categorias_Registro[[#This Row],[Amplitud]]),0),IF(Categorias_Registro[[#This Row],[Puntos]]&lt;D1307,D1307,ROUND(D1307*(1+Categorias_Registro[[#This Row],[Amplitud]]),0)))</f>
        <v>1423</v>
      </c>
      <c r="E1306" s="15">
        <f>E1307+IF(D1307=Categorias_Registro[[#This Row],[Máximo]],0,1)</f>
        <v>20</v>
      </c>
      <c r="F1306" s="15">
        <f>ROUND(Categorias_Registro[[#This Row],[Mínimo]]+((Categorias_Registro[[#This Row],[Máximo]]-Categorias_Registro[[#This Row],[Mínimo]])/2),0)</f>
        <v>1331</v>
      </c>
      <c r="G1306" s="78">
        <f>VLOOKUP(Categorias_Registro[[#This Row],[Puntos]],Categorias_Configuracion[],MATCH(Categorias_Configuracion[[#Headers],[% Amplitud]],Categorias_Configuracion[#Headers],0),TRUE)</f>
        <v>0.15</v>
      </c>
      <c r="H1306" s="15" t="str">
        <f ca="1">TEXT(Categorias_Registro[[#This Row],[Mínimo]],Formato_Rango_Categorias)&amp;" - "&amp;TEXT(Categorias_Registro[[#This Row],[Máximo]],Formato_Rango_Categorias)</f>
        <v>1.238 - 1.423</v>
      </c>
    </row>
    <row r="1307" spans="2:8">
      <c r="B1307" s="15">
        <f>Techo - ROW() + ROW(Categorias_Registro[])</f>
        <v>1322</v>
      </c>
      <c r="C1307" s="15">
        <f>IF(Categorias_Registro[[#This Row],[Puntos]]&lt;=ROUND(Piso,0),Piso,IF(Categorias_Registro[[#This Row],[Puntos]]&lt;D1308,C1308,D1308+1))</f>
        <v>1238</v>
      </c>
      <c r="D1307" s="15">
        <f>IF(Categorias_Registro[[#This Row],[Puntos]]=ROUND(Piso,0),ROUND(Categorias_Registro[[#This Row],[Puntos]]*(1+Categorias_Registro[[#This Row],[Amplitud]]),0),IF(Categorias_Registro[[#This Row],[Puntos]]&lt;D1308,D1308,ROUND(D1308*(1+Categorias_Registro[[#This Row],[Amplitud]]),0)))</f>
        <v>1423</v>
      </c>
      <c r="E1307" s="15">
        <f>E1308+IF(D1308=Categorias_Registro[[#This Row],[Máximo]],0,1)</f>
        <v>20</v>
      </c>
      <c r="F1307" s="15">
        <f>ROUND(Categorias_Registro[[#This Row],[Mínimo]]+((Categorias_Registro[[#This Row],[Máximo]]-Categorias_Registro[[#This Row],[Mínimo]])/2),0)</f>
        <v>1331</v>
      </c>
      <c r="G1307" s="78">
        <f>VLOOKUP(Categorias_Registro[[#This Row],[Puntos]],Categorias_Configuracion[],MATCH(Categorias_Configuracion[[#Headers],[% Amplitud]],Categorias_Configuracion[#Headers],0),TRUE)</f>
        <v>0.15</v>
      </c>
      <c r="H1307" s="15" t="str">
        <f ca="1">TEXT(Categorias_Registro[[#This Row],[Mínimo]],Formato_Rango_Categorias)&amp;" - "&amp;TEXT(Categorias_Registro[[#This Row],[Máximo]],Formato_Rango_Categorias)</f>
        <v>1.238 - 1.423</v>
      </c>
    </row>
    <row r="1308" spans="2:8">
      <c r="B1308" s="15">
        <f>Techo - ROW() + ROW(Categorias_Registro[])</f>
        <v>1321</v>
      </c>
      <c r="C1308" s="15">
        <f>IF(Categorias_Registro[[#This Row],[Puntos]]&lt;=ROUND(Piso,0),Piso,IF(Categorias_Registro[[#This Row],[Puntos]]&lt;D1309,C1309,D1309+1))</f>
        <v>1238</v>
      </c>
      <c r="D1308" s="15">
        <f>IF(Categorias_Registro[[#This Row],[Puntos]]=ROUND(Piso,0),ROUND(Categorias_Registro[[#This Row],[Puntos]]*(1+Categorias_Registro[[#This Row],[Amplitud]]),0),IF(Categorias_Registro[[#This Row],[Puntos]]&lt;D1309,D1309,ROUND(D1309*(1+Categorias_Registro[[#This Row],[Amplitud]]),0)))</f>
        <v>1423</v>
      </c>
      <c r="E1308" s="15">
        <f>E1309+IF(D1309=Categorias_Registro[[#This Row],[Máximo]],0,1)</f>
        <v>20</v>
      </c>
      <c r="F1308" s="15">
        <f>ROUND(Categorias_Registro[[#This Row],[Mínimo]]+((Categorias_Registro[[#This Row],[Máximo]]-Categorias_Registro[[#This Row],[Mínimo]])/2),0)</f>
        <v>1331</v>
      </c>
      <c r="G1308" s="78">
        <f>VLOOKUP(Categorias_Registro[[#This Row],[Puntos]],Categorias_Configuracion[],MATCH(Categorias_Configuracion[[#Headers],[% Amplitud]],Categorias_Configuracion[#Headers],0),TRUE)</f>
        <v>0.15</v>
      </c>
      <c r="H1308" s="15" t="str">
        <f ca="1">TEXT(Categorias_Registro[[#This Row],[Mínimo]],Formato_Rango_Categorias)&amp;" - "&amp;TEXT(Categorias_Registro[[#This Row],[Máximo]],Formato_Rango_Categorias)</f>
        <v>1.238 - 1.423</v>
      </c>
    </row>
    <row r="1309" spans="2:8">
      <c r="B1309" s="15">
        <f>Techo - ROW() + ROW(Categorias_Registro[])</f>
        <v>1320</v>
      </c>
      <c r="C1309" s="15">
        <f>IF(Categorias_Registro[[#This Row],[Puntos]]&lt;=ROUND(Piso,0),Piso,IF(Categorias_Registro[[#This Row],[Puntos]]&lt;D1310,C1310,D1310+1))</f>
        <v>1238</v>
      </c>
      <c r="D1309" s="15">
        <f>IF(Categorias_Registro[[#This Row],[Puntos]]=ROUND(Piso,0),ROUND(Categorias_Registro[[#This Row],[Puntos]]*(1+Categorias_Registro[[#This Row],[Amplitud]]),0),IF(Categorias_Registro[[#This Row],[Puntos]]&lt;D1310,D1310,ROUND(D1310*(1+Categorias_Registro[[#This Row],[Amplitud]]),0)))</f>
        <v>1423</v>
      </c>
      <c r="E1309" s="15">
        <f>E1310+IF(D1310=Categorias_Registro[[#This Row],[Máximo]],0,1)</f>
        <v>20</v>
      </c>
      <c r="F1309" s="15">
        <f>ROUND(Categorias_Registro[[#This Row],[Mínimo]]+((Categorias_Registro[[#This Row],[Máximo]]-Categorias_Registro[[#This Row],[Mínimo]])/2),0)</f>
        <v>1331</v>
      </c>
      <c r="G1309" s="78">
        <f>VLOOKUP(Categorias_Registro[[#This Row],[Puntos]],Categorias_Configuracion[],MATCH(Categorias_Configuracion[[#Headers],[% Amplitud]],Categorias_Configuracion[#Headers],0),TRUE)</f>
        <v>0.15</v>
      </c>
      <c r="H1309" s="15" t="str">
        <f ca="1">TEXT(Categorias_Registro[[#This Row],[Mínimo]],Formato_Rango_Categorias)&amp;" - "&amp;TEXT(Categorias_Registro[[#This Row],[Máximo]],Formato_Rango_Categorias)</f>
        <v>1.238 - 1.423</v>
      </c>
    </row>
    <row r="1310" spans="2:8">
      <c r="B1310" s="15">
        <f>Techo - ROW() + ROW(Categorias_Registro[])</f>
        <v>1319</v>
      </c>
      <c r="C1310" s="15">
        <f>IF(Categorias_Registro[[#This Row],[Puntos]]&lt;=ROUND(Piso,0),Piso,IF(Categorias_Registro[[#This Row],[Puntos]]&lt;D1311,C1311,D1311+1))</f>
        <v>1238</v>
      </c>
      <c r="D1310" s="15">
        <f>IF(Categorias_Registro[[#This Row],[Puntos]]=ROUND(Piso,0),ROUND(Categorias_Registro[[#This Row],[Puntos]]*(1+Categorias_Registro[[#This Row],[Amplitud]]),0),IF(Categorias_Registro[[#This Row],[Puntos]]&lt;D1311,D1311,ROUND(D1311*(1+Categorias_Registro[[#This Row],[Amplitud]]),0)))</f>
        <v>1423</v>
      </c>
      <c r="E1310" s="15">
        <f>E1311+IF(D1311=Categorias_Registro[[#This Row],[Máximo]],0,1)</f>
        <v>20</v>
      </c>
      <c r="F1310" s="15">
        <f>ROUND(Categorias_Registro[[#This Row],[Mínimo]]+((Categorias_Registro[[#This Row],[Máximo]]-Categorias_Registro[[#This Row],[Mínimo]])/2),0)</f>
        <v>1331</v>
      </c>
      <c r="G1310" s="78">
        <f>VLOOKUP(Categorias_Registro[[#This Row],[Puntos]],Categorias_Configuracion[],MATCH(Categorias_Configuracion[[#Headers],[% Amplitud]],Categorias_Configuracion[#Headers],0),TRUE)</f>
        <v>0.15</v>
      </c>
      <c r="H1310" s="15" t="str">
        <f ca="1">TEXT(Categorias_Registro[[#This Row],[Mínimo]],Formato_Rango_Categorias)&amp;" - "&amp;TEXT(Categorias_Registro[[#This Row],[Máximo]],Formato_Rango_Categorias)</f>
        <v>1.238 - 1.423</v>
      </c>
    </row>
    <row r="1311" spans="2:8">
      <c r="B1311" s="15">
        <f>Techo - ROW() + ROW(Categorias_Registro[])</f>
        <v>1318</v>
      </c>
      <c r="C1311" s="15">
        <f>IF(Categorias_Registro[[#This Row],[Puntos]]&lt;=ROUND(Piso,0),Piso,IF(Categorias_Registro[[#This Row],[Puntos]]&lt;D1312,C1312,D1312+1))</f>
        <v>1238</v>
      </c>
      <c r="D1311" s="15">
        <f>IF(Categorias_Registro[[#This Row],[Puntos]]=ROUND(Piso,0),ROUND(Categorias_Registro[[#This Row],[Puntos]]*(1+Categorias_Registro[[#This Row],[Amplitud]]),0),IF(Categorias_Registro[[#This Row],[Puntos]]&lt;D1312,D1312,ROUND(D1312*(1+Categorias_Registro[[#This Row],[Amplitud]]),0)))</f>
        <v>1423</v>
      </c>
      <c r="E1311" s="15">
        <f>E1312+IF(D1312=Categorias_Registro[[#This Row],[Máximo]],0,1)</f>
        <v>20</v>
      </c>
      <c r="F1311" s="15">
        <f>ROUND(Categorias_Registro[[#This Row],[Mínimo]]+((Categorias_Registro[[#This Row],[Máximo]]-Categorias_Registro[[#This Row],[Mínimo]])/2),0)</f>
        <v>1331</v>
      </c>
      <c r="G1311" s="78">
        <f>VLOOKUP(Categorias_Registro[[#This Row],[Puntos]],Categorias_Configuracion[],MATCH(Categorias_Configuracion[[#Headers],[% Amplitud]],Categorias_Configuracion[#Headers],0),TRUE)</f>
        <v>0.15</v>
      </c>
      <c r="H1311" s="15" t="str">
        <f ca="1">TEXT(Categorias_Registro[[#This Row],[Mínimo]],Formato_Rango_Categorias)&amp;" - "&amp;TEXT(Categorias_Registro[[#This Row],[Máximo]],Formato_Rango_Categorias)</f>
        <v>1.238 - 1.423</v>
      </c>
    </row>
    <row r="1312" spans="2:8">
      <c r="B1312" s="15">
        <f>Techo - ROW() + ROW(Categorias_Registro[])</f>
        <v>1317</v>
      </c>
      <c r="C1312" s="15">
        <f>IF(Categorias_Registro[[#This Row],[Puntos]]&lt;=ROUND(Piso,0),Piso,IF(Categorias_Registro[[#This Row],[Puntos]]&lt;D1313,C1313,D1313+1))</f>
        <v>1238</v>
      </c>
      <c r="D1312" s="15">
        <f>IF(Categorias_Registro[[#This Row],[Puntos]]=ROUND(Piso,0),ROUND(Categorias_Registro[[#This Row],[Puntos]]*(1+Categorias_Registro[[#This Row],[Amplitud]]),0),IF(Categorias_Registro[[#This Row],[Puntos]]&lt;D1313,D1313,ROUND(D1313*(1+Categorias_Registro[[#This Row],[Amplitud]]),0)))</f>
        <v>1423</v>
      </c>
      <c r="E1312" s="15">
        <f>E1313+IF(D1313=Categorias_Registro[[#This Row],[Máximo]],0,1)</f>
        <v>20</v>
      </c>
      <c r="F1312" s="15">
        <f>ROUND(Categorias_Registro[[#This Row],[Mínimo]]+((Categorias_Registro[[#This Row],[Máximo]]-Categorias_Registro[[#This Row],[Mínimo]])/2),0)</f>
        <v>1331</v>
      </c>
      <c r="G1312" s="78">
        <f>VLOOKUP(Categorias_Registro[[#This Row],[Puntos]],Categorias_Configuracion[],MATCH(Categorias_Configuracion[[#Headers],[% Amplitud]],Categorias_Configuracion[#Headers],0),TRUE)</f>
        <v>0.15</v>
      </c>
      <c r="H1312" s="15" t="str">
        <f ca="1">TEXT(Categorias_Registro[[#This Row],[Mínimo]],Formato_Rango_Categorias)&amp;" - "&amp;TEXT(Categorias_Registro[[#This Row],[Máximo]],Formato_Rango_Categorias)</f>
        <v>1.238 - 1.423</v>
      </c>
    </row>
    <row r="1313" spans="2:8">
      <c r="B1313" s="15">
        <f>Techo - ROW() + ROW(Categorias_Registro[])</f>
        <v>1316</v>
      </c>
      <c r="C1313" s="15">
        <f>IF(Categorias_Registro[[#This Row],[Puntos]]&lt;=ROUND(Piso,0),Piso,IF(Categorias_Registro[[#This Row],[Puntos]]&lt;D1314,C1314,D1314+1))</f>
        <v>1238</v>
      </c>
      <c r="D1313" s="15">
        <f>IF(Categorias_Registro[[#This Row],[Puntos]]=ROUND(Piso,0),ROUND(Categorias_Registro[[#This Row],[Puntos]]*(1+Categorias_Registro[[#This Row],[Amplitud]]),0),IF(Categorias_Registro[[#This Row],[Puntos]]&lt;D1314,D1314,ROUND(D1314*(1+Categorias_Registro[[#This Row],[Amplitud]]),0)))</f>
        <v>1423</v>
      </c>
      <c r="E1313" s="15">
        <f>E1314+IF(D1314=Categorias_Registro[[#This Row],[Máximo]],0,1)</f>
        <v>20</v>
      </c>
      <c r="F1313" s="15">
        <f>ROUND(Categorias_Registro[[#This Row],[Mínimo]]+((Categorias_Registro[[#This Row],[Máximo]]-Categorias_Registro[[#This Row],[Mínimo]])/2),0)</f>
        <v>1331</v>
      </c>
      <c r="G1313" s="78">
        <f>VLOOKUP(Categorias_Registro[[#This Row],[Puntos]],Categorias_Configuracion[],MATCH(Categorias_Configuracion[[#Headers],[% Amplitud]],Categorias_Configuracion[#Headers],0),TRUE)</f>
        <v>0.15</v>
      </c>
      <c r="H1313" s="15" t="str">
        <f ca="1">TEXT(Categorias_Registro[[#This Row],[Mínimo]],Formato_Rango_Categorias)&amp;" - "&amp;TEXT(Categorias_Registro[[#This Row],[Máximo]],Formato_Rango_Categorias)</f>
        <v>1.238 - 1.423</v>
      </c>
    </row>
    <row r="1314" spans="2:8">
      <c r="B1314" s="15">
        <f>Techo - ROW() + ROW(Categorias_Registro[])</f>
        <v>1315</v>
      </c>
      <c r="C1314" s="15">
        <f>IF(Categorias_Registro[[#This Row],[Puntos]]&lt;=ROUND(Piso,0),Piso,IF(Categorias_Registro[[#This Row],[Puntos]]&lt;D1315,C1315,D1315+1))</f>
        <v>1238</v>
      </c>
      <c r="D1314" s="15">
        <f>IF(Categorias_Registro[[#This Row],[Puntos]]=ROUND(Piso,0),ROUND(Categorias_Registro[[#This Row],[Puntos]]*(1+Categorias_Registro[[#This Row],[Amplitud]]),0),IF(Categorias_Registro[[#This Row],[Puntos]]&lt;D1315,D1315,ROUND(D1315*(1+Categorias_Registro[[#This Row],[Amplitud]]),0)))</f>
        <v>1423</v>
      </c>
      <c r="E1314" s="15">
        <f>E1315+IF(D1315=Categorias_Registro[[#This Row],[Máximo]],0,1)</f>
        <v>20</v>
      </c>
      <c r="F1314" s="15">
        <f>ROUND(Categorias_Registro[[#This Row],[Mínimo]]+((Categorias_Registro[[#This Row],[Máximo]]-Categorias_Registro[[#This Row],[Mínimo]])/2),0)</f>
        <v>1331</v>
      </c>
      <c r="G1314" s="78">
        <f>VLOOKUP(Categorias_Registro[[#This Row],[Puntos]],Categorias_Configuracion[],MATCH(Categorias_Configuracion[[#Headers],[% Amplitud]],Categorias_Configuracion[#Headers],0),TRUE)</f>
        <v>0.15</v>
      </c>
      <c r="H1314" s="15" t="str">
        <f ca="1">TEXT(Categorias_Registro[[#This Row],[Mínimo]],Formato_Rango_Categorias)&amp;" - "&amp;TEXT(Categorias_Registro[[#This Row],[Máximo]],Formato_Rango_Categorias)</f>
        <v>1.238 - 1.423</v>
      </c>
    </row>
    <row r="1315" spans="2:8">
      <c r="B1315" s="15">
        <f>Techo - ROW() + ROW(Categorias_Registro[])</f>
        <v>1314</v>
      </c>
      <c r="C1315" s="15">
        <f>IF(Categorias_Registro[[#This Row],[Puntos]]&lt;=ROUND(Piso,0),Piso,IF(Categorias_Registro[[#This Row],[Puntos]]&lt;D1316,C1316,D1316+1))</f>
        <v>1238</v>
      </c>
      <c r="D1315" s="15">
        <f>IF(Categorias_Registro[[#This Row],[Puntos]]=ROUND(Piso,0),ROUND(Categorias_Registro[[#This Row],[Puntos]]*(1+Categorias_Registro[[#This Row],[Amplitud]]),0),IF(Categorias_Registro[[#This Row],[Puntos]]&lt;D1316,D1316,ROUND(D1316*(1+Categorias_Registro[[#This Row],[Amplitud]]),0)))</f>
        <v>1423</v>
      </c>
      <c r="E1315" s="15">
        <f>E1316+IF(D1316=Categorias_Registro[[#This Row],[Máximo]],0,1)</f>
        <v>20</v>
      </c>
      <c r="F1315" s="15">
        <f>ROUND(Categorias_Registro[[#This Row],[Mínimo]]+((Categorias_Registro[[#This Row],[Máximo]]-Categorias_Registro[[#This Row],[Mínimo]])/2),0)</f>
        <v>1331</v>
      </c>
      <c r="G1315" s="78">
        <f>VLOOKUP(Categorias_Registro[[#This Row],[Puntos]],Categorias_Configuracion[],MATCH(Categorias_Configuracion[[#Headers],[% Amplitud]],Categorias_Configuracion[#Headers],0),TRUE)</f>
        <v>0.15</v>
      </c>
      <c r="H1315" s="15" t="str">
        <f ca="1">TEXT(Categorias_Registro[[#This Row],[Mínimo]],Formato_Rango_Categorias)&amp;" - "&amp;TEXT(Categorias_Registro[[#This Row],[Máximo]],Formato_Rango_Categorias)</f>
        <v>1.238 - 1.423</v>
      </c>
    </row>
    <row r="1316" spans="2:8">
      <c r="B1316" s="15">
        <f>Techo - ROW() + ROW(Categorias_Registro[])</f>
        <v>1313</v>
      </c>
      <c r="C1316" s="15">
        <f>IF(Categorias_Registro[[#This Row],[Puntos]]&lt;=ROUND(Piso,0),Piso,IF(Categorias_Registro[[#This Row],[Puntos]]&lt;D1317,C1317,D1317+1))</f>
        <v>1238</v>
      </c>
      <c r="D1316" s="15">
        <f>IF(Categorias_Registro[[#This Row],[Puntos]]=ROUND(Piso,0),ROUND(Categorias_Registro[[#This Row],[Puntos]]*(1+Categorias_Registro[[#This Row],[Amplitud]]),0),IF(Categorias_Registro[[#This Row],[Puntos]]&lt;D1317,D1317,ROUND(D1317*(1+Categorias_Registro[[#This Row],[Amplitud]]),0)))</f>
        <v>1423</v>
      </c>
      <c r="E1316" s="15">
        <f>E1317+IF(D1317=Categorias_Registro[[#This Row],[Máximo]],0,1)</f>
        <v>20</v>
      </c>
      <c r="F1316" s="15">
        <f>ROUND(Categorias_Registro[[#This Row],[Mínimo]]+((Categorias_Registro[[#This Row],[Máximo]]-Categorias_Registro[[#This Row],[Mínimo]])/2),0)</f>
        <v>1331</v>
      </c>
      <c r="G1316" s="78">
        <f>VLOOKUP(Categorias_Registro[[#This Row],[Puntos]],Categorias_Configuracion[],MATCH(Categorias_Configuracion[[#Headers],[% Amplitud]],Categorias_Configuracion[#Headers],0),TRUE)</f>
        <v>0.15</v>
      </c>
      <c r="H1316" s="15" t="str">
        <f ca="1">TEXT(Categorias_Registro[[#This Row],[Mínimo]],Formato_Rango_Categorias)&amp;" - "&amp;TEXT(Categorias_Registro[[#This Row],[Máximo]],Formato_Rango_Categorias)</f>
        <v>1.238 - 1.423</v>
      </c>
    </row>
    <row r="1317" spans="2:8">
      <c r="B1317" s="15">
        <f>Techo - ROW() + ROW(Categorias_Registro[])</f>
        <v>1312</v>
      </c>
      <c r="C1317" s="15">
        <f>IF(Categorias_Registro[[#This Row],[Puntos]]&lt;=ROUND(Piso,0),Piso,IF(Categorias_Registro[[#This Row],[Puntos]]&lt;D1318,C1318,D1318+1))</f>
        <v>1238</v>
      </c>
      <c r="D1317" s="15">
        <f>IF(Categorias_Registro[[#This Row],[Puntos]]=ROUND(Piso,0),ROUND(Categorias_Registro[[#This Row],[Puntos]]*(1+Categorias_Registro[[#This Row],[Amplitud]]),0),IF(Categorias_Registro[[#This Row],[Puntos]]&lt;D1318,D1318,ROUND(D1318*(1+Categorias_Registro[[#This Row],[Amplitud]]),0)))</f>
        <v>1423</v>
      </c>
      <c r="E1317" s="15">
        <f>E1318+IF(D1318=Categorias_Registro[[#This Row],[Máximo]],0,1)</f>
        <v>20</v>
      </c>
      <c r="F1317" s="15">
        <f>ROUND(Categorias_Registro[[#This Row],[Mínimo]]+((Categorias_Registro[[#This Row],[Máximo]]-Categorias_Registro[[#This Row],[Mínimo]])/2),0)</f>
        <v>1331</v>
      </c>
      <c r="G1317" s="78">
        <f>VLOOKUP(Categorias_Registro[[#This Row],[Puntos]],Categorias_Configuracion[],MATCH(Categorias_Configuracion[[#Headers],[% Amplitud]],Categorias_Configuracion[#Headers],0),TRUE)</f>
        <v>0.15</v>
      </c>
      <c r="H1317" s="15" t="str">
        <f ca="1">TEXT(Categorias_Registro[[#This Row],[Mínimo]],Formato_Rango_Categorias)&amp;" - "&amp;TEXT(Categorias_Registro[[#This Row],[Máximo]],Formato_Rango_Categorias)</f>
        <v>1.238 - 1.423</v>
      </c>
    </row>
    <row r="1318" spans="2:8">
      <c r="B1318" s="15">
        <f>Techo - ROW() + ROW(Categorias_Registro[])</f>
        <v>1311</v>
      </c>
      <c r="C1318" s="15">
        <f>IF(Categorias_Registro[[#This Row],[Puntos]]&lt;=ROUND(Piso,0),Piso,IF(Categorias_Registro[[#This Row],[Puntos]]&lt;D1319,C1319,D1319+1))</f>
        <v>1238</v>
      </c>
      <c r="D1318" s="15">
        <f>IF(Categorias_Registro[[#This Row],[Puntos]]=ROUND(Piso,0),ROUND(Categorias_Registro[[#This Row],[Puntos]]*(1+Categorias_Registro[[#This Row],[Amplitud]]),0),IF(Categorias_Registro[[#This Row],[Puntos]]&lt;D1319,D1319,ROUND(D1319*(1+Categorias_Registro[[#This Row],[Amplitud]]),0)))</f>
        <v>1423</v>
      </c>
      <c r="E1318" s="15">
        <f>E1319+IF(D1319=Categorias_Registro[[#This Row],[Máximo]],0,1)</f>
        <v>20</v>
      </c>
      <c r="F1318" s="15">
        <f>ROUND(Categorias_Registro[[#This Row],[Mínimo]]+((Categorias_Registro[[#This Row],[Máximo]]-Categorias_Registro[[#This Row],[Mínimo]])/2),0)</f>
        <v>1331</v>
      </c>
      <c r="G1318" s="78">
        <f>VLOOKUP(Categorias_Registro[[#This Row],[Puntos]],Categorias_Configuracion[],MATCH(Categorias_Configuracion[[#Headers],[% Amplitud]],Categorias_Configuracion[#Headers],0),TRUE)</f>
        <v>0.15</v>
      </c>
      <c r="H1318" s="15" t="str">
        <f ca="1">TEXT(Categorias_Registro[[#This Row],[Mínimo]],Formato_Rango_Categorias)&amp;" - "&amp;TEXT(Categorias_Registro[[#This Row],[Máximo]],Formato_Rango_Categorias)</f>
        <v>1.238 - 1.423</v>
      </c>
    </row>
    <row r="1319" spans="2:8">
      <c r="B1319" s="15">
        <f>Techo - ROW() + ROW(Categorias_Registro[])</f>
        <v>1310</v>
      </c>
      <c r="C1319" s="15">
        <f>IF(Categorias_Registro[[#This Row],[Puntos]]&lt;=ROUND(Piso,0),Piso,IF(Categorias_Registro[[#This Row],[Puntos]]&lt;D1320,C1320,D1320+1))</f>
        <v>1238</v>
      </c>
      <c r="D1319" s="15">
        <f>IF(Categorias_Registro[[#This Row],[Puntos]]=ROUND(Piso,0),ROUND(Categorias_Registro[[#This Row],[Puntos]]*(1+Categorias_Registro[[#This Row],[Amplitud]]),0),IF(Categorias_Registro[[#This Row],[Puntos]]&lt;D1320,D1320,ROUND(D1320*(1+Categorias_Registro[[#This Row],[Amplitud]]),0)))</f>
        <v>1423</v>
      </c>
      <c r="E1319" s="15">
        <f>E1320+IF(D1320=Categorias_Registro[[#This Row],[Máximo]],0,1)</f>
        <v>20</v>
      </c>
      <c r="F1319" s="15">
        <f>ROUND(Categorias_Registro[[#This Row],[Mínimo]]+((Categorias_Registro[[#This Row],[Máximo]]-Categorias_Registro[[#This Row],[Mínimo]])/2),0)</f>
        <v>1331</v>
      </c>
      <c r="G1319" s="78">
        <f>VLOOKUP(Categorias_Registro[[#This Row],[Puntos]],Categorias_Configuracion[],MATCH(Categorias_Configuracion[[#Headers],[% Amplitud]],Categorias_Configuracion[#Headers],0),TRUE)</f>
        <v>0.15</v>
      </c>
      <c r="H1319" s="15" t="str">
        <f ca="1">TEXT(Categorias_Registro[[#This Row],[Mínimo]],Formato_Rango_Categorias)&amp;" - "&amp;TEXT(Categorias_Registro[[#This Row],[Máximo]],Formato_Rango_Categorias)</f>
        <v>1.238 - 1.423</v>
      </c>
    </row>
    <row r="1320" spans="2:8">
      <c r="B1320" s="15">
        <f>Techo - ROW() + ROW(Categorias_Registro[])</f>
        <v>1309</v>
      </c>
      <c r="C1320" s="15">
        <f>IF(Categorias_Registro[[#This Row],[Puntos]]&lt;=ROUND(Piso,0),Piso,IF(Categorias_Registro[[#This Row],[Puntos]]&lt;D1321,C1321,D1321+1))</f>
        <v>1238</v>
      </c>
      <c r="D1320" s="15">
        <f>IF(Categorias_Registro[[#This Row],[Puntos]]=ROUND(Piso,0),ROUND(Categorias_Registro[[#This Row],[Puntos]]*(1+Categorias_Registro[[#This Row],[Amplitud]]),0),IF(Categorias_Registro[[#This Row],[Puntos]]&lt;D1321,D1321,ROUND(D1321*(1+Categorias_Registro[[#This Row],[Amplitud]]),0)))</f>
        <v>1423</v>
      </c>
      <c r="E1320" s="15">
        <f>E1321+IF(D1321=Categorias_Registro[[#This Row],[Máximo]],0,1)</f>
        <v>20</v>
      </c>
      <c r="F1320" s="15">
        <f>ROUND(Categorias_Registro[[#This Row],[Mínimo]]+((Categorias_Registro[[#This Row],[Máximo]]-Categorias_Registro[[#This Row],[Mínimo]])/2),0)</f>
        <v>1331</v>
      </c>
      <c r="G1320" s="78">
        <f>VLOOKUP(Categorias_Registro[[#This Row],[Puntos]],Categorias_Configuracion[],MATCH(Categorias_Configuracion[[#Headers],[% Amplitud]],Categorias_Configuracion[#Headers],0),TRUE)</f>
        <v>0.15</v>
      </c>
      <c r="H1320" s="15" t="str">
        <f ca="1">TEXT(Categorias_Registro[[#This Row],[Mínimo]],Formato_Rango_Categorias)&amp;" - "&amp;TEXT(Categorias_Registro[[#This Row],[Máximo]],Formato_Rango_Categorias)</f>
        <v>1.238 - 1.423</v>
      </c>
    </row>
    <row r="1321" spans="2:8">
      <c r="B1321" s="15">
        <f>Techo - ROW() + ROW(Categorias_Registro[])</f>
        <v>1308</v>
      </c>
      <c r="C1321" s="15">
        <f>IF(Categorias_Registro[[#This Row],[Puntos]]&lt;=ROUND(Piso,0),Piso,IF(Categorias_Registro[[#This Row],[Puntos]]&lt;D1322,C1322,D1322+1))</f>
        <v>1238</v>
      </c>
      <c r="D1321" s="15">
        <f>IF(Categorias_Registro[[#This Row],[Puntos]]=ROUND(Piso,0),ROUND(Categorias_Registro[[#This Row],[Puntos]]*(1+Categorias_Registro[[#This Row],[Amplitud]]),0),IF(Categorias_Registro[[#This Row],[Puntos]]&lt;D1322,D1322,ROUND(D1322*(1+Categorias_Registro[[#This Row],[Amplitud]]),0)))</f>
        <v>1423</v>
      </c>
      <c r="E1321" s="15">
        <f>E1322+IF(D1322=Categorias_Registro[[#This Row],[Máximo]],0,1)</f>
        <v>20</v>
      </c>
      <c r="F1321" s="15">
        <f>ROUND(Categorias_Registro[[#This Row],[Mínimo]]+((Categorias_Registro[[#This Row],[Máximo]]-Categorias_Registro[[#This Row],[Mínimo]])/2),0)</f>
        <v>1331</v>
      </c>
      <c r="G1321" s="78">
        <f>VLOOKUP(Categorias_Registro[[#This Row],[Puntos]],Categorias_Configuracion[],MATCH(Categorias_Configuracion[[#Headers],[% Amplitud]],Categorias_Configuracion[#Headers],0),TRUE)</f>
        <v>0.15</v>
      </c>
      <c r="H1321" s="15" t="str">
        <f ca="1">TEXT(Categorias_Registro[[#This Row],[Mínimo]],Formato_Rango_Categorias)&amp;" - "&amp;TEXT(Categorias_Registro[[#This Row],[Máximo]],Formato_Rango_Categorias)</f>
        <v>1.238 - 1.423</v>
      </c>
    </row>
    <row r="1322" spans="2:8">
      <c r="B1322" s="15">
        <f>Techo - ROW() + ROW(Categorias_Registro[])</f>
        <v>1307</v>
      </c>
      <c r="C1322" s="15">
        <f>IF(Categorias_Registro[[#This Row],[Puntos]]&lt;=ROUND(Piso,0),Piso,IF(Categorias_Registro[[#This Row],[Puntos]]&lt;D1323,C1323,D1323+1))</f>
        <v>1238</v>
      </c>
      <c r="D1322" s="15">
        <f>IF(Categorias_Registro[[#This Row],[Puntos]]=ROUND(Piso,0),ROUND(Categorias_Registro[[#This Row],[Puntos]]*(1+Categorias_Registro[[#This Row],[Amplitud]]),0),IF(Categorias_Registro[[#This Row],[Puntos]]&lt;D1323,D1323,ROUND(D1323*(1+Categorias_Registro[[#This Row],[Amplitud]]),0)))</f>
        <v>1423</v>
      </c>
      <c r="E1322" s="15">
        <f>E1323+IF(D1323=Categorias_Registro[[#This Row],[Máximo]],0,1)</f>
        <v>20</v>
      </c>
      <c r="F1322" s="15">
        <f>ROUND(Categorias_Registro[[#This Row],[Mínimo]]+((Categorias_Registro[[#This Row],[Máximo]]-Categorias_Registro[[#This Row],[Mínimo]])/2),0)</f>
        <v>1331</v>
      </c>
      <c r="G1322" s="78">
        <f>VLOOKUP(Categorias_Registro[[#This Row],[Puntos]],Categorias_Configuracion[],MATCH(Categorias_Configuracion[[#Headers],[% Amplitud]],Categorias_Configuracion[#Headers],0),TRUE)</f>
        <v>0.15</v>
      </c>
      <c r="H1322" s="15" t="str">
        <f ca="1">TEXT(Categorias_Registro[[#This Row],[Mínimo]],Formato_Rango_Categorias)&amp;" - "&amp;TEXT(Categorias_Registro[[#This Row],[Máximo]],Formato_Rango_Categorias)</f>
        <v>1.238 - 1.423</v>
      </c>
    </row>
    <row r="1323" spans="2:8">
      <c r="B1323" s="15">
        <f>Techo - ROW() + ROW(Categorias_Registro[])</f>
        <v>1306</v>
      </c>
      <c r="C1323" s="15">
        <f>IF(Categorias_Registro[[#This Row],[Puntos]]&lt;=ROUND(Piso,0),Piso,IF(Categorias_Registro[[#This Row],[Puntos]]&lt;D1324,C1324,D1324+1))</f>
        <v>1238</v>
      </c>
      <c r="D1323" s="15">
        <f>IF(Categorias_Registro[[#This Row],[Puntos]]=ROUND(Piso,0),ROUND(Categorias_Registro[[#This Row],[Puntos]]*(1+Categorias_Registro[[#This Row],[Amplitud]]),0),IF(Categorias_Registro[[#This Row],[Puntos]]&lt;D1324,D1324,ROUND(D1324*(1+Categorias_Registro[[#This Row],[Amplitud]]),0)))</f>
        <v>1423</v>
      </c>
      <c r="E1323" s="15">
        <f>E1324+IF(D1324=Categorias_Registro[[#This Row],[Máximo]],0,1)</f>
        <v>20</v>
      </c>
      <c r="F1323" s="15">
        <f>ROUND(Categorias_Registro[[#This Row],[Mínimo]]+((Categorias_Registro[[#This Row],[Máximo]]-Categorias_Registro[[#This Row],[Mínimo]])/2),0)</f>
        <v>1331</v>
      </c>
      <c r="G1323" s="78">
        <f>VLOOKUP(Categorias_Registro[[#This Row],[Puntos]],Categorias_Configuracion[],MATCH(Categorias_Configuracion[[#Headers],[% Amplitud]],Categorias_Configuracion[#Headers],0),TRUE)</f>
        <v>0.15</v>
      </c>
      <c r="H1323" s="15" t="str">
        <f ca="1">TEXT(Categorias_Registro[[#This Row],[Mínimo]],Formato_Rango_Categorias)&amp;" - "&amp;TEXT(Categorias_Registro[[#This Row],[Máximo]],Formato_Rango_Categorias)</f>
        <v>1.238 - 1.423</v>
      </c>
    </row>
    <row r="1324" spans="2:8">
      <c r="B1324" s="15">
        <f>Techo - ROW() + ROW(Categorias_Registro[])</f>
        <v>1305</v>
      </c>
      <c r="C1324" s="15">
        <f>IF(Categorias_Registro[[#This Row],[Puntos]]&lt;=ROUND(Piso,0),Piso,IF(Categorias_Registro[[#This Row],[Puntos]]&lt;D1325,C1325,D1325+1))</f>
        <v>1238</v>
      </c>
      <c r="D1324" s="15">
        <f>IF(Categorias_Registro[[#This Row],[Puntos]]=ROUND(Piso,0),ROUND(Categorias_Registro[[#This Row],[Puntos]]*(1+Categorias_Registro[[#This Row],[Amplitud]]),0),IF(Categorias_Registro[[#This Row],[Puntos]]&lt;D1325,D1325,ROUND(D1325*(1+Categorias_Registro[[#This Row],[Amplitud]]),0)))</f>
        <v>1423</v>
      </c>
      <c r="E1324" s="15">
        <f>E1325+IF(D1325=Categorias_Registro[[#This Row],[Máximo]],0,1)</f>
        <v>20</v>
      </c>
      <c r="F1324" s="15">
        <f>ROUND(Categorias_Registro[[#This Row],[Mínimo]]+((Categorias_Registro[[#This Row],[Máximo]]-Categorias_Registro[[#This Row],[Mínimo]])/2),0)</f>
        <v>1331</v>
      </c>
      <c r="G1324" s="78">
        <f>VLOOKUP(Categorias_Registro[[#This Row],[Puntos]],Categorias_Configuracion[],MATCH(Categorias_Configuracion[[#Headers],[% Amplitud]],Categorias_Configuracion[#Headers],0),TRUE)</f>
        <v>0.15</v>
      </c>
      <c r="H1324" s="15" t="str">
        <f ca="1">TEXT(Categorias_Registro[[#This Row],[Mínimo]],Formato_Rango_Categorias)&amp;" - "&amp;TEXT(Categorias_Registro[[#This Row],[Máximo]],Formato_Rango_Categorias)</f>
        <v>1.238 - 1.423</v>
      </c>
    </row>
    <row r="1325" spans="2:8">
      <c r="B1325" s="15">
        <f>Techo - ROW() + ROW(Categorias_Registro[])</f>
        <v>1304</v>
      </c>
      <c r="C1325" s="15">
        <f>IF(Categorias_Registro[[#This Row],[Puntos]]&lt;=ROUND(Piso,0),Piso,IF(Categorias_Registro[[#This Row],[Puntos]]&lt;D1326,C1326,D1326+1))</f>
        <v>1238</v>
      </c>
      <c r="D1325" s="15">
        <f>IF(Categorias_Registro[[#This Row],[Puntos]]=ROUND(Piso,0),ROUND(Categorias_Registro[[#This Row],[Puntos]]*(1+Categorias_Registro[[#This Row],[Amplitud]]),0),IF(Categorias_Registro[[#This Row],[Puntos]]&lt;D1326,D1326,ROUND(D1326*(1+Categorias_Registro[[#This Row],[Amplitud]]),0)))</f>
        <v>1423</v>
      </c>
      <c r="E1325" s="15">
        <f>E1326+IF(D1326=Categorias_Registro[[#This Row],[Máximo]],0,1)</f>
        <v>20</v>
      </c>
      <c r="F1325" s="15">
        <f>ROUND(Categorias_Registro[[#This Row],[Mínimo]]+((Categorias_Registro[[#This Row],[Máximo]]-Categorias_Registro[[#This Row],[Mínimo]])/2),0)</f>
        <v>1331</v>
      </c>
      <c r="G1325" s="78">
        <f>VLOOKUP(Categorias_Registro[[#This Row],[Puntos]],Categorias_Configuracion[],MATCH(Categorias_Configuracion[[#Headers],[% Amplitud]],Categorias_Configuracion[#Headers],0),TRUE)</f>
        <v>0.15</v>
      </c>
      <c r="H1325" s="15" t="str">
        <f ca="1">TEXT(Categorias_Registro[[#This Row],[Mínimo]],Formato_Rango_Categorias)&amp;" - "&amp;TEXT(Categorias_Registro[[#This Row],[Máximo]],Formato_Rango_Categorias)</f>
        <v>1.238 - 1.423</v>
      </c>
    </row>
    <row r="1326" spans="2:8">
      <c r="B1326" s="15">
        <f>Techo - ROW() + ROW(Categorias_Registro[])</f>
        <v>1303</v>
      </c>
      <c r="C1326" s="15">
        <f>IF(Categorias_Registro[[#This Row],[Puntos]]&lt;=ROUND(Piso,0),Piso,IF(Categorias_Registro[[#This Row],[Puntos]]&lt;D1327,C1327,D1327+1))</f>
        <v>1238</v>
      </c>
      <c r="D1326" s="15">
        <f>IF(Categorias_Registro[[#This Row],[Puntos]]=ROUND(Piso,0),ROUND(Categorias_Registro[[#This Row],[Puntos]]*(1+Categorias_Registro[[#This Row],[Amplitud]]),0),IF(Categorias_Registro[[#This Row],[Puntos]]&lt;D1327,D1327,ROUND(D1327*(1+Categorias_Registro[[#This Row],[Amplitud]]),0)))</f>
        <v>1423</v>
      </c>
      <c r="E1326" s="15">
        <f>E1327+IF(D1327=Categorias_Registro[[#This Row],[Máximo]],0,1)</f>
        <v>20</v>
      </c>
      <c r="F1326" s="15">
        <f>ROUND(Categorias_Registro[[#This Row],[Mínimo]]+((Categorias_Registro[[#This Row],[Máximo]]-Categorias_Registro[[#This Row],[Mínimo]])/2),0)</f>
        <v>1331</v>
      </c>
      <c r="G1326" s="78">
        <f>VLOOKUP(Categorias_Registro[[#This Row],[Puntos]],Categorias_Configuracion[],MATCH(Categorias_Configuracion[[#Headers],[% Amplitud]],Categorias_Configuracion[#Headers],0),TRUE)</f>
        <v>0.15</v>
      </c>
      <c r="H1326" s="15" t="str">
        <f ca="1">TEXT(Categorias_Registro[[#This Row],[Mínimo]],Formato_Rango_Categorias)&amp;" - "&amp;TEXT(Categorias_Registro[[#This Row],[Máximo]],Formato_Rango_Categorias)</f>
        <v>1.238 - 1.423</v>
      </c>
    </row>
    <row r="1327" spans="2:8">
      <c r="B1327" s="15">
        <f>Techo - ROW() + ROW(Categorias_Registro[])</f>
        <v>1302</v>
      </c>
      <c r="C1327" s="15">
        <f>IF(Categorias_Registro[[#This Row],[Puntos]]&lt;=ROUND(Piso,0),Piso,IF(Categorias_Registro[[#This Row],[Puntos]]&lt;D1328,C1328,D1328+1))</f>
        <v>1238</v>
      </c>
      <c r="D1327" s="15">
        <f>IF(Categorias_Registro[[#This Row],[Puntos]]=ROUND(Piso,0),ROUND(Categorias_Registro[[#This Row],[Puntos]]*(1+Categorias_Registro[[#This Row],[Amplitud]]),0),IF(Categorias_Registro[[#This Row],[Puntos]]&lt;D1328,D1328,ROUND(D1328*(1+Categorias_Registro[[#This Row],[Amplitud]]),0)))</f>
        <v>1423</v>
      </c>
      <c r="E1327" s="15">
        <f>E1328+IF(D1328=Categorias_Registro[[#This Row],[Máximo]],0,1)</f>
        <v>20</v>
      </c>
      <c r="F1327" s="15">
        <f>ROUND(Categorias_Registro[[#This Row],[Mínimo]]+((Categorias_Registro[[#This Row],[Máximo]]-Categorias_Registro[[#This Row],[Mínimo]])/2),0)</f>
        <v>1331</v>
      </c>
      <c r="G1327" s="78">
        <f>VLOOKUP(Categorias_Registro[[#This Row],[Puntos]],Categorias_Configuracion[],MATCH(Categorias_Configuracion[[#Headers],[% Amplitud]],Categorias_Configuracion[#Headers],0),TRUE)</f>
        <v>0.15</v>
      </c>
      <c r="H1327" s="15" t="str">
        <f ca="1">TEXT(Categorias_Registro[[#This Row],[Mínimo]],Formato_Rango_Categorias)&amp;" - "&amp;TEXT(Categorias_Registro[[#This Row],[Máximo]],Formato_Rango_Categorias)</f>
        <v>1.238 - 1.423</v>
      </c>
    </row>
    <row r="1328" spans="2:8">
      <c r="B1328" s="15">
        <f>Techo - ROW() + ROW(Categorias_Registro[])</f>
        <v>1301</v>
      </c>
      <c r="C1328" s="15">
        <f>IF(Categorias_Registro[[#This Row],[Puntos]]&lt;=ROUND(Piso,0),Piso,IF(Categorias_Registro[[#This Row],[Puntos]]&lt;D1329,C1329,D1329+1))</f>
        <v>1238</v>
      </c>
      <c r="D1328" s="15">
        <f>IF(Categorias_Registro[[#This Row],[Puntos]]=ROUND(Piso,0),ROUND(Categorias_Registro[[#This Row],[Puntos]]*(1+Categorias_Registro[[#This Row],[Amplitud]]),0),IF(Categorias_Registro[[#This Row],[Puntos]]&lt;D1329,D1329,ROUND(D1329*(1+Categorias_Registro[[#This Row],[Amplitud]]),0)))</f>
        <v>1423</v>
      </c>
      <c r="E1328" s="15">
        <f>E1329+IF(D1329=Categorias_Registro[[#This Row],[Máximo]],0,1)</f>
        <v>20</v>
      </c>
      <c r="F1328" s="15">
        <f>ROUND(Categorias_Registro[[#This Row],[Mínimo]]+((Categorias_Registro[[#This Row],[Máximo]]-Categorias_Registro[[#This Row],[Mínimo]])/2),0)</f>
        <v>1331</v>
      </c>
      <c r="G1328" s="78">
        <f>VLOOKUP(Categorias_Registro[[#This Row],[Puntos]],Categorias_Configuracion[],MATCH(Categorias_Configuracion[[#Headers],[% Amplitud]],Categorias_Configuracion[#Headers],0),TRUE)</f>
        <v>0.15</v>
      </c>
      <c r="H1328" s="15" t="str">
        <f ca="1">TEXT(Categorias_Registro[[#This Row],[Mínimo]],Formato_Rango_Categorias)&amp;" - "&amp;TEXT(Categorias_Registro[[#This Row],[Máximo]],Formato_Rango_Categorias)</f>
        <v>1.238 - 1.423</v>
      </c>
    </row>
    <row r="1329" spans="2:8">
      <c r="B1329" s="15">
        <f>Techo - ROW() + ROW(Categorias_Registro[])</f>
        <v>1300</v>
      </c>
      <c r="C1329" s="15">
        <f>IF(Categorias_Registro[[#This Row],[Puntos]]&lt;=ROUND(Piso,0),Piso,IF(Categorias_Registro[[#This Row],[Puntos]]&lt;D1330,C1330,D1330+1))</f>
        <v>1238</v>
      </c>
      <c r="D1329" s="15">
        <f>IF(Categorias_Registro[[#This Row],[Puntos]]=ROUND(Piso,0),ROUND(Categorias_Registro[[#This Row],[Puntos]]*(1+Categorias_Registro[[#This Row],[Amplitud]]),0),IF(Categorias_Registro[[#This Row],[Puntos]]&lt;D1330,D1330,ROUND(D1330*(1+Categorias_Registro[[#This Row],[Amplitud]]),0)))</f>
        <v>1423</v>
      </c>
      <c r="E1329" s="15">
        <f>E1330+IF(D1330=Categorias_Registro[[#This Row],[Máximo]],0,1)</f>
        <v>20</v>
      </c>
      <c r="F1329" s="15">
        <f>ROUND(Categorias_Registro[[#This Row],[Mínimo]]+((Categorias_Registro[[#This Row],[Máximo]]-Categorias_Registro[[#This Row],[Mínimo]])/2),0)</f>
        <v>1331</v>
      </c>
      <c r="G1329" s="78">
        <f>VLOOKUP(Categorias_Registro[[#This Row],[Puntos]],Categorias_Configuracion[],MATCH(Categorias_Configuracion[[#Headers],[% Amplitud]],Categorias_Configuracion[#Headers],0),TRUE)</f>
        <v>0.15</v>
      </c>
      <c r="H1329" s="15" t="str">
        <f ca="1">TEXT(Categorias_Registro[[#This Row],[Mínimo]],Formato_Rango_Categorias)&amp;" - "&amp;TEXT(Categorias_Registro[[#This Row],[Máximo]],Formato_Rango_Categorias)</f>
        <v>1.238 - 1.423</v>
      </c>
    </row>
    <row r="1330" spans="2:8">
      <c r="B1330" s="15">
        <f>Techo - ROW() + ROW(Categorias_Registro[])</f>
        <v>1299</v>
      </c>
      <c r="C1330" s="15">
        <f>IF(Categorias_Registro[[#This Row],[Puntos]]&lt;=ROUND(Piso,0),Piso,IF(Categorias_Registro[[#This Row],[Puntos]]&lt;D1331,C1331,D1331+1))</f>
        <v>1238</v>
      </c>
      <c r="D1330" s="15">
        <f>IF(Categorias_Registro[[#This Row],[Puntos]]=ROUND(Piso,0),ROUND(Categorias_Registro[[#This Row],[Puntos]]*(1+Categorias_Registro[[#This Row],[Amplitud]]),0),IF(Categorias_Registro[[#This Row],[Puntos]]&lt;D1331,D1331,ROUND(D1331*(1+Categorias_Registro[[#This Row],[Amplitud]]),0)))</f>
        <v>1423</v>
      </c>
      <c r="E1330" s="15">
        <f>E1331+IF(D1331=Categorias_Registro[[#This Row],[Máximo]],0,1)</f>
        <v>20</v>
      </c>
      <c r="F1330" s="15">
        <f>ROUND(Categorias_Registro[[#This Row],[Mínimo]]+((Categorias_Registro[[#This Row],[Máximo]]-Categorias_Registro[[#This Row],[Mínimo]])/2),0)</f>
        <v>1331</v>
      </c>
      <c r="G1330" s="78">
        <f>VLOOKUP(Categorias_Registro[[#This Row],[Puntos]],Categorias_Configuracion[],MATCH(Categorias_Configuracion[[#Headers],[% Amplitud]],Categorias_Configuracion[#Headers],0),TRUE)</f>
        <v>0.15</v>
      </c>
      <c r="H1330" s="15" t="str">
        <f ca="1">TEXT(Categorias_Registro[[#This Row],[Mínimo]],Formato_Rango_Categorias)&amp;" - "&amp;TEXT(Categorias_Registro[[#This Row],[Máximo]],Formato_Rango_Categorias)</f>
        <v>1.238 - 1.423</v>
      </c>
    </row>
    <row r="1331" spans="2:8">
      <c r="B1331" s="15">
        <f>Techo - ROW() + ROW(Categorias_Registro[])</f>
        <v>1298</v>
      </c>
      <c r="C1331" s="15">
        <f>IF(Categorias_Registro[[#This Row],[Puntos]]&lt;=ROUND(Piso,0),Piso,IF(Categorias_Registro[[#This Row],[Puntos]]&lt;D1332,C1332,D1332+1))</f>
        <v>1238</v>
      </c>
      <c r="D1331" s="15">
        <f>IF(Categorias_Registro[[#This Row],[Puntos]]=ROUND(Piso,0),ROUND(Categorias_Registro[[#This Row],[Puntos]]*(1+Categorias_Registro[[#This Row],[Amplitud]]),0),IF(Categorias_Registro[[#This Row],[Puntos]]&lt;D1332,D1332,ROUND(D1332*(1+Categorias_Registro[[#This Row],[Amplitud]]),0)))</f>
        <v>1423</v>
      </c>
      <c r="E1331" s="15">
        <f>E1332+IF(D1332=Categorias_Registro[[#This Row],[Máximo]],0,1)</f>
        <v>20</v>
      </c>
      <c r="F1331" s="15">
        <f>ROUND(Categorias_Registro[[#This Row],[Mínimo]]+((Categorias_Registro[[#This Row],[Máximo]]-Categorias_Registro[[#This Row],[Mínimo]])/2),0)</f>
        <v>1331</v>
      </c>
      <c r="G1331" s="78">
        <f>VLOOKUP(Categorias_Registro[[#This Row],[Puntos]],Categorias_Configuracion[],MATCH(Categorias_Configuracion[[#Headers],[% Amplitud]],Categorias_Configuracion[#Headers],0),TRUE)</f>
        <v>0.15</v>
      </c>
      <c r="H1331" s="15" t="str">
        <f ca="1">TEXT(Categorias_Registro[[#This Row],[Mínimo]],Formato_Rango_Categorias)&amp;" - "&amp;TEXT(Categorias_Registro[[#This Row],[Máximo]],Formato_Rango_Categorias)</f>
        <v>1.238 - 1.423</v>
      </c>
    </row>
    <row r="1332" spans="2:8">
      <c r="B1332" s="15">
        <f>Techo - ROW() + ROW(Categorias_Registro[])</f>
        <v>1297</v>
      </c>
      <c r="C1332" s="15">
        <f>IF(Categorias_Registro[[#This Row],[Puntos]]&lt;=ROUND(Piso,0),Piso,IF(Categorias_Registro[[#This Row],[Puntos]]&lt;D1333,C1333,D1333+1))</f>
        <v>1238</v>
      </c>
      <c r="D1332" s="15">
        <f>IF(Categorias_Registro[[#This Row],[Puntos]]=ROUND(Piso,0),ROUND(Categorias_Registro[[#This Row],[Puntos]]*(1+Categorias_Registro[[#This Row],[Amplitud]]),0),IF(Categorias_Registro[[#This Row],[Puntos]]&lt;D1333,D1333,ROUND(D1333*(1+Categorias_Registro[[#This Row],[Amplitud]]),0)))</f>
        <v>1423</v>
      </c>
      <c r="E1332" s="15">
        <f>E1333+IF(D1333=Categorias_Registro[[#This Row],[Máximo]],0,1)</f>
        <v>20</v>
      </c>
      <c r="F1332" s="15">
        <f>ROUND(Categorias_Registro[[#This Row],[Mínimo]]+((Categorias_Registro[[#This Row],[Máximo]]-Categorias_Registro[[#This Row],[Mínimo]])/2),0)</f>
        <v>1331</v>
      </c>
      <c r="G1332" s="78">
        <f>VLOOKUP(Categorias_Registro[[#This Row],[Puntos]],Categorias_Configuracion[],MATCH(Categorias_Configuracion[[#Headers],[% Amplitud]],Categorias_Configuracion[#Headers],0),TRUE)</f>
        <v>0.15</v>
      </c>
      <c r="H1332" s="15" t="str">
        <f ca="1">TEXT(Categorias_Registro[[#This Row],[Mínimo]],Formato_Rango_Categorias)&amp;" - "&amp;TEXT(Categorias_Registro[[#This Row],[Máximo]],Formato_Rango_Categorias)</f>
        <v>1.238 - 1.423</v>
      </c>
    </row>
    <row r="1333" spans="2:8">
      <c r="B1333" s="15">
        <f>Techo - ROW() + ROW(Categorias_Registro[])</f>
        <v>1296</v>
      </c>
      <c r="C1333" s="15">
        <f>IF(Categorias_Registro[[#This Row],[Puntos]]&lt;=ROUND(Piso,0),Piso,IF(Categorias_Registro[[#This Row],[Puntos]]&lt;D1334,C1334,D1334+1))</f>
        <v>1238</v>
      </c>
      <c r="D1333" s="15">
        <f>IF(Categorias_Registro[[#This Row],[Puntos]]=ROUND(Piso,0),ROUND(Categorias_Registro[[#This Row],[Puntos]]*(1+Categorias_Registro[[#This Row],[Amplitud]]),0),IF(Categorias_Registro[[#This Row],[Puntos]]&lt;D1334,D1334,ROUND(D1334*(1+Categorias_Registro[[#This Row],[Amplitud]]),0)))</f>
        <v>1423</v>
      </c>
      <c r="E1333" s="15">
        <f>E1334+IF(D1334=Categorias_Registro[[#This Row],[Máximo]],0,1)</f>
        <v>20</v>
      </c>
      <c r="F1333" s="15">
        <f>ROUND(Categorias_Registro[[#This Row],[Mínimo]]+((Categorias_Registro[[#This Row],[Máximo]]-Categorias_Registro[[#This Row],[Mínimo]])/2),0)</f>
        <v>1331</v>
      </c>
      <c r="G1333" s="78">
        <f>VLOOKUP(Categorias_Registro[[#This Row],[Puntos]],Categorias_Configuracion[],MATCH(Categorias_Configuracion[[#Headers],[% Amplitud]],Categorias_Configuracion[#Headers],0),TRUE)</f>
        <v>0.15</v>
      </c>
      <c r="H1333" s="15" t="str">
        <f ca="1">TEXT(Categorias_Registro[[#This Row],[Mínimo]],Formato_Rango_Categorias)&amp;" - "&amp;TEXT(Categorias_Registro[[#This Row],[Máximo]],Formato_Rango_Categorias)</f>
        <v>1.238 - 1.423</v>
      </c>
    </row>
    <row r="1334" spans="2:8">
      <c r="B1334" s="15">
        <f>Techo - ROW() + ROW(Categorias_Registro[])</f>
        <v>1295</v>
      </c>
      <c r="C1334" s="15">
        <f>IF(Categorias_Registro[[#This Row],[Puntos]]&lt;=ROUND(Piso,0),Piso,IF(Categorias_Registro[[#This Row],[Puntos]]&lt;D1335,C1335,D1335+1))</f>
        <v>1238</v>
      </c>
      <c r="D1334" s="15">
        <f>IF(Categorias_Registro[[#This Row],[Puntos]]=ROUND(Piso,0),ROUND(Categorias_Registro[[#This Row],[Puntos]]*(1+Categorias_Registro[[#This Row],[Amplitud]]),0),IF(Categorias_Registro[[#This Row],[Puntos]]&lt;D1335,D1335,ROUND(D1335*(1+Categorias_Registro[[#This Row],[Amplitud]]),0)))</f>
        <v>1423</v>
      </c>
      <c r="E1334" s="15">
        <f>E1335+IF(D1335=Categorias_Registro[[#This Row],[Máximo]],0,1)</f>
        <v>20</v>
      </c>
      <c r="F1334" s="15">
        <f>ROUND(Categorias_Registro[[#This Row],[Mínimo]]+((Categorias_Registro[[#This Row],[Máximo]]-Categorias_Registro[[#This Row],[Mínimo]])/2),0)</f>
        <v>1331</v>
      </c>
      <c r="G1334" s="78">
        <f>VLOOKUP(Categorias_Registro[[#This Row],[Puntos]],Categorias_Configuracion[],MATCH(Categorias_Configuracion[[#Headers],[% Amplitud]],Categorias_Configuracion[#Headers],0),TRUE)</f>
        <v>0.15</v>
      </c>
      <c r="H1334" s="15" t="str">
        <f ca="1">TEXT(Categorias_Registro[[#This Row],[Mínimo]],Formato_Rango_Categorias)&amp;" - "&amp;TEXT(Categorias_Registro[[#This Row],[Máximo]],Formato_Rango_Categorias)</f>
        <v>1.238 - 1.423</v>
      </c>
    </row>
    <row r="1335" spans="2:8">
      <c r="B1335" s="15">
        <f>Techo - ROW() + ROW(Categorias_Registro[])</f>
        <v>1294</v>
      </c>
      <c r="C1335" s="15">
        <f>IF(Categorias_Registro[[#This Row],[Puntos]]&lt;=ROUND(Piso,0),Piso,IF(Categorias_Registro[[#This Row],[Puntos]]&lt;D1336,C1336,D1336+1))</f>
        <v>1238</v>
      </c>
      <c r="D1335" s="15">
        <f>IF(Categorias_Registro[[#This Row],[Puntos]]=ROUND(Piso,0),ROUND(Categorias_Registro[[#This Row],[Puntos]]*(1+Categorias_Registro[[#This Row],[Amplitud]]),0),IF(Categorias_Registro[[#This Row],[Puntos]]&lt;D1336,D1336,ROUND(D1336*(1+Categorias_Registro[[#This Row],[Amplitud]]),0)))</f>
        <v>1423</v>
      </c>
      <c r="E1335" s="15">
        <f>E1336+IF(D1336=Categorias_Registro[[#This Row],[Máximo]],0,1)</f>
        <v>20</v>
      </c>
      <c r="F1335" s="15">
        <f>ROUND(Categorias_Registro[[#This Row],[Mínimo]]+((Categorias_Registro[[#This Row],[Máximo]]-Categorias_Registro[[#This Row],[Mínimo]])/2),0)</f>
        <v>1331</v>
      </c>
      <c r="G1335" s="78">
        <f>VLOOKUP(Categorias_Registro[[#This Row],[Puntos]],Categorias_Configuracion[],MATCH(Categorias_Configuracion[[#Headers],[% Amplitud]],Categorias_Configuracion[#Headers],0),TRUE)</f>
        <v>0.15</v>
      </c>
      <c r="H1335" s="15" t="str">
        <f ca="1">TEXT(Categorias_Registro[[#This Row],[Mínimo]],Formato_Rango_Categorias)&amp;" - "&amp;TEXT(Categorias_Registro[[#This Row],[Máximo]],Formato_Rango_Categorias)</f>
        <v>1.238 - 1.423</v>
      </c>
    </row>
    <row r="1336" spans="2:8">
      <c r="B1336" s="15">
        <f>Techo - ROW() + ROW(Categorias_Registro[])</f>
        <v>1293</v>
      </c>
      <c r="C1336" s="15">
        <f>IF(Categorias_Registro[[#This Row],[Puntos]]&lt;=ROUND(Piso,0),Piso,IF(Categorias_Registro[[#This Row],[Puntos]]&lt;D1337,C1337,D1337+1))</f>
        <v>1238</v>
      </c>
      <c r="D1336" s="15">
        <f>IF(Categorias_Registro[[#This Row],[Puntos]]=ROUND(Piso,0),ROUND(Categorias_Registro[[#This Row],[Puntos]]*(1+Categorias_Registro[[#This Row],[Amplitud]]),0),IF(Categorias_Registro[[#This Row],[Puntos]]&lt;D1337,D1337,ROUND(D1337*(1+Categorias_Registro[[#This Row],[Amplitud]]),0)))</f>
        <v>1423</v>
      </c>
      <c r="E1336" s="15">
        <f>E1337+IF(D1337=Categorias_Registro[[#This Row],[Máximo]],0,1)</f>
        <v>20</v>
      </c>
      <c r="F1336" s="15">
        <f>ROUND(Categorias_Registro[[#This Row],[Mínimo]]+((Categorias_Registro[[#This Row],[Máximo]]-Categorias_Registro[[#This Row],[Mínimo]])/2),0)</f>
        <v>1331</v>
      </c>
      <c r="G1336" s="78">
        <f>VLOOKUP(Categorias_Registro[[#This Row],[Puntos]],Categorias_Configuracion[],MATCH(Categorias_Configuracion[[#Headers],[% Amplitud]],Categorias_Configuracion[#Headers],0),TRUE)</f>
        <v>0.15</v>
      </c>
      <c r="H1336" s="15" t="str">
        <f ca="1">TEXT(Categorias_Registro[[#This Row],[Mínimo]],Formato_Rango_Categorias)&amp;" - "&amp;TEXT(Categorias_Registro[[#This Row],[Máximo]],Formato_Rango_Categorias)</f>
        <v>1.238 - 1.423</v>
      </c>
    </row>
    <row r="1337" spans="2:8">
      <c r="B1337" s="15">
        <f>Techo - ROW() + ROW(Categorias_Registro[])</f>
        <v>1292</v>
      </c>
      <c r="C1337" s="15">
        <f>IF(Categorias_Registro[[#This Row],[Puntos]]&lt;=ROUND(Piso,0),Piso,IF(Categorias_Registro[[#This Row],[Puntos]]&lt;D1338,C1338,D1338+1))</f>
        <v>1238</v>
      </c>
      <c r="D1337" s="15">
        <f>IF(Categorias_Registro[[#This Row],[Puntos]]=ROUND(Piso,0),ROUND(Categorias_Registro[[#This Row],[Puntos]]*(1+Categorias_Registro[[#This Row],[Amplitud]]),0),IF(Categorias_Registro[[#This Row],[Puntos]]&lt;D1338,D1338,ROUND(D1338*(1+Categorias_Registro[[#This Row],[Amplitud]]),0)))</f>
        <v>1423</v>
      </c>
      <c r="E1337" s="15">
        <f>E1338+IF(D1338=Categorias_Registro[[#This Row],[Máximo]],0,1)</f>
        <v>20</v>
      </c>
      <c r="F1337" s="15">
        <f>ROUND(Categorias_Registro[[#This Row],[Mínimo]]+((Categorias_Registro[[#This Row],[Máximo]]-Categorias_Registro[[#This Row],[Mínimo]])/2),0)</f>
        <v>1331</v>
      </c>
      <c r="G1337" s="78">
        <f>VLOOKUP(Categorias_Registro[[#This Row],[Puntos]],Categorias_Configuracion[],MATCH(Categorias_Configuracion[[#Headers],[% Amplitud]],Categorias_Configuracion[#Headers],0),TRUE)</f>
        <v>0.15</v>
      </c>
      <c r="H1337" s="15" t="str">
        <f ca="1">TEXT(Categorias_Registro[[#This Row],[Mínimo]],Formato_Rango_Categorias)&amp;" - "&amp;TEXT(Categorias_Registro[[#This Row],[Máximo]],Formato_Rango_Categorias)</f>
        <v>1.238 - 1.423</v>
      </c>
    </row>
    <row r="1338" spans="2:8">
      <c r="B1338" s="15">
        <f>Techo - ROW() + ROW(Categorias_Registro[])</f>
        <v>1291</v>
      </c>
      <c r="C1338" s="15">
        <f>IF(Categorias_Registro[[#This Row],[Puntos]]&lt;=ROUND(Piso,0),Piso,IF(Categorias_Registro[[#This Row],[Puntos]]&lt;D1339,C1339,D1339+1))</f>
        <v>1238</v>
      </c>
      <c r="D1338" s="15">
        <f>IF(Categorias_Registro[[#This Row],[Puntos]]=ROUND(Piso,0),ROUND(Categorias_Registro[[#This Row],[Puntos]]*(1+Categorias_Registro[[#This Row],[Amplitud]]),0),IF(Categorias_Registro[[#This Row],[Puntos]]&lt;D1339,D1339,ROUND(D1339*(1+Categorias_Registro[[#This Row],[Amplitud]]),0)))</f>
        <v>1423</v>
      </c>
      <c r="E1338" s="15">
        <f>E1339+IF(D1339=Categorias_Registro[[#This Row],[Máximo]],0,1)</f>
        <v>20</v>
      </c>
      <c r="F1338" s="15">
        <f>ROUND(Categorias_Registro[[#This Row],[Mínimo]]+((Categorias_Registro[[#This Row],[Máximo]]-Categorias_Registro[[#This Row],[Mínimo]])/2),0)</f>
        <v>1331</v>
      </c>
      <c r="G1338" s="78">
        <f>VLOOKUP(Categorias_Registro[[#This Row],[Puntos]],Categorias_Configuracion[],MATCH(Categorias_Configuracion[[#Headers],[% Amplitud]],Categorias_Configuracion[#Headers],0),TRUE)</f>
        <v>0.15</v>
      </c>
      <c r="H1338" s="15" t="str">
        <f ca="1">TEXT(Categorias_Registro[[#This Row],[Mínimo]],Formato_Rango_Categorias)&amp;" - "&amp;TEXT(Categorias_Registro[[#This Row],[Máximo]],Formato_Rango_Categorias)</f>
        <v>1.238 - 1.423</v>
      </c>
    </row>
    <row r="1339" spans="2:8">
      <c r="B1339" s="15">
        <f>Techo - ROW() + ROW(Categorias_Registro[])</f>
        <v>1290</v>
      </c>
      <c r="C1339" s="15">
        <f>IF(Categorias_Registro[[#This Row],[Puntos]]&lt;=ROUND(Piso,0),Piso,IF(Categorias_Registro[[#This Row],[Puntos]]&lt;D1340,C1340,D1340+1))</f>
        <v>1238</v>
      </c>
      <c r="D1339" s="15">
        <f>IF(Categorias_Registro[[#This Row],[Puntos]]=ROUND(Piso,0),ROUND(Categorias_Registro[[#This Row],[Puntos]]*(1+Categorias_Registro[[#This Row],[Amplitud]]),0),IF(Categorias_Registro[[#This Row],[Puntos]]&lt;D1340,D1340,ROUND(D1340*(1+Categorias_Registro[[#This Row],[Amplitud]]),0)))</f>
        <v>1423</v>
      </c>
      <c r="E1339" s="15">
        <f>E1340+IF(D1340=Categorias_Registro[[#This Row],[Máximo]],0,1)</f>
        <v>20</v>
      </c>
      <c r="F1339" s="15">
        <f>ROUND(Categorias_Registro[[#This Row],[Mínimo]]+((Categorias_Registro[[#This Row],[Máximo]]-Categorias_Registro[[#This Row],[Mínimo]])/2),0)</f>
        <v>1331</v>
      </c>
      <c r="G1339" s="78">
        <f>VLOOKUP(Categorias_Registro[[#This Row],[Puntos]],Categorias_Configuracion[],MATCH(Categorias_Configuracion[[#Headers],[% Amplitud]],Categorias_Configuracion[#Headers],0),TRUE)</f>
        <v>0.15</v>
      </c>
      <c r="H1339" s="15" t="str">
        <f ca="1">TEXT(Categorias_Registro[[#This Row],[Mínimo]],Formato_Rango_Categorias)&amp;" - "&amp;TEXT(Categorias_Registro[[#This Row],[Máximo]],Formato_Rango_Categorias)</f>
        <v>1.238 - 1.423</v>
      </c>
    </row>
    <row r="1340" spans="2:8">
      <c r="B1340" s="15">
        <f>Techo - ROW() + ROW(Categorias_Registro[])</f>
        <v>1289</v>
      </c>
      <c r="C1340" s="15">
        <f>IF(Categorias_Registro[[#This Row],[Puntos]]&lt;=ROUND(Piso,0),Piso,IF(Categorias_Registro[[#This Row],[Puntos]]&lt;D1341,C1341,D1341+1))</f>
        <v>1238</v>
      </c>
      <c r="D1340" s="15">
        <f>IF(Categorias_Registro[[#This Row],[Puntos]]=ROUND(Piso,0),ROUND(Categorias_Registro[[#This Row],[Puntos]]*(1+Categorias_Registro[[#This Row],[Amplitud]]),0),IF(Categorias_Registro[[#This Row],[Puntos]]&lt;D1341,D1341,ROUND(D1341*(1+Categorias_Registro[[#This Row],[Amplitud]]),0)))</f>
        <v>1423</v>
      </c>
      <c r="E1340" s="15">
        <f>E1341+IF(D1341=Categorias_Registro[[#This Row],[Máximo]],0,1)</f>
        <v>20</v>
      </c>
      <c r="F1340" s="15">
        <f>ROUND(Categorias_Registro[[#This Row],[Mínimo]]+((Categorias_Registro[[#This Row],[Máximo]]-Categorias_Registro[[#This Row],[Mínimo]])/2),0)</f>
        <v>1331</v>
      </c>
      <c r="G1340" s="78">
        <f>VLOOKUP(Categorias_Registro[[#This Row],[Puntos]],Categorias_Configuracion[],MATCH(Categorias_Configuracion[[#Headers],[% Amplitud]],Categorias_Configuracion[#Headers],0),TRUE)</f>
        <v>0.15</v>
      </c>
      <c r="H1340" s="15" t="str">
        <f ca="1">TEXT(Categorias_Registro[[#This Row],[Mínimo]],Formato_Rango_Categorias)&amp;" - "&amp;TEXT(Categorias_Registro[[#This Row],[Máximo]],Formato_Rango_Categorias)</f>
        <v>1.238 - 1.423</v>
      </c>
    </row>
    <row r="1341" spans="2:8">
      <c r="B1341" s="15">
        <f>Techo - ROW() + ROW(Categorias_Registro[])</f>
        <v>1288</v>
      </c>
      <c r="C1341" s="15">
        <f>IF(Categorias_Registro[[#This Row],[Puntos]]&lt;=ROUND(Piso,0),Piso,IF(Categorias_Registro[[#This Row],[Puntos]]&lt;D1342,C1342,D1342+1))</f>
        <v>1238</v>
      </c>
      <c r="D1341" s="15">
        <f>IF(Categorias_Registro[[#This Row],[Puntos]]=ROUND(Piso,0),ROUND(Categorias_Registro[[#This Row],[Puntos]]*(1+Categorias_Registro[[#This Row],[Amplitud]]),0),IF(Categorias_Registro[[#This Row],[Puntos]]&lt;D1342,D1342,ROUND(D1342*(1+Categorias_Registro[[#This Row],[Amplitud]]),0)))</f>
        <v>1423</v>
      </c>
      <c r="E1341" s="15">
        <f>E1342+IF(D1342=Categorias_Registro[[#This Row],[Máximo]],0,1)</f>
        <v>20</v>
      </c>
      <c r="F1341" s="15">
        <f>ROUND(Categorias_Registro[[#This Row],[Mínimo]]+((Categorias_Registro[[#This Row],[Máximo]]-Categorias_Registro[[#This Row],[Mínimo]])/2),0)</f>
        <v>1331</v>
      </c>
      <c r="G1341" s="78">
        <f>VLOOKUP(Categorias_Registro[[#This Row],[Puntos]],Categorias_Configuracion[],MATCH(Categorias_Configuracion[[#Headers],[% Amplitud]],Categorias_Configuracion[#Headers],0),TRUE)</f>
        <v>0.15</v>
      </c>
      <c r="H1341" s="15" t="str">
        <f ca="1">TEXT(Categorias_Registro[[#This Row],[Mínimo]],Formato_Rango_Categorias)&amp;" - "&amp;TEXT(Categorias_Registro[[#This Row],[Máximo]],Formato_Rango_Categorias)</f>
        <v>1.238 - 1.423</v>
      </c>
    </row>
    <row r="1342" spans="2:8">
      <c r="B1342" s="15">
        <f>Techo - ROW() + ROW(Categorias_Registro[])</f>
        <v>1287</v>
      </c>
      <c r="C1342" s="15">
        <f>IF(Categorias_Registro[[#This Row],[Puntos]]&lt;=ROUND(Piso,0),Piso,IF(Categorias_Registro[[#This Row],[Puntos]]&lt;D1343,C1343,D1343+1))</f>
        <v>1238</v>
      </c>
      <c r="D1342" s="15">
        <f>IF(Categorias_Registro[[#This Row],[Puntos]]=ROUND(Piso,0),ROUND(Categorias_Registro[[#This Row],[Puntos]]*(1+Categorias_Registro[[#This Row],[Amplitud]]),0),IF(Categorias_Registro[[#This Row],[Puntos]]&lt;D1343,D1343,ROUND(D1343*(1+Categorias_Registro[[#This Row],[Amplitud]]),0)))</f>
        <v>1423</v>
      </c>
      <c r="E1342" s="15">
        <f>E1343+IF(D1343=Categorias_Registro[[#This Row],[Máximo]],0,1)</f>
        <v>20</v>
      </c>
      <c r="F1342" s="15">
        <f>ROUND(Categorias_Registro[[#This Row],[Mínimo]]+((Categorias_Registro[[#This Row],[Máximo]]-Categorias_Registro[[#This Row],[Mínimo]])/2),0)</f>
        <v>1331</v>
      </c>
      <c r="G1342" s="78">
        <f>VLOOKUP(Categorias_Registro[[#This Row],[Puntos]],Categorias_Configuracion[],MATCH(Categorias_Configuracion[[#Headers],[% Amplitud]],Categorias_Configuracion[#Headers],0),TRUE)</f>
        <v>0.15</v>
      </c>
      <c r="H1342" s="15" t="str">
        <f ca="1">TEXT(Categorias_Registro[[#This Row],[Mínimo]],Formato_Rango_Categorias)&amp;" - "&amp;TEXT(Categorias_Registro[[#This Row],[Máximo]],Formato_Rango_Categorias)</f>
        <v>1.238 - 1.423</v>
      </c>
    </row>
    <row r="1343" spans="2:8">
      <c r="B1343" s="15">
        <f>Techo - ROW() + ROW(Categorias_Registro[])</f>
        <v>1286</v>
      </c>
      <c r="C1343" s="15">
        <f>IF(Categorias_Registro[[#This Row],[Puntos]]&lt;=ROUND(Piso,0),Piso,IF(Categorias_Registro[[#This Row],[Puntos]]&lt;D1344,C1344,D1344+1))</f>
        <v>1238</v>
      </c>
      <c r="D1343" s="15">
        <f>IF(Categorias_Registro[[#This Row],[Puntos]]=ROUND(Piso,0),ROUND(Categorias_Registro[[#This Row],[Puntos]]*(1+Categorias_Registro[[#This Row],[Amplitud]]),0),IF(Categorias_Registro[[#This Row],[Puntos]]&lt;D1344,D1344,ROUND(D1344*(1+Categorias_Registro[[#This Row],[Amplitud]]),0)))</f>
        <v>1423</v>
      </c>
      <c r="E1343" s="15">
        <f>E1344+IF(D1344=Categorias_Registro[[#This Row],[Máximo]],0,1)</f>
        <v>20</v>
      </c>
      <c r="F1343" s="15">
        <f>ROUND(Categorias_Registro[[#This Row],[Mínimo]]+((Categorias_Registro[[#This Row],[Máximo]]-Categorias_Registro[[#This Row],[Mínimo]])/2),0)</f>
        <v>1331</v>
      </c>
      <c r="G1343" s="78">
        <f>VLOOKUP(Categorias_Registro[[#This Row],[Puntos]],Categorias_Configuracion[],MATCH(Categorias_Configuracion[[#Headers],[% Amplitud]],Categorias_Configuracion[#Headers],0),TRUE)</f>
        <v>0.15</v>
      </c>
      <c r="H1343" s="15" t="str">
        <f ca="1">TEXT(Categorias_Registro[[#This Row],[Mínimo]],Formato_Rango_Categorias)&amp;" - "&amp;TEXT(Categorias_Registro[[#This Row],[Máximo]],Formato_Rango_Categorias)</f>
        <v>1.238 - 1.423</v>
      </c>
    </row>
    <row r="1344" spans="2:8">
      <c r="B1344" s="15">
        <f>Techo - ROW() + ROW(Categorias_Registro[])</f>
        <v>1285</v>
      </c>
      <c r="C1344" s="15">
        <f>IF(Categorias_Registro[[#This Row],[Puntos]]&lt;=ROUND(Piso,0),Piso,IF(Categorias_Registro[[#This Row],[Puntos]]&lt;D1345,C1345,D1345+1))</f>
        <v>1238</v>
      </c>
      <c r="D1344" s="15">
        <f>IF(Categorias_Registro[[#This Row],[Puntos]]=ROUND(Piso,0),ROUND(Categorias_Registro[[#This Row],[Puntos]]*(1+Categorias_Registro[[#This Row],[Amplitud]]),0),IF(Categorias_Registro[[#This Row],[Puntos]]&lt;D1345,D1345,ROUND(D1345*(1+Categorias_Registro[[#This Row],[Amplitud]]),0)))</f>
        <v>1423</v>
      </c>
      <c r="E1344" s="15">
        <f>E1345+IF(D1345=Categorias_Registro[[#This Row],[Máximo]],0,1)</f>
        <v>20</v>
      </c>
      <c r="F1344" s="15">
        <f>ROUND(Categorias_Registro[[#This Row],[Mínimo]]+((Categorias_Registro[[#This Row],[Máximo]]-Categorias_Registro[[#This Row],[Mínimo]])/2),0)</f>
        <v>1331</v>
      </c>
      <c r="G1344" s="78">
        <f>VLOOKUP(Categorias_Registro[[#This Row],[Puntos]],Categorias_Configuracion[],MATCH(Categorias_Configuracion[[#Headers],[% Amplitud]],Categorias_Configuracion[#Headers],0),TRUE)</f>
        <v>0.15</v>
      </c>
      <c r="H1344" s="15" t="str">
        <f ca="1">TEXT(Categorias_Registro[[#This Row],[Mínimo]],Formato_Rango_Categorias)&amp;" - "&amp;TEXT(Categorias_Registro[[#This Row],[Máximo]],Formato_Rango_Categorias)</f>
        <v>1.238 - 1.423</v>
      </c>
    </row>
    <row r="1345" spans="2:8">
      <c r="B1345" s="15">
        <f>Techo - ROW() + ROW(Categorias_Registro[])</f>
        <v>1284</v>
      </c>
      <c r="C1345" s="15">
        <f>IF(Categorias_Registro[[#This Row],[Puntos]]&lt;=ROUND(Piso,0),Piso,IF(Categorias_Registro[[#This Row],[Puntos]]&lt;D1346,C1346,D1346+1))</f>
        <v>1238</v>
      </c>
      <c r="D1345" s="15">
        <f>IF(Categorias_Registro[[#This Row],[Puntos]]=ROUND(Piso,0),ROUND(Categorias_Registro[[#This Row],[Puntos]]*(1+Categorias_Registro[[#This Row],[Amplitud]]),0),IF(Categorias_Registro[[#This Row],[Puntos]]&lt;D1346,D1346,ROUND(D1346*(1+Categorias_Registro[[#This Row],[Amplitud]]),0)))</f>
        <v>1423</v>
      </c>
      <c r="E1345" s="15">
        <f>E1346+IF(D1346=Categorias_Registro[[#This Row],[Máximo]],0,1)</f>
        <v>20</v>
      </c>
      <c r="F1345" s="15">
        <f>ROUND(Categorias_Registro[[#This Row],[Mínimo]]+((Categorias_Registro[[#This Row],[Máximo]]-Categorias_Registro[[#This Row],[Mínimo]])/2),0)</f>
        <v>1331</v>
      </c>
      <c r="G1345" s="78">
        <f>VLOOKUP(Categorias_Registro[[#This Row],[Puntos]],Categorias_Configuracion[],MATCH(Categorias_Configuracion[[#Headers],[% Amplitud]],Categorias_Configuracion[#Headers],0),TRUE)</f>
        <v>0.15</v>
      </c>
      <c r="H1345" s="15" t="str">
        <f ca="1">TEXT(Categorias_Registro[[#This Row],[Mínimo]],Formato_Rango_Categorias)&amp;" - "&amp;TEXT(Categorias_Registro[[#This Row],[Máximo]],Formato_Rango_Categorias)</f>
        <v>1.238 - 1.423</v>
      </c>
    </row>
    <row r="1346" spans="2:8">
      <c r="B1346" s="15">
        <f>Techo - ROW() + ROW(Categorias_Registro[])</f>
        <v>1283</v>
      </c>
      <c r="C1346" s="15">
        <f>IF(Categorias_Registro[[#This Row],[Puntos]]&lt;=ROUND(Piso,0),Piso,IF(Categorias_Registro[[#This Row],[Puntos]]&lt;D1347,C1347,D1347+1))</f>
        <v>1238</v>
      </c>
      <c r="D1346" s="15">
        <f>IF(Categorias_Registro[[#This Row],[Puntos]]=ROUND(Piso,0),ROUND(Categorias_Registro[[#This Row],[Puntos]]*(1+Categorias_Registro[[#This Row],[Amplitud]]),0),IF(Categorias_Registro[[#This Row],[Puntos]]&lt;D1347,D1347,ROUND(D1347*(1+Categorias_Registro[[#This Row],[Amplitud]]),0)))</f>
        <v>1423</v>
      </c>
      <c r="E1346" s="15">
        <f>E1347+IF(D1347=Categorias_Registro[[#This Row],[Máximo]],0,1)</f>
        <v>20</v>
      </c>
      <c r="F1346" s="15">
        <f>ROUND(Categorias_Registro[[#This Row],[Mínimo]]+((Categorias_Registro[[#This Row],[Máximo]]-Categorias_Registro[[#This Row],[Mínimo]])/2),0)</f>
        <v>1331</v>
      </c>
      <c r="G1346" s="78">
        <f>VLOOKUP(Categorias_Registro[[#This Row],[Puntos]],Categorias_Configuracion[],MATCH(Categorias_Configuracion[[#Headers],[% Amplitud]],Categorias_Configuracion[#Headers],0),TRUE)</f>
        <v>0.15</v>
      </c>
      <c r="H1346" s="15" t="str">
        <f ca="1">TEXT(Categorias_Registro[[#This Row],[Mínimo]],Formato_Rango_Categorias)&amp;" - "&amp;TEXT(Categorias_Registro[[#This Row],[Máximo]],Formato_Rango_Categorias)</f>
        <v>1.238 - 1.423</v>
      </c>
    </row>
    <row r="1347" spans="2:8">
      <c r="B1347" s="15">
        <f>Techo - ROW() + ROW(Categorias_Registro[])</f>
        <v>1282</v>
      </c>
      <c r="C1347" s="15">
        <f>IF(Categorias_Registro[[#This Row],[Puntos]]&lt;=ROUND(Piso,0),Piso,IF(Categorias_Registro[[#This Row],[Puntos]]&lt;D1348,C1348,D1348+1))</f>
        <v>1238</v>
      </c>
      <c r="D1347" s="15">
        <f>IF(Categorias_Registro[[#This Row],[Puntos]]=ROUND(Piso,0),ROUND(Categorias_Registro[[#This Row],[Puntos]]*(1+Categorias_Registro[[#This Row],[Amplitud]]),0),IF(Categorias_Registro[[#This Row],[Puntos]]&lt;D1348,D1348,ROUND(D1348*(1+Categorias_Registro[[#This Row],[Amplitud]]),0)))</f>
        <v>1423</v>
      </c>
      <c r="E1347" s="15">
        <f>E1348+IF(D1348=Categorias_Registro[[#This Row],[Máximo]],0,1)</f>
        <v>20</v>
      </c>
      <c r="F1347" s="15">
        <f>ROUND(Categorias_Registro[[#This Row],[Mínimo]]+((Categorias_Registro[[#This Row],[Máximo]]-Categorias_Registro[[#This Row],[Mínimo]])/2),0)</f>
        <v>1331</v>
      </c>
      <c r="G1347" s="78">
        <f>VLOOKUP(Categorias_Registro[[#This Row],[Puntos]],Categorias_Configuracion[],MATCH(Categorias_Configuracion[[#Headers],[% Amplitud]],Categorias_Configuracion[#Headers],0),TRUE)</f>
        <v>0.15</v>
      </c>
      <c r="H1347" s="15" t="str">
        <f ca="1">TEXT(Categorias_Registro[[#This Row],[Mínimo]],Formato_Rango_Categorias)&amp;" - "&amp;TEXT(Categorias_Registro[[#This Row],[Máximo]],Formato_Rango_Categorias)</f>
        <v>1.238 - 1.423</v>
      </c>
    </row>
    <row r="1348" spans="2:8">
      <c r="B1348" s="15">
        <f>Techo - ROW() + ROW(Categorias_Registro[])</f>
        <v>1281</v>
      </c>
      <c r="C1348" s="15">
        <f>IF(Categorias_Registro[[#This Row],[Puntos]]&lt;=ROUND(Piso,0),Piso,IF(Categorias_Registro[[#This Row],[Puntos]]&lt;D1349,C1349,D1349+1))</f>
        <v>1238</v>
      </c>
      <c r="D1348" s="15">
        <f>IF(Categorias_Registro[[#This Row],[Puntos]]=ROUND(Piso,0),ROUND(Categorias_Registro[[#This Row],[Puntos]]*(1+Categorias_Registro[[#This Row],[Amplitud]]),0),IF(Categorias_Registro[[#This Row],[Puntos]]&lt;D1349,D1349,ROUND(D1349*(1+Categorias_Registro[[#This Row],[Amplitud]]),0)))</f>
        <v>1423</v>
      </c>
      <c r="E1348" s="15">
        <f>E1349+IF(D1349=Categorias_Registro[[#This Row],[Máximo]],0,1)</f>
        <v>20</v>
      </c>
      <c r="F1348" s="15">
        <f>ROUND(Categorias_Registro[[#This Row],[Mínimo]]+((Categorias_Registro[[#This Row],[Máximo]]-Categorias_Registro[[#This Row],[Mínimo]])/2),0)</f>
        <v>1331</v>
      </c>
      <c r="G1348" s="78">
        <f>VLOOKUP(Categorias_Registro[[#This Row],[Puntos]],Categorias_Configuracion[],MATCH(Categorias_Configuracion[[#Headers],[% Amplitud]],Categorias_Configuracion[#Headers],0),TRUE)</f>
        <v>0.15</v>
      </c>
      <c r="H1348" s="15" t="str">
        <f ca="1">TEXT(Categorias_Registro[[#This Row],[Mínimo]],Formato_Rango_Categorias)&amp;" - "&amp;TEXT(Categorias_Registro[[#This Row],[Máximo]],Formato_Rango_Categorias)</f>
        <v>1.238 - 1.423</v>
      </c>
    </row>
    <row r="1349" spans="2:8">
      <c r="B1349" s="15">
        <f>Techo - ROW() + ROW(Categorias_Registro[])</f>
        <v>1280</v>
      </c>
      <c r="C1349" s="15">
        <f>IF(Categorias_Registro[[#This Row],[Puntos]]&lt;=ROUND(Piso,0),Piso,IF(Categorias_Registro[[#This Row],[Puntos]]&lt;D1350,C1350,D1350+1))</f>
        <v>1238</v>
      </c>
      <c r="D1349" s="15">
        <f>IF(Categorias_Registro[[#This Row],[Puntos]]=ROUND(Piso,0),ROUND(Categorias_Registro[[#This Row],[Puntos]]*(1+Categorias_Registro[[#This Row],[Amplitud]]),0),IF(Categorias_Registro[[#This Row],[Puntos]]&lt;D1350,D1350,ROUND(D1350*(1+Categorias_Registro[[#This Row],[Amplitud]]),0)))</f>
        <v>1423</v>
      </c>
      <c r="E1349" s="15">
        <f>E1350+IF(D1350=Categorias_Registro[[#This Row],[Máximo]],0,1)</f>
        <v>20</v>
      </c>
      <c r="F1349" s="15">
        <f>ROUND(Categorias_Registro[[#This Row],[Mínimo]]+((Categorias_Registro[[#This Row],[Máximo]]-Categorias_Registro[[#This Row],[Mínimo]])/2),0)</f>
        <v>1331</v>
      </c>
      <c r="G1349" s="78">
        <f>VLOOKUP(Categorias_Registro[[#This Row],[Puntos]],Categorias_Configuracion[],MATCH(Categorias_Configuracion[[#Headers],[% Amplitud]],Categorias_Configuracion[#Headers],0),TRUE)</f>
        <v>0.15</v>
      </c>
      <c r="H1349" s="15" t="str">
        <f ca="1">TEXT(Categorias_Registro[[#This Row],[Mínimo]],Formato_Rango_Categorias)&amp;" - "&amp;TEXT(Categorias_Registro[[#This Row],[Máximo]],Formato_Rango_Categorias)</f>
        <v>1.238 - 1.423</v>
      </c>
    </row>
    <row r="1350" spans="2:8">
      <c r="B1350" s="15">
        <f>Techo - ROW() + ROW(Categorias_Registro[])</f>
        <v>1279</v>
      </c>
      <c r="C1350" s="15">
        <f>IF(Categorias_Registro[[#This Row],[Puntos]]&lt;=ROUND(Piso,0),Piso,IF(Categorias_Registro[[#This Row],[Puntos]]&lt;D1351,C1351,D1351+1))</f>
        <v>1238</v>
      </c>
      <c r="D1350" s="15">
        <f>IF(Categorias_Registro[[#This Row],[Puntos]]=ROUND(Piso,0),ROUND(Categorias_Registro[[#This Row],[Puntos]]*(1+Categorias_Registro[[#This Row],[Amplitud]]),0),IF(Categorias_Registro[[#This Row],[Puntos]]&lt;D1351,D1351,ROUND(D1351*(1+Categorias_Registro[[#This Row],[Amplitud]]),0)))</f>
        <v>1423</v>
      </c>
      <c r="E1350" s="15">
        <f>E1351+IF(D1351=Categorias_Registro[[#This Row],[Máximo]],0,1)</f>
        <v>20</v>
      </c>
      <c r="F1350" s="15">
        <f>ROUND(Categorias_Registro[[#This Row],[Mínimo]]+((Categorias_Registro[[#This Row],[Máximo]]-Categorias_Registro[[#This Row],[Mínimo]])/2),0)</f>
        <v>1331</v>
      </c>
      <c r="G1350" s="78">
        <f>VLOOKUP(Categorias_Registro[[#This Row],[Puntos]],Categorias_Configuracion[],MATCH(Categorias_Configuracion[[#Headers],[% Amplitud]],Categorias_Configuracion[#Headers],0),TRUE)</f>
        <v>0.15</v>
      </c>
      <c r="H1350" s="15" t="str">
        <f ca="1">TEXT(Categorias_Registro[[#This Row],[Mínimo]],Formato_Rango_Categorias)&amp;" - "&amp;TEXT(Categorias_Registro[[#This Row],[Máximo]],Formato_Rango_Categorias)</f>
        <v>1.238 - 1.423</v>
      </c>
    </row>
    <row r="1351" spans="2:8">
      <c r="B1351" s="15">
        <f>Techo - ROW() + ROW(Categorias_Registro[])</f>
        <v>1278</v>
      </c>
      <c r="C1351" s="15">
        <f>IF(Categorias_Registro[[#This Row],[Puntos]]&lt;=ROUND(Piso,0),Piso,IF(Categorias_Registro[[#This Row],[Puntos]]&lt;D1352,C1352,D1352+1))</f>
        <v>1238</v>
      </c>
      <c r="D1351" s="15">
        <f>IF(Categorias_Registro[[#This Row],[Puntos]]=ROUND(Piso,0),ROUND(Categorias_Registro[[#This Row],[Puntos]]*(1+Categorias_Registro[[#This Row],[Amplitud]]),0),IF(Categorias_Registro[[#This Row],[Puntos]]&lt;D1352,D1352,ROUND(D1352*(1+Categorias_Registro[[#This Row],[Amplitud]]),0)))</f>
        <v>1423</v>
      </c>
      <c r="E1351" s="15">
        <f>E1352+IF(D1352=Categorias_Registro[[#This Row],[Máximo]],0,1)</f>
        <v>20</v>
      </c>
      <c r="F1351" s="15">
        <f>ROUND(Categorias_Registro[[#This Row],[Mínimo]]+((Categorias_Registro[[#This Row],[Máximo]]-Categorias_Registro[[#This Row],[Mínimo]])/2),0)</f>
        <v>1331</v>
      </c>
      <c r="G1351" s="78">
        <f>VLOOKUP(Categorias_Registro[[#This Row],[Puntos]],Categorias_Configuracion[],MATCH(Categorias_Configuracion[[#Headers],[% Amplitud]],Categorias_Configuracion[#Headers],0),TRUE)</f>
        <v>0.15</v>
      </c>
      <c r="H1351" s="15" t="str">
        <f ca="1">TEXT(Categorias_Registro[[#This Row],[Mínimo]],Formato_Rango_Categorias)&amp;" - "&amp;TEXT(Categorias_Registro[[#This Row],[Máximo]],Formato_Rango_Categorias)</f>
        <v>1.238 - 1.423</v>
      </c>
    </row>
    <row r="1352" spans="2:8">
      <c r="B1352" s="15">
        <f>Techo - ROW() + ROW(Categorias_Registro[])</f>
        <v>1277</v>
      </c>
      <c r="C1352" s="15">
        <f>IF(Categorias_Registro[[#This Row],[Puntos]]&lt;=ROUND(Piso,0),Piso,IF(Categorias_Registro[[#This Row],[Puntos]]&lt;D1353,C1353,D1353+1))</f>
        <v>1238</v>
      </c>
      <c r="D1352" s="15">
        <f>IF(Categorias_Registro[[#This Row],[Puntos]]=ROUND(Piso,0),ROUND(Categorias_Registro[[#This Row],[Puntos]]*(1+Categorias_Registro[[#This Row],[Amplitud]]),0),IF(Categorias_Registro[[#This Row],[Puntos]]&lt;D1353,D1353,ROUND(D1353*(1+Categorias_Registro[[#This Row],[Amplitud]]),0)))</f>
        <v>1423</v>
      </c>
      <c r="E1352" s="15">
        <f>E1353+IF(D1353=Categorias_Registro[[#This Row],[Máximo]],0,1)</f>
        <v>20</v>
      </c>
      <c r="F1352" s="15">
        <f>ROUND(Categorias_Registro[[#This Row],[Mínimo]]+((Categorias_Registro[[#This Row],[Máximo]]-Categorias_Registro[[#This Row],[Mínimo]])/2),0)</f>
        <v>1331</v>
      </c>
      <c r="G1352" s="78">
        <f>VLOOKUP(Categorias_Registro[[#This Row],[Puntos]],Categorias_Configuracion[],MATCH(Categorias_Configuracion[[#Headers],[% Amplitud]],Categorias_Configuracion[#Headers],0),TRUE)</f>
        <v>0.15</v>
      </c>
      <c r="H1352" s="15" t="str">
        <f ca="1">TEXT(Categorias_Registro[[#This Row],[Mínimo]],Formato_Rango_Categorias)&amp;" - "&amp;TEXT(Categorias_Registro[[#This Row],[Máximo]],Formato_Rango_Categorias)</f>
        <v>1.238 - 1.423</v>
      </c>
    </row>
    <row r="1353" spans="2:8">
      <c r="B1353" s="15">
        <f>Techo - ROW() + ROW(Categorias_Registro[])</f>
        <v>1276</v>
      </c>
      <c r="C1353" s="15">
        <f>IF(Categorias_Registro[[#This Row],[Puntos]]&lt;=ROUND(Piso,0),Piso,IF(Categorias_Registro[[#This Row],[Puntos]]&lt;D1354,C1354,D1354+1))</f>
        <v>1238</v>
      </c>
      <c r="D1353" s="15">
        <f>IF(Categorias_Registro[[#This Row],[Puntos]]=ROUND(Piso,0),ROUND(Categorias_Registro[[#This Row],[Puntos]]*(1+Categorias_Registro[[#This Row],[Amplitud]]),0),IF(Categorias_Registro[[#This Row],[Puntos]]&lt;D1354,D1354,ROUND(D1354*(1+Categorias_Registro[[#This Row],[Amplitud]]),0)))</f>
        <v>1423</v>
      </c>
      <c r="E1353" s="15">
        <f>E1354+IF(D1354=Categorias_Registro[[#This Row],[Máximo]],0,1)</f>
        <v>20</v>
      </c>
      <c r="F1353" s="15">
        <f>ROUND(Categorias_Registro[[#This Row],[Mínimo]]+((Categorias_Registro[[#This Row],[Máximo]]-Categorias_Registro[[#This Row],[Mínimo]])/2),0)</f>
        <v>1331</v>
      </c>
      <c r="G1353" s="78">
        <f>VLOOKUP(Categorias_Registro[[#This Row],[Puntos]],Categorias_Configuracion[],MATCH(Categorias_Configuracion[[#Headers],[% Amplitud]],Categorias_Configuracion[#Headers],0),TRUE)</f>
        <v>0.15</v>
      </c>
      <c r="H1353" s="15" t="str">
        <f ca="1">TEXT(Categorias_Registro[[#This Row],[Mínimo]],Formato_Rango_Categorias)&amp;" - "&amp;TEXT(Categorias_Registro[[#This Row],[Máximo]],Formato_Rango_Categorias)</f>
        <v>1.238 - 1.423</v>
      </c>
    </row>
    <row r="1354" spans="2:8">
      <c r="B1354" s="15">
        <f>Techo - ROW() + ROW(Categorias_Registro[])</f>
        <v>1275</v>
      </c>
      <c r="C1354" s="15">
        <f>IF(Categorias_Registro[[#This Row],[Puntos]]&lt;=ROUND(Piso,0),Piso,IF(Categorias_Registro[[#This Row],[Puntos]]&lt;D1355,C1355,D1355+1))</f>
        <v>1238</v>
      </c>
      <c r="D1354" s="15">
        <f>IF(Categorias_Registro[[#This Row],[Puntos]]=ROUND(Piso,0),ROUND(Categorias_Registro[[#This Row],[Puntos]]*(1+Categorias_Registro[[#This Row],[Amplitud]]),0),IF(Categorias_Registro[[#This Row],[Puntos]]&lt;D1355,D1355,ROUND(D1355*(1+Categorias_Registro[[#This Row],[Amplitud]]),0)))</f>
        <v>1423</v>
      </c>
      <c r="E1354" s="15">
        <f>E1355+IF(D1355=Categorias_Registro[[#This Row],[Máximo]],0,1)</f>
        <v>20</v>
      </c>
      <c r="F1354" s="15">
        <f>ROUND(Categorias_Registro[[#This Row],[Mínimo]]+((Categorias_Registro[[#This Row],[Máximo]]-Categorias_Registro[[#This Row],[Mínimo]])/2),0)</f>
        <v>1331</v>
      </c>
      <c r="G1354" s="78">
        <f>VLOOKUP(Categorias_Registro[[#This Row],[Puntos]],Categorias_Configuracion[],MATCH(Categorias_Configuracion[[#Headers],[% Amplitud]],Categorias_Configuracion[#Headers],0),TRUE)</f>
        <v>0.15</v>
      </c>
      <c r="H1354" s="15" t="str">
        <f ca="1">TEXT(Categorias_Registro[[#This Row],[Mínimo]],Formato_Rango_Categorias)&amp;" - "&amp;TEXT(Categorias_Registro[[#This Row],[Máximo]],Formato_Rango_Categorias)</f>
        <v>1.238 - 1.423</v>
      </c>
    </row>
    <row r="1355" spans="2:8">
      <c r="B1355" s="15">
        <f>Techo - ROW() + ROW(Categorias_Registro[])</f>
        <v>1274</v>
      </c>
      <c r="C1355" s="15">
        <f>IF(Categorias_Registro[[#This Row],[Puntos]]&lt;=ROUND(Piso,0),Piso,IF(Categorias_Registro[[#This Row],[Puntos]]&lt;D1356,C1356,D1356+1))</f>
        <v>1238</v>
      </c>
      <c r="D1355" s="15">
        <f>IF(Categorias_Registro[[#This Row],[Puntos]]=ROUND(Piso,0),ROUND(Categorias_Registro[[#This Row],[Puntos]]*(1+Categorias_Registro[[#This Row],[Amplitud]]),0),IF(Categorias_Registro[[#This Row],[Puntos]]&lt;D1356,D1356,ROUND(D1356*(1+Categorias_Registro[[#This Row],[Amplitud]]),0)))</f>
        <v>1423</v>
      </c>
      <c r="E1355" s="15">
        <f>E1356+IF(D1356=Categorias_Registro[[#This Row],[Máximo]],0,1)</f>
        <v>20</v>
      </c>
      <c r="F1355" s="15">
        <f>ROUND(Categorias_Registro[[#This Row],[Mínimo]]+((Categorias_Registro[[#This Row],[Máximo]]-Categorias_Registro[[#This Row],[Mínimo]])/2),0)</f>
        <v>1331</v>
      </c>
      <c r="G1355" s="78">
        <f>VLOOKUP(Categorias_Registro[[#This Row],[Puntos]],Categorias_Configuracion[],MATCH(Categorias_Configuracion[[#Headers],[% Amplitud]],Categorias_Configuracion[#Headers],0),TRUE)</f>
        <v>0.15</v>
      </c>
      <c r="H1355" s="15" t="str">
        <f ca="1">TEXT(Categorias_Registro[[#This Row],[Mínimo]],Formato_Rango_Categorias)&amp;" - "&amp;TEXT(Categorias_Registro[[#This Row],[Máximo]],Formato_Rango_Categorias)</f>
        <v>1.238 - 1.423</v>
      </c>
    </row>
    <row r="1356" spans="2:8">
      <c r="B1356" s="15">
        <f>Techo - ROW() + ROW(Categorias_Registro[])</f>
        <v>1273</v>
      </c>
      <c r="C1356" s="15">
        <f>IF(Categorias_Registro[[#This Row],[Puntos]]&lt;=ROUND(Piso,0),Piso,IF(Categorias_Registro[[#This Row],[Puntos]]&lt;D1357,C1357,D1357+1))</f>
        <v>1238</v>
      </c>
      <c r="D1356" s="15">
        <f>IF(Categorias_Registro[[#This Row],[Puntos]]=ROUND(Piso,0),ROUND(Categorias_Registro[[#This Row],[Puntos]]*(1+Categorias_Registro[[#This Row],[Amplitud]]),0),IF(Categorias_Registro[[#This Row],[Puntos]]&lt;D1357,D1357,ROUND(D1357*(1+Categorias_Registro[[#This Row],[Amplitud]]),0)))</f>
        <v>1423</v>
      </c>
      <c r="E1356" s="15">
        <f>E1357+IF(D1357=Categorias_Registro[[#This Row],[Máximo]],0,1)</f>
        <v>20</v>
      </c>
      <c r="F1356" s="15">
        <f>ROUND(Categorias_Registro[[#This Row],[Mínimo]]+((Categorias_Registro[[#This Row],[Máximo]]-Categorias_Registro[[#This Row],[Mínimo]])/2),0)</f>
        <v>1331</v>
      </c>
      <c r="G1356" s="78">
        <f>VLOOKUP(Categorias_Registro[[#This Row],[Puntos]],Categorias_Configuracion[],MATCH(Categorias_Configuracion[[#Headers],[% Amplitud]],Categorias_Configuracion[#Headers],0),TRUE)</f>
        <v>0.15</v>
      </c>
      <c r="H1356" s="15" t="str">
        <f ca="1">TEXT(Categorias_Registro[[#This Row],[Mínimo]],Formato_Rango_Categorias)&amp;" - "&amp;TEXT(Categorias_Registro[[#This Row],[Máximo]],Formato_Rango_Categorias)</f>
        <v>1.238 - 1.423</v>
      </c>
    </row>
    <row r="1357" spans="2:8">
      <c r="B1357" s="15">
        <f>Techo - ROW() + ROW(Categorias_Registro[])</f>
        <v>1272</v>
      </c>
      <c r="C1357" s="15">
        <f>IF(Categorias_Registro[[#This Row],[Puntos]]&lt;=ROUND(Piso,0),Piso,IF(Categorias_Registro[[#This Row],[Puntos]]&lt;D1358,C1358,D1358+1))</f>
        <v>1238</v>
      </c>
      <c r="D1357" s="15">
        <f>IF(Categorias_Registro[[#This Row],[Puntos]]=ROUND(Piso,0),ROUND(Categorias_Registro[[#This Row],[Puntos]]*(1+Categorias_Registro[[#This Row],[Amplitud]]),0),IF(Categorias_Registro[[#This Row],[Puntos]]&lt;D1358,D1358,ROUND(D1358*(1+Categorias_Registro[[#This Row],[Amplitud]]),0)))</f>
        <v>1423</v>
      </c>
      <c r="E1357" s="15">
        <f>E1358+IF(D1358=Categorias_Registro[[#This Row],[Máximo]],0,1)</f>
        <v>20</v>
      </c>
      <c r="F1357" s="15">
        <f>ROUND(Categorias_Registro[[#This Row],[Mínimo]]+((Categorias_Registro[[#This Row],[Máximo]]-Categorias_Registro[[#This Row],[Mínimo]])/2),0)</f>
        <v>1331</v>
      </c>
      <c r="G1357" s="78">
        <f>VLOOKUP(Categorias_Registro[[#This Row],[Puntos]],Categorias_Configuracion[],MATCH(Categorias_Configuracion[[#Headers],[% Amplitud]],Categorias_Configuracion[#Headers],0),TRUE)</f>
        <v>0.15</v>
      </c>
      <c r="H1357" s="15" t="str">
        <f ca="1">TEXT(Categorias_Registro[[#This Row],[Mínimo]],Formato_Rango_Categorias)&amp;" - "&amp;TEXT(Categorias_Registro[[#This Row],[Máximo]],Formato_Rango_Categorias)</f>
        <v>1.238 - 1.423</v>
      </c>
    </row>
    <row r="1358" spans="2:8">
      <c r="B1358" s="15">
        <f>Techo - ROW() + ROW(Categorias_Registro[])</f>
        <v>1271</v>
      </c>
      <c r="C1358" s="15">
        <f>IF(Categorias_Registro[[#This Row],[Puntos]]&lt;=ROUND(Piso,0),Piso,IF(Categorias_Registro[[#This Row],[Puntos]]&lt;D1359,C1359,D1359+1))</f>
        <v>1238</v>
      </c>
      <c r="D1358" s="15">
        <f>IF(Categorias_Registro[[#This Row],[Puntos]]=ROUND(Piso,0),ROUND(Categorias_Registro[[#This Row],[Puntos]]*(1+Categorias_Registro[[#This Row],[Amplitud]]),0),IF(Categorias_Registro[[#This Row],[Puntos]]&lt;D1359,D1359,ROUND(D1359*(1+Categorias_Registro[[#This Row],[Amplitud]]),0)))</f>
        <v>1423</v>
      </c>
      <c r="E1358" s="15">
        <f>E1359+IF(D1359=Categorias_Registro[[#This Row],[Máximo]],0,1)</f>
        <v>20</v>
      </c>
      <c r="F1358" s="15">
        <f>ROUND(Categorias_Registro[[#This Row],[Mínimo]]+((Categorias_Registro[[#This Row],[Máximo]]-Categorias_Registro[[#This Row],[Mínimo]])/2),0)</f>
        <v>1331</v>
      </c>
      <c r="G1358" s="78">
        <f>VLOOKUP(Categorias_Registro[[#This Row],[Puntos]],Categorias_Configuracion[],MATCH(Categorias_Configuracion[[#Headers],[% Amplitud]],Categorias_Configuracion[#Headers],0),TRUE)</f>
        <v>0.15</v>
      </c>
      <c r="H1358" s="15" t="str">
        <f ca="1">TEXT(Categorias_Registro[[#This Row],[Mínimo]],Formato_Rango_Categorias)&amp;" - "&amp;TEXT(Categorias_Registro[[#This Row],[Máximo]],Formato_Rango_Categorias)</f>
        <v>1.238 - 1.423</v>
      </c>
    </row>
    <row r="1359" spans="2:8">
      <c r="B1359" s="15">
        <f>Techo - ROW() + ROW(Categorias_Registro[])</f>
        <v>1270</v>
      </c>
      <c r="C1359" s="15">
        <f>IF(Categorias_Registro[[#This Row],[Puntos]]&lt;=ROUND(Piso,0),Piso,IF(Categorias_Registro[[#This Row],[Puntos]]&lt;D1360,C1360,D1360+1))</f>
        <v>1238</v>
      </c>
      <c r="D1359" s="15">
        <f>IF(Categorias_Registro[[#This Row],[Puntos]]=ROUND(Piso,0),ROUND(Categorias_Registro[[#This Row],[Puntos]]*(1+Categorias_Registro[[#This Row],[Amplitud]]),0),IF(Categorias_Registro[[#This Row],[Puntos]]&lt;D1360,D1360,ROUND(D1360*(1+Categorias_Registro[[#This Row],[Amplitud]]),0)))</f>
        <v>1423</v>
      </c>
      <c r="E1359" s="15">
        <f>E1360+IF(D1360=Categorias_Registro[[#This Row],[Máximo]],0,1)</f>
        <v>20</v>
      </c>
      <c r="F1359" s="15">
        <f>ROUND(Categorias_Registro[[#This Row],[Mínimo]]+((Categorias_Registro[[#This Row],[Máximo]]-Categorias_Registro[[#This Row],[Mínimo]])/2),0)</f>
        <v>1331</v>
      </c>
      <c r="G1359" s="78">
        <f>VLOOKUP(Categorias_Registro[[#This Row],[Puntos]],Categorias_Configuracion[],MATCH(Categorias_Configuracion[[#Headers],[% Amplitud]],Categorias_Configuracion[#Headers],0),TRUE)</f>
        <v>0.15</v>
      </c>
      <c r="H1359" s="15" t="str">
        <f ca="1">TEXT(Categorias_Registro[[#This Row],[Mínimo]],Formato_Rango_Categorias)&amp;" - "&amp;TEXT(Categorias_Registro[[#This Row],[Máximo]],Formato_Rango_Categorias)</f>
        <v>1.238 - 1.423</v>
      </c>
    </row>
    <row r="1360" spans="2:8">
      <c r="B1360" s="15">
        <f>Techo - ROW() + ROW(Categorias_Registro[])</f>
        <v>1269</v>
      </c>
      <c r="C1360" s="15">
        <f>IF(Categorias_Registro[[#This Row],[Puntos]]&lt;=ROUND(Piso,0),Piso,IF(Categorias_Registro[[#This Row],[Puntos]]&lt;D1361,C1361,D1361+1))</f>
        <v>1238</v>
      </c>
      <c r="D1360" s="15">
        <f>IF(Categorias_Registro[[#This Row],[Puntos]]=ROUND(Piso,0),ROUND(Categorias_Registro[[#This Row],[Puntos]]*(1+Categorias_Registro[[#This Row],[Amplitud]]),0),IF(Categorias_Registro[[#This Row],[Puntos]]&lt;D1361,D1361,ROUND(D1361*(1+Categorias_Registro[[#This Row],[Amplitud]]),0)))</f>
        <v>1423</v>
      </c>
      <c r="E1360" s="15">
        <f>E1361+IF(D1361=Categorias_Registro[[#This Row],[Máximo]],0,1)</f>
        <v>20</v>
      </c>
      <c r="F1360" s="15">
        <f>ROUND(Categorias_Registro[[#This Row],[Mínimo]]+((Categorias_Registro[[#This Row],[Máximo]]-Categorias_Registro[[#This Row],[Mínimo]])/2),0)</f>
        <v>1331</v>
      </c>
      <c r="G1360" s="78">
        <f>VLOOKUP(Categorias_Registro[[#This Row],[Puntos]],Categorias_Configuracion[],MATCH(Categorias_Configuracion[[#Headers],[% Amplitud]],Categorias_Configuracion[#Headers],0),TRUE)</f>
        <v>0.15</v>
      </c>
      <c r="H1360" s="15" t="str">
        <f ca="1">TEXT(Categorias_Registro[[#This Row],[Mínimo]],Formato_Rango_Categorias)&amp;" - "&amp;TEXT(Categorias_Registro[[#This Row],[Máximo]],Formato_Rango_Categorias)</f>
        <v>1.238 - 1.423</v>
      </c>
    </row>
    <row r="1361" spans="2:8">
      <c r="B1361" s="15">
        <f>Techo - ROW() + ROW(Categorias_Registro[])</f>
        <v>1268</v>
      </c>
      <c r="C1361" s="15">
        <f>IF(Categorias_Registro[[#This Row],[Puntos]]&lt;=ROUND(Piso,0),Piso,IF(Categorias_Registro[[#This Row],[Puntos]]&lt;D1362,C1362,D1362+1))</f>
        <v>1238</v>
      </c>
      <c r="D1361" s="15">
        <f>IF(Categorias_Registro[[#This Row],[Puntos]]=ROUND(Piso,0),ROUND(Categorias_Registro[[#This Row],[Puntos]]*(1+Categorias_Registro[[#This Row],[Amplitud]]),0),IF(Categorias_Registro[[#This Row],[Puntos]]&lt;D1362,D1362,ROUND(D1362*(1+Categorias_Registro[[#This Row],[Amplitud]]),0)))</f>
        <v>1423</v>
      </c>
      <c r="E1361" s="15">
        <f>E1362+IF(D1362=Categorias_Registro[[#This Row],[Máximo]],0,1)</f>
        <v>20</v>
      </c>
      <c r="F1361" s="15">
        <f>ROUND(Categorias_Registro[[#This Row],[Mínimo]]+((Categorias_Registro[[#This Row],[Máximo]]-Categorias_Registro[[#This Row],[Mínimo]])/2),0)</f>
        <v>1331</v>
      </c>
      <c r="G1361" s="78">
        <f>VLOOKUP(Categorias_Registro[[#This Row],[Puntos]],Categorias_Configuracion[],MATCH(Categorias_Configuracion[[#Headers],[% Amplitud]],Categorias_Configuracion[#Headers],0),TRUE)</f>
        <v>0.15</v>
      </c>
      <c r="H1361" s="15" t="str">
        <f ca="1">TEXT(Categorias_Registro[[#This Row],[Mínimo]],Formato_Rango_Categorias)&amp;" - "&amp;TEXT(Categorias_Registro[[#This Row],[Máximo]],Formato_Rango_Categorias)</f>
        <v>1.238 - 1.423</v>
      </c>
    </row>
    <row r="1362" spans="2:8">
      <c r="B1362" s="15">
        <f>Techo - ROW() + ROW(Categorias_Registro[])</f>
        <v>1267</v>
      </c>
      <c r="C1362" s="15">
        <f>IF(Categorias_Registro[[#This Row],[Puntos]]&lt;=ROUND(Piso,0),Piso,IF(Categorias_Registro[[#This Row],[Puntos]]&lt;D1363,C1363,D1363+1))</f>
        <v>1238</v>
      </c>
      <c r="D1362" s="15">
        <f>IF(Categorias_Registro[[#This Row],[Puntos]]=ROUND(Piso,0),ROUND(Categorias_Registro[[#This Row],[Puntos]]*(1+Categorias_Registro[[#This Row],[Amplitud]]),0),IF(Categorias_Registro[[#This Row],[Puntos]]&lt;D1363,D1363,ROUND(D1363*(1+Categorias_Registro[[#This Row],[Amplitud]]),0)))</f>
        <v>1423</v>
      </c>
      <c r="E1362" s="15">
        <f>E1363+IF(D1363=Categorias_Registro[[#This Row],[Máximo]],0,1)</f>
        <v>20</v>
      </c>
      <c r="F1362" s="15">
        <f>ROUND(Categorias_Registro[[#This Row],[Mínimo]]+((Categorias_Registro[[#This Row],[Máximo]]-Categorias_Registro[[#This Row],[Mínimo]])/2),0)</f>
        <v>1331</v>
      </c>
      <c r="G1362" s="78">
        <f>VLOOKUP(Categorias_Registro[[#This Row],[Puntos]],Categorias_Configuracion[],MATCH(Categorias_Configuracion[[#Headers],[% Amplitud]],Categorias_Configuracion[#Headers],0),TRUE)</f>
        <v>0.15</v>
      </c>
      <c r="H1362" s="15" t="str">
        <f ca="1">TEXT(Categorias_Registro[[#This Row],[Mínimo]],Formato_Rango_Categorias)&amp;" - "&amp;TEXT(Categorias_Registro[[#This Row],[Máximo]],Formato_Rango_Categorias)</f>
        <v>1.238 - 1.423</v>
      </c>
    </row>
    <row r="1363" spans="2:8">
      <c r="B1363" s="15">
        <f>Techo - ROW() + ROW(Categorias_Registro[])</f>
        <v>1266</v>
      </c>
      <c r="C1363" s="15">
        <f>IF(Categorias_Registro[[#This Row],[Puntos]]&lt;=ROUND(Piso,0),Piso,IF(Categorias_Registro[[#This Row],[Puntos]]&lt;D1364,C1364,D1364+1))</f>
        <v>1238</v>
      </c>
      <c r="D1363" s="15">
        <f>IF(Categorias_Registro[[#This Row],[Puntos]]=ROUND(Piso,0),ROUND(Categorias_Registro[[#This Row],[Puntos]]*(1+Categorias_Registro[[#This Row],[Amplitud]]),0),IF(Categorias_Registro[[#This Row],[Puntos]]&lt;D1364,D1364,ROUND(D1364*(1+Categorias_Registro[[#This Row],[Amplitud]]),0)))</f>
        <v>1423</v>
      </c>
      <c r="E1363" s="15">
        <f>E1364+IF(D1364=Categorias_Registro[[#This Row],[Máximo]],0,1)</f>
        <v>20</v>
      </c>
      <c r="F1363" s="15">
        <f>ROUND(Categorias_Registro[[#This Row],[Mínimo]]+((Categorias_Registro[[#This Row],[Máximo]]-Categorias_Registro[[#This Row],[Mínimo]])/2),0)</f>
        <v>1331</v>
      </c>
      <c r="G1363" s="78">
        <f>VLOOKUP(Categorias_Registro[[#This Row],[Puntos]],Categorias_Configuracion[],MATCH(Categorias_Configuracion[[#Headers],[% Amplitud]],Categorias_Configuracion[#Headers],0),TRUE)</f>
        <v>0.15</v>
      </c>
      <c r="H1363" s="15" t="str">
        <f ca="1">TEXT(Categorias_Registro[[#This Row],[Mínimo]],Formato_Rango_Categorias)&amp;" - "&amp;TEXT(Categorias_Registro[[#This Row],[Máximo]],Formato_Rango_Categorias)</f>
        <v>1.238 - 1.423</v>
      </c>
    </row>
    <row r="1364" spans="2:8">
      <c r="B1364" s="15">
        <f>Techo - ROW() + ROW(Categorias_Registro[])</f>
        <v>1265</v>
      </c>
      <c r="C1364" s="15">
        <f>IF(Categorias_Registro[[#This Row],[Puntos]]&lt;=ROUND(Piso,0),Piso,IF(Categorias_Registro[[#This Row],[Puntos]]&lt;D1365,C1365,D1365+1))</f>
        <v>1238</v>
      </c>
      <c r="D1364" s="15">
        <f>IF(Categorias_Registro[[#This Row],[Puntos]]=ROUND(Piso,0),ROUND(Categorias_Registro[[#This Row],[Puntos]]*(1+Categorias_Registro[[#This Row],[Amplitud]]),0),IF(Categorias_Registro[[#This Row],[Puntos]]&lt;D1365,D1365,ROUND(D1365*(1+Categorias_Registro[[#This Row],[Amplitud]]),0)))</f>
        <v>1423</v>
      </c>
      <c r="E1364" s="15">
        <f>E1365+IF(D1365=Categorias_Registro[[#This Row],[Máximo]],0,1)</f>
        <v>20</v>
      </c>
      <c r="F1364" s="15">
        <f>ROUND(Categorias_Registro[[#This Row],[Mínimo]]+((Categorias_Registro[[#This Row],[Máximo]]-Categorias_Registro[[#This Row],[Mínimo]])/2),0)</f>
        <v>1331</v>
      </c>
      <c r="G1364" s="78">
        <f>VLOOKUP(Categorias_Registro[[#This Row],[Puntos]],Categorias_Configuracion[],MATCH(Categorias_Configuracion[[#Headers],[% Amplitud]],Categorias_Configuracion[#Headers],0),TRUE)</f>
        <v>0.15</v>
      </c>
      <c r="H1364" s="15" t="str">
        <f ca="1">TEXT(Categorias_Registro[[#This Row],[Mínimo]],Formato_Rango_Categorias)&amp;" - "&amp;TEXT(Categorias_Registro[[#This Row],[Máximo]],Formato_Rango_Categorias)</f>
        <v>1.238 - 1.423</v>
      </c>
    </row>
    <row r="1365" spans="2:8">
      <c r="B1365" s="15">
        <f>Techo - ROW() + ROW(Categorias_Registro[])</f>
        <v>1264</v>
      </c>
      <c r="C1365" s="15">
        <f>IF(Categorias_Registro[[#This Row],[Puntos]]&lt;=ROUND(Piso,0),Piso,IF(Categorias_Registro[[#This Row],[Puntos]]&lt;D1366,C1366,D1366+1))</f>
        <v>1238</v>
      </c>
      <c r="D1365" s="15">
        <f>IF(Categorias_Registro[[#This Row],[Puntos]]=ROUND(Piso,0),ROUND(Categorias_Registro[[#This Row],[Puntos]]*(1+Categorias_Registro[[#This Row],[Amplitud]]),0),IF(Categorias_Registro[[#This Row],[Puntos]]&lt;D1366,D1366,ROUND(D1366*(1+Categorias_Registro[[#This Row],[Amplitud]]),0)))</f>
        <v>1423</v>
      </c>
      <c r="E1365" s="15">
        <f>E1366+IF(D1366=Categorias_Registro[[#This Row],[Máximo]],0,1)</f>
        <v>20</v>
      </c>
      <c r="F1365" s="15">
        <f>ROUND(Categorias_Registro[[#This Row],[Mínimo]]+((Categorias_Registro[[#This Row],[Máximo]]-Categorias_Registro[[#This Row],[Mínimo]])/2),0)</f>
        <v>1331</v>
      </c>
      <c r="G1365" s="78">
        <f>VLOOKUP(Categorias_Registro[[#This Row],[Puntos]],Categorias_Configuracion[],MATCH(Categorias_Configuracion[[#Headers],[% Amplitud]],Categorias_Configuracion[#Headers],0),TRUE)</f>
        <v>0.15</v>
      </c>
      <c r="H1365" s="15" t="str">
        <f ca="1">TEXT(Categorias_Registro[[#This Row],[Mínimo]],Formato_Rango_Categorias)&amp;" - "&amp;TEXT(Categorias_Registro[[#This Row],[Máximo]],Formato_Rango_Categorias)</f>
        <v>1.238 - 1.423</v>
      </c>
    </row>
    <row r="1366" spans="2:8">
      <c r="B1366" s="15">
        <f>Techo - ROW() + ROW(Categorias_Registro[])</f>
        <v>1263</v>
      </c>
      <c r="C1366" s="15">
        <f>IF(Categorias_Registro[[#This Row],[Puntos]]&lt;=ROUND(Piso,0),Piso,IF(Categorias_Registro[[#This Row],[Puntos]]&lt;D1367,C1367,D1367+1))</f>
        <v>1238</v>
      </c>
      <c r="D1366" s="15">
        <f>IF(Categorias_Registro[[#This Row],[Puntos]]=ROUND(Piso,0),ROUND(Categorias_Registro[[#This Row],[Puntos]]*(1+Categorias_Registro[[#This Row],[Amplitud]]),0),IF(Categorias_Registro[[#This Row],[Puntos]]&lt;D1367,D1367,ROUND(D1367*(1+Categorias_Registro[[#This Row],[Amplitud]]),0)))</f>
        <v>1423</v>
      </c>
      <c r="E1366" s="15">
        <f>E1367+IF(D1367=Categorias_Registro[[#This Row],[Máximo]],0,1)</f>
        <v>20</v>
      </c>
      <c r="F1366" s="15">
        <f>ROUND(Categorias_Registro[[#This Row],[Mínimo]]+((Categorias_Registro[[#This Row],[Máximo]]-Categorias_Registro[[#This Row],[Mínimo]])/2),0)</f>
        <v>1331</v>
      </c>
      <c r="G1366" s="78">
        <f>VLOOKUP(Categorias_Registro[[#This Row],[Puntos]],Categorias_Configuracion[],MATCH(Categorias_Configuracion[[#Headers],[% Amplitud]],Categorias_Configuracion[#Headers],0),TRUE)</f>
        <v>0.15</v>
      </c>
      <c r="H1366" s="15" t="str">
        <f ca="1">TEXT(Categorias_Registro[[#This Row],[Mínimo]],Formato_Rango_Categorias)&amp;" - "&amp;TEXT(Categorias_Registro[[#This Row],[Máximo]],Formato_Rango_Categorias)</f>
        <v>1.238 - 1.423</v>
      </c>
    </row>
    <row r="1367" spans="2:8">
      <c r="B1367" s="15">
        <f>Techo - ROW() + ROW(Categorias_Registro[])</f>
        <v>1262</v>
      </c>
      <c r="C1367" s="15">
        <f>IF(Categorias_Registro[[#This Row],[Puntos]]&lt;=ROUND(Piso,0),Piso,IF(Categorias_Registro[[#This Row],[Puntos]]&lt;D1368,C1368,D1368+1))</f>
        <v>1238</v>
      </c>
      <c r="D1367" s="15">
        <f>IF(Categorias_Registro[[#This Row],[Puntos]]=ROUND(Piso,0),ROUND(Categorias_Registro[[#This Row],[Puntos]]*(1+Categorias_Registro[[#This Row],[Amplitud]]),0),IF(Categorias_Registro[[#This Row],[Puntos]]&lt;D1368,D1368,ROUND(D1368*(1+Categorias_Registro[[#This Row],[Amplitud]]),0)))</f>
        <v>1423</v>
      </c>
      <c r="E1367" s="15">
        <f>E1368+IF(D1368=Categorias_Registro[[#This Row],[Máximo]],0,1)</f>
        <v>20</v>
      </c>
      <c r="F1367" s="15">
        <f>ROUND(Categorias_Registro[[#This Row],[Mínimo]]+((Categorias_Registro[[#This Row],[Máximo]]-Categorias_Registro[[#This Row],[Mínimo]])/2),0)</f>
        <v>1331</v>
      </c>
      <c r="G1367" s="78">
        <f>VLOOKUP(Categorias_Registro[[#This Row],[Puntos]],Categorias_Configuracion[],MATCH(Categorias_Configuracion[[#Headers],[% Amplitud]],Categorias_Configuracion[#Headers],0),TRUE)</f>
        <v>0.15</v>
      </c>
      <c r="H1367" s="15" t="str">
        <f ca="1">TEXT(Categorias_Registro[[#This Row],[Mínimo]],Formato_Rango_Categorias)&amp;" - "&amp;TEXT(Categorias_Registro[[#This Row],[Máximo]],Formato_Rango_Categorias)</f>
        <v>1.238 - 1.423</v>
      </c>
    </row>
    <row r="1368" spans="2:8">
      <c r="B1368" s="15">
        <f>Techo - ROW() + ROW(Categorias_Registro[])</f>
        <v>1261</v>
      </c>
      <c r="C1368" s="15">
        <f>IF(Categorias_Registro[[#This Row],[Puntos]]&lt;=ROUND(Piso,0),Piso,IF(Categorias_Registro[[#This Row],[Puntos]]&lt;D1369,C1369,D1369+1))</f>
        <v>1238</v>
      </c>
      <c r="D1368" s="15">
        <f>IF(Categorias_Registro[[#This Row],[Puntos]]=ROUND(Piso,0),ROUND(Categorias_Registro[[#This Row],[Puntos]]*(1+Categorias_Registro[[#This Row],[Amplitud]]),0),IF(Categorias_Registro[[#This Row],[Puntos]]&lt;D1369,D1369,ROUND(D1369*(1+Categorias_Registro[[#This Row],[Amplitud]]),0)))</f>
        <v>1423</v>
      </c>
      <c r="E1368" s="15">
        <f>E1369+IF(D1369=Categorias_Registro[[#This Row],[Máximo]],0,1)</f>
        <v>20</v>
      </c>
      <c r="F1368" s="15">
        <f>ROUND(Categorias_Registro[[#This Row],[Mínimo]]+((Categorias_Registro[[#This Row],[Máximo]]-Categorias_Registro[[#This Row],[Mínimo]])/2),0)</f>
        <v>1331</v>
      </c>
      <c r="G1368" s="78">
        <f>VLOOKUP(Categorias_Registro[[#This Row],[Puntos]],Categorias_Configuracion[],MATCH(Categorias_Configuracion[[#Headers],[% Amplitud]],Categorias_Configuracion[#Headers],0),TRUE)</f>
        <v>0.15</v>
      </c>
      <c r="H1368" s="15" t="str">
        <f ca="1">TEXT(Categorias_Registro[[#This Row],[Mínimo]],Formato_Rango_Categorias)&amp;" - "&amp;TEXT(Categorias_Registro[[#This Row],[Máximo]],Formato_Rango_Categorias)</f>
        <v>1.238 - 1.423</v>
      </c>
    </row>
    <row r="1369" spans="2:8">
      <c r="B1369" s="15">
        <f>Techo - ROW() + ROW(Categorias_Registro[])</f>
        <v>1260</v>
      </c>
      <c r="C1369" s="15">
        <f>IF(Categorias_Registro[[#This Row],[Puntos]]&lt;=ROUND(Piso,0),Piso,IF(Categorias_Registro[[#This Row],[Puntos]]&lt;D1370,C1370,D1370+1))</f>
        <v>1238</v>
      </c>
      <c r="D1369" s="15">
        <f>IF(Categorias_Registro[[#This Row],[Puntos]]=ROUND(Piso,0),ROUND(Categorias_Registro[[#This Row],[Puntos]]*(1+Categorias_Registro[[#This Row],[Amplitud]]),0),IF(Categorias_Registro[[#This Row],[Puntos]]&lt;D1370,D1370,ROUND(D1370*(1+Categorias_Registro[[#This Row],[Amplitud]]),0)))</f>
        <v>1423</v>
      </c>
      <c r="E1369" s="15">
        <f>E1370+IF(D1370=Categorias_Registro[[#This Row],[Máximo]],0,1)</f>
        <v>20</v>
      </c>
      <c r="F1369" s="15">
        <f>ROUND(Categorias_Registro[[#This Row],[Mínimo]]+((Categorias_Registro[[#This Row],[Máximo]]-Categorias_Registro[[#This Row],[Mínimo]])/2),0)</f>
        <v>1331</v>
      </c>
      <c r="G1369" s="78">
        <f>VLOOKUP(Categorias_Registro[[#This Row],[Puntos]],Categorias_Configuracion[],MATCH(Categorias_Configuracion[[#Headers],[% Amplitud]],Categorias_Configuracion[#Headers],0),TRUE)</f>
        <v>0.15</v>
      </c>
      <c r="H1369" s="15" t="str">
        <f ca="1">TEXT(Categorias_Registro[[#This Row],[Mínimo]],Formato_Rango_Categorias)&amp;" - "&amp;TEXT(Categorias_Registro[[#This Row],[Máximo]],Formato_Rango_Categorias)</f>
        <v>1.238 - 1.423</v>
      </c>
    </row>
    <row r="1370" spans="2:8">
      <c r="B1370" s="15">
        <f>Techo - ROW() + ROW(Categorias_Registro[])</f>
        <v>1259</v>
      </c>
      <c r="C1370" s="15">
        <f>IF(Categorias_Registro[[#This Row],[Puntos]]&lt;=ROUND(Piso,0),Piso,IF(Categorias_Registro[[#This Row],[Puntos]]&lt;D1371,C1371,D1371+1))</f>
        <v>1238</v>
      </c>
      <c r="D1370" s="15">
        <f>IF(Categorias_Registro[[#This Row],[Puntos]]=ROUND(Piso,0),ROUND(Categorias_Registro[[#This Row],[Puntos]]*(1+Categorias_Registro[[#This Row],[Amplitud]]),0),IF(Categorias_Registro[[#This Row],[Puntos]]&lt;D1371,D1371,ROUND(D1371*(1+Categorias_Registro[[#This Row],[Amplitud]]),0)))</f>
        <v>1423</v>
      </c>
      <c r="E1370" s="15">
        <f>E1371+IF(D1371=Categorias_Registro[[#This Row],[Máximo]],0,1)</f>
        <v>20</v>
      </c>
      <c r="F1370" s="15">
        <f>ROUND(Categorias_Registro[[#This Row],[Mínimo]]+((Categorias_Registro[[#This Row],[Máximo]]-Categorias_Registro[[#This Row],[Mínimo]])/2),0)</f>
        <v>1331</v>
      </c>
      <c r="G1370" s="78">
        <f>VLOOKUP(Categorias_Registro[[#This Row],[Puntos]],Categorias_Configuracion[],MATCH(Categorias_Configuracion[[#Headers],[% Amplitud]],Categorias_Configuracion[#Headers],0),TRUE)</f>
        <v>0.15</v>
      </c>
      <c r="H1370" s="15" t="str">
        <f ca="1">TEXT(Categorias_Registro[[#This Row],[Mínimo]],Formato_Rango_Categorias)&amp;" - "&amp;TEXT(Categorias_Registro[[#This Row],[Máximo]],Formato_Rango_Categorias)</f>
        <v>1.238 - 1.423</v>
      </c>
    </row>
    <row r="1371" spans="2:8">
      <c r="B1371" s="15">
        <f>Techo - ROW() + ROW(Categorias_Registro[])</f>
        <v>1258</v>
      </c>
      <c r="C1371" s="15">
        <f>IF(Categorias_Registro[[#This Row],[Puntos]]&lt;=ROUND(Piso,0),Piso,IF(Categorias_Registro[[#This Row],[Puntos]]&lt;D1372,C1372,D1372+1))</f>
        <v>1238</v>
      </c>
      <c r="D1371" s="15">
        <f>IF(Categorias_Registro[[#This Row],[Puntos]]=ROUND(Piso,0),ROUND(Categorias_Registro[[#This Row],[Puntos]]*(1+Categorias_Registro[[#This Row],[Amplitud]]),0),IF(Categorias_Registro[[#This Row],[Puntos]]&lt;D1372,D1372,ROUND(D1372*(1+Categorias_Registro[[#This Row],[Amplitud]]),0)))</f>
        <v>1423</v>
      </c>
      <c r="E1371" s="15">
        <f>E1372+IF(D1372=Categorias_Registro[[#This Row],[Máximo]],0,1)</f>
        <v>20</v>
      </c>
      <c r="F1371" s="15">
        <f>ROUND(Categorias_Registro[[#This Row],[Mínimo]]+((Categorias_Registro[[#This Row],[Máximo]]-Categorias_Registro[[#This Row],[Mínimo]])/2),0)</f>
        <v>1331</v>
      </c>
      <c r="G1371" s="78">
        <f>VLOOKUP(Categorias_Registro[[#This Row],[Puntos]],Categorias_Configuracion[],MATCH(Categorias_Configuracion[[#Headers],[% Amplitud]],Categorias_Configuracion[#Headers],0),TRUE)</f>
        <v>0.15</v>
      </c>
      <c r="H1371" s="15" t="str">
        <f ca="1">TEXT(Categorias_Registro[[#This Row],[Mínimo]],Formato_Rango_Categorias)&amp;" - "&amp;TEXT(Categorias_Registro[[#This Row],[Máximo]],Formato_Rango_Categorias)</f>
        <v>1.238 - 1.423</v>
      </c>
    </row>
    <row r="1372" spans="2:8">
      <c r="B1372" s="15">
        <f>Techo - ROW() + ROW(Categorias_Registro[])</f>
        <v>1257</v>
      </c>
      <c r="C1372" s="15">
        <f>IF(Categorias_Registro[[#This Row],[Puntos]]&lt;=ROUND(Piso,0),Piso,IF(Categorias_Registro[[#This Row],[Puntos]]&lt;D1373,C1373,D1373+1))</f>
        <v>1238</v>
      </c>
      <c r="D1372" s="15">
        <f>IF(Categorias_Registro[[#This Row],[Puntos]]=ROUND(Piso,0),ROUND(Categorias_Registro[[#This Row],[Puntos]]*(1+Categorias_Registro[[#This Row],[Amplitud]]),0),IF(Categorias_Registro[[#This Row],[Puntos]]&lt;D1373,D1373,ROUND(D1373*(1+Categorias_Registro[[#This Row],[Amplitud]]),0)))</f>
        <v>1423</v>
      </c>
      <c r="E1372" s="15">
        <f>E1373+IF(D1373=Categorias_Registro[[#This Row],[Máximo]],0,1)</f>
        <v>20</v>
      </c>
      <c r="F1372" s="15">
        <f>ROUND(Categorias_Registro[[#This Row],[Mínimo]]+((Categorias_Registro[[#This Row],[Máximo]]-Categorias_Registro[[#This Row],[Mínimo]])/2),0)</f>
        <v>1331</v>
      </c>
      <c r="G1372" s="78">
        <f>VLOOKUP(Categorias_Registro[[#This Row],[Puntos]],Categorias_Configuracion[],MATCH(Categorias_Configuracion[[#Headers],[% Amplitud]],Categorias_Configuracion[#Headers],0),TRUE)</f>
        <v>0.15</v>
      </c>
      <c r="H1372" s="15" t="str">
        <f ca="1">TEXT(Categorias_Registro[[#This Row],[Mínimo]],Formato_Rango_Categorias)&amp;" - "&amp;TEXT(Categorias_Registro[[#This Row],[Máximo]],Formato_Rango_Categorias)</f>
        <v>1.238 - 1.423</v>
      </c>
    </row>
    <row r="1373" spans="2:8">
      <c r="B1373" s="15">
        <f>Techo - ROW() + ROW(Categorias_Registro[])</f>
        <v>1256</v>
      </c>
      <c r="C1373" s="15">
        <f>IF(Categorias_Registro[[#This Row],[Puntos]]&lt;=ROUND(Piso,0),Piso,IF(Categorias_Registro[[#This Row],[Puntos]]&lt;D1374,C1374,D1374+1))</f>
        <v>1238</v>
      </c>
      <c r="D1373" s="15">
        <f>IF(Categorias_Registro[[#This Row],[Puntos]]=ROUND(Piso,0),ROUND(Categorias_Registro[[#This Row],[Puntos]]*(1+Categorias_Registro[[#This Row],[Amplitud]]),0),IF(Categorias_Registro[[#This Row],[Puntos]]&lt;D1374,D1374,ROUND(D1374*(1+Categorias_Registro[[#This Row],[Amplitud]]),0)))</f>
        <v>1423</v>
      </c>
      <c r="E1373" s="15">
        <f>E1374+IF(D1374=Categorias_Registro[[#This Row],[Máximo]],0,1)</f>
        <v>20</v>
      </c>
      <c r="F1373" s="15">
        <f>ROUND(Categorias_Registro[[#This Row],[Mínimo]]+((Categorias_Registro[[#This Row],[Máximo]]-Categorias_Registro[[#This Row],[Mínimo]])/2),0)</f>
        <v>1331</v>
      </c>
      <c r="G1373" s="78">
        <f>VLOOKUP(Categorias_Registro[[#This Row],[Puntos]],Categorias_Configuracion[],MATCH(Categorias_Configuracion[[#Headers],[% Amplitud]],Categorias_Configuracion[#Headers],0),TRUE)</f>
        <v>0.15</v>
      </c>
      <c r="H1373" s="15" t="str">
        <f ca="1">TEXT(Categorias_Registro[[#This Row],[Mínimo]],Formato_Rango_Categorias)&amp;" - "&amp;TEXT(Categorias_Registro[[#This Row],[Máximo]],Formato_Rango_Categorias)</f>
        <v>1.238 - 1.423</v>
      </c>
    </row>
    <row r="1374" spans="2:8">
      <c r="B1374" s="15">
        <f>Techo - ROW() + ROW(Categorias_Registro[])</f>
        <v>1255</v>
      </c>
      <c r="C1374" s="15">
        <f>IF(Categorias_Registro[[#This Row],[Puntos]]&lt;=ROUND(Piso,0),Piso,IF(Categorias_Registro[[#This Row],[Puntos]]&lt;D1375,C1375,D1375+1))</f>
        <v>1238</v>
      </c>
      <c r="D1374" s="15">
        <f>IF(Categorias_Registro[[#This Row],[Puntos]]=ROUND(Piso,0),ROUND(Categorias_Registro[[#This Row],[Puntos]]*(1+Categorias_Registro[[#This Row],[Amplitud]]),0),IF(Categorias_Registro[[#This Row],[Puntos]]&lt;D1375,D1375,ROUND(D1375*(1+Categorias_Registro[[#This Row],[Amplitud]]),0)))</f>
        <v>1423</v>
      </c>
      <c r="E1374" s="15">
        <f>E1375+IF(D1375=Categorias_Registro[[#This Row],[Máximo]],0,1)</f>
        <v>20</v>
      </c>
      <c r="F1374" s="15">
        <f>ROUND(Categorias_Registro[[#This Row],[Mínimo]]+((Categorias_Registro[[#This Row],[Máximo]]-Categorias_Registro[[#This Row],[Mínimo]])/2),0)</f>
        <v>1331</v>
      </c>
      <c r="G1374" s="78">
        <f>VLOOKUP(Categorias_Registro[[#This Row],[Puntos]],Categorias_Configuracion[],MATCH(Categorias_Configuracion[[#Headers],[% Amplitud]],Categorias_Configuracion[#Headers],0),TRUE)</f>
        <v>0.15</v>
      </c>
      <c r="H1374" s="15" t="str">
        <f ca="1">TEXT(Categorias_Registro[[#This Row],[Mínimo]],Formato_Rango_Categorias)&amp;" - "&amp;TEXT(Categorias_Registro[[#This Row],[Máximo]],Formato_Rango_Categorias)</f>
        <v>1.238 - 1.423</v>
      </c>
    </row>
    <row r="1375" spans="2:8">
      <c r="B1375" s="15">
        <f>Techo - ROW() + ROW(Categorias_Registro[])</f>
        <v>1254</v>
      </c>
      <c r="C1375" s="15">
        <f>IF(Categorias_Registro[[#This Row],[Puntos]]&lt;=ROUND(Piso,0),Piso,IF(Categorias_Registro[[#This Row],[Puntos]]&lt;D1376,C1376,D1376+1))</f>
        <v>1238</v>
      </c>
      <c r="D1375" s="15">
        <f>IF(Categorias_Registro[[#This Row],[Puntos]]=ROUND(Piso,0),ROUND(Categorias_Registro[[#This Row],[Puntos]]*(1+Categorias_Registro[[#This Row],[Amplitud]]),0),IF(Categorias_Registro[[#This Row],[Puntos]]&lt;D1376,D1376,ROUND(D1376*(1+Categorias_Registro[[#This Row],[Amplitud]]),0)))</f>
        <v>1423</v>
      </c>
      <c r="E1375" s="15">
        <f>E1376+IF(D1376=Categorias_Registro[[#This Row],[Máximo]],0,1)</f>
        <v>20</v>
      </c>
      <c r="F1375" s="15">
        <f>ROUND(Categorias_Registro[[#This Row],[Mínimo]]+((Categorias_Registro[[#This Row],[Máximo]]-Categorias_Registro[[#This Row],[Mínimo]])/2),0)</f>
        <v>1331</v>
      </c>
      <c r="G1375" s="78">
        <f>VLOOKUP(Categorias_Registro[[#This Row],[Puntos]],Categorias_Configuracion[],MATCH(Categorias_Configuracion[[#Headers],[% Amplitud]],Categorias_Configuracion[#Headers],0),TRUE)</f>
        <v>0.15</v>
      </c>
      <c r="H1375" s="15" t="str">
        <f ca="1">TEXT(Categorias_Registro[[#This Row],[Mínimo]],Formato_Rango_Categorias)&amp;" - "&amp;TEXT(Categorias_Registro[[#This Row],[Máximo]],Formato_Rango_Categorias)</f>
        <v>1.238 - 1.423</v>
      </c>
    </row>
    <row r="1376" spans="2:8">
      <c r="B1376" s="15">
        <f>Techo - ROW() + ROW(Categorias_Registro[])</f>
        <v>1253</v>
      </c>
      <c r="C1376" s="15">
        <f>IF(Categorias_Registro[[#This Row],[Puntos]]&lt;=ROUND(Piso,0),Piso,IF(Categorias_Registro[[#This Row],[Puntos]]&lt;D1377,C1377,D1377+1))</f>
        <v>1238</v>
      </c>
      <c r="D1376" s="15">
        <f>IF(Categorias_Registro[[#This Row],[Puntos]]=ROUND(Piso,0),ROUND(Categorias_Registro[[#This Row],[Puntos]]*(1+Categorias_Registro[[#This Row],[Amplitud]]),0),IF(Categorias_Registro[[#This Row],[Puntos]]&lt;D1377,D1377,ROUND(D1377*(1+Categorias_Registro[[#This Row],[Amplitud]]),0)))</f>
        <v>1423</v>
      </c>
      <c r="E1376" s="15">
        <f>E1377+IF(D1377=Categorias_Registro[[#This Row],[Máximo]],0,1)</f>
        <v>20</v>
      </c>
      <c r="F1376" s="15">
        <f>ROUND(Categorias_Registro[[#This Row],[Mínimo]]+((Categorias_Registro[[#This Row],[Máximo]]-Categorias_Registro[[#This Row],[Mínimo]])/2),0)</f>
        <v>1331</v>
      </c>
      <c r="G1376" s="78">
        <f>VLOOKUP(Categorias_Registro[[#This Row],[Puntos]],Categorias_Configuracion[],MATCH(Categorias_Configuracion[[#Headers],[% Amplitud]],Categorias_Configuracion[#Headers],0),TRUE)</f>
        <v>0.15</v>
      </c>
      <c r="H1376" s="15" t="str">
        <f ca="1">TEXT(Categorias_Registro[[#This Row],[Mínimo]],Formato_Rango_Categorias)&amp;" - "&amp;TEXT(Categorias_Registro[[#This Row],[Máximo]],Formato_Rango_Categorias)</f>
        <v>1.238 - 1.423</v>
      </c>
    </row>
    <row r="1377" spans="2:8">
      <c r="B1377" s="15">
        <f>Techo - ROW() + ROW(Categorias_Registro[])</f>
        <v>1252</v>
      </c>
      <c r="C1377" s="15">
        <f>IF(Categorias_Registro[[#This Row],[Puntos]]&lt;=ROUND(Piso,0),Piso,IF(Categorias_Registro[[#This Row],[Puntos]]&lt;D1378,C1378,D1378+1))</f>
        <v>1238</v>
      </c>
      <c r="D1377" s="15">
        <f>IF(Categorias_Registro[[#This Row],[Puntos]]=ROUND(Piso,0),ROUND(Categorias_Registro[[#This Row],[Puntos]]*(1+Categorias_Registro[[#This Row],[Amplitud]]),0),IF(Categorias_Registro[[#This Row],[Puntos]]&lt;D1378,D1378,ROUND(D1378*(1+Categorias_Registro[[#This Row],[Amplitud]]),0)))</f>
        <v>1423</v>
      </c>
      <c r="E1377" s="15">
        <f>E1378+IF(D1378=Categorias_Registro[[#This Row],[Máximo]],0,1)</f>
        <v>20</v>
      </c>
      <c r="F1377" s="15">
        <f>ROUND(Categorias_Registro[[#This Row],[Mínimo]]+((Categorias_Registro[[#This Row],[Máximo]]-Categorias_Registro[[#This Row],[Mínimo]])/2),0)</f>
        <v>1331</v>
      </c>
      <c r="G1377" s="78">
        <f>VLOOKUP(Categorias_Registro[[#This Row],[Puntos]],Categorias_Configuracion[],MATCH(Categorias_Configuracion[[#Headers],[% Amplitud]],Categorias_Configuracion[#Headers],0),TRUE)</f>
        <v>0.15</v>
      </c>
      <c r="H1377" s="15" t="str">
        <f ca="1">TEXT(Categorias_Registro[[#This Row],[Mínimo]],Formato_Rango_Categorias)&amp;" - "&amp;TEXT(Categorias_Registro[[#This Row],[Máximo]],Formato_Rango_Categorias)</f>
        <v>1.238 - 1.423</v>
      </c>
    </row>
    <row r="1378" spans="2:8">
      <c r="B1378" s="15">
        <f>Techo - ROW() + ROW(Categorias_Registro[])</f>
        <v>1251</v>
      </c>
      <c r="C1378" s="15">
        <f>IF(Categorias_Registro[[#This Row],[Puntos]]&lt;=ROUND(Piso,0),Piso,IF(Categorias_Registro[[#This Row],[Puntos]]&lt;D1379,C1379,D1379+1))</f>
        <v>1238</v>
      </c>
      <c r="D1378" s="15">
        <f>IF(Categorias_Registro[[#This Row],[Puntos]]=ROUND(Piso,0),ROUND(Categorias_Registro[[#This Row],[Puntos]]*(1+Categorias_Registro[[#This Row],[Amplitud]]),0),IF(Categorias_Registro[[#This Row],[Puntos]]&lt;D1379,D1379,ROUND(D1379*(1+Categorias_Registro[[#This Row],[Amplitud]]),0)))</f>
        <v>1423</v>
      </c>
      <c r="E1378" s="15">
        <f>E1379+IF(D1379=Categorias_Registro[[#This Row],[Máximo]],0,1)</f>
        <v>20</v>
      </c>
      <c r="F1378" s="15">
        <f>ROUND(Categorias_Registro[[#This Row],[Mínimo]]+((Categorias_Registro[[#This Row],[Máximo]]-Categorias_Registro[[#This Row],[Mínimo]])/2),0)</f>
        <v>1331</v>
      </c>
      <c r="G1378" s="78">
        <f>VLOOKUP(Categorias_Registro[[#This Row],[Puntos]],Categorias_Configuracion[],MATCH(Categorias_Configuracion[[#Headers],[% Amplitud]],Categorias_Configuracion[#Headers],0),TRUE)</f>
        <v>0.15</v>
      </c>
      <c r="H1378" s="15" t="str">
        <f ca="1">TEXT(Categorias_Registro[[#This Row],[Mínimo]],Formato_Rango_Categorias)&amp;" - "&amp;TEXT(Categorias_Registro[[#This Row],[Máximo]],Formato_Rango_Categorias)</f>
        <v>1.238 - 1.423</v>
      </c>
    </row>
    <row r="1379" spans="2:8">
      <c r="B1379" s="15">
        <f>Techo - ROW() + ROW(Categorias_Registro[])</f>
        <v>1250</v>
      </c>
      <c r="C1379" s="15">
        <f>IF(Categorias_Registro[[#This Row],[Puntos]]&lt;=ROUND(Piso,0),Piso,IF(Categorias_Registro[[#This Row],[Puntos]]&lt;D1380,C1380,D1380+1))</f>
        <v>1238</v>
      </c>
      <c r="D1379" s="15">
        <f>IF(Categorias_Registro[[#This Row],[Puntos]]=ROUND(Piso,0),ROUND(Categorias_Registro[[#This Row],[Puntos]]*(1+Categorias_Registro[[#This Row],[Amplitud]]),0),IF(Categorias_Registro[[#This Row],[Puntos]]&lt;D1380,D1380,ROUND(D1380*(1+Categorias_Registro[[#This Row],[Amplitud]]),0)))</f>
        <v>1423</v>
      </c>
      <c r="E1379" s="15">
        <f>E1380+IF(D1380=Categorias_Registro[[#This Row],[Máximo]],0,1)</f>
        <v>20</v>
      </c>
      <c r="F1379" s="15">
        <f>ROUND(Categorias_Registro[[#This Row],[Mínimo]]+((Categorias_Registro[[#This Row],[Máximo]]-Categorias_Registro[[#This Row],[Mínimo]])/2),0)</f>
        <v>1331</v>
      </c>
      <c r="G1379" s="78">
        <f>VLOOKUP(Categorias_Registro[[#This Row],[Puntos]],Categorias_Configuracion[],MATCH(Categorias_Configuracion[[#Headers],[% Amplitud]],Categorias_Configuracion[#Headers],0),TRUE)</f>
        <v>0.15</v>
      </c>
      <c r="H1379" s="15" t="str">
        <f ca="1">TEXT(Categorias_Registro[[#This Row],[Mínimo]],Formato_Rango_Categorias)&amp;" - "&amp;TEXT(Categorias_Registro[[#This Row],[Máximo]],Formato_Rango_Categorias)</f>
        <v>1.238 - 1.423</v>
      </c>
    </row>
    <row r="1380" spans="2:8">
      <c r="B1380" s="15">
        <f>Techo - ROW() + ROW(Categorias_Registro[])</f>
        <v>1249</v>
      </c>
      <c r="C1380" s="15">
        <f>IF(Categorias_Registro[[#This Row],[Puntos]]&lt;=ROUND(Piso,0),Piso,IF(Categorias_Registro[[#This Row],[Puntos]]&lt;D1381,C1381,D1381+1))</f>
        <v>1238</v>
      </c>
      <c r="D1380" s="15">
        <f>IF(Categorias_Registro[[#This Row],[Puntos]]=ROUND(Piso,0),ROUND(Categorias_Registro[[#This Row],[Puntos]]*(1+Categorias_Registro[[#This Row],[Amplitud]]),0),IF(Categorias_Registro[[#This Row],[Puntos]]&lt;D1381,D1381,ROUND(D1381*(1+Categorias_Registro[[#This Row],[Amplitud]]),0)))</f>
        <v>1423</v>
      </c>
      <c r="E1380" s="15">
        <f>E1381+IF(D1381=Categorias_Registro[[#This Row],[Máximo]],0,1)</f>
        <v>20</v>
      </c>
      <c r="F1380" s="15">
        <f>ROUND(Categorias_Registro[[#This Row],[Mínimo]]+((Categorias_Registro[[#This Row],[Máximo]]-Categorias_Registro[[#This Row],[Mínimo]])/2),0)</f>
        <v>1331</v>
      </c>
      <c r="G1380" s="78">
        <f>VLOOKUP(Categorias_Registro[[#This Row],[Puntos]],Categorias_Configuracion[],MATCH(Categorias_Configuracion[[#Headers],[% Amplitud]],Categorias_Configuracion[#Headers],0),TRUE)</f>
        <v>0.15</v>
      </c>
      <c r="H1380" s="15" t="str">
        <f ca="1">TEXT(Categorias_Registro[[#This Row],[Mínimo]],Formato_Rango_Categorias)&amp;" - "&amp;TEXT(Categorias_Registro[[#This Row],[Máximo]],Formato_Rango_Categorias)</f>
        <v>1.238 - 1.423</v>
      </c>
    </row>
    <row r="1381" spans="2:8">
      <c r="B1381" s="15">
        <f>Techo - ROW() + ROW(Categorias_Registro[])</f>
        <v>1248</v>
      </c>
      <c r="C1381" s="15">
        <f>IF(Categorias_Registro[[#This Row],[Puntos]]&lt;=ROUND(Piso,0),Piso,IF(Categorias_Registro[[#This Row],[Puntos]]&lt;D1382,C1382,D1382+1))</f>
        <v>1238</v>
      </c>
      <c r="D1381" s="15">
        <f>IF(Categorias_Registro[[#This Row],[Puntos]]=ROUND(Piso,0),ROUND(Categorias_Registro[[#This Row],[Puntos]]*(1+Categorias_Registro[[#This Row],[Amplitud]]),0),IF(Categorias_Registro[[#This Row],[Puntos]]&lt;D1382,D1382,ROUND(D1382*(1+Categorias_Registro[[#This Row],[Amplitud]]),0)))</f>
        <v>1423</v>
      </c>
      <c r="E1381" s="15">
        <f>E1382+IF(D1382=Categorias_Registro[[#This Row],[Máximo]],0,1)</f>
        <v>20</v>
      </c>
      <c r="F1381" s="15">
        <f>ROUND(Categorias_Registro[[#This Row],[Mínimo]]+((Categorias_Registro[[#This Row],[Máximo]]-Categorias_Registro[[#This Row],[Mínimo]])/2),0)</f>
        <v>1331</v>
      </c>
      <c r="G1381" s="78">
        <f>VLOOKUP(Categorias_Registro[[#This Row],[Puntos]],Categorias_Configuracion[],MATCH(Categorias_Configuracion[[#Headers],[% Amplitud]],Categorias_Configuracion[#Headers],0),TRUE)</f>
        <v>0.15</v>
      </c>
      <c r="H1381" s="15" t="str">
        <f ca="1">TEXT(Categorias_Registro[[#This Row],[Mínimo]],Formato_Rango_Categorias)&amp;" - "&amp;TEXT(Categorias_Registro[[#This Row],[Máximo]],Formato_Rango_Categorias)</f>
        <v>1.238 - 1.423</v>
      </c>
    </row>
    <row r="1382" spans="2:8">
      <c r="B1382" s="15">
        <f>Techo - ROW() + ROW(Categorias_Registro[])</f>
        <v>1247</v>
      </c>
      <c r="C1382" s="15">
        <f>IF(Categorias_Registro[[#This Row],[Puntos]]&lt;=ROUND(Piso,0),Piso,IF(Categorias_Registro[[#This Row],[Puntos]]&lt;D1383,C1383,D1383+1))</f>
        <v>1238</v>
      </c>
      <c r="D1382" s="15">
        <f>IF(Categorias_Registro[[#This Row],[Puntos]]=ROUND(Piso,0),ROUND(Categorias_Registro[[#This Row],[Puntos]]*(1+Categorias_Registro[[#This Row],[Amplitud]]),0),IF(Categorias_Registro[[#This Row],[Puntos]]&lt;D1383,D1383,ROUND(D1383*(1+Categorias_Registro[[#This Row],[Amplitud]]),0)))</f>
        <v>1423</v>
      </c>
      <c r="E1382" s="15">
        <f>E1383+IF(D1383=Categorias_Registro[[#This Row],[Máximo]],0,1)</f>
        <v>20</v>
      </c>
      <c r="F1382" s="15">
        <f>ROUND(Categorias_Registro[[#This Row],[Mínimo]]+((Categorias_Registro[[#This Row],[Máximo]]-Categorias_Registro[[#This Row],[Mínimo]])/2),0)</f>
        <v>1331</v>
      </c>
      <c r="G1382" s="78">
        <f>VLOOKUP(Categorias_Registro[[#This Row],[Puntos]],Categorias_Configuracion[],MATCH(Categorias_Configuracion[[#Headers],[% Amplitud]],Categorias_Configuracion[#Headers],0),TRUE)</f>
        <v>0.15</v>
      </c>
      <c r="H1382" s="15" t="str">
        <f ca="1">TEXT(Categorias_Registro[[#This Row],[Mínimo]],Formato_Rango_Categorias)&amp;" - "&amp;TEXT(Categorias_Registro[[#This Row],[Máximo]],Formato_Rango_Categorias)</f>
        <v>1.238 - 1.423</v>
      </c>
    </row>
    <row r="1383" spans="2:8">
      <c r="B1383" s="15">
        <f>Techo - ROW() + ROW(Categorias_Registro[])</f>
        <v>1246</v>
      </c>
      <c r="C1383" s="15">
        <f>IF(Categorias_Registro[[#This Row],[Puntos]]&lt;=ROUND(Piso,0),Piso,IF(Categorias_Registro[[#This Row],[Puntos]]&lt;D1384,C1384,D1384+1))</f>
        <v>1238</v>
      </c>
      <c r="D1383" s="15">
        <f>IF(Categorias_Registro[[#This Row],[Puntos]]=ROUND(Piso,0),ROUND(Categorias_Registro[[#This Row],[Puntos]]*(1+Categorias_Registro[[#This Row],[Amplitud]]),0),IF(Categorias_Registro[[#This Row],[Puntos]]&lt;D1384,D1384,ROUND(D1384*(1+Categorias_Registro[[#This Row],[Amplitud]]),0)))</f>
        <v>1423</v>
      </c>
      <c r="E1383" s="15">
        <f>E1384+IF(D1384=Categorias_Registro[[#This Row],[Máximo]],0,1)</f>
        <v>20</v>
      </c>
      <c r="F1383" s="15">
        <f>ROUND(Categorias_Registro[[#This Row],[Mínimo]]+((Categorias_Registro[[#This Row],[Máximo]]-Categorias_Registro[[#This Row],[Mínimo]])/2),0)</f>
        <v>1331</v>
      </c>
      <c r="G1383" s="78">
        <f>VLOOKUP(Categorias_Registro[[#This Row],[Puntos]],Categorias_Configuracion[],MATCH(Categorias_Configuracion[[#Headers],[% Amplitud]],Categorias_Configuracion[#Headers],0),TRUE)</f>
        <v>0.15</v>
      </c>
      <c r="H1383" s="15" t="str">
        <f ca="1">TEXT(Categorias_Registro[[#This Row],[Mínimo]],Formato_Rango_Categorias)&amp;" - "&amp;TEXT(Categorias_Registro[[#This Row],[Máximo]],Formato_Rango_Categorias)</f>
        <v>1.238 - 1.423</v>
      </c>
    </row>
    <row r="1384" spans="2:8">
      <c r="B1384" s="15">
        <f>Techo - ROW() + ROW(Categorias_Registro[])</f>
        <v>1245</v>
      </c>
      <c r="C1384" s="15">
        <f>IF(Categorias_Registro[[#This Row],[Puntos]]&lt;=ROUND(Piso,0),Piso,IF(Categorias_Registro[[#This Row],[Puntos]]&lt;D1385,C1385,D1385+1))</f>
        <v>1238</v>
      </c>
      <c r="D1384" s="15">
        <f>IF(Categorias_Registro[[#This Row],[Puntos]]=ROUND(Piso,0),ROUND(Categorias_Registro[[#This Row],[Puntos]]*(1+Categorias_Registro[[#This Row],[Amplitud]]),0),IF(Categorias_Registro[[#This Row],[Puntos]]&lt;D1385,D1385,ROUND(D1385*(1+Categorias_Registro[[#This Row],[Amplitud]]),0)))</f>
        <v>1423</v>
      </c>
      <c r="E1384" s="15">
        <f>E1385+IF(D1385=Categorias_Registro[[#This Row],[Máximo]],0,1)</f>
        <v>20</v>
      </c>
      <c r="F1384" s="15">
        <f>ROUND(Categorias_Registro[[#This Row],[Mínimo]]+((Categorias_Registro[[#This Row],[Máximo]]-Categorias_Registro[[#This Row],[Mínimo]])/2),0)</f>
        <v>1331</v>
      </c>
      <c r="G1384" s="78">
        <f>VLOOKUP(Categorias_Registro[[#This Row],[Puntos]],Categorias_Configuracion[],MATCH(Categorias_Configuracion[[#Headers],[% Amplitud]],Categorias_Configuracion[#Headers],0),TRUE)</f>
        <v>0.15</v>
      </c>
      <c r="H1384" s="15" t="str">
        <f ca="1">TEXT(Categorias_Registro[[#This Row],[Mínimo]],Formato_Rango_Categorias)&amp;" - "&amp;TEXT(Categorias_Registro[[#This Row],[Máximo]],Formato_Rango_Categorias)</f>
        <v>1.238 - 1.423</v>
      </c>
    </row>
    <row r="1385" spans="2:8">
      <c r="B1385" s="15">
        <f>Techo - ROW() + ROW(Categorias_Registro[])</f>
        <v>1244</v>
      </c>
      <c r="C1385" s="15">
        <f>IF(Categorias_Registro[[#This Row],[Puntos]]&lt;=ROUND(Piso,0),Piso,IF(Categorias_Registro[[#This Row],[Puntos]]&lt;D1386,C1386,D1386+1))</f>
        <v>1238</v>
      </c>
      <c r="D1385" s="15">
        <f>IF(Categorias_Registro[[#This Row],[Puntos]]=ROUND(Piso,0),ROUND(Categorias_Registro[[#This Row],[Puntos]]*(1+Categorias_Registro[[#This Row],[Amplitud]]),0),IF(Categorias_Registro[[#This Row],[Puntos]]&lt;D1386,D1386,ROUND(D1386*(1+Categorias_Registro[[#This Row],[Amplitud]]),0)))</f>
        <v>1423</v>
      </c>
      <c r="E1385" s="15">
        <f>E1386+IF(D1386=Categorias_Registro[[#This Row],[Máximo]],0,1)</f>
        <v>20</v>
      </c>
      <c r="F1385" s="15">
        <f>ROUND(Categorias_Registro[[#This Row],[Mínimo]]+((Categorias_Registro[[#This Row],[Máximo]]-Categorias_Registro[[#This Row],[Mínimo]])/2),0)</f>
        <v>1331</v>
      </c>
      <c r="G1385" s="78">
        <f>VLOOKUP(Categorias_Registro[[#This Row],[Puntos]],Categorias_Configuracion[],MATCH(Categorias_Configuracion[[#Headers],[% Amplitud]],Categorias_Configuracion[#Headers],0),TRUE)</f>
        <v>0.15</v>
      </c>
      <c r="H1385" s="15" t="str">
        <f ca="1">TEXT(Categorias_Registro[[#This Row],[Mínimo]],Formato_Rango_Categorias)&amp;" - "&amp;TEXT(Categorias_Registro[[#This Row],[Máximo]],Formato_Rango_Categorias)</f>
        <v>1.238 - 1.423</v>
      </c>
    </row>
    <row r="1386" spans="2:8">
      <c r="B1386" s="15">
        <f>Techo - ROW() + ROW(Categorias_Registro[])</f>
        <v>1243</v>
      </c>
      <c r="C1386" s="15">
        <f>IF(Categorias_Registro[[#This Row],[Puntos]]&lt;=ROUND(Piso,0),Piso,IF(Categorias_Registro[[#This Row],[Puntos]]&lt;D1387,C1387,D1387+1))</f>
        <v>1238</v>
      </c>
      <c r="D1386" s="15">
        <f>IF(Categorias_Registro[[#This Row],[Puntos]]=ROUND(Piso,0),ROUND(Categorias_Registro[[#This Row],[Puntos]]*(1+Categorias_Registro[[#This Row],[Amplitud]]),0),IF(Categorias_Registro[[#This Row],[Puntos]]&lt;D1387,D1387,ROUND(D1387*(1+Categorias_Registro[[#This Row],[Amplitud]]),0)))</f>
        <v>1423</v>
      </c>
      <c r="E1386" s="15">
        <f>E1387+IF(D1387=Categorias_Registro[[#This Row],[Máximo]],0,1)</f>
        <v>20</v>
      </c>
      <c r="F1386" s="15">
        <f>ROUND(Categorias_Registro[[#This Row],[Mínimo]]+((Categorias_Registro[[#This Row],[Máximo]]-Categorias_Registro[[#This Row],[Mínimo]])/2),0)</f>
        <v>1331</v>
      </c>
      <c r="G1386" s="78">
        <f>VLOOKUP(Categorias_Registro[[#This Row],[Puntos]],Categorias_Configuracion[],MATCH(Categorias_Configuracion[[#Headers],[% Amplitud]],Categorias_Configuracion[#Headers],0),TRUE)</f>
        <v>0.15</v>
      </c>
      <c r="H1386" s="15" t="str">
        <f ca="1">TEXT(Categorias_Registro[[#This Row],[Mínimo]],Formato_Rango_Categorias)&amp;" - "&amp;TEXT(Categorias_Registro[[#This Row],[Máximo]],Formato_Rango_Categorias)</f>
        <v>1.238 - 1.423</v>
      </c>
    </row>
    <row r="1387" spans="2:8">
      <c r="B1387" s="15">
        <f>Techo - ROW() + ROW(Categorias_Registro[])</f>
        <v>1242</v>
      </c>
      <c r="C1387" s="15">
        <f>IF(Categorias_Registro[[#This Row],[Puntos]]&lt;=ROUND(Piso,0),Piso,IF(Categorias_Registro[[#This Row],[Puntos]]&lt;D1388,C1388,D1388+1))</f>
        <v>1238</v>
      </c>
      <c r="D1387" s="15">
        <f>IF(Categorias_Registro[[#This Row],[Puntos]]=ROUND(Piso,0),ROUND(Categorias_Registro[[#This Row],[Puntos]]*(1+Categorias_Registro[[#This Row],[Amplitud]]),0),IF(Categorias_Registro[[#This Row],[Puntos]]&lt;D1388,D1388,ROUND(D1388*(1+Categorias_Registro[[#This Row],[Amplitud]]),0)))</f>
        <v>1423</v>
      </c>
      <c r="E1387" s="15">
        <f>E1388+IF(D1388=Categorias_Registro[[#This Row],[Máximo]],0,1)</f>
        <v>20</v>
      </c>
      <c r="F1387" s="15">
        <f>ROUND(Categorias_Registro[[#This Row],[Mínimo]]+((Categorias_Registro[[#This Row],[Máximo]]-Categorias_Registro[[#This Row],[Mínimo]])/2),0)</f>
        <v>1331</v>
      </c>
      <c r="G1387" s="78">
        <f>VLOOKUP(Categorias_Registro[[#This Row],[Puntos]],Categorias_Configuracion[],MATCH(Categorias_Configuracion[[#Headers],[% Amplitud]],Categorias_Configuracion[#Headers],0),TRUE)</f>
        <v>0.15</v>
      </c>
      <c r="H1387" s="15" t="str">
        <f ca="1">TEXT(Categorias_Registro[[#This Row],[Mínimo]],Formato_Rango_Categorias)&amp;" - "&amp;TEXT(Categorias_Registro[[#This Row],[Máximo]],Formato_Rango_Categorias)</f>
        <v>1.238 - 1.423</v>
      </c>
    </row>
    <row r="1388" spans="2:8">
      <c r="B1388" s="15">
        <f>Techo - ROW() + ROW(Categorias_Registro[])</f>
        <v>1241</v>
      </c>
      <c r="C1388" s="15">
        <f>IF(Categorias_Registro[[#This Row],[Puntos]]&lt;=ROUND(Piso,0),Piso,IF(Categorias_Registro[[#This Row],[Puntos]]&lt;D1389,C1389,D1389+1))</f>
        <v>1238</v>
      </c>
      <c r="D1388" s="15">
        <f>IF(Categorias_Registro[[#This Row],[Puntos]]=ROUND(Piso,0),ROUND(Categorias_Registro[[#This Row],[Puntos]]*(1+Categorias_Registro[[#This Row],[Amplitud]]),0),IF(Categorias_Registro[[#This Row],[Puntos]]&lt;D1389,D1389,ROUND(D1389*(1+Categorias_Registro[[#This Row],[Amplitud]]),0)))</f>
        <v>1423</v>
      </c>
      <c r="E1388" s="15">
        <f>E1389+IF(D1389=Categorias_Registro[[#This Row],[Máximo]],0,1)</f>
        <v>20</v>
      </c>
      <c r="F1388" s="15">
        <f>ROUND(Categorias_Registro[[#This Row],[Mínimo]]+((Categorias_Registro[[#This Row],[Máximo]]-Categorias_Registro[[#This Row],[Mínimo]])/2),0)</f>
        <v>1331</v>
      </c>
      <c r="G1388" s="78">
        <f>VLOOKUP(Categorias_Registro[[#This Row],[Puntos]],Categorias_Configuracion[],MATCH(Categorias_Configuracion[[#Headers],[% Amplitud]],Categorias_Configuracion[#Headers],0),TRUE)</f>
        <v>0.15</v>
      </c>
      <c r="H1388" s="15" t="str">
        <f ca="1">TEXT(Categorias_Registro[[#This Row],[Mínimo]],Formato_Rango_Categorias)&amp;" - "&amp;TEXT(Categorias_Registro[[#This Row],[Máximo]],Formato_Rango_Categorias)</f>
        <v>1.238 - 1.423</v>
      </c>
    </row>
    <row r="1389" spans="2:8">
      <c r="B1389" s="15">
        <f>Techo - ROW() + ROW(Categorias_Registro[])</f>
        <v>1240</v>
      </c>
      <c r="C1389" s="15">
        <f>IF(Categorias_Registro[[#This Row],[Puntos]]&lt;=ROUND(Piso,0),Piso,IF(Categorias_Registro[[#This Row],[Puntos]]&lt;D1390,C1390,D1390+1))</f>
        <v>1238</v>
      </c>
      <c r="D1389" s="15">
        <f>IF(Categorias_Registro[[#This Row],[Puntos]]=ROUND(Piso,0),ROUND(Categorias_Registro[[#This Row],[Puntos]]*(1+Categorias_Registro[[#This Row],[Amplitud]]),0),IF(Categorias_Registro[[#This Row],[Puntos]]&lt;D1390,D1390,ROUND(D1390*(1+Categorias_Registro[[#This Row],[Amplitud]]),0)))</f>
        <v>1423</v>
      </c>
      <c r="E1389" s="15">
        <f>E1390+IF(D1390=Categorias_Registro[[#This Row],[Máximo]],0,1)</f>
        <v>20</v>
      </c>
      <c r="F1389" s="15">
        <f>ROUND(Categorias_Registro[[#This Row],[Mínimo]]+((Categorias_Registro[[#This Row],[Máximo]]-Categorias_Registro[[#This Row],[Mínimo]])/2),0)</f>
        <v>1331</v>
      </c>
      <c r="G1389" s="78">
        <f>VLOOKUP(Categorias_Registro[[#This Row],[Puntos]],Categorias_Configuracion[],MATCH(Categorias_Configuracion[[#Headers],[% Amplitud]],Categorias_Configuracion[#Headers],0),TRUE)</f>
        <v>0.15</v>
      </c>
      <c r="H1389" s="15" t="str">
        <f ca="1">TEXT(Categorias_Registro[[#This Row],[Mínimo]],Formato_Rango_Categorias)&amp;" - "&amp;TEXT(Categorias_Registro[[#This Row],[Máximo]],Formato_Rango_Categorias)</f>
        <v>1.238 - 1.423</v>
      </c>
    </row>
    <row r="1390" spans="2:8">
      <c r="B1390" s="15">
        <f>Techo - ROW() + ROW(Categorias_Registro[])</f>
        <v>1239</v>
      </c>
      <c r="C1390" s="15">
        <f>IF(Categorias_Registro[[#This Row],[Puntos]]&lt;=ROUND(Piso,0),Piso,IF(Categorias_Registro[[#This Row],[Puntos]]&lt;D1391,C1391,D1391+1))</f>
        <v>1238</v>
      </c>
      <c r="D1390" s="15">
        <f>IF(Categorias_Registro[[#This Row],[Puntos]]=ROUND(Piso,0),ROUND(Categorias_Registro[[#This Row],[Puntos]]*(1+Categorias_Registro[[#This Row],[Amplitud]]),0),IF(Categorias_Registro[[#This Row],[Puntos]]&lt;D1391,D1391,ROUND(D1391*(1+Categorias_Registro[[#This Row],[Amplitud]]),0)))</f>
        <v>1423</v>
      </c>
      <c r="E1390" s="15">
        <f>E1391+IF(D1391=Categorias_Registro[[#This Row],[Máximo]],0,1)</f>
        <v>20</v>
      </c>
      <c r="F1390" s="15">
        <f>ROUND(Categorias_Registro[[#This Row],[Mínimo]]+((Categorias_Registro[[#This Row],[Máximo]]-Categorias_Registro[[#This Row],[Mínimo]])/2),0)</f>
        <v>1331</v>
      </c>
      <c r="G1390" s="78">
        <f>VLOOKUP(Categorias_Registro[[#This Row],[Puntos]],Categorias_Configuracion[],MATCH(Categorias_Configuracion[[#Headers],[% Amplitud]],Categorias_Configuracion[#Headers],0),TRUE)</f>
        <v>0.15</v>
      </c>
      <c r="H1390" s="15" t="str">
        <f ca="1">TEXT(Categorias_Registro[[#This Row],[Mínimo]],Formato_Rango_Categorias)&amp;" - "&amp;TEXT(Categorias_Registro[[#This Row],[Máximo]],Formato_Rango_Categorias)</f>
        <v>1.238 - 1.423</v>
      </c>
    </row>
    <row r="1391" spans="2:8">
      <c r="B1391" s="15">
        <f>Techo - ROW() + ROW(Categorias_Registro[])</f>
        <v>1238</v>
      </c>
      <c r="C1391" s="15">
        <f>IF(Categorias_Registro[[#This Row],[Puntos]]&lt;=ROUND(Piso,0),Piso,IF(Categorias_Registro[[#This Row],[Puntos]]&lt;D1392,C1392,D1392+1))</f>
        <v>1238</v>
      </c>
      <c r="D1391" s="15">
        <f>IF(Categorias_Registro[[#This Row],[Puntos]]=ROUND(Piso,0),ROUND(Categorias_Registro[[#This Row],[Puntos]]*(1+Categorias_Registro[[#This Row],[Amplitud]]),0),IF(Categorias_Registro[[#This Row],[Puntos]]&lt;D1392,D1392,ROUND(D1392*(1+Categorias_Registro[[#This Row],[Amplitud]]),0)))</f>
        <v>1423</v>
      </c>
      <c r="E1391" s="15">
        <f>E1392+IF(D1392=Categorias_Registro[[#This Row],[Máximo]],0,1)</f>
        <v>20</v>
      </c>
      <c r="F1391" s="15">
        <f>ROUND(Categorias_Registro[[#This Row],[Mínimo]]+((Categorias_Registro[[#This Row],[Máximo]]-Categorias_Registro[[#This Row],[Mínimo]])/2),0)</f>
        <v>1331</v>
      </c>
      <c r="G1391" s="78">
        <f>VLOOKUP(Categorias_Registro[[#This Row],[Puntos]],Categorias_Configuracion[],MATCH(Categorias_Configuracion[[#Headers],[% Amplitud]],Categorias_Configuracion[#Headers],0),TRUE)</f>
        <v>0.15</v>
      </c>
      <c r="H1391" s="15" t="str">
        <f ca="1">TEXT(Categorias_Registro[[#This Row],[Mínimo]],Formato_Rango_Categorias)&amp;" - "&amp;TEXT(Categorias_Registro[[#This Row],[Máximo]],Formato_Rango_Categorias)</f>
        <v>1.238 - 1.423</v>
      </c>
    </row>
    <row r="1392" spans="2:8">
      <c r="B1392" s="15">
        <f>Techo - ROW() + ROW(Categorias_Registro[])</f>
        <v>1237</v>
      </c>
      <c r="C1392" s="15">
        <f>IF(Categorias_Registro[[#This Row],[Puntos]]&lt;=ROUND(Piso,0),Piso,IF(Categorias_Registro[[#This Row],[Puntos]]&lt;D1393,C1393,D1393+1))</f>
        <v>1238</v>
      </c>
      <c r="D1392" s="15">
        <f>IF(Categorias_Registro[[#This Row],[Puntos]]=ROUND(Piso,0),ROUND(Categorias_Registro[[#This Row],[Puntos]]*(1+Categorias_Registro[[#This Row],[Amplitud]]),0),IF(Categorias_Registro[[#This Row],[Puntos]]&lt;D1393,D1393,ROUND(D1393*(1+Categorias_Registro[[#This Row],[Amplitud]]),0)))</f>
        <v>1423</v>
      </c>
      <c r="E1392" s="15">
        <f>E1393+IF(D1393=Categorias_Registro[[#This Row],[Máximo]],0,1)</f>
        <v>20</v>
      </c>
      <c r="F1392" s="15">
        <f>ROUND(Categorias_Registro[[#This Row],[Mínimo]]+((Categorias_Registro[[#This Row],[Máximo]]-Categorias_Registro[[#This Row],[Mínimo]])/2),0)</f>
        <v>1331</v>
      </c>
      <c r="G1392" s="78">
        <f>VLOOKUP(Categorias_Registro[[#This Row],[Puntos]],Categorias_Configuracion[],MATCH(Categorias_Configuracion[[#Headers],[% Amplitud]],Categorias_Configuracion[#Headers],0),TRUE)</f>
        <v>0.15</v>
      </c>
      <c r="H1392" s="15" t="str">
        <f ca="1">TEXT(Categorias_Registro[[#This Row],[Mínimo]],Formato_Rango_Categorias)&amp;" - "&amp;TEXT(Categorias_Registro[[#This Row],[Máximo]],Formato_Rango_Categorias)</f>
        <v>1.238 - 1.423</v>
      </c>
    </row>
    <row r="1393" spans="2:8">
      <c r="B1393" s="15">
        <f>Techo - ROW() + ROW(Categorias_Registro[])</f>
        <v>1236</v>
      </c>
      <c r="C1393" s="15">
        <f>IF(Categorias_Registro[[#This Row],[Puntos]]&lt;=ROUND(Piso,0),Piso,IF(Categorias_Registro[[#This Row],[Puntos]]&lt;D1394,C1394,D1394+1))</f>
        <v>1077</v>
      </c>
      <c r="D1393" s="15">
        <f>IF(Categorias_Registro[[#This Row],[Puntos]]=ROUND(Piso,0),ROUND(Categorias_Registro[[#This Row],[Puntos]]*(1+Categorias_Registro[[#This Row],[Amplitud]]),0),IF(Categorias_Registro[[#This Row],[Puntos]]&lt;D1394,D1394,ROUND(D1394*(1+Categorias_Registro[[#This Row],[Amplitud]]),0)))</f>
        <v>1237</v>
      </c>
      <c r="E1393" s="15">
        <f>E1394+IF(D1394=Categorias_Registro[[#This Row],[Máximo]],0,1)</f>
        <v>19</v>
      </c>
      <c r="F1393" s="15">
        <f>ROUND(Categorias_Registro[[#This Row],[Mínimo]]+((Categorias_Registro[[#This Row],[Máximo]]-Categorias_Registro[[#This Row],[Mínimo]])/2),0)</f>
        <v>1157</v>
      </c>
      <c r="G1393" s="78">
        <f>VLOOKUP(Categorias_Registro[[#This Row],[Puntos]],Categorias_Configuracion[],MATCH(Categorias_Configuracion[[#Headers],[% Amplitud]],Categorias_Configuracion[#Headers],0),TRUE)</f>
        <v>0.15</v>
      </c>
      <c r="H1393" s="15" t="str">
        <f ca="1">TEXT(Categorias_Registro[[#This Row],[Mínimo]],Formato_Rango_Categorias)&amp;" - "&amp;TEXT(Categorias_Registro[[#This Row],[Máximo]],Formato_Rango_Categorias)</f>
        <v>1.077 - 1.237</v>
      </c>
    </row>
    <row r="1394" spans="2:8">
      <c r="B1394" s="15">
        <f>Techo - ROW() + ROW(Categorias_Registro[])</f>
        <v>1235</v>
      </c>
      <c r="C1394" s="15">
        <f>IF(Categorias_Registro[[#This Row],[Puntos]]&lt;=ROUND(Piso,0),Piso,IF(Categorias_Registro[[#This Row],[Puntos]]&lt;D1395,C1395,D1395+1))</f>
        <v>1077</v>
      </c>
      <c r="D1394" s="15">
        <f>IF(Categorias_Registro[[#This Row],[Puntos]]=ROUND(Piso,0),ROUND(Categorias_Registro[[#This Row],[Puntos]]*(1+Categorias_Registro[[#This Row],[Amplitud]]),0),IF(Categorias_Registro[[#This Row],[Puntos]]&lt;D1395,D1395,ROUND(D1395*(1+Categorias_Registro[[#This Row],[Amplitud]]),0)))</f>
        <v>1237</v>
      </c>
      <c r="E1394" s="15">
        <f>E1395+IF(D1395=Categorias_Registro[[#This Row],[Máximo]],0,1)</f>
        <v>19</v>
      </c>
      <c r="F1394" s="15">
        <f>ROUND(Categorias_Registro[[#This Row],[Mínimo]]+((Categorias_Registro[[#This Row],[Máximo]]-Categorias_Registro[[#This Row],[Mínimo]])/2),0)</f>
        <v>1157</v>
      </c>
      <c r="G1394" s="78">
        <f>VLOOKUP(Categorias_Registro[[#This Row],[Puntos]],Categorias_Configuracion[],MATCH(Categorias_Configuracion[[#Headers],[% Amplitud]],Categorias_Configuracion[#Headers],0),TRUE)</f>
        <v>0.15</v>
      </c>
      <c r="H1394" s="15" t="str">
        <f ca="1">TEXT(Categorias_Registro[[#This Row],[Mínimo]],Formato_Rango_Categorias)&amp;" - "&amp;TEXT(Categorias_Registro[[#This Row],[Máximo]],Formato_Rango_Categorias)</f>
        <v>1.077 - 1.237</v>
      </c>
    </row>
    <row r="1395" spans="2:8">
      <c r="B1395" s="15">
        <f>Techo - ROW() + ROW(Categorias_Registro[])</f>
        <v>1234</v>
      </c>
      <c r="C1395" s="15">
        <f>IF(Categorias_Registro[[#This Row],[Puntos]]&lt;=ROUND(Piso,0),Piso,IF(Categorias_Registro[[#This Row],[Puntos]]&lt;D1396,C1396,D1396+1))</f>
        <v>1077</v>
      </c>
      <c r="D1395" s="15">
        <f>IF(Categorias_Registro[[#This Row],[Puntos]]=ROUND(Piso,0),ROUND(Categorias_Registro[[#This Row],[Puntos]]*(1+Categorias_Registro[[#This Row],[Amplitud]]),0),IF(Categorias_Registro[[#This Row],[Puntos]]&lt;D1396,D1396,ROUND(D1396*(1+Categorias_Registro[[#This Row],[Amplitud]]),0)))</f>
        <v>1237</v>
      </c>
      <c r="E1395" s="15">
        <f>E1396+IF(D1396=Categorias_Registro[[#This Row],[Máximo]],0,1)</f>
        <v>19</v>
      </c>
      <c r="F1395" s="15">
        <f>ROUND(Categorias_Registro[[#This Row],[Mínimo]]+((Categorias_Registro[[#This Row],[Máximo]]-Categorias_Registro[[#This Row],[Mínimo]])/2),0)</f>
        <v>1157</v>
      </c>
      <c r="G1395" s="78">
        <f>VLOOKUP(Categorias_Registro[[#This Row],[Puntos]],Categorias_Configuracion[],MATCH(Categorias_Configuracion[[#Headers],[% Amplitud]],Categorias_Configuracion[#Headers],0),TRUE)</f>
        <v>0.15</v>
      </c>
      <c r="H1395" s="15" t="str">
        <f ca="1">TEXT(Categorias_Registro[[#This Row],[Mínimo]],Formato_Rango_Categorias)&amp;" - "&amp;TEXT(Categorias_Registro[[#This Row],[Máximo]],Formato_Rango_Categorias)</f>
        <v>1.077 - 1.237</v>
      </c>
    </row>
    <row r="1396" spans="2:8">
      <c r="B1396" s="15">
        <f>Techo - ROW() + ROW(Categorias_Registro[])</f>
        <v>1233</v>
      </c>
      <c r="C1396" s="15">
        <f>IF(Categorias_Registro[[#This Row],[Puntos]]&lt;=ROUND(Piso,0),Piso,IF(Categorias_Registro[[#This Row],[Puntos]]&lt;D1397,C1397,D1397+1))</f>
        <v>1077</v>
      </c>
      <c r="D1396" s="15">
        <f>IF(Categorias_Registro[[#This Row],[Puntos]]=ROUND(Piso,0),ROUND(Categorias_Registro[[#This Row],[Puntos]]*(1+Categorias_Registro[[#This Row],[Amplitud]]),0),IF(Categorias_Registro[[#This Row],[Puntos]]&lt;D1397,D1397,ROUND(D1397*(1+Categorias_Registro[[#This Row],[Amplitud]]),0)))</f>
        <v>1237</v>
      </c>
      <c r="E1396" s="15">
        <f>E1397+IF(D1397=Categorias_Registro[[#This Row],[Máximo]],0,1)</f>
        <v>19</v>
      </c>
      <c r="F1396" s="15">
        <f>ROUND(Categorias_Registro[[#This Row],[Mínimo]]+((Categorias_Registro[[#This Row],[Máximo]]-Categorias_Registro[[#This Row],[Mínimo]])/2),0)</f>
        <v>1157</v>
      </c>
      <c r="G1396" s="78">
        <f>VLOOKUP(Categorias_Registro[[#This Row],[Puntos]],Categorias_Configuracion[],MATCH(Categorias_Configuracion[[#Headers],[% Amplitud]],Categorias_Configuracion[#Headers],0),TRUE)</f>
        <v>0.15</v>
      </c>
      <c r="H1396" s="15" t="str">
        <f ca="1">TEXT(Categorias_Registro[[#This Row],[Mínimo]],Formato_Rango_Categorias)&amp;" - "&amp;TEXT(Categorias_Registro[[#This Row],[Máximo]],Formato_Rango_Categorias)</f>
        <v>1.077 - 1.237</v>
      </c>
    </row>
    <row r="1397" spans="2:8">
      <c r="B1397" s="15">
        <f>Techo - ROW() + ROW(Categorias_Registro[])</f>
        <v>1232</v>
      </c>
      <c r="C1397" s="15">
        <f>IF(Categorias_Registro[[#This Row],[Puntos]]&lt;=ROUND(Piso,0),Piso,IF(Categorias_Registro[[#This Row],[Puntos]]&lt;D1398,C1398,D1398+1))</f>
        <v>1077</v>
      </c>
      <c r="D1397" s="15">
        <f>IF(Categorias_Registro[[#This Row],[Puntos]]=ROUND(Piso,0),ROUND(Categorias_Registro[[#This Row],[Puntos]]*(1+Categorias_Registro[[#This Row],[Amplitud]]),0),IF(Categorias_Registro[[#This Row],[Puntos]]&lt;D1398,D1398,ROUND(D1398*(1+Categorias_Registro[[#This Row],[Amplitud]]),0)))</f>
        <v>1237</v>
      </c>
      <c r="E1397" s="15">
        <f>E1398+IF(D1398=Categorias_Registro[[#This Row],[Máximo]],0,1)</f>
        <v>19</v>
      </c>
      <c r="F1397" s="15">
        <f>ROUND(Categorias_Registro[[#This Row],[Mínimo]]+((Categorias_Registro[[#This Row],[Máximo]]-Categorias_Registro[[#This Row],[Mínimo]])/2),0)</f>
        <v>1157</v>
      </c>
      <c r="G1397" s="78">
        <f>VLOOKUP(Categorias_Registro[[#This Row],[Puntos]],Categorias_Configuracion[],MATCH(Categorias_Configuracion[[#Headers],[% Amplitud]],Categorias_Configuracion[#Headers],0),TRUE)</f>
        <v>0.15</v>
      </c>
      <c r="H1397" s="15" t="str">
        <f ca="1">TEXT(Categorias_Registro[[#This Row],[Mínimo]],Formato_Rango_Categorias)&amp;" - "&amp;TEXT(Categorias_Registro[[#This Row],[Máximo]],Formato_Rango_Categorias)</f>
        <v>1.077 - 1.237</v>
      </c>
    </row>
    <row r="1398" spans="2:8">
      <c r="B1398" s="15">
        <f>Techo - ROW() + ROW(Categorias_Registro[])</f>
        <v>1231</v>
      </c>
      <c r="C1398" s="15">
        <f>IF(Categorias_Registro[[#This Row],[Puntos]]&lt;=ROUND(Piso,0),Piso,IF(Categorias_Registro[[#This Row],[Puntos]]&lt;D1399,C1399,D1399+1))</f>
        <v>1077</v>
      </c>
      <c r="D1398" s="15">
        <f>IF(Categorias_Registro[[#This Row],[Puntos]]=ROUND(Piso,0),ROUND(Categorias_Registro[[#This Row],[Puntos]]*(1+Categorias_Registro[[#This Row],[Amplitud]]),0),IF(Categorias_Registro[[#This Row],[Puntos]]&lt;D1399,D1399,ROUND(D1399*(1+Categorias_Registro[[#This Row],[Amplitud]]),0)))</f>
        <v>1237</v>
      </c>
      <c r="E1398" s="15">
        <f>E1399+IF(D1399=Categorias_Registro[[#This Row],[Máximo]],0,1)</f>
        <v>19</v>
      </c>
      <c r="F1398" s="15">
        <f>ROUND(Categorias_Registro[[#This Row],[Mínimo]]+((Categorias_Registro[[#This Row],[Máximo]]-Categorias_Registro[[#This Row],[Mínimo]])/2),0)</f>
        <v>1157</v>
      </c>
      <c r="G1398" s="78">
        <f>VLOOKUP(Categorias_Registro[[#This Row],[Puntos]],Categorias_Configuracion[],MATCH(Categorias_Configuracion[[#Headers],[% Amplitud]],Categorias_Configuracion[#Headers],0),TRUE)</f>
        <v>0.15</v>
      </c>
      <c r="H1398" s="15" t="str">
        <f ca="1">TEXT(Categorias_Registro[[#This Row],[Mínimo]],Formato_Rango_Categorias)&amp;" - "&amp;TEXT(Categorias_Registro[[#This Row],[Máximo]],Formato_Rango_Categorias)</f>
        <v>1.077 - 1.237</v>
      </c>
    </row>
    <row r="1399" spans="2:8">
      <c r="B1399" s="15">
        <f>Techo - ROW() + ROW(Categorias_Registro[])</f>
        <v>1230</v>
      </c>
      <c r="C1399" s="15">
        <f>IF(Categorias_Registro[[#This Row],[Puntos]]&lt;=ROUND(Piso,0),Piso,IF(Categorias_Registro[[#This Row],[Puntos]]&lt;D1400,C1400,D1400+1))</f>
        <v>1077</v>
      </c>
      <c r="D1399" s="15">
        <f>IF(Categorias_Registro[[#This Row],[Puntos]]=ROUND(Piso,0),ROUND(Categorias_Registro[[#This Row],[Puntos]]*(1+Categorias_Registro[[#This Row],[Amplitud]]),0),IF(Categorias_Registro[[#This Row],[Puntos]]&lt;D1400,D1400,ROUND(D1400*(1+Categorias_Registro[[#This Row],[Amplitud]]),0)))</f>
        <v>1237</v>
      </c>
      <c r="E1399" s="15">
        <f>E1400+IF(D1400=Categorias_Registro[[#This Row],[Máximo]],0,1)</f>
        <v>19</v>
      </c>
      <c r="F1399" s="15">
        <f>ROUND(Categorias_Registro[[#This Row],[Mínimo]]+((Categorias_Registro[[#This Row],[Máximo]]-Categorias_Registro[[#This Row],[Mínimo]])/2),0)</f>
        <v>1157</v>
      </c>
      <c r="G1399" s="78">
        <f>VLOOKUP(Categorias_Registro[[#This Row],[Puntos]],Categorias_Configuracion[],MATCH(Categorias_Configuracion[[#Headers],[% Amplitud]],Categorias_Configuracion[#Headers],0),TRUE)</f>
        <v>0.15</v>
      </c>
      <c r="H1399" s="15" t="str">
        <f ca="1">TEXT(Categorias_Registro[[#This Row],[Mínimo]],Formato_Rango_Categorias)&amp;" - "&amp;TEXT(Categorias_Registro[[#This Row],[Máximo]],Formato_Rango_Categorias)</f>
        <v>1.077 - 1.237</v>
      </c>
    </row>
    <row r="1400" spans="2:8">
      <c r="B1400" s="15">
        <f>Techo - ROW() + ROW(Categorias_Registro[])</f>
        <v>1229</v>
      </c>
      <c r="C1400" s="15">
        <f>IF(Categorias_Registro[[#This Row],[Puntos]]&lt;=ROUND(Piso,0),Piso,IF(Categorias_Registro[[#This Row],[Puntos]]&lt;D1401,C1401,D1401+1))</f>
        <v>1077</v>
      </c>
      <c r="D1400" s="15">
        <f>IF(Categorias_Registro[[#This Row],[Puntos]]=ROUND(Piso,0),ROUND(Categorias_Registro[[#This Row],[Puntos]]*(1+Categorias_Registro[[#This Row],[Amplitud]]),0),IF(Categorias_Registro[[#This Row],[Puntos]]&lt;D1401,D1401,ROUND(D1401*(1+Categorias_Registro[[#This Row],[Amplitud]]),0)))</f>
        <v>1237</v>
      </c>
      <c r="E1400" s="15">
        <f>E1401+IF(D1401=Categorias_Registro[[#This Row],[Máximo]],0,1)</f>
        <v>19</v>
      </c>
      <c r="F1400" s="15">
        <f>ROUND(Categorias_Registro[[#This Row],[Mínimo]]+((Categorias_Registro[[#This Row],[Máximo]]-Categorias_Registro[[#This Row],[Mínimo]])/2),0)</f>
        <v>1157</v>
      </c>
      <c r="G1400" s="78">
        <f>VLOOKUP(Categorias_Registro[[#This Row],[Puntos]],Categorias_Configuracion[],MATCH(Categorias_Configuracion[[#Headers],[% Amplitud]],Categorias_Configuracion[#Headers],0),TRUE)</f>
        <v>0.15</v>
      </c>
      <c r="H1400" s="15" t="str">
        <f ca="1">TEXT(Categorias_Registro[[#This Row],[Mínimo]],Formato_Rango_Categorias)&amp;" - "&amp;TEXT(Categorias_Registro[[#This Row],[Máximo]],Formato_Rango_Categorias)</f>
        <v>1.077 - 1.237</v>
      </c>
    </row>
    <row r="1401" spans="2:8">
      <c r="B1401" s="15">
        <f>Techo - ROW() + ROW(Categorias_Registro[])</f>
        <v>1228</v>
      </c>
      <c r="C1401" s="15">
        <f>IF(Categorias_Registro[[#This Row],[Puntos]]&lt;=ROUND(Piso,0),Piso,IF(Categorias_Registro[[#This Row],[Puntos]]&lt;D1402,C1402,D1402+1))</f>
        <v>1077</v>
      </c>
      <c r="D1401" s="15">
        <f>IF(Categorias_Registro[[#This Row],[Puntos]]=ROUND(Piso,0),ROUND(Categorias_Registro[[#This Row],[Puntos]]*(1+Categorias_Registro[[#This Row],[Amplitud]]),0),IF(Categorias_Registro[[#This Row],[Puntos]]&lt;D1402,D1402,ROUND(D1402*(1+Categorias_Registro[[#This Row],[Amplitud]]),0)))</f>
        <v>1237</v>
      </c>
      <c r="E1401" s="15">
        <f>E1402+IF(D1402=Categorias_Registro[[#This Row],[Máximo]],0,1)</f>
        <v>19</v>
      </c>
      <c r="F1401" s="15">
        <f>ROUND(Categorias_Registro[[#This Row],[Mínimo]]+((Categorias_Registro[[#This Row],[Máximo]]-Categorias_Registro[[#This Row],[Mínimo]])/2),0)</f>
        <v>1157</v>
      </c>
      <c r="G1401" s="78">
        <f>VLOOKUP(Categorias_Registro[[#This Row],[Puntos]],Categorias_Configuracion[],MATCH(Categorias_Configuracion[[#Headers],[% Amplitud]],Categorias_Configuracion[#Headers],0),TRUE)</f>
        <v>0.15</v>
      </c>
      <c r="H1401" s="15" t="str">
        <f ca="1">TEXT(Categorias_Registro[[#This Row],[Mínimo]],Formato_Rango_Categorias)&amp;" - "&amp;TEXT(Categorias_Registro[[#This Row],[Máximo]],Formato_Rango_Categorias)</f>
        <v>1.077 - 1.237</v>
      </c>
    </row>
    <row r="1402" spans="2:8">
      <c r="B1402" s="15">
        <f>Techo - ROW() + ROW(Categorias_Registro[])</f>
        <v>1227</v>
      </c>
      <c r="C1402" s="15">
        <f>IF(Categorias_Registro[[#This Row],[Puntos]]&lt;=ROUND(Piso,0),Piso,IF(Categorias_Registro[[#This Row],[Puntos]]&lt;D1403,C1403,D1403+1))</f>
        <v>1077</v>
      </c>
      <c r="D1402" s="15">
        <f>IF(Categorias_Registro[[#This Row],[Puntos]]=ROUND(Piso,0),ROUND(Categorias_Registro[[#This Row],[Puntos]]*(1+Categorias_Registro[[#This Row],[Amplitud]]),0),IF(Categorias_Registro[[#This Row],[Puntos]]&lt;D1403,D1403,ROUND(D1403*(1+Categorias_Registro[[#This Row],[Amplitud]]),0)))</f>
        <v>1237</v>
      </c>
      <c r="E1402" s="15">
        <f>E1403+IF(D1403=Categorias_Registro[[#This Row],[Máximo]],0,1)</f>
        <v>19</v>
      </c>
      <c r="F1402" s="15">
        <f>ROUND(Categorias_Registro[[#This Row],[Mínimo]]+((Categorias_Registro[[#This Row],[Máximo]]-Categorias_Registro[[#This Row],[Mínimo]])/2),0)</f>
        <v>1157</v>
      </c>
      <c r="G1402" s="78">
        <f>VLOOKUP(Categorias_Registro[[#This Row],[Puntos]],Categorias_Configuracion[],MATCH(Categorias_Configuracion[[#Headers],[% Amplitud]],Categorias_Configuracion[#Headers],0),TRUE)</f>
        <v>0.15</v>
      </c>
      <c r="H1402" s="15" t="str">
        <f ca="1">TEXT(Categorias_Registro[[#This Row],[Mínimo]],Formato_Rango_Categorias)&amp;" - "&amp;TEXT(Categorias_Registro[[#This Row],[Máximo]],Formato_Rango_Categorias)</f>
        <v>1.077 - 1.237</v>
      </c>
    </row>
    <row r="1403" spans="2:8">
      <c r="B1403" s="15">
        <f>Techo - ROW() + ROW(Categorias_Registro[])</f>
        <v>1226</v>
      </c>
      <c r="C1403" s="15">
        <f>IF(Categorias_Registro[[#This Row],[Puntos]]&lt;=ROUND(Piso,0),Piso,IF(Categorias_Registro[[#This Row],[Puntos]]&lt;D1404,C1404,D1404+1))</f>
        <v>1077</v>
      </c>
      <c r="D1403" s="15">
        <f>IF(Categorias_Registro[[#This Row],[Puntos]]=ROUND(Piso,0),ROUND(Categorias_Registro[[#This Row],[Puntos]]*(1+Categorias_Registro[[#This Row],[Amplitud]]),0),IF(Categorias_Registro[[#This Row],[Puntos]]&lt;D1404,D1404,ROUND(D1404*(1+Categorias_Registro[[#This Row],[Amplitud]]),0)))</f>
        <v>1237</v>
      </c>
      <c r="E1403" s="15">
        <f>E1404+IF(D1404=Categorias_Registro[[#This Row],[Máximo]],0,1)</f>
        <v>19</v>
      </c>
      <c r="F1403" s="15">
        <f>ROUND(Categorias_Registro[[#This Row],[Mínimo]]+((Categorias_Registro[[#This Row],[Máximo]]-Categorias_Registro[[#This Row],[Mínimo]])/2),0)</f>
        <v>1157</v>
      </c>
      <c r="G1403" s="78">
        <f>VLOOKUP(Categorias_Registro[[#This Row],[Puntos]],Categorias_Configuracion[],MATCH(Categorias_Configuracion[[#Headers],[% Amplitud]],Categorias_Configuracion[#Headers],0),TRUE)</f>
        <v>0.15</v>
      </c>
      <c r="H1403" s="15" t="str">
        <f ca="1">TEXT(Categorias_Registro[[#This Row],[Mínimo]],Formato_Rango_Categorias)&amp;" - "&amp;TEXT(Categorias_Registro[[#This Row],[Máximo]],Formato_Rango_Categorias)</f>
        <v>1.077 - 1.237</v>
      </c>
    </row>
    <row r="1404" spans="2:8">
      <c r="B1404" s="15">
        <f>Techo - ROW() + ROW(Categorias_Registro[])</f>
        <v>1225</v>
      </c>
      <c r="C1404" s="15">
        <f>IF(Categorias_Registro[[#This Row],[Puntos]]&lt;=ROUND(Piso,0),Piso,IF(Categorias_Registro[[#This Row],[Puntos]]&lt;D1405,C1405,D1405+1))</f>
        <v>1077</v>
      </c>
      <c r="D1404" s="15">
        <f>IF(Categorias_Registro[[#This Row],[Puntos]]=ROUND(Piso,0),ROUND(Categorias_Registro[[#This Row],[Puntos]]*(1+Categorias_Registro[[#This Row],[Amplitud]]),0),IF(Categorias_Registro[[#This Row],[Puntos]]&lt;D1405,D1405,ROUND(D1405*(1+Categorias_Registro[[#This Row],[Amplitud]]),0)))</f>
        <v>1237</v>
      </c>
      <c r="E1404" s="15">
        <f>E1405+IF(D1405=Categorias_Registro[[#This Row],[Máximo]],0,1)</f>
        <v>19</v>
      </c>
      <c r="F1404" s="15">
        <f>ROUND(Categorias_Registro[[#This Row],[Mínimo]]+((Categorias_Registro[[#This Row],[Máximo]]-Categorias_Registro[[#This Row],[Mínimo]])/2),0)</f>
        <v>1157</v>
      </c>
      <c r="G1404" s="78">
        <f>VLOOKUP(Categorias_Registro[[#This Row],[Puntos]],Categorias_Configuracion[],MATCH(Categorias_Configuracion[[#Headers],[% Amplitud]],Categorias_Configuracion[#Headers],0),TRUE)</f>
        <v>0.15</v>
      </c>
      <c r="H1404" s="15" t="str">
        <f ca="1">TEXT(Categorias_Registro[[#This Row],[Mínimo]],Formato_Rango_Categorias)&amp;" - "&amp;TEXT(Categorias_Registro[[#This Row],[Máximo]],Formato_Rango_Categorias)</f>
        <v>1.077 - 1.237</v>
      </c>
    </row>
    <row r="1405" spans="2:8">
      <c r="B1405" s="15">
        <f>Techo - ROW() + ROW(Categorias_Registro[])</f>
        <v>1224</v>
      </c>
      <c r="C1405" s="15">
        <f>IF(Categorias_Registro[[#This Row],[Puntos]]&lt;=ROUND(Piso,0),Piso,IF(Categorias_Registro[[#This Row],[Puntos]]&lt;D1406,C1406,D1406+1))</f>
        <v>1077</v>
      </c>
      <c r="D1405" s="15">
        <f>IF(Categorias_Registro[[#This Row],[Puntos]]=ROUND(Piso,0),ROUND(Categorias_Registro[[#This Row],[Puntos]]*(1+Categorias_Registro[[#This Row],[Amplitud]]),0),IF(Categorias_Registro[[#This Row],[Puntos]]&lt;D1406,D1406,ROUND(D1406*(1+Categorias_Registro[[#This Row],[Amplitud]]),0)))</f>
        <v>1237</v>
      </c>
      <c r="E1405" s="15">
        <f>E1406+IF(D1406=Categorias_Registro[[#This Row],[Máximo]],0,1)</f>
        <v>19</v>
      </c>
      <c r="F1405" s="15">
        <f>ROUND(Categorias_Registro[[#This Row],[Mínimo]]+((Categorias_Registro[[#This Row],[Máximo]]-Categorias_Registro[[#This Row],[Mínimo]])/2),0)</f>
        <v>1157</v>
      </c>
      <c r="G1405" s="78">
        <f>VLOOKUP(Categorias_Registro[[#This Row],[Puntos]],Categorias_Configuracion[],MATCH(Categorias_Configuracion[[#Headers],[% Amplitud]],Categorias_Configuracion[#Headers],0),TRUE)</f>
        <v>0.15</v>
      </c>
      <c r="H1405" s="15" t="str">
        <f ca="1">TEXT(Categorias_Registro[[#This Row],[Mínimo]],Formato_Rango_Categorias)&amp;" - "&amp;TEXT(Categorias_Registro[[#This Row],[Máximo]],Formato_Rango_Categorias)</f>
        <v>1.077 - 1.237</v>
      </c>
    </row>
    <row r="1406" spans="2:8">
      <c r="B1406" s="15">
        <f>Techo - ROW() + ROW(Categorias_Registro[])</f>
        <v>1223</v>
      </c>
      <c r="C1406" s="15">
        <f>IF(Categorias_Registro[[#This Row],[Puntos]]&lt;=ROUND(Piso,0),Piso,IF(Categorias_Registro[[#This Row],[Puntos]]&lt;D1407,C1407,D1407+1))</f>
        <v>1077</v>
      </c>
      <c r="D1406" s="15">
        <f>IF(Categorias_Registro[[#This Row],[Puntos]]=ROUND(Piso,0),ROUND(Categorias_Registro[[#This Row],[Puntos]]*(1+Categorias_Registro[[#This Row],[Amplitud]]),0),IF(Categorias_Registro[[#This Row],[Puntos]]&lt;D1407,D1407,ROUND(D1407*(1+Categorias_Registro[[#This Row],[Amplitud]]),0)))</f>
        <v>1237</v>
      </c>
      <c r="E1406" s="15">
        <f>E1407+IF(D1407=Categorias_Registro[[#This Row],[Máximo]],0,1)</f>
        <v>19</v>
      </c>
      <c r="F1406" s="15">
        <f>ROUND(Categorias_Registro[[#This Row],[Mínimo]]+((Categorias_Registro[[#This Row],[Máximo]]-Categorias_Registro[[#This Row],[Mínimo]])/2),0)</f>
        <v>1157</v>
      </c>
      <c r="G1406" s="78">
        <f>VLOOKUP(Categorias_Registro[[#This Row],[Puntos]],Categorias_Configuracion[],MATCH(Categorias_Configuracion[[#Headers],[% Amplitud]],Categorias_Configuracion[#Headers],0),TRUE)</f>
        <v>0.15</v>
      </c>
      <c r="H1406" s="15" t="str">
        <f ca="1">TEXT(Categorias_Registro[[#This Row],[Mínimo]],Formato_Rango_Categorias)&amp;" - "&amp;TEXT(Categorias_Registro[[#This Row],[Máximo]],Formato_Rango_Categorias)</f>
        <v>1.077 - 1.237</v>
      </c>
    </row>
    <row r="1407" spans="2:8">
      <c r="B1407" s="15">
        <f>Techo - ROW() + ROW(Categorias_Registro[])</f>
        <v>1222</v>
      </c>
      <c r="C1407" s="15">
        <f>IF(Categorias_Registro[[#This Row],[Puntos]]&lt;=ROUND(Piso,0),Piso,IF(Categorias_Registro[[#This Row],[Puntos]]&lt;D1408,C1408,D1408+1))</f>
        <v>1077</v>
      </c>
      <c r="D1407" s="15">
        <f>IF(Categorias_Registro[[#This Row],[Puntos]]=ROUND(Piso,0),ROUND(Categorias_Registro[[#This Row],[Puntos]]*(1+Categorias_Registro[[#This Row],[Amplitud]]),0),IF(Categorias_Registro[[#This Row],[Puntos]]&lt;D1408,D1408,ROUND(D1408*(1+Categorias_Registro[[#This Row],[Amplitud]]),0)))</f>
        <v>1237</v>
      </c>
      <c r="E1407" s="15">
        <f>E1408+IF(D1408=Categorias_Registro[[#This Row],[Máximo]],0,1)</f>
        <v>19</v>
      </c>
      <c r="F1407" s="15">
        <f>ROUND(Categorias_Registro[[#This Row],[Mínimo]]+((Categorias_Registro[[#This Row],[Máximo]]-Categorias_Registro[[#This Row],[Mínimo]])/2),0)</f>
        <v>1157</v>
      </c>
      <c r="G1407" s="78">
        <f>VLOOKUP(Categorias_Registro[[#This Row],[Puntos]],Categorias_Configuracion[],MATCH(Categorias_Configuracion[[#Headers],[% Amplitud]],Categorias_Configuracion[#Headers],0),TRUE)</f>
        <v>0.15</v>
      </c>
      <c r="H1407" s="15" t="str">
        <f ca="1">TEXT(Categorias_Registro[[#This Row],[Mínimo]],Formato_Rango_Categorias)&amp;" - "&amp;TEXT(Categorias_Registro[[#This Row],[Máximo]],Formato_Rango_Categorias)</f>
        <v>1.077 - 1.237</v>
      </c>
    </row>
    <row r="1408" spans="2:8">
      <c r="B1408" s="15">
        <f>Techo - ROW() + ROW(Categorias_Registro[])</f>
        <v>1221</v>
      </c>
      <c r="C1408" s="15">
        <f>IF(Categorias_Registro[[#This Row],[Puntos]]&lt;=ROUND(Piso,0),Piso,IF(Categorias_Registro[[#This Row],[Puntos]]&lt;D1409,C1409,D1409+1))</f>
        <v>1077</v>
      </c>
      <c r="D1408" s="15">
        <f>IF(Categorias_Registro[[#This Row],[Puntos]]=ROUND(Piso,0),ROUND(Categorias_Registro[[#This Row],[Puntos]]*(1+Categorias_Registro[[#This Row],[Amplitud]]),0),IF(Categorias_Registro[[#This Row],[Puntos]]&lt;D1409,D1409,ROUND(D1409*(1+Categorias_Registro[[#This Row],[Amplitud]]),0)))</f>
        <v>1237</v>
      </c>
      <c r="E1408" s="15">
        <f>E1409+IF(D1409=Categorias_Registro[[#This Row],[Máximo]],0,1)</f>
        <v>19</v>
      </c>
      <c r="F1408" s="15">
        <f>ROUND(Categorias_Registro[[#This Row],[Mínimo]]+((Categorias_Registro[[#This Row],[Máximo]]-Categorias_Registro[[#This Row],[Mínimo]])/2),0)</f>
        <v>1157</v>
      </c>
      <c r="G1408" s="78">
        <f>VLOOKUP(Categorias_Registro[[#This Row],[Puntos]],Categorias_Configuracion[],MATCH(Categorias_Configuracion[[#Headers],[% Amplitud]],Categorias_Configuracion[#Headers],0),TRUE)</f>
        <v>0.15</v>
      </c>
      <c r="H1408" s="15" t="str">
        <f ca="1">TEXT(Categorias_Registro[[#This Row],[Mínimo]],Formato_Rango_Categorias)&amp;" - "&amp;TEXT(Categorias_Registro[[#This Row],[Máximo]],Formato_Rango_Categorias)</f>
        <v>1.077 - 1.237</v>
      </c>
    </row>
    <row r="1409" spans="2:8">
      <c r="B1409" s="15">
        <f>Techo - ROW() + ROW(Categorias_Registro[])</f>
        <v>1220</v>
      </c>
      <c r="C1409" s="15">
        <f>IF(Categorias_Registro[[#This Row],[Puntos]]&lt;=ROUND(Piso,0),Piso,IF(Categorias_Registro[[#This Row],[Puntos]]&lt;D1410,C1410,D1410+1))</f>
        <v>1077</v>
      </c>
      <c r="D1409" s="15">
        <f>IF(Categorias_Registro[[#This Row],[Puntos]]=ROUND(Piso,0),ROUND(Categorias_Registro[[#This Row],[Puntos]]*(1+Categorias_Registro[[#This Row],[Amplitud]]),0),IF(Categorias_Registro[[#This Row],[Puntos]]&lt;D1410,D1410,ROUND(D1410*(1+Categorias_Registro[[#This Row],[Amplitud]]),0)))</f>
        <v>1237</v>
      </c>
      <c r="E1409" s="15">
        <f>E1410+IF(D1410=Categorias_Registro[[#This Row],[Máximo]],0,1)</f>
        <v>19</v>
      </c>
      <c r="F1409" s="15">
        <f>ROUND(Categorias_Registro[[#This Row],[Mínimo]]+((Categorias_Registro[[#This Row],[Máximo]]-Categorias_Registro[[#This Row],[Mínimo]])/2),0)</f>
        <v>1157</v>
      </c>
      <c r="G1409" s="78">
        <f>VLOOKUP(Categorias_Registro[[#This Row],[Puntos]],Categorias_Configuracion[],MATCH(Categorias_Configuracion[[#Headers],[% Amplitud]],Categorias_Configuracion[#Headers],0),TRUE)</f>
        <v>0.15</v>
      </c>
      <c r="H1409" s="15" t="str">
        <f ca="1">TEXT(Categorias_Registro[[#This Row],[Mínimo]],Formato_Rango_Categorias)&amp;" - "&amp;TEXT(Categorias_Registro[[#This Row],[Máximo]],Formato_Rango_Categorias)</f>
        <v>1.077 - 1.237</v>
      </c>
    </row>
    <row r="1410" spans="2:8">
      <c r="B1410" s="15">
        <f>Techo - ROW() + ROW(Categorias_Registro[])</f>
        <v>1219</v>
      </c>
      <c r="C1410" s="15">
        <f>IF(Categorias_Registro[[#This Row],[Puntos]]&lt;=ROUND(Piso,0),Piso,IF(Categorias_Registro[[#This Row],[Puntos]]&lt;D1411,C1411,D1411+1))</f>
        <v>1077</v>
      </c>
      <c r="D1410" s="15">
        <f>IF(Categorias_Registro[[#This Row],[Puntos]]=ROUND(Piso,0),ROUND(Categorias_Registro[[#This Row],[Puntos]]*(1+Categorias_Registro[[#This Row],[Amplitud]]),0),IF(Categorias_Registro[[#This Row],[Puntos]]&lt;D1411,D1411,ROUND(D1411*(1+Categorias_Registro[[#This Row],[Amplitud]]),0)))</f>
        <v>1237</v>
      </c>
      <c r="E1410" s="15">
        <f>E1411+IF(D1411=Categorias_Registro[[#This Row],[Máximo]],0,1)</f>
        <v>19</v>
      </c>
      <c r="F1410" s="15">
        <f>ROUND(Categorias_Registro[[#This Row],[Mínimo]]+((Categorias_Registro[[#This Row],[Máximo]]-Categorias_Registro[[#This Row],[Mínimo]])/2),0)</f>
        <v>1157</v>
      </c>
      <c r="G1410" s="78">
        <f>VLOOKUP(Categorias_Registro[[#This Row],[Puntos]],Categorias_Configuracion[],MATCH(Categorias_Configuracion[[#Headers],[% Amplitud]],Categorias_Configuracion[#Headers],0),TRUE)</f>
        <v>0.15</v>
      </c>
      <c r="H1410" s="15" t="str">
        <f ca="1">TEXT(Categorias_Registro[[#This Row],[Mínimo]],Formato_Rango_Categorias)&amp;" - "&amp;TEXT(Categorias_Registro[[#This Row],[Máximo]],Formato_Rango_Categorias)</f>
        <v>1.077 - 1.237</v>
      </c>
    </row>
    <row r="1411" spans="2:8">
      <c r="B1411" s="15">
        <f>Techo - ROW() + ROW(Categorias_Registro[])</f>
        <v>1218</v>
      </c>
      <c r="C1411" s="15">
        <f>IF(Categorias_Registro[[#This Row],[Puntos]]&lt;=ROUND(Piso,0),Piso,IF(Categorias_Registro[[#This Row],[Puntos]]&lt;D1412,C1412,D1412+1))</f>
        <v>1077</v>
      </c>
      <c r="D1411" s="15">
        <f>IF(Categorias_Registro[[#This Row],[Puntos]]=ROUND(Piso,0),ROUND(Categorias_Registro[[#This Row],[Puntos]]*(1+Categorias_Registro[[#This Row],[Amplitud]]),0),IF(Categorias_Registro[[#This Row],[Puntos]]&lt;D1412,D1412,ROUND(D1412*(1+Categorias_Registro[[#This Row],[Amplitud]]),0)))</f>
        <v>1237</v>
      </c>
      <c r="E1411" s="15">
        <f>E1412+IF(D1412=Categorias_Registro[[#This Row],[Máximo]],0,1)</f>
        <v>19</v>
      </c>
      <c r="F1411" s="15">
        <f>ROUND(Categorias_Registro[[#This Row],[Mínimo]]+((Categorias_Registro[[#This Row],[Máximo]]-Categorias_Registro[[#This Row],[Mínimo]])/2),0)</f>
        <v>1157</v>
      </c>
      <c r="G1411" s="78">
        <f>VLOOKUP(Categorias_Registro[[#This Row],[Puntos]],Categorias_Configuracion[],MATCH(Categorias_Configuracion[[#Headers],[% Amplitud]],Categorias_Configuracion[#Headers],0),TRUE)</f>
        <v>0.15</v>
      </c>
      <c r="H1411" s="15" t="str">
        <f ca="1">TEXT(Categorias_Registro[[#This Row],[Mínimo]],Formato_Rango_Categorias)&amp;" - "&amp;TEXT(Categorias_Registro[[#This Row],[Máximo]],Formato_Rango_Categorias)</f>
        <v>1.077 - 1.237</v>
      </c>
    </row>
    <row r="1412" spans="2:8">
      <c r="B1412" s="15">
        <f>Techo - ROW() + ROW(Categorias_Registro[])</f>
        <v>1217</v>
      </c>
      <c r="C1412" s="15">
        <f>IF(Categorias_Registro[[#This Row],[Puntos]]&lt;=ROUND(Piso,0),Piso,IF(Categorias_Registro[[#This Row],[Puntos]]&lt;D1413,C1413,D1413+1))</f>
        <v>1077</v>
      </c>
      <c r="D1412" s="15">
        <f>IF(Categorias_Registro[[#This Row],[Puntos]]=ROUND(Piso,0),ROUND(Categorias_Registro[[#This Row],[Puntos]]*(1+Categorias_Registro[[#This Row],[Amplitud]]),0),IF(Categorias_Registro[[#This Row],[Puntos]]&lt;D1413,D1413,ROUND(D1413*(1+Categorias_Registro[[#This Row],[Amplitud]]),0)))</f>
        <v>1237</v>
      </c>
      <c r="E1412" s="15">
        <f>E1413+IF(D1413=Categorias_Registro[[#This Row],[Máximo]],0,1)</f>
        <v>19</v>
      </c>
      <c r="F1412" s="15">
        <f>ROUND(Categorias_Registro[[#This Row],[Mínimo]]+((Categorias_Registro[[#This Row],[Máximo]]-Categorias_Registro[[#This Row],[Mínimo]])/2),0)</f>
        <v>1157</v>
      </c>
      <c r="G1412" s="78">
        <f>VLOOKUP(Categorias_Registro[[#This Row],[Puntos]],Categorias_Configuracion[],MATCH(Categorias_Configuracion[[#Headers],[% Amplitud]],Categorias_Configuracion[#Headers],0),TRUE)</f>
        <v>0.15</v>
      </c>
      <c r="H1412" s="15" t="str">
        <f ca="1">TEXT(Categorias_Registro[[#This Row],[Mínimo]],Formato_Rango_Categorias)&amp;" - "&amp;TEXT(Categorias_Registro[[#This Row],[Máximo]],Formato_Rango_Categorias)</f>
        <v>1.077 - 1.237</v>
      </c>
    </row>
    <row r="1413" spans="2:8">
      <c r="B1413" s="15">
        <f>Techo - ROW() + ROW(Categorias_Registro[])</f>
        <v>1216</v>
      </c>
      <c r="C1413" s="15">
        <f>IF(Categorias_Registro[[#This Row],[Puntos]]&lt;=ROUND(Piso,0),Piso,IF(Categorias_Registro[[#This Row],[Puntos]]&lt;D1414,C1414,D1414+1))</f>
        <v>1077</v>
      </c>
      <c r="D1413" s="15">
        <f>IF(Categorias_Registro[[#This Row],[Puntos]]=ROUND(Piso,0),ROUND(Categorias_Registro[[#This Row],[Puntos]]*(1+Categorias_Registro[[#This Row],[Amplitud]]),0),IF(Categorias_Registro[[#This Row],[Puntos]]&lt;D1414,D1414,ROUND(D1414*(1+Categorias_Registro[[#This Row],[Amplitud]]),0)))</f>
        <v>1237</v>
      </c>
      <c r="E1413" s="15">
        <f>E1414+IF(D1414=Categorias_Registro[[#This Row],[Máximo]],0,1)</f>
        <v>19</v>
      </c>
      <c r="F1413" s="15">
        <f>ROUND(Categorias_Registro[[#This Row],[Mínimo]]+((Categorias_Registro[[#This Row],[Máximo]]-Categorias_Registro[[#This Row],[Mínimo]])/2),0)</f>
        <v>1157</v>
      </c>
      <c r="G1413" s="78">
        <f>VLOOKUP(Categorias_Registro[[#This Row],[Puntos]],Categorias_Configuracion[],MATCH(Categorias_Configuracion[[#Headers],[% Amplitud]],Categorias_Configuracion[#Headers],0),TRUE)</f>
        <v>0.15</v>
      </c>
      <c r="H1413" s="15" t="str">
        <f ca="1">TEXT(Categorias_Registro[[#This Row],[Mínimo]],Formato_Rango_Categorias)&amp;" - "&amp;TEXT(Categorias_Registro[[#This Row],[Máximo]],Formato_Rango_Categorias)</f>
        <v>1.077 - 1.237</v>
      </c>
    </row>
    <row r="1414" spans="2:8">
      <c r="B1414" s="15">
        <f>Techo - ROW() + ROW(Categorias_Registro[])</f>
        <v>1215</v>
      </c>
      <c r="C1414" s="15">
        <f>IF(Categorias_Registro[[#This Row],[Puntos]]&lt;=ROUND(Piso,0),Piso,IF(Categorias_Registro[[#This Row],[Puntos]]&lt;D1415,C1415,D1415+1))</f>
        <v>1077</v>
      </c>
      <c r="D1414" s="15">
        <f>IF(Categorias_Registro[[#This Row],[Puntos]]=ROUND(Piso,0),ROUND(Categorias_Registro[[#This Row],[Puntos]]*(1+Categorias_Registro[[#This Row],[Amplitud]]),0),IF(Categorias_Registro[[#This Row],[Puntos]]&lt;D1415,D1415,ROUND(D1415*(1+Categorias_Registro[[#This Row],[Amplitud]]),0)))</f>
        <v>1237</v>
      </c>
      <c r="E1414" s="15">
        <f>E1415+IF(D1415=Categorias_Registro[[#This Row],[Máximo]],0,1)</f>
        <v>19</v>
      </c>
      <c r="F1414" s="15">
        <f>ROUND(Categorias_Registro[[#This Row],[Mínimo]]+((Categorias_Registro[[#This Row],[Máximo]]-Categorias_Registro[[#This Row],[Mínimo]])/2),0)</f>
        <v>1157</v>
      </c>
      <c r="G1414" s="78">
        <f>VLOOKUP(Categorias_Registro[[#This Row],[Puntos]],Categorias_Configuracion[],MATCH(Categorias_Configuracion[[#Headers],[% Amplitud]],Categorias_Configuracion[#Headers],0),TRUE)</f>
        <v>0.15</v>
      </c>
      <c r="H1414" s="15" t="str">
        <f ca="1">TEXT(Categorias_Registro[[#This Row],[Mínimo]],Formato_Rango_Categorias)&amp;" - "&amp;TEXT(Categorias_Registro[[#This Row],[Máximo]],Formato_Rango_Categorias)</f>
        <v>1.077 - 1.237</v>
      </c>
    </row>
    <row r="1415" spans="2:8">
      <c r="B1415" s="15">
        <f>Techo - ROW() + ROW(Categorias_Registro[])</f>
        <v>1214</v>
      </c>
      <c r="C1415" s="15">
        <f>IF(Categorias_Registro[[#This Row],[Puntos]]&lt;=ROUND(Piso,0),Piso,IF(Categorias_Registro[[#This Row],[Puntos]]&lt;D1416,C1416,D1416+1))</f>
        <v>1077</v>
      </c>
      <c r="D1415" s="15">
        <f>IF(Categorias_Registro[[#This Row],[Puntos]]=ROUND(Piso,0),ROUND(Categorias_Registro[[#This Row],[Puntos]]*(1+Categorias_Registro[[#This Row],[Amplitud]]),0),IF(Categorias_Registro[[#This Row],[Puntos]]&lt;D1416,D1416,ROUND(D1416*(1+Categorias_Registro[[#This Row],[Amplitud]]),0)))</f>
        <v>1237</v>
      </c>
      <c r="E1415" s="15">
        <f>E1416+IF(D1416=Categorias_Registro[[#This Row],[Máximo]],0,1)</f>
        <v>19</v>
      </c>
      <c r="F1415" s="15">
        <f>ROUND(Categorias_Registro[[#This Row],[Mínimo]]+((Categorias_Registro[[#This Row],[Máximo]]-Categorias_Registro[[#This Row],[Mínimo]])/2),0)</f>
        <v>1157</v>
      </c>
      <c r="G1415" s="78">
        <f>VLOOKUP(Categorias_Registro[[#This Row],[Puntos]],Categorias_Configuracion[],MATCH(Categorias_Configuracion[[#Headers],[% Amplitud]],Categorias_Configuracion[#Headers],0),TRUE)</f>
        <v>0.15</v>
      </c>
      <c r="H1415" s="15" t="str">
        <f ca="1">TEXT(Categorias_Registro[[#This Row],[Mínimo]],Formato_Rango_Categorias)&amp;" - "&amp;TEXT(Categorias_Registro[[#This Row],[Máximo]],Formato_Rango_Categorias)</f>
        <v>1.077 - 1.237</v>
      </c>
    </row>
    <row r="1416" spans="2:8">
      <c r="B1416" s="15">
        <f>Techo - ROW() + ROW(Categorias_Registro[])</f>
        <v>1213</v>
      </c>
      <c r="C1416" s="15">
        <f>IF(Categorias_Registro[[#This Row],[Puntos]]&lt;=ROUND(Piso,0),Piso,IF(Categorias_Registro[[#This Row],[Puntos]]&lt;D1417,C1417,D1417+1))</f>
        <v>1077</v>
      </c>
      <c r="D1416" s="15">
        <f>IF(Categorias_Registro[[#This Row],[Puntos]]=ROUND(Piso,0),ROUND(Categorias_Registro[[#This Row],[Puntos]]*(1+Categorias_Registro[[#This Row],[Amplitud]]),0),IF(Categorias_Registro[[#This Row],[Puntos]]&lt;D1417,D1417,ROUND(D1417*(1+Categorias_Registro[[#This Row],[Amplitud]]),0)))</f>
        <v>1237</v>
      </c>
      <c r="E1416" s="15">
        <f>E1417+IF(D1417=Categorias_Registro[[#This Row],[Máximo]],0,1)</f>
        <v>19</v>
      </c>
      <c r="F1416" s="15">
        <f>ROUND(Categorias_Registro[[#This Row],[Mínimo]]+((Categorias_Registro[[#This Row],[Máximo]]-Categorias_Registro[[#This Row],[Mínimo]])/2),0)</f>
        <v>1157</v>
      </c>
      <c r="G1416" s="78">
        <f>VLOOKUP(Categorias_Registro[[#This Row],[Puntos]],Categorias_Configuracion[],MATCH(Categorias_Configuracion[[#Headers],[% Amplitud]],Categorias_Configuracion[#Headers],0),TRUE)</f>
        <v>0.15</v>
      </c>
      <c r="H1416" s="15" t="str">
        <f ca="1">TEXT(Categorias_Registro[[#This Row],[Mínimo]],Formato_Rango_Categorias)&amp;" - "&amp;TEXT(Categorias_Registro[[#This Row],[Máximo]],Formato_Rango_Categorias)</f>
        <v>1.077 - 1.237</v>
      </c>
    </row>
    <row r="1417" spans="2:8">
      <c r="B1417" s="15">
        <f>Techo - ROW() + ROW(Categorias_Registro[])</f>
        <v>1212</v>
      </c>
      <c r="C1417" s="15">
        <f>IF(Categorias_Registro[[#This Row],[Puntos]]&lt;=ROUND(Piso,0),Piso,IF(Categorias_Registro[[#This Row],[Puntos]]&lt;D1418,C1418,D1418+1))</f>
        <v>1077</v>
      </c>
      <c r="D1417" s="15">
        <f>IF(Categorias_Registro[[#This Row],[Puntos]]=ROUND(Piso,0),ROUND(Categorias_Registro[[#This Row],[Puntos]]*(1+Categorias_Registro[[#This Row],[Amplitud]]),0),IF(Categorias_Registro[[#This Row],[Puntos]]&lt;D1418,D1418,ROUND(D1418*(1+Categorias_Registro[[#This Row],[Amplitud]]),0)))</f>
        <v>1237</v>
      </c>
      <c r="E1417" s="15">
        <f>E1418+IF(D1418=Categorias_Registro[[#This Row],[Máximo]],0,1)</f>
        <v>19</v>
      </c>
      <c r="F1417" s="15">
        <f>ROUND(Categorias_Registro[[#This Row],[Mínimo]]+((Categorias_Registro[[#This Row],[Máximo]]-Categorias_Registro[[#This Row],[Mínimo]])/2),0)</f>
        <v>1157</v>
      </c>
      <c r="G1417" s="78">
        <f>VLOOKUP(Categorias_Registro[[#This Row],[Puntos]],Categorias_Configuracion[],MATCH(Categorias_Configuracion[[#Headers],[% Amplitud]],Categorias_Configuracion[#Headers],0),TRUE)</f>
        <v>0.15</v>
      </c>
      <c r="H1417" s="15" t="str">
        <f ca="1">TEXT(Categorias_Registro[[#This Row],[Mínimo]],Formato_Rango_Categorias)&amp;" - "&amp;TEXT(Categorias_Registro[[#This Row],[Máximo]],Formato_Rango_Categorias)</f>
        <v>1.077 - 1.237</v>
      </c>
    </row>
    <row r="1418" spans="2:8">
      <c r="B1418" s="15">
        <f>Techo - ROW() + ROW(Categorias_Registro[])</f>
        <v>1211</v>
      </c>
      <c r="C1418" s="15">
        <f>IF(Categorias_Registro[[#This Row],[Puntos]]&lt;=ROUND(Piso,0),Piso,IF(Categorias_Registro[[#This Row],[Puntos]]&lt;D1419,C1419,D1419+1))</f>
        <v>1077</v>
      </c>
      <c r="D1418" s="15">
        <f>IF(Categorias_Registro[[#This Row],[Puntos]]=ROUND(Piso,0),ROUND(Categorias_Registro[[#This Row],[Puntos]]*(1+Categorias_Registro[[#This Row],[Amplitud]]),0),IF(Categorias_Registro[[#This Row],[Puntos]]&lt;D1419,D1419,ROUND(D1419*(1+Categorias_Registro[[#This Row],[Amplitud]]),0)))</f>
        <v>1237</v>
      </c>
      <c r="E1418" s="15">
        <f>E1419+IF(D1419=Categorias_Registro[[#This Row],[Máximo]],0,1)</f>
        <v>19</v>
      </c>
      <c r="F1418" s="15">
        <f>ROUND(Categorias_Registro[[#This Row],[Mínimo]]+((Categorias_Registro[[#This Row],[Máximo]]-Categorias_Registro[[#This Row],[Mínimo]])/2),0)</f>
        <v>1157</v>
      </c>
      <c r="G1418" s="78">
        <f>VLOOKUP(Categorias_Registro[[#This Row],[Puntos]],Categorias_Configuracion[],MATCH(Categorias_Configuracion[[#Headers],[% Amplitud]],Categorias_Configuracion[#Headers],0),TRUE)</f>
        <v>0.15</v>
      </c>
      <c r="H1418" s="15" t="str">
        <f ca="1">TEXT(Categorias_Registro[[#This Row],[Mínimo]],Formato_Rango_Categorias)&amp;" - "&amp;TEXT(Categorias_Registro[[#This Row],[Máximo]],Formato_Rango_Categorias)</f>
        <v>1.077 - 1.237</v>
      </c>
    </row>
    <row r="1419" spans="2:8">
      <c r="B1419" s="15">
        <f>Techo - ROW() + ROW(Categorias_Registro[])</f>
        <v>1210</v>
      </c>
      <c r="C1419" s="15">
        <f>IF(Categorias_Registro[[#This Row],[Puntos]]&lt;=ROUND(Piso,0),Piso,IF(Categorias_Registro[[#This Row],[Puntos]]&lt;D1420,C1420,D1420+1))</f>
        <v>1077</v>
      </c>
      <c r="D1419" s="15">
        <f>IF(Categorias_Registro[[#This Row],[Puntos]]=ROUND(Piso,0),ROUND(Categorias_Registro[[#This Row],[Puntos]]*(1+Categorias_Registro[[#This Row],[Amplitud]]),0),IF(Categorias_Registro[[#This Row],[Puntos]]&lt;D1420,D1420,ROUND(D1420*(1+Categorias_Registro[[#This Row],[Amplitud]]),0)))</f>
        <v>1237</v>
      </c>
      <c r="E1419" s="15">
        <f>E1420+IF(D1420=Categorias_Registro[[#This Row],[Máximo]],0,1)</f>
        <v>19</v>
      </c>
      <c r="F1419" s="15">
        <f>ROUND(Categorias_Registro[[#This Row],[Mínimo]]+((Categorias_Registro[[#This Row],[Máximo]]-Categorias_Registro[[#This Row],[Mínimo]])/2),0)</f>
        <v>1157</v>
      </c>
      <c r="G1419" s="78">
        <f>VLOOKUP(Categorias_Registro[[#This Row],[Puntos]],Categorias_Configuracion[],MATCH(Categorias_Configuracion[[#Headers],[% Amplitud]],Categorias_Configuracion[#Headers],0),TRUE)</f>
        <v>0.15</v>
      </c>
      <c r="H1419" s="15" t="str">
        <f ca="1">TEXT(Categorias_Registro[[#This Row],[Mínimo]],Formato_Rango_Categorias)&amp;" - "&amp;TEXT(Categorias_Registro[[#This Row],[Máximo]],Formato_Rango_Categorias)</f>
        <v>1.077 - 1.237</v>
      </c>
    </row>
    <row r="1420" spans="2:8">
      <c r="B1420" s="15">
        <f>Techo - ROW() + ROW(Categorias_Registro[])</f>
        <v>1209</v>
      </c>
      <c r="C1420" s="15">
        <f>IF(Categorias_Registro[[#This Row],[Puntos]]&lt;=ROUND(Piso,0),Piso,IF(Categorias_Registro[[#This Row],[Puntos]]&lt;D1421,C1421,D1421+1))</f>
        <v>1077</v>
      </c>
      <c r="D1420" s="15">
        <f>IF(Categorias_Registro[[#This Row],[Puntos]]=ROUND(Piso,0),ROUND(Categorias_Registro[[#This Row],[Puntos]]*(1+Categorias_Registro[[#This Row],[Amplitud]]),0),IF(Categorias_Registro[[#This Row],[Puntos]]&lt;D1421,D1421,ROUND(D1421*(1+Categorias_Registro[[#This Row],[Amplitud]]),0)))</f>
        <v>1237</v>
      </c>
      <c r="E1420" s="15">
        <f>E1421+IF(D1421=Categorias_Registro[[#This Row],[Máximo]],0,1)</f>
        <v>19</v>
      </c>
      <c r="F1420" s="15">
        <f>ROUND(Categorias_Registro[[#This Row],[Mínimo]]+((Categorias_Registro[[#This Row],[Máximo]]-Categorias_Registro[[#This Row],[Mínimo]])/2),0)</f>
        <v>1157</v>
      </c>
      <c r="G1420" s="78">
        <f>VLOOKUP(Categorias_Registro[[#This Row],[Puntos]],Categorias_Configuracion[],MATCH(Categorias_Configuracion[[#Headers],[% Amplitud]],Categorias_Configuracion[#Headers],0),TRUE)</f>
        <v>0.15</v>
      </c>
      <c r="H1420" s="15" t="str">
        <f ca="1">TEXT(Categorias_Registro[[#This Row],[Mínimo]],Formato_Rango_Categorias)&amp;" - "&amp;TEXT(Categorias_Registro[[#This Row],[Máximo]],Formato_Rango_Categorias)</f>
        <v>1.077 - 1.237</v>
      </c>
    </row>
    <row r="1421" spans="2:8">
      <c r="B1421" s="15">
        <f>Techo - ROW() + ROW(Categorias_Registro[])</f>
        <v>1208</v>
      </c>
      <c r="C1421" s="15">
        <f>IF(Categorias_Registro[[#This Row],[Puntos]]&lt;=ROUND(Piso,0),Piso,IF(Categorias_Registro[[#This Row],[Puntos]]&lt;D1422,C1422,D1422+1))</f>
        <v>1077</v>
      </c>
      <c r="D1421" s="15">
        <f>IF(Categorias_Registro[[#This Row],[Puntos]]=ROUND(Piso,0),ROUND(Categorias_Registro[[#This Row],[Puntos]]*(1+Categorias_Registro[[#This Row],[Amplitud]]),0),IF(Categorias_Registro[[#This Row],[Puntos]]&lt;D1422,D1422,ROUND(D1422*(1+Categorias_Registro[[#This Row],[Amplitud]]),0)))</f>
        <v>1237</v>
      </c>
      <c r="E1421" s="15">
        <f>E1422+IF(D1422=Categorias_Registro[[#This Row],[Máximo]],0,1)</f>
        <v>19</v>
      </c>
      <c r="F1421" s="15">
        <f>ROUND(Categorias_Registro[[#This Row],[Mínimo]]+((Categorias_Registro[[#This Row],[Máximo]]-Categorias_Registro[[#This Row],[Mínimo]])/2),0)</f>
        <v>1157</v>
      </c>
      <c r="G1421" s="78">
        <f>VLOOKUP(Categorias_Registro[[#This Row],[Puntos]],Categorias_Configuracion[],MATCH(Categorias_Configuracion[[#Headers],[% Amplitud]],Categorias_Configuracion[#Headers],0),TRUE)</f>
        <v>0.15</v>
      </c>
      <c r="H1421" s="15" t="str">
        <f ca="1">TEXT(Categorias_Registro[[#This Row],[Mínimo]],Formato_Rango_Categorias)&amp;" - "&amp;TEXT(Categorias_Registro[[#This Row],[Máximo]],Formato_Rango_Categorias)</f>
        <v>1.077 - 1.237</v>
      </c>
    </row>
    <row r="1422" spans="2:8">
      <c r="B1422" s="15">
        <f>Techo - ROW() + ROW(Categorias_Registro[])</f>
        <v>1207</v>
      </c>
      <c r="C1422" s="15">
        <f>IF(Categorias_Registro[[#This Row],[Puntos]]&lt;=ROUND(Piso,0),Piso,IF(Categorias_Registro[[#This Row],[Puntos]]&lt;D1423,C1423,D1423+1))</f>
        <v>1077</v>
      </c>
      <c r="D1422" s="15">
        <f>IF(Categorias_Registro[[#This Row],[Puntos]]=ROUND(Piso,0),ROUND(Categorias_Registro[[#This Row],[Puntos]]*(1+Categorias_Registro[[#This Row],[Amplitud]]),0),IF(Categorias_Registro[[#This Row],[Puntos]]&lt;D1423,D1423,ROUND(D1423*(1+Categorias_Registro[[#This Row],[Amplitud]]),0)))</f>
        <v>1237</v>
      </c>
      <c r="E1422" s="15">
        <f>E1423+IF(D1423=Categorias_Registro[[#This Row],[Máximo]],0,1)</f>
        <v>19</v>
      </c>
      <c r="F1422" s="15">
        <f>ROUND(Categorias_Registro[[#This Row],[Mínimo]]+((Categorias_Registro[[#This Row],[Máximo]]-Categorias_Registro[[#This Row],[Mínimo]])/2),0)</f>
        <v>1157</v>
      </c>
      <c r="G1422" s="78">
        <f>VLOOKUP(Categorias_Registro[[#This Row],[Puntos]],Categorias_Configuracion[],MATCH(Categorias_Configuracion[[#Headers],[% Amplitud]],Categorias_Configuracion[#Headers],0),TRUE)</f>
        <v>0.15</v>
      </c>
      <c r="H1422" s="15" t="str">
        <f ca="1">TEXT(Categorias_Registro[[#This Row],[Mínimo]],Formato_Rango_Categorias)&amp;" - "&amp;TEXT(Categorias_Registro[[#This Row],[Máximo]],Formato_Rango_Categorias)</f>
        <v>1.077 - 1.237</v>
      </c>
    </row>
    <row r="1423" spans="2:8">
      <c r="B1423" s="15">
        <f>Techo - ROW() + ROW(Categorias_Registro[])</f>
        <v>1206</v>
      </c>
      <c r="C1423" s="15">
        <f>IF(Categorias_Registro[[#This Row],[Puntos]]&lt;=ROUND(Piso,0),Piso,IF(Categorias_Registro[[#This Row],[Puntos]]&lt;D1424,C1424,D1424+1))</f>
        <v>1077</v>
      </c>
      <c r="D1423" s="15">
        <f>IF(Categorias_Registro[[#This Row],[Puntos]]=ROUND(Piso,0),ROUND(Categorias_Registro[[#This Row],[Puntos]]*(1+Categorias_Registro[[#This Row],[Amplitud]]),0),IF(Categorias_Registro[[#This Row],[Puntos]]&lt;D1424,D1424,ROUND(D1424*(1+Categorias_Registro[[#This Row],[Amplitud]]),0)))</f>
        <v>1237</v>
      </c>
      <c r="E1423" s="15">
        <f>E1424+IF(D1424=Categorias_Registro[[#This Row],[Máximo]],0,1)</f>
        <v>19</v>
      </c>
      <c r="F1423" s="15">
        <f>ROUND(Categorias_Registro[[#This Row],[Mínimo]]+((Categorias_Registro[[#This Row],[Máximo]]-Categorias_Registro[[#This Row],[Mínimo]])/2),0)</f>
        <v>1157</v>
      </c>
      <c r="G1423" s="78">
        <f>VLOOKUP(Categorias_Registro[[#This Row],[Puntos]],Categorias_Configuracion[],MATCH(Categorias_Configuracion[[#Headers],[% Amplitud]],Categorias_Configuracion[#Headers],0),TRUE)</f>
        <v>0.15</v>
      </c>
      <c r="H1423" s="15" t="str">
        <f ca="1">TEXT(Categorias_Registro[[#This Row],[Mínimo]],Formato_Rango_Categorias)&amp;" - "&amp;TEXT(Categorias_Registro[[#This Row],[Máximo]],Formato_Rango_Categorias)</f>
        <v>1.077 - 1.237</v>
      </c>
    </row>
    <row r="1424" spans="2:8">
      <c r="B1424" s="15">
        <f>Techo - ROW() + ROW(Categorias_Registro[])</f>
        <v>1205</v>
      </c>
      <c r="C1424" s="15">
        <f>IF(Categorias_Registro[[#This Row],[Puntos]]&lt;=ROUND(Piso,0),Piso,IF(Categorias_Registro[[#This Row],[Puntos]]&lt;D1425,C1425,D1425+1))</f>
        <v>1077</v>
      </c>
      <c r="D1424" s="15">
        <f>IF(Categorias_Registro[[#This Row],[Puntos]]=ROUND(Piso,0),ROUND(Categorias_Registro[[#This Row],[Puntos]]*(1+Categorias_Registro[[#This Row],[Amplitud]]),0),IF(Categorias_Registro[[#This Row],[Puntos]]&lt;D1425,D1425,ROUND(D1425*(1+Categorias_Registro[[#This Row],[Amplitud]]),0)))</f>
        <v>1237</v>
      </c>
      <c r="E1424" s="15">
        <f>E1425+IF(D1425=Categorias_Registro[[#This Row],[Máximo]],0,1)</f>
        <v>19</v>
      </c>
      <c r="F1424" s="15">
        <f>ROUND(Categorias_Registro[[#This Row],[Mínimo]]+((Categorias_Registro[[#This Row],[Máximo]]-Categorias_Registro[[#This Row],[Mínimo]])/2),0)</f>
        <v>1157</v>
      </c>
      <c r="G1424" s="78">
        <f>VLOOKUP(Categorias_Registro[[#This Row],[Puntos]],Categorias_Configuracion[],MATCH(Categorias_Configuracion[[#Headers],[% Amplitud]],Categorias_Configuracion[#Headers],0),TRUE)</f>
        <v>0.15</v>
      </c>
      <c r="H1424" s="15" t="str">
        <f ca="1">TEXT(Categorias_Registro[[#This Row],[Mínimo]],Formato_Rango_Categorias)&amp;" - "&amp;TEXT(Categorias_Registro[[#This Row],[Máximo]],Formato_Rango_Categorias)</f>
        <v>1.077 - 1.237</v>
      </c>
    </row>
    <row r="1425" spans="2:8">
      <c r="B1425" s="15">
        <f>Techo - ROW() + ROW(Categorias_Registro[])</f>
        <v>1204</v>
      </c>
      <c r="C1425" s="15">
        <f>IF(Categorias_Registro[[#This Row],[Puntos]]&lt;=ROUND(Piso,0),Piso,IF(Categorias_Registro[[#This Row],[Puntos]]&lt;D1426,C1426,D1426+1))</f>
        <v>1077</v>
      </c>
      <c r="D1425" s="15">
        <f>IF(Categorias_Registro[[#This Row],[Puntos]]=ROUND(Piso,0),ROUND(Categorias_Registro[[#This Row],[Puntos]]*(1+Categorias_Registro[[#This Row],[Amplitud]]),0),IF(Categorias_Registro[[#This Row],[Puntos]]&lt;D1426,D1426,ROUND(D1426*(1+Categorias_Registro[[#This Row],[Amplitud]]),0)))</f>
        <v>1237</v>
      </c>
      <c r="E1425" s="15">
        <f>E1426+IF(D1426=Categorias_Registro[[#This Row],[Máximo]],0,1)</f>
        <v>19</v>
      </c>
      <c r="F1425" s="15">
        <f>ROUND(Categorias_Registro[[#This Row],[Mínimo]]+((Categorias_Registro[[#This Row],[Máximo]]-Categorias_Registro[[#This Row],[Mínimo]])/2),0)</f>
        <v>1157</v>
      </c>
      <c r="G1425" s="78">
        <f>VLOOKUP(Categorias_Registro[[#This Row],[Puntos]],Categorias_Configuracion[],MATCH(Categorias_Configuracion[[#Headers],[% Amplitud]],Categorias_Configuracion[#Headers],0),TRUE)</f>
        <v>0.15</v>
      </c>
      <c r="H1425" s="15" t="str">
        <f ca="1">TEXT(Categorias_Registro[[#This Row],[Mínimo]],Formato_Rango_Categorias)&amp;" - "&amp;TEXT(Categorias_Registro[[#This Row],[Máximo]],Formato_Rango_Categorias)</f>
        <v>1.077 - 1.237</v>
      </c>
    </row>
    <row r="1426" spans="2:8">
      <c r="B1426" s="15">
        <f>Techo - ROW() + ROW(Categorias_Registro[])</f>
        <v>1203</v>
      </c>
      <c r="C1426" s="15">
        <f>IF(Categorias_Registro[[#This Row],[Puntos]]&lt;=ROUND(Piso,0),Piso,IF(Categorias_Registro[[#This Row],[Puntos]]&lt;D1427,C1427,D1427+1))</f>
        <v>1077</v>
      </c>
      <c r="D1426" s="15">
        <f>IF(Categorias_Registro[[#This Row],[Puntos]]=ROUND(Piso,0),ROUND(Categorias_Registro[[#This Row],[Puntos]]*(1+Categorias_Registro[[#This Row],[Amplitud]]),0),IF(Categorias_Registro[[#This Row],[Puntos]]&lt;D1427,D1427,ROUND(D1427*(1+Categorias_Registro[[#This Row],[Amplitud]]),0)))</f>
        <v>1237</v>
      </c>
      <c r="E1426" s="15">
        <f>E1427+IF(D1427=Categorias_Registro[[#This Row],[Máximo]],0,1)</f>
        <v>19</v>
      </c>
      <c r="F1426" s="15">
        <f>ROUND(Categorias_Registro[[#This Row],[Mínimo]]+((Categorias_Registro[[#This Row],[Máximo]]-Categorias_Registro[[#This Row],[Mínimo]])/2),0)</f>
        <v>1157</v>
      </c>
      <c r="G1426" s="78">
        <f>VLOOKUP(Categorias_Registro[[#This Row],[Puntos]],Categorias_Configuracion[],MATCH(Categorias_Configuracion[[#Headers],[% Amplitud]],Categorias_Configuracion[#Headers],0),TRUE)</f>
        <v>0.15</v>
      </c>
      <c r="H1426" s="15" t="str">
        <f ca="1">TEXT(Categorias_Registro[[#This Row],[Mínimo]],Formato_Rango_Categorias)&amp;" - "&amp;TEXT(Categorias_Registro[[#This Row],[Máximo]],Formato_Rango_Categorias)</f>
        <v>1.077 - 1.237</v>
      </c>
    </row>
    <row r="1427" spans="2:8">
      <c r="B1427" s="15">
        <f>Techo - ROW() + ROW(Categorias_Registro[])</f>
        <v>1202</v>
      </c>
      <c r="C1427" s="15">
        <f>IF(Categorias_Registro[[#This Row],[Puntos]]&lt;=ROUND(Piso,0),Piso,IF(Categorias_Registro[[#This Row],[Puntos]]&lt;D1428,C1428,D1428+1))</f>
        <v>1077</v>
      </c>
      <c r="D1427" s="15">
        <f>IF(Categorias_Registro[[#This Row],[Puntos]]=ROUND(Piso,0),ROUND(Categorias_Registro[[#This Row],[Puntos]]*(1+Categorias_Registro[[#This Row],[Amplitud]]),0),IF(Categorias_Registro[[#This Row],[Puntos]]&lt;D1428,D1428,ROUND(D1428*(1+Categorias_Registro[[#This Row],[Amplitud]]),0)))</f>
        <v>1237</v>
      </c>
      <c r="E1427" s="15">
        <f>E1428+IF(D1428=Categorias_Registro[[#This Row],[Máximo]],0,1)</f>
        <v>19</v>
      </c>
      <c r="F1427" s="15">
        <f>ROUND(Categorias_Registro[[#This Row],[Mínimo]]+((Categorias_Registro[[#This Row],[Máximo]]-Categorias_Registro[[#This Row],[Mínimo]])/2),0)</f>
        <v>1157</v>
      </c>
      <c r="G1427" s="78">
        <f>VLOOKUP(Categorias_Registro[[#This Row],[Puntos]],Categorias_Configuracion[],MATCH(Categorias_Configuracion[[#Headers],[% Amplitud]],Categorias_Configuracion[#Headers],0),TRUE)</f>
        <v>0.15</v>
      </c>
      <c r="H1427" s="15" t="str">
        <f ca="1">TEXT(Categorias_Registro[[#This Row],[Mínimo]],Formato_Rango_Categorias)&amp;" - "&amp;TEXT(Categorias_Registro[[#This Row],[Máximo]],Formato_Rango_Categorias)</f>
        <v>1.077 - 1.237</v>
      </c>
    </row>
    <row r="1428" spans="2:8">
      <c r="B1428" s="15">
        <f>Techo - ROW() + ROW(Categorias_Registro[])</f>
        <v>1201</v>
      </c>
      <c r="C1428" s="15">
        <f>IF(Categorias_Registro[[#This Row],[Puntos]]&lt;=ROUND(Piso,0),Piso,IF(Categorias_Registro[[#This Row],[Puntos]]&lt;D1429,C1429,D1429+1))</f>
        <v>1077</v>
      </c>
      <c r="D1428" s="15">
        <f>IF(Categorias_Registro[[#This Row],[Puntos]]=ROUND(Piso,0),ROUND(Categorias_Registro[[#This Row],[Puntos]]*(1+Categorias_Registro[[#This Row],[Amplitud]]),0),IF(Categorias_Registro[[#This Row],[Puntos]]&lt;D1429,D1429,ROUND(D1429*(1+Categorias_Registro[[#This Row],[Amplitud]]),0)))</f>
        <v>1237</v>
      </c>
      <c r="E1428" s="15">
        <f>E1429+IF(D1429=Categorias_Registro[[#This Row],[Máximo]],0,1)</f>
        <v>19</v>
      </c>
      <c r="F1428" s="15">
        <f>ROUND(Categorias_Registro[[#This Row],[Mínimo]]+((Categorias_Registro[[#This Row],[Máximo]]-Categorias_Registro[[#This Row],[Mínimo]])/2),0)</f>
        <v>1157</v>
      </c>
      <c r="G1428" s="78">
        <f>VLOOKUP(Categorias_Registro[[#This Row],[Puntos]],Categorias_Configuracion[],MATCH(Categorias_Configuracion[[#Headers],[% Amplitud]],Categorias_Configuracion[#Headers],0),TRUE)</f>
        <v>0.15</v>
      </c>
      <c r="H1428" s="15" t="str">
        <f ca="1">TEXT(Categorias_Registro[[#This Row],[Mínimo]],Formato_Rango_Categorias)&amp;" - "&amp;TEXT(Categorias_Registro[[#This Row],[Máximo]],Formato_Rango_Categorias)</f>
        <v>1.077 - 1.237</v>
      </c>
    </row>
    <row r="1429" spans="2:8">
      <c r="B1429" s="15">
        <f>Techo - ROW() + ROW(Categorias_Registro[])</f>
        <v>1200</v>
      </c>
      <c r="C1429" s="15">
        <f>IF(Categorias_Registro[[#This Row],[Puntos]]&lt;=ROUND(Piso,0),Piso,IF(Categorias_Registro[[#This Row],[Puntos]]&lt;D1430,C1430,D1430+1))</f>
        <v>1077</v>
      </c>
      <c r="D1429" s="15">
        <f>IF(Categorias_Registro[[#This Row],[Puntos]]=ROUND(Piso,0),ROUND(Categorias_Registro[[#This Row],[Puntos]]*(1+Categorias_Registro[[#This Row],[Amplitud]]),0),IF(Categorias_Registro[[#This Row],[Puntos]]&lt;D1430,D1430,ROUND(D1430*(1+Categorias_Registro[[#This Row],[Amplitud]]),0)))</f>
        <v>1237</v>
      </c>
      <c r="E1429" s="15">
        <f>E1430+IF(D1430=Categorias_Registro[[#This Row],[Máximo]],0,1)</f>
        <v>19</v>
      </c>
      <c r="F1429" s="15">
        <f>ROUND(Categorias_Registro[[#This Row],[Mínimo]]+((Categorias_Registro[[#This Row],[Máximo]]-Categorias_Registro[[#This Row],[Mínimo]])/2),0)</f>
        <v>1157</v>
      </c>
      <c r="G1429" s="78">
        <f>VLOOKUP(Categorias_Registro[[#This Row],[Puntos]],Categorias_Configuracion[],MATCH(Categorias_Configuracion[[#Headers],[% Amplitud]],Categorias_Configuracion[#Headers],0),TRUE)</f>
        <v>0.15</v>
      </c>
      <c r="H1429" s="15" t="str">
        <f ca="1">TEXT(Categorias_Registro[[#This Row],[Mínimo]],Formato_Rango_Categorias)&amp;" - "&amp;TEXT(Categorias_Registro[[#This Row],[Máximo]],Formato_Rango_Categorias)</f>
        <v>1.077 - 1.237</v>
      </c>
    </row>
    <row r="1430" spans="2:8">
      <c r="B1430" s="15">
        <f>Techo - ROW() + ROW(Categorias_Registro[])</f>
        <v>1199</v>
      </c>
      <c r="C1430" s="15">
        <f>IF(Categorias_Registro[[#This Row],[Puntos]]&lt;=ROUND(Piso,0),Piso,IF(Categorias_Registro[[#This Row],[Puntos]]&lt;D1431,C1431,D1431+1))</f>
        <v>1077</v>
      </c>
      <c r="D1430" s="15">
        <f>IF(Categorias_Registro[[#This Row],[Puntos]]=ROUND(Piso,0),ROUND(Categorias_Registro[[#This Row],[Puntos]]*(1+Categorias_Registro[[#This Row],[Amplitud]]),0),IF(Categorias_Registro[[#This Row],[Puntos]]&lt;D1431,D1431,ROUND(D1431*(1+Categorias_Registro[[#This Row],[Amplitud]]),0)))</f>
        <v>1237</v>
      </c>
      <c r="E1430" s="15">
        <f>E1431+IF(D1431=Categorias_Registro[[#This Row],[Máximo]],0,1)</f>
        <v>19</v>
      </c>
      <c r="F1430" s="15">
        <f>ROUND(Categorias_Registro[[#This Row],[Mínimo]]+((Categorias_Registro[[#This Row],[Máximo]]-Categorias_Registro[[#This Row],[Mínimo]])/2),0)</f>
        <v>1157</v>
      </c>
      <c r="G1430" s="78">
        <f>VLOOKUP(Categorias_Registro[[#This Row],[Puntos]],Categorias_Configuracion[],MATCH(Categorias_Configuracion[[#Headers],[% Amplitud]],Categorias_Configuracion[#Headers],0),TRUE)</f>
        <v>0.15</v>
      </c>
      <c r="H1430" s="15" t="str">
        <f ca="1">TEXT(Categorias_Registro[[#This Row],[Mínimo]],Formato_Rango_Categorias)&amp;" - "&amp;TEXT(Categorias_Registro[[#This Row],[Máximo]],Formato_Rango_Categorias)</f>
        <v>1.077 - 1.237</v>
      </c>
    </row>
    <row r="1431" spans="2:8">
      <c r="B1431" s="15">
        <f>Techo - ROW() + ROW(Categorias_Registro[])</f>
        <v>1198</v>
      </c>
      <c r="C1431" s="15">
        <f>IF(Categorias_Registro[[#This Row],[Puntos]]&lt;=ROUND(Piso,0),Piso,IF(Categorias_Registro[[#This Row],[Puntos]]&lt;D1432,C1432,D1432+1))</f>
        <v>1077</v>
      </c>
      <c r="D1431" s="15">
        <f>IF(Categorias_Registro[[#This Row],[Puntos]]=ROUND(Piso,0),ROUND(Categorias_Registro[[#This Row],[Puntos]]*(1+Categorias_Registro[[#This Row],[Amplitud]]),0),IF(Categorias_Registro[[#This Row],[Puntos]]&lt;D1432,D1432,ROUND(D1432*(1+Categorias_Registro[[#This Row],[Amplitud]]),0)))</f>
        <v>1237</v>
      </c>
      <c r="E1431" s="15">
        <f>E1432+IF(D1432=Categorias_Registro[[#This Row],[Máximo]],0,1)</f>
        <v>19</v>
      </c>
      <c r="F1431" s="15">
        <f>ROUND(Categorias_Registro[[#This Row],[Mínimo]]+((Categorias_Registro[[#This Row],[Máximo]]-Categorias_Registro[[#This Row],[Mínimo]])/2),0)</f>
        <v>1157</v>
      </c>
      <c r="G1431" s="78">
        <f>VLOOKUP(Categorias_Registro[[#This Row],[Puntos]],Categorias_Configuracion[],MATCH(Categorias_Configuracion[[#Headers],[% Amplitud]],Categorias_Configuracion[#Headers],0),TRUE)</f>
        <v>0.15</v>
      </c>
      <c r="H1431" s="15" t="str">
        <f ca="1">TEXT(Categorias_Registro[[#This Row],[Mínimo]],Formato_Rango_Categorias)&amp;" - "&amp;TEXT(Categorias_Registro[[#This Row],[Máximo]],Formato_Rango_Categorias)</f>
        <v>1.077 - 1.237</v>
      </c>
    </row>
    <row r="1432" spans="2:8">
      <c r="B1432" s="15">
        <f>Techo - ROW() + ROW(Categorias_Registro[])</f>
        <v>1197</v>
      </c>
      <c r="C1432" s="15">
        <f>IF(Categorias_Registro[[#This Row],[Puntos]]&lt;=ROUND(Piso,0),Piso,IF(Categorias_Registro[[#This Row],[Puntos]]&lt;D1433,C1433,D1433+1))</f>
        <v>1077</v>
      </c>
      <c r="D1432" s="15">
        <f>IF(Categorias_Registro[[#This Row],[Puntos]]=ROUND(Piso,0),ROUND(Categorias_Registro[[#This Row],[Puntos]]*(1+Categorias_Registro[[#This Row],[Amplitud]]),0),IF(Categorias_Registro[[#This Row],[Puntos]]&lt;D1433,D1433,ROUND(D1433*(1+Categorias_Registro[[#This Row],[Amplitud]]),0)))</f>
        <v>1237</v>
      </c>
      <c r="E1432" s="15">
        <f>E1433+IF(D1433=Categorias_Registro[[#This Row],[Máximo]],0,1)</f>
        <v>19</v>
      </c>
      <c r="F1432" s="15">
        <f>ROUND(Categorias_Registro[[#This Row],[Mínimo]]+((Categorias_Registro[[#This Row],[Máximo]]-Categorias_Registro[[#This Row],[Mínimo]])/2),0)</f>
        <v>1157</v>
      </c>
      <c r="G1432" s="78">
        <f>VLOOKUP(Categorias_Registro[[#This Row],[Puntos]],Categorias_Configuracion[],MATCH(Categorias_Configuracion[[#Headers],[% Amplitud]],Categorias_Configuracion[#Headers],0),TRUE)</f>
        <v>0.15</v>
      </c>
      <c r="H1432" s="15" t="str">
        <f ca="1">TEXT(Categorias_Registro[[#This Row],[Mínimo]],Formato_Rango_Categorias)&amp;" - "&amp;TEXT(Categorias_Registro[[#This Row],[Máximo]],Formato_Rango_Categorias)</f>
        <v>1.077 - 1.237</v>
      </c>
    </row>
    <row r="1433" spans="2:8">
      <c r="B1433" s="15">
        <f>Techo - ROW() + ROW(Categorias_Registro[])</f>
        <v>1196</v>
      </c>
      <c r="C1433" s="15">
        <f>IF(Categorias_Registro[[#This Row],[Puntos]]&lt;=ROUND(Piso,0),Piso,IF(Categorias_Registro[[#This Row],[Puntos]]&lt;D1434,C1434,D1434+1))</f>
        <v>1077</v>
      </c>
      <c r="D1433" s="15">
        <f>IF(Categorias_Registro[[#This Row],[Puntos]]=ROUND(Piso,0),ROUND(Categorias_Registro[[#This Row],[Puntos]]*(1+Categorias_Registro[[#This Row],[Amplitud]]),0),IF(Categorias_Registro[[#This Row],[Puntos]]&lt;D1434,D1434,ROUND(D1434*(1+Categorias_Registro[[#This Row],[Amplitud]]),0)))</f>
        <v>1237</v>
      </c>
      <c r="E1433" s="15">
        <f>E1434+IF(D1434=Categorias_Registro[[#This Row],[Máximo]],0,1)</f>
        <v>19</v>
      </c>
      <c r="F1433" s="15">
        <f>ROUND(Categorias_Registro[[#This Row],[Mínimo]]+((Categorias_Registro[[#This Row],[Máximo]]-Categorias_Registro[[#This Row],[Mínimo]])/2),0)</f>
        <v>1157</v>
      </c>
      <c r="G1433" s="78">
        <f>VLOOKUP(Categorias_Registro[[#This Row],[Puntos]],Categorias_Configuracion[],MATCH(Categorias_Configuracion[[#Headers],[% Amplitud]],Categorias_Configuracion[#Headers],0),TRUE)</f>
        <v>0.15</v>
      </c>
      <c r="H1433" s="15" t="str">
        <f ca="1">TEXT(Categorias_Registro[[#This Row],[Mínimo]],Formato_Rango_Categorias)&amp;" - "&amp;TEXT(Categorias_Registro[[#This Row],[Máximo]],Formato_Rango_Categorias)</f>
        <v>1.077 - 1.237</v>
      </c>
    </row>
    <row r="1434" spans="2:8">
      <c r="B1434" s="15">
        <f>Techo - ROW() + ROW(Categorias_Registro[])</f>
        <v>1195</v>
      </c>
      <c r="C1434" s="15">
        <f>IF(Categorias_Registro[[#This Row],[Puntos]]&lt;=ROUND(Piso,0),Piso,IF(Categorias_Registro[[#This Row],[Puntos]]&lt;D1435,C1435,D1435+1))</f>
        <v>1077</v>
      </c>
      <c r="D1434" s="15">
        <f>IF(Categorias_Registro[[#This Row],[Puntos]]=ROUND(Piso,0),ROUND(Categorias_Registro[[#This Row],[Puntos]]*(1+Categorias_Registro[[#This Row],[Amplitud]]),0),IF(Categorias_Registro[[#This Row],[Puntos]]&lt;D1435,D1435,ROUND(D1435*(1+Categorias_Registro[[#This Row],[Amplitud]]),0)))</f>
        <v>1237</v>
      </c>
      <c r="E1434" s="15">
        <f>E1435+IF(D1435=Categorias_Registro[[#This Row],[Máximo]],0,1)</f>
        <v>19</v>
      </c>
      <c r="F1434" s="15">
        <f>ROUND(Categorias_Registro[[#This Row],[Mínimo]]+((Categorias_Registro[[#This Row],[Máximo]]-Categorias_Registro[[#This Row],[Mínimo]])/2),0)</f>
        <v>1157</v>
      </c>
      <c r="G1434" s="78">
        <f>VLOOKUP(Categorias_Registro[[#This Row],[Puntos]],Categorias_Configuracion[],MATCH(Categorias_Configuracion[[#Headers],[% Amplitud]],Categorias_Configuracion[#Headers],0),TRUE)</f>
        <v>0.15</v>
      </c>
      <c r="H1434" s="15" t="str">
        <f ca="1">TEXT(Categorias_Registro[[#This Row],[Mínimo]],Formato_Rango_Categorias)&amp;" - "&amp;TEXT(Categorias_Registro[[#This Row],[Máximo]],Formato_Rango_Categorias)</f>
        <v>1.077 - 1.237</v>
      </c>
    </row>
    <row r="1435" spans="2:8">
      <c r="B1435" s="15">
        <f>Techo - ROW() + ROW(Categorias_Registro[])</f>
        <v>1194</v>
      </c>
      <c r="C1435" s="15">
        <f>IF(Categorias_Registro[[#This Row],[Puntos]]&lt;=ROUND(Piso,0),Piso,IF(Categorias_Registro[[#This Row],[Puntos]]&lt;D1436,C1436,D1436+1))</f>
        <v>1077</v>
      </c>
      <c r="D1435" s="15">
        <f>IF(Categorias_Registro[[#This Row],[Puntos]]=ROUND(Piso,0),ROUND(Categorias_Registro[[#This Row],[Puntos]]*(1+Categorias_Registro[[#This Row],[Amplitud]]),0),IF(Categorias_Registro[[#This Row],[Puntos]]&lt;D1436,D1436,ROUND(D1436*(1+Categorias_Registro[[#This Row],[Amplitud]]),0)))</f>
        <v>1237</v>
      </c>
      <c r="E1435" s="15">
        <f>E1436+IF(D1436=Categorias_Registro[[#This Row],[Máximo]],0,1)</f>
        <v>19</v>
      </c>
      <c r="F1435" s="15">
        <f>ROUND(Categorias_Registro[[#This Row],[Mínimo]]+((Categorias_Registro[[#This Row],[Máximo]]-Categorias_Registro[[#This Row],[Mínimo]])/2),0)</f>
        <v>1157</v>
      </c>
      <c r="G1435" s="78">
        <f>VLOOKUP(Categorias_Registro[[#This Row],[Puntos]],Categorias_Configuracion[],MATCH(Categorias_Configuracion[[#Headers],[% Amplitud]],Categorias_Configuracion[#Headers],0),TRUE)</f>
        <v>0.15</v>
      </c>
      <c r="H1435" s="15" t="str">
        <f ca="1">TEXT(Categorias_Registro[[#This Row],[Mínimo]],Formato_Rango_Categorias)&amp;" - "&amp;TEXT(Categorias_Registro[[#This Row],[Máximo]],Formato_Rango_Categorias)</f>
        <v>1.077 - 1.237</v>
      </c>
    </row>
    <row r="1436" spans="2:8">
      <c r="B1436" s="15">
        <f>Techo - ROW() + ROW(Categorias_Registro[])</f>
        <v>1193</v>
      </c>
      <c r="C1436" s="15">
        <f>IF(Categorias_Registro[[#This Row],[Puntos]]&lt;=ROUND(Piso,0),Piso,IF(Categorias_Registro[[#This Row],[Puntos]]&lt;D1437,C1437,D1437+1))</f>
        <v>1077</v>
      </c>
      <c r="D1436" s="15">
        <f>IF(Categorias_Registro[[#This Row],[Puntos]]=ROUND(Piso,0),ROUND(Categorias_Registro[[#This Row],[Puntos]]*(1+Categorias_Registro[[#This Row],[Amplitud]]),0),IF(Categorias_Registro[[#This Row],[Puntos]]&lt;D1437,D1437,ROUND(D1437*(1+Categorias_Registro[[#This Row],[Amplitud]]),0)))</f>
        <v>1237</v>
      </c>
      <c r="E1436" s="15">
        <f>E1437+IF(D1437=Categorias_Registro[[#This Row],[Máximo]],0,1)</f>
        <v>19</v>
      </c>
      <c r="F1436" s="15">
        <f>ROUND(Categorias_Registro[[#This Row],[Mínimo]]+((Categorias_Registro[[#This Row],[Máximo]]-Categorias_Registro[[#This Row],[Mínimo]])/2),0)</f>
        <v>1157</v>
      </c>
      <c r="G1436" s="78">
        <f>VLOOKUP(Categorias_Registro[[#This Row],[Puntos]],Categorias_Configuracion[],MATCH(Categorias_Configuracion[[#Headers],[% Amplitud]],Categorias_Configuracion[#Headers],0),TRUE)</f>
        <v>0.15</v>
      </c>
      <c r="H1436" s="15" t="str">
        <f ca="1">TEXT(Categorias_Registro[[#This Row],[Mínimo]],Formato_Rango_Categorias)&amp;" - "&amp;TEXT(Categorias_Registro[[#This Row],[Máximo]],Formato_Rango_Categorias)</f>
        <v>1.077 - 1.237</v>
      </c>
    </row>
    <row r="1437" spans="2:8">
      <c r="B1437" s="15">
        <f>Techo - ROW() + ROW(Categorias_Registro[])</f>
        <v>1192</v>
      </c>
      <c r="C1437" s="15">
        <f>IF(Categorias_Registro[[#This Row],[Puntos]]&lt;=ROUND(Piso,0),Piso,IF(Categorias_Registro[[#This Row],[Puntos]]&lt;D1438,C1438,D1438+1))</f>
        <v>1077</v>
      </c>
      <c r="D1437" s="15">
        <f>IF(Categorias_Registro[[#This Row],[Puntos]]=ROUND(Piso,0),ROUND(Categorias_Registro[[#This Row],[Puntos]]*(1+Categorias_Registro[[#This Row],[Amplitud]]),0),IF(Categorias_Registro[[#This Row],[Puntos]]&lt;D1438,D1438,ROUND(D1438*(1+Categorias_Registro[[#This Row],[Amplitud]]),0)))</f>
        <v>1237</v>
      </c>
      <c r="E1437" s="15">
        <f>E1438+IF(D1438=Categorias_Registro[[#This Row],[Máximo]],0,1)</f>
        <v>19</v>
      </c>
      <c r="F1437" s="15">
        <f>ROUND(Categorias_Registro[[#This Row],[Mínimo]]+((Categorias_Registro[[#This Row],[Máximo]]-Categorias_Registro[[#This Row],[Mínimo]])/2),0)</f>
        <v>1157</v>
      </c>
      <c r="G1437" s="78">
        <f>VLOOKUP(Categorias_Registro[[#This Row],[Puntos]],Categorias_Configuracion[],MATCH(Categorias_Configuracion[[#Headers],[% Amplitud]],Categorias_Configuracion[#Headers],0),TRUE)</f>
        <v>0.15</v>
      </c>
      <c r="H1437" s="15" t="str">
        <f ca="1">TEXT(Categorias_Registro[[#This Row],[Mínimo]],Formato_Rango_Categorias)&amp;" - "&amp;TEXT(Categorias_Registro[[#This Row],[Máximo]],Formato_Rango_Categorias)</f>
        <v>1.077 - 1.237</v>
      </c>
    </row>
    <row r="1438" spans="2:8">
      <c r="B1438" s="15">
        <f>Techo - ROW() + ROW(Categorias_Registro[])</f>
        <v>1191</v>
      </c>
      <c r="C1438" s="15">
        <f>IF(Categorias_Registro[[#This Row],[Puntos]]&lt;=ROUND(Piso,0),Piso,IF(Categorias_Registro[[#This Row],[Puntos]]&lt;D1439,C1439,D1439+1))</f>
        <v>1077</v>
      </c>
      <c r="D1438" s="15">
        <f>IF(Categorias_Registro[[#This Row],[Puntos]]=ROUND(Piso,0),ROUND(Categorias_Registro[[#This Row],[Puntos]]*(1+Categorias_Registro[[#This Row],[Amplitud]]),0),IF(Categorias_Registro[[#This Row],[Puntos]]&lt;D1439,D1439,ROUND(D1439*(1+Categorias_Registro[[#This Row],[Amplitud]]),0)))</f>
        <v>1237</v>
      </c>
      <c r="E1438" s="15">
        <f>E1439+IF(D1439=Categorias_Registro[[#This Row],[Máximo]],0,1)</f>
        <v>19</v>
      </c>
      <c r="F1438" s="15">
        <f>ROUND(Categorias_Registro[[#This Row],[Mínimo]]+((Categorias_Registro[[#This Row],[Máximo]]-Categorias_Registro[[#This Row],[Mínimo]])/2),0)</f>
        <v>1157</v>
      </c>
      <c r="G1438" s="78">
        <f>VLOOKUP(Categorias_Registro[[#This Row],[Puntos]],Categorias_Configuracion[],MATCH(Categorias_Configuracion[[#Headers],[% Amplitud]],Categorias_Configuracion[#Headers],0),TRUE)</f>
        <v>0.15</v>
      </c>
      <c r="H1438" s="15" t="str">
        <f ca="1">TEXT(Categorias_Registro[[#This Row],[Mínimo]],Formato_Rango_Categorias)&amp;" - "&amp;TEXT(Categorias_Registro[[#This Row],[Máximo]],Formato_Rango_Categorias)</f>
        <v>1.077 - 1.237</v>
      </c>
    </row>
    <row r="1439" spans="2:8">
      <c r="B1439" s="15">
        <f>Techo - ROW() + ROW(Categorias_Registro[])</f>
        <v>1190</v>
      </c>
      <c r="C1439" s="15">
        <f>IF(Categorias_Registro[[#This Row],[Puntos]]&lt;=ROUND(Piso,0),Piso,IF(Categorias_Registro[[#This Row],[Puntos]]&lt;D1440,C1440,D1440+1))</f>
        <v>1077</v>
      </c>
      <c r="D1439" s="15">
        <f>IF(Categorias_Registro[[#This Row],[Puntos]]=ROUND(Piso,0),ROUND(Categorias_Registro[[#This Row],[Puntos]]*(1+Categorias_Registro[[#This Row],[Amplitud]]),0),IF(Categorias_Registro[[#This Row],[Puntos]]&lt;D1440,D1440,ROUND(D1440*(1+Categorias_Registro[[#This Row],[Amplitud]]),0)))</f>
        <v>1237</v>
      </c>
      <c r="E1439" s="15">
        <f>E1440+IF(D1440=Categorias_Registro[[#This Row],[Máximo]],0,1)</f>
        <v>19</v>
      </c>
      <c r="F1439" s="15">
        <f>ROUND(Categorias_Registro[[#This Row],[Mínimo]]+((Categorias_Registro[[#This Row],[Máximo]]-Categorias_Registro[[#This Row],[Mínimo]])/2),0)</f>
        <v>1157</v>
      </c>
      <c r="G1439" s="78">
        <f>VLOOKUP(Categorias_Registro[[#This Row],[Puntos]],Categorias_Configuracion[],MATCH(Categorias_Configuracion[[#Headers],[% Amplitud]],Categorias_Configuracion[#Headers],0),TRUE)</f>
        <v>0.15</v>
      </c>
      <c r="H1439" s="15" t="str">
        <f ca="1">TEXT(Categorias_Registro[[#This Row],[Mínimo]],Formato_Rango_Categorias)&amp;" - "&amp;TEXT(Categorias_Registro[[#This Row],[Máximo]],Formato_Rango_Categorias)</f>
        <v>1.077 - 1.237</v>
      </c>
    </row>
    <row r="1440" spans="2:8">
      <c r="B1440" s="15">
        <f>Techo - ROW() + ROW(Categorias_Registro[])</f>
        <v>1189</v>
      </c>
      <c r="C1440" s="15">
        <f>IF(Categorias_Registro[[#This Row],[Puntos]]&lt;=ROUND(Piso,0),Piso,IF(Categorias_Registro[[#This Row],[Puntos]]&lt;D1441,C1441,D1441+1))</f>
        <v>1077</v>
      </c>
      <c r="D1440" s="15">
        <f>IF(Categorias_Registro[[#This Row],[Puntos]]=ROUND(Piso,0),ROUND(Categorias_Registro[[#This Row],[Puntos]]*(1+Categorias_Registro[[#This Row],[Amplitud]]),0),IF(Categorias_Registro[[#This Row],[Puntos]]&lt;D1441,D1441,ROUND(D1441*(1+Categorias_Registro[[#This Row],[Amplitud]]),0)))</f>
        <v>1237</v>
      </c>
      <c r="E1440" s="15">
        <f>E1441+IF(D1441=Categorias_Registro[[#This Row],[Máximo]],0,1)</f>
        <v>19</v>
      </c>
      <c r="F1440" s="15">
        <f>ROUND(Categorias_Registro[[#This Row],[Mínimo]]+((Categorias_Registro[[#This Row],[Máximo]]-Categorias_Registro[[#This Row],[Mínimo]])/2),0)</f>
        <v>1157</v>
      </c>
      <c r="G1440" s="78">
        <f>VLOOKUP(Categorias_Registro[[#This Row],[Puntos]],Categorias_Configuracion[],MATCH(Categorias_Configuracion[[#Headers],[% Amplitud]],Categorias_Configuracion[#Headers],0),TRUE)</f>
        <v>0.15</v>
      </c>
      <c r="H1440" s="15" t="str">
        <f ca="1">TEXT(Categorias_Registro[[#This Row],[Mínimo]],Formato_Rango_Categorias)&amp;" - "&amp;TEXT(Categorias_Registro[[#This Row],[Máximo]],Formato_Rango_Categorias)</f>
        <v>1.077 - 1.237</v>
      </c>
    </row>
    <row r="1441" spans="2:8">
      <c r="B1441" s="15">
        <f>Techo - ROW() + ROW(Categorias_Registro[])</f>
        <v>1188</v>
      </c>
      <c r="C1441" s="15">
        <f>IF(Categorias_Registro[[#This Row],[Puntos]]&lt;=ROUND(Piso,0),Piso,IF(Categorias_Registro[[#This Row],[Puntos]]&lt;D1442,C1442,D1442+1))</f>
        <v>1077</v>
      </c>
      <c r="D1441" s="15">
        <f>IF(Categorias_Registro[[#This Row],[Puntos]]=ROUND(Piso,0),ROUND(Categorias_Registro[[#This Row],[Puntos]]*(1+Categorias_Registro[[#This Row],[Amplitud]]),0),IF(Categorias_Registro[[#This Row],[Puntos]]&lt;D1442,D1442,ROUND(D1442*(1+Categorias_Registro[[#This Row],[Amplitud]]),0)))</f>
        <v>1237</v>
      </c>
      <c r="E1441" s="15">
        <f>E1442+IF(D1442=Categorias_Registro[[#This Row],[Máximo]],0,1)</f>
        <v>19</v>
      </c>
      <c r="F1441" s="15">
        <f>ROUND(Categorias_Registro[[#This Row],[Mínimo]]+((Categorias_Registro[[#This Row],[Máximo]]-Categorias_Registro[[#This Row],[Mínimo]])/2),0)</f>
        <v>1157</v>
      </c>
      <c r="G1441" s="78">
        <f>VLOOKUP(Categorias_Registro[[#This Row],[Puntos]],Categorias_Configuracion[],MATCH(Categorias_Configuracion[[#Headers],[% Amplitud]],Categorias_Configuracion[#Headers],0),TRUE)</f>
        <v>0.15</v>
      </c>
      <c r="H1441" s="15" t="str">
        <f ca="1">TEXT(Categorias_Registro[[#This Row],[Mínimo]],Formato_Rango_Categorias)&amp;" - "&amp;TEXT(Categorias_Registro[[#This Row],[Máximo]],Formato_Rango_Categorias)</f>
        <v>1.077 - 1.237</v>
      </c>
    </row>
    <row r="1442" spans="2:8">
      <c r="B1442" s="15">
        <f>Techo - ROW() + ROW(Categorias_Registro[])</f>
        <v>1187</v>
      </c>
      <c r="C1442" s="15">
        <f>IF(Categorias_Registro[[#This Row],[Puntos]]&lt;=ROUND(Piso,0),Piso,IF(Categorias_Registro[[#This Row],[Puntos]]&lt;D1443,C1443,D1443+1))</f>
        <v>1077</v>
      </c>
      <c r="D1442" s="15">
        <f>IF(Categorias_Registro[[#This Row],[Puntos]]=ROUND(Piso,0),ROUND(Categorias_Registro[[#This Row],[Puntos]]*(1+Categorias_Registro[[#This Row],[Amplitud]]),0),IF(Categorias_Registro[[#This Row],[Puntos]]&lt;D1443,D1443,ROUND(D1443*(1+Categorias_Registro[[#This Row],[Amplitud]]),0)))</f>
        <v>1237</v>
      </c>
      <c r="E1442" s="15">
        <f>E1443+IF(D1443=Categorias_Registro[[#This Row],[Máximo]],0,1)</f>
        <v>19</v>
      </c>
      <c r="F1442" s="15">
        <f>ROUND(Categorias_Registro[[#This Row],[Mínimo]]+((Categorias_Registro[[#This Row],[Máximo]]-Categorias_Registro[[#This Row],[Mínimo]])/2),0)</f>
        <v>1157</v>
      </c>
      <c r="G1442" s="78">
        <f>VLOOKUP(Categorias_Registro[[#This Row],[Puntos]],Categorias_Configuracion[],MATCH(Categorias_Configuracion[[#Headers],[% Amplitud]],Categorias_Configuracion[#Headers],0),TRUE)</f>
        <v>0.15</v>
      </c>
      <c r="H1442" s="15" t="str">
        <f ca="1">TEXT(Categorias_Registro[[#This Row],[Mínimo]],Formato_Rango_Categorias)&amp;" - "&amp;TEXT(Categorias_Registro[[#This Row],[Máximo]],Formato_Rango_Categorias)</f>
        <v>1.077 - 1.237</v>
      </c>
    </row>
    <row r="1443" spans="2:8">
      <c r="B1443" s="15">
        <f>Techo - ROW() + ROW(Categorias_Registro[])</f>
        <v>1186</v>
      </c>
      <c r="C1443" s="15">
        <f>IF(Categorias_Registro[[#This Row],[Puntos]]&lt;=ROUND(Piso,0),Piso,IF(Categorias_Registro[[#This Row],[Puntos]]&lt;D1444,C1444,D1444+1))</f>
        <v>1077</v>
      </c>
      <c r="D1443" s="15">
        <f>IF(Categorias_Registro[[#This Row],[Puntos]]=ROUND(Piso,0),ROUND(Categorias_Registro[[#This Row],[Puntos]]*(1+Categorias_Registro[[#This Row],[Amplitud]]),0),IF(Categorias_Registro[[#This Row],[Puntos]]&lt;D1444,D1444,ROUND(D1444*(1+Categorias_Registro[[#This Row],[Amplitud]]),0)))</f>
        <v>1237</v>
      </c>
      <c r="E1443" s="15">
        <f>E1444+IF(D1444=Categorias_Registro[[#This Row],[Máximo]],0,1)</f>
        <v>19</v>
      </c>
      <c r="F1443" s="15">
        <f>ROUND(Categorias_Registro[[#This Row],[Mínimo]]+((Categorias_Registro[[#This Row],[Máximo]]-Categorias_Registro[[#This Row],[Mínimo]])/2),0)</f>
        <v>1157</v>
      </c>
      <c r="G1443" s="78">
        <f>VLOOKUP(Categorias_Registro[[#This Row],[Puntos]],Categorias_Configuracion[],MATCH(Categorias_Configuracion[[#Headers],[% Amplitud]],Categorias_Configuracion[#Headers],0),TRUE)</f>
        <v>0.15</v>
      </c>
      <c r="H1443" s="15" t="str">
        <f ca="1">TEXT(Categorias_Registro[[#This Row],[Mínimo]],Formato_Rango_Categorias)&amp;" - "&amp;TEXT(Categorias_Registro[[#This Row],[Máximo]],Formato_Rango_Categorias)</f>
        <v>1.077 - 1.237</v>
      </c>
    </row>
    <row r="1444" spans="2:8">
      <c r="B1444" s="15">
        <f>Techo - ROW() + ROW(Categorias_Registro[])</f>
        <v>1185</v>
      </c>
      <c r="C1444" s="15">
        <f>IF(Categorias_Registro[[#This Row],[Puntos]]&lt;=ROUND(Piso,0),Piso,IF(Categorias_Registro[[#This Row],[Puntos]]&lt;D1445,C1445,D1445+1))</f>
        <v>1077</v>
      </c>
      <c r="D1444" s="15">
        <f>IF(Categorias_Registro[[#This Row],[Puntos]]=ROUND(Piso,0),ROUND(Categorias_Registro[[#This Row],[Puntos]]*(1+Categorias_Registro[[#This Row],[Amplitud]]),0),IF(Categorias_Registro[[#This Row],[Puntos]]&lt;D1445,D1445,ROUND(D1445*(1+Categorias_Registro[[#This Row],[Amplitud]]),0)))</f>
        <v>1237</v>
      </c>
      <c r="E1444" s="15">
        <f>E1445+IF(D1445=Categorias_Registro[[#This Row],[Máximo]],0,1)</f>
        <v>19</v>
      </c>
      <c r="F1444" s="15">
        <f>ROUND(Categorias_Registro[[#This Row],[Mínimo]]+((Categorias_Registro[[#This Row],[Máximo]]-Categorias_Registro[[#This Row],[Mínimo]])/2),0)</f>
        <v>1157</v>
      </c>
      <c r="G1444" s="78">
        <f>VLOOKUP(Categorias_Registro[[#This Row],[Puntos]],Categorias_Configuracion[],MATCH(Categorias_Configuracion[[#Headers],[% Amplitud]],Categorias_Configuracion[#Headers],0),TRUE)</f>
        <v>0.15</v>
      </c>
      <c r="H1444" s="15" t="str">
        <f ca="1">TEXT(Categorias_Registro[[#This Row],[Mínimo]],Formato_Rango_Categorias)&amp;" - "&amp;TEXT(Categorias_Registro[[#This Row],[Máximo]],Formato_Rango_Categorias)</f>
        <v>1.077 - 1.237</v>
      </c>
    </row>
    <row r="1445" spans="2:8">
      <c r="B1445" s="15">
        <f>Techo - ROW() + ROW(Categorias_Registro[])</f>
        <v>1184</v>
      </c>
      <c r="C1445" s="15">
        <f>IF(Categorias_Registro[[#This Row],[Puntos]]&lt;=ROUND(Piso,0),Piso,IF(Categorias_Registro[[#This Row],[Puntos]]&lt;D1446,C1446,D1446+1))</f>
        <v>1077</v>
      </c>
      <c r="D1445" s="15">
        <f>IF(Categorias_Registro[[#This Row],[Puntos]]=ROUND(Piso,0),ROUND(Categorias_Registro[[#This Row],[Puntos]]*(1+Categorias_Registro[[#This Row],[Amplitud]]),0),IF(Categorias_Registro[[#This Row],[Puntos]]&lt;D1446,D1446,ROUND(D1446*(1+Categorias_Registro[[#This Row],[Amplitud]]),0)))</f>
        <v>1237</v>
      </c>
      <c r="E1445" s="15">
        <f>E1446+IF(D1446=Categorias_Registro[[#This Row],[Máximo]],0,1)</f>
        <v>19</v>
      </c>
      <c r="F1445" s="15">
        <f>ROUND(Categorias_Registro[[#This Row],[Mínimo]]+((Categorias_Registro[[#This Row],[Máximo]]-Categorias_Registro[[#This Row],[Mínimo]])/2),0)</f>
        <v>1157</v>
      </c>
      <c r="G1445" s="78">
        <f>VLOOKUP(Categorias_Registro[[#This Row],[Puntos]],Categorias_Configuracion[],MATCH(Categorias_Configuracion[[#Headers],[% Amplitud]],Categorias_Configuracion[#Headers],0),TRUE)</f>
        <v>0.15</v>
      </c>
      <c r="H1445" s="15" t="str">
        <f ca="1">TEXT(Categorias_Registro[[#This Row],[Mínimo]],Formato_Rango_Categorias)&amp;" - "&amp;TEXT(Categorias_Registro[[#This Row],[Máximo]],Formato_Rango_Categorias)</f>
        <v>1.077 - 1.237</v>
      </c>
    </row>
    <row r="1446" spans="2:8">
      <c r="B1446" s="15">
        <f>Techo - ROW() + ROW(Categorias_Registro[])</f>
        <v>1183</v>
      </c>
      <c r="C1446" s="15">
        <f>IF(Categorias_Registro[[#This Row],[Puntos]]&lt;=ROUND(Piso,0),Piso,IF(Categorias_Registro[[#This Row],[Puntos]]&lt;D1447,C1447,D1447+1))</f>
        <v>1077</v>
      </c>
      <c r="D1446" s="15">
        <f>IF(Categorias_Registro[[#This Row],[Puntos]]=ROUND(Piso,0),ROUND(Categorias_Registro[[#This Row],[Puntos]]*(1+Categorias_Registro[[#This Row],[Amplitud]]),0),IF(Categorias_Registro[[#This Row],[Puntos]]&lt;D1447,D1447,ROUND(D1447*(1+Categorias_Registro[[#This Row],[Amplitud]]),0)))</f>
        <v>1237</v>
      </c>
      <c r="E1446" s="15">
        <f>E1447+IF(D1447=Categorias_Registro[[#This Row],[Máximo]],0,1)</f>
        <v>19</v>
      </c>
      <c r="F1446" s="15">
        <f>ROUND(Categorias_Registro[[#This Row],[Mínimo]]+((Categorias_Registro[[#This Row],[Máximo]]-Categorias_Registro[[#This Row],[Mínimo]])/2),0)</f>
        <v>1157</v>
      </c>
      <c r="G1446" s="78">
        <f>VLOOKUP(Categorias_Registro[[#This Row],[Puntos]],Categorias_Configuracion[],MATCH(Categorias_Configuracion[[#Headers],[% Amplitud]],Categorias_Configuracion[#Headers],0),TRUE)</f>
        <v>0.15</v>
      </c>
      <c r="H1446" s="15" t="str">
        <f ca="1">TEXT(Categorias_Registro[[#This Row],[Mínimo]],Formato_Rango_Categorias)&amp;" - "&amp;TEXT(Categorias_Registro[[#This Row],[Máximo]],Formato_Rango_Categorias)</f>
        <v>1.077 - 1.237</v>
      </c>
    </row>
    <row r="1447" spans="2:8">
      <c r="B1447" s="15">
        <f>Techo - ROW() + ROW(Categorias_Registro[])</f>
        <v>1182</v>
      </c>
      <c r="C1447" s="15">
        <f>IF(Categorias_Registro[[#This Row],[Puntos]]&lt;=ROUND(Piso,0),Piso,IF(Categorias_Registro[[#This Row],[Puntos]]&lt;D1448,C1448,D1448+1))</f>
        <v>1077</v>
      </c>
      <c r="D1447" s="15">
        <f>IF(Categorias_Registro[[#This Row],[Puntos]]=ROUND(Piso,0),ROUND(Categorias_Registro[[#This Row],[Puntos]]*(1+Categorias_Registro[[#This Row],[Amplitud]]),0),IF(Categorias_Registro[[#This Row],[Puntos]]&lt;D1448,D1448,ROUND(D1448*(1+Categorias_Registro[[#This Row],[Amplitud]]),0)))</f>
        <v>1237</v>
      </c>
      <c r="E1447" s="15">
        <f>E1448+IF(D1448=Categorias_Registro[[#This Row],[Máximo]],0,1)</f>
        <v>19</v>
      </c>
      <c r="F1447" s="15">
        <f>ROUND(Categorias_Registro[[#This Row],[Mínimo]]+((Categorias_Registro[[#This Row],[Máximo]]-Categorias_Registro[[#This Row],[Mínimo]])/2),0)</f>
        <v>1157</v>
      </c>
      <c r="G1447" s="78">
        <f>VLOOKUP(Categorias_Registro[[#This Row],[Puntos]],Categorias_Configuracion[],MATCH(Categorias_Configuracion[[#Headers],[% Amplitud]],Categorias_Configuracion[#Headers],0),TRUE)</f>
        <v>0.15</v>
      </c>
      <c r="H1447" s="15" t="str">
        <f ca="1">TEXT(Categorias_Registro[[#This Row],[Mínimo]],Formato_Rango_Categorias)&amp;" - "&amp;TEXT(Categorias_Registro[[#This Row],[Máximo]],Formato_Rango_Categorias)</f>
        <v>1.077 - 1.237</v>
      </c>
    </row>
    <row r="1448" spans="2:8">
      <c r="B1448" s="15">
        <f>Techo - ROW() + ROW(Categorias_Registro[])</f>
        <v>1181</v>
      </c>
      <c r="C1448" s="15">
        <f>IF(Categorias_Registro[[#This Row],[Puntos]]&lt;=ROUND(Piso,0),Piso,IF(Categorias_Registro[[#This Row],[Puntos]]&lt;D1449,C1449,D1449+1))</f>
        <v>1077</v>
      </c>
      <c r="D1448" s="15">
        <f>IF(Categorias_Registro[[#This Row],[Puntos]]=ROUND(Piso,0),ROUND(Categorias_Registro[[#This Row],[Puntos]]*(1+Categorias_Registro[[#This Row],[Amplitud]]),0),IF(Categorias_Registro[[#This Row],[Puntos]]&lt;D1449,D1449,ROUND(D1449*(1+Categorias_Registro[[#This Row],[Amplitud]]),0)))</f>
        <v>1237</v>
      </c>
      <c r="E1448" s="15">
        <f>E1449+IF(D1449=Categorias_Registro[[#This Row],[Máximo]],0,1)</f>
        <v>19</v>
      </c>
      <c r="F1448" s="15">
        <f>ROUND(Categorias_Registro[[#This Row],[Mínimo]]+((Categorias_Registro[[#This Row],[Máximo]]-Categorias_Registro[[#This Row],[Mínimo]])/2),0)</f>
        <v>1157</v>
      </c>
      <c r="G1448" s="78">
        <f>VLOOKUP(Categorias_Registro[[#This Row],[Puntos]],Categorias_Configuracion[],MATCH(Categorias_Configuracion[[#Headers],[% Amplitud]],Categorias_Configuracion[#Headers],0),TRUE)</f>
        <v>0.15</v>
      </c>
      <c r="H1448" s="15" t="str">
        <f ca="1">TEXT(Categorias_Registro[[#This Row],[Mínimo]],Formato_Rango_Categorias)&amp;" - "&amp;TEXT(Categorias_Registro[[#This Row],[Máximo]],Formato_Rango_Categorias)</f>
        <v>1.077 - 1.237</v>
      </c>
    </row>
    <row r="1449" spans="2:8">
      <c r="B1449" s="15">
        <f>Techo - ROW() + ROW(Categorias_Registro[])</f>
        <v>1180</v>
      </c>
      <c r="C1449" s="15">
        <f>IF(Categorias_Registro[[#This Row],[Puntos]]&lt;=ROUND(Piso,0),Piso,IF(Categorias_Registro[[#This Row],[Puntos]]&lt;D1450,C1450,D1450+1))</f>
        <v>1077</v>
      </c>
      <c r="D1449" s="15">
        <f>IF(Categorias_Registro[[#This Row],[Puntos]]=ROUND(Piso,0),ROUND(Categorias_Registro[[#This Row],[Puntos]]*(1+Categorias_Registro[[#This Row],[Amplitud]]),0),IF(Categorias_Registro[[#This Row],[Puntos]]&lt;D1450,D1450,ROUND(D1450*(1+Categorias_Registro[[#This Row],[Amplitud]]),0)))</f>
        <v>1237</v>
      </c>
      <c r="E1449" s="15">
        <f>E1450+IF(D1450=Categorias_Registro[[#This Row],[Máximo]],0,1)</f>
        <v>19</v>
      </c>
      <c r="F1449" s="15">
        <f>ROUND(Categorias_Registro[[#This Row],[Mínimo]]+((Categorias_Registro[[#This Row],[Máximo]]-Categorias_Registro[[#This Row],[Mínimo]])/2),0)</f>
        <v>1157</v>
      </c>
      <c r="G1449" s="78">
        <f>VLOOKUP(Categorias_Registro[[#This Row],[Puntos]],Categorias_Configuracion[],MATCH(Categorias_Configuracion[[#Headers],[% Amplitud]],Categorias_Configuracion[#Headers],0),TRUE)</f>
        <v>0.15</v>
      </c>
      <c r="H1449" s="15" t="str">
        <f ca="1">TEXT(Categorias_Registro[[#This Row],[Mínimo]],Formato_Rango_Categorias)&amp;" - "&amp;TEXT(Categorias_Registro[[#This Row],[Máximo]],Formato_Rango_Categorias)</f>
        <v>1.077 - 1.237</v>
      </c>
    </row>
    <row r="1450" spans="2:8">
      <c r="B1450" s="15">
        <f>Techo - ROW() + ROW(Categorias_Registro[])</f>
        <v>1179</v>
      </c>
      <c r="C1450" s="15">
        <f>IF(Categorias_Registro[[#This Row],[Puntos]]&lt;=ROUND(Piso,0),Piso,IF(Categorias_Registro[[#This Row],[Puntos]]&lt;D1451,C1451,D1451+1))</f>
        <v>1077</v>
      </c>
      <c r="D1450" s="15">
        <f>IF(Categorias_Registro[[#This Row],[Puntos]]=ROUND(Piso,0),ROUND(Categorias_Registro[[#This Row],[Puntos]]*(1+Categorias_Registro[[#This Row],[Amplitud]]),0),IF(Categorias_Registro[[#This Row],[Puntos]]&lt;D1451,D1451,ROUND(D1451*(1+Categorias_Registro[[#This Row],[Amplitud]]),0)))</f>
        <v>1237</v>
      </c>
      <c r="E1450" s="15">
        <f>E1451+IF(D1451=Categorias_Registro[[#This Row],[Máximo]],0,1)</f>
        <v>19</v>
      </c>
      <c r="F1450" s="15">
        <f>ROUND(Categorias_Registro[[#This Row],[Mínimo]]+((Categorias_Registro[[#This Row],[Máximo]]-Categorias_Registro[[#This Row],[Mínimo]])/2),0)</f>
        <v>1157</v>
      </c>
      <c r="G1450" s="78">
        <f>VLOOKUP(Categorias_Registro[[#This Row],[Puntos]],Categorias_Configuracion[],MATCH(Categorias_Configuracion[[#Headers],[% Amplitud]],Categorias_Configuracion[#Headers],0),TRUE)</f>
        <v>0.15</v>
      </c>
      <c r="H1450" s="15" t="str">
        <f ca="1">TEXT(Categorias_Registro[[#This Row],[Mínimo]],Formato_Rango_Categorias)&amp;" - "&amp;TEXT(Categorias_Registro[[#This Row],[Máximo]],Formato_Rango_Categorias)</f>
        <v>1.077 - 1.237</v>
      </c>
    </row>
    <row r="1451" spans="2:8">
      <c r="B1451" s="15">
        <f>Techo - ROW() + ROW(Categorias_Registro[])</f>
        <v>1178</v>
      </c>
      <c r="C1451" s="15">
        <f>IF(Categorias_Registro[[#This Row],[Puntos]]&lt;=ROUND(Piso,0),Piso,IF(Categorias_Registro[[#This Row],[Puntos]]&lt;D1452,C1452,D1452+1))</f>
        <v>1077</v>
      </c>
      <c r="D1451" s="15">
        <f>IF(Categorias_Registro[[#This Row],[Puntos]]=ROUND(Piso,0),ROUND(Categorias_Registro[[#This Row],[Puntos]]*(1+Categorias_Registro[[#This Row],[Amplitud]]),0),IF(Categorias_Registro[[#This Row],[Puntos]]&lt;D1452,D1452,ROUND(D1452*(1+Categorias_Registro[[#This Row],[Amplitud]]),0)))</f>
        <v>1237</v>
      </c>
      <c r="E1451" s="15">
        <f>E1452+IF(D1452=Categorias_Registro[[#This Row],[Máximo]],0,1)</f>
        <v>19</v>
      </c>
      <c r="F1451" s="15">
        <f>ROUND(Categorias_Registro[[#This Row],[Mínimo]]+((Categorias_Registro[[#This Row],[Máximo]]-Categorias_Registro[[#This Row],[Mínimo]])/2),0)</f>
        <v>1157</v>
      </c>
      <c r="G1451" s="78">
        <f>VLOOKUP(Categorias_Registro[[#This Row],[Puntos]],Categorias_Configuracion[],MATCH(Categorias_Configuracion[[#Headers],[% Amplitud]],Categorias_Configuracion[#Headers],0),TRUE)</f>
        <v>0.15</v>
      </c>
      <c r="H1451" s="15" t="str">
        <f ca="1">TEXT(Categorias_Registro[[#This Row],[Mínimo]],Formato_Rango_Categorias)&amp;" - "&amp;TEXT(Categorias_Registro[[#This Row],[Máximo]],Formato_Rango_Categorias)</f>
        <v>1.077 - 1.237</v>
      </c>
    </row>
    <row r="1452" spans="2:8">
      <c r="B1452" s="15">
        <f>Techo - ROW() + ROW(Categorias_Registro[])</f>
        <v>1177</v>
      </c>
      <c r="C1452" s="15">
        <f>IF(Categorias_Registro[[#This Row],[Puntos]]&lt;=ROUND(Piso,0),Piso,IF(Categorias_Registro[[#This Row],[Puntos]]&lt;D1453,C1453,D1453+1))</f>
        <v>1077</v>
      </c>
      <c r="D1452" s="15">
        <f>IF(Categorias_Registro[[#This Row],[Puntos]]=ROUND(Piso,0),ROUND(Categorias_Registro[[#This Row],[Puntos]]*(1+Categorias_Registro[[#This Row],[Amplitud]]),0),IF(Categorias_Registro[[#This Row],[Puntos]]&lt;D1453,D1453,ROUND(D1453*(1+Categorias_Registro[[#This Row],[Amplitud]]),0)))</f>
        <v>1237</v>
      </c>
      <c r="E1452" s="15">
        <f>E1453+IF(D1453=Categorias_Registro[[#This Row],[Máximo]],0,1)</f>
        <v>19</v>
      </c>
      <c r="F1452" s="15">
        <f>ROUND(Categorias_Registro[[#This Row],[Mínimo]]+((Categorias_Registro[[#This Row],[Máximo]]-Categorias_Registro[[#This Row],[Mínimo]])/2),0)</f>
        <v>1157</v>
      </c>
      <c r="G1452" s="78">
        <f>VLOOKUP(Categorias_Registro[[#This Row],[Puntos]],Categorias_Configuracion[],MATCH(Categorias_Configuracion[[#Headers],[% Amplitud]],Categorias_Configuracion[#Headers],0),TRUE)</f>
        <v>0.15</v>
      </c>
      <c r="H1452" s="15" t="str">
        <f ca="1">TEXT(Categorias_Registro[[#This Row],[Mínimo]],Formato_Rango_Categorias)&amp;" - "&amp;TEXT(Categorias_Registro[[#This Row],[Máximo]],Formato_Rango_Categorias)</f>
        <v>1.077 - 1.237</v>
      </c>
    </row>
    <row r="1453" spans="2:8">
      <c r="B1453" s="15">
        <f>Techo - ROW() + ROW(Categorias_Registro[])</f>
        <v>1176</v>
      </c>
      <c r="C1453" s="15">
        <f>IF(Categorias_Registro[[#This Row],[Puntos]]&lt;=ROUND(Piso,0),Piso,IF(Categorias_Registro[[#This Row],[Puntos]]&lt;D1454,C1454,D1454+1))</f>
        <v>1077</v>
      </c>
      <c r="D1453" s="15">
        <f>IF(Categorias_Registro[[#This Row],[Puntos]]=ROUND(Piso,0),ROUND(Categorias_Registro[[#This Row],[Puntos]]*(1+Categorias_Registro[[#This Row],[Amplitud]]),0),IF(Categorias_Registro[[#This Row],[Puntos]]&lt;D1454,D1454,ROUND(D1454*(1+Categorias_Registro[[#This Row],[Amplitud]]),0)))</f>
        <v>1237</v>
      </c>
      <c r="E1453" s="15">
        <f>E1454+IF(D1454=Categorias_Registro[[#This Row],[Máximo]],0,1)</f>
        <v>19</v>
      </c>
      <c r="F1453" s="15">
        <f>ROUND(Categorias_Registro[[#This Row],[Mínimo]]+((Categorias_Registro[[#This Row],[Máximo]]-Categorias_Registro[[#This Row],[Mínimo]])/2),0)</f>
        <v>1157</v>
      </c>
      <c r="G1453" s="78">
        <f>VLOOKUP(Categorias_Registro[[#This Row],[Puntos]],Categorias_Configuracion[],MATCH(Categorias_Configuracion[[#Headers],[% Amplitud]],Categorias_Configuracion[#Headers],0),TRUE)</f>
        <v>0.15</v>
      </c>
      <c r="H1453" s="15" t="str">
        <f ca="1">TEXT(Categorias_Registro[[#This Row],[Mínimo]],Formato_Rango_Categorias)&amp;" - "&amp;TEXT(Categorias_Registro[[#This Row],[Máximo]],Formato_Rango_Categorias)</f>
        <v>1.077 - 1.237</v>
      </c>
    </row>
    <row r="1454" spans="2:8">
      <c r="B1454" s="15">
        <f>Techo - ROW() + ROW(Categorias_Registro[])</f>
        <v>1175</v>
      </c>
      <c r="C1454" s="15">
        <f>IF(Categorias_Registro[[#This Row],[Puntos]]&lt;=ROUND(Piso,0),Piso,IF(Categorias_Registro[[#This Row],[Puntos]]&lt;D1455,C1455,D1455+1))</f>
        <v>1077</v>
      </c>
      <c r="D1454" s="15">
        <f>IF(Categorias_Registro[[#This Row],[Puntos]]=ROUND(Piso,0),ROUND(Categorias_Registro[[#This Row],[Puntos]]*(1+Categorias_Registro[[#This Row],[Amplitud]]),0),IF(Categorias_Registro[[#This Row],[Puntos]]&lt;D1455,D1455,ROUND(D1455*(1+Categorias_Registro[[#This Row],[Amplitud]]),0)))</f>
        <v>1237</v>
      </c>
      <c r="E1454" s="15">
        <f>E1455+IF(D1455=Categorias_Registro[[#This Row],[Máximo]],0,1)</f>
        <v>19</v>
      </c>
      <c r="F1454" s="15">
        <f>ROUND(Categorias_Registro[[#This Row],[Mínimo]]+((Categorias_Registro[[#This Row],[Máximo]]-Categorias_Registro[[#This Row],[Mínimo]])/2),0)</f>
        <v>1157</v>
      </c>
      <c r="G1454" s="78">
        <f>VLOOKUP(Categorias_Registro[[#This Row],[Puntos]],Categorias_Configuracion[],MATCH(Categorias_Configuracion[[#Headers],[% Amplitud]],Categorias_Configuracion[#Headers],0),TRUE)</f>
        <v>0.15</v>
      </c>
      <c r="H1454" s="15" t="str">
        <f ca="1">TEXT(Categorias_Registro[[#This Row],[Mínimo]],Formato_Rango_Categorias)&amp;" - "&amp;TEXT(Categorias_Registro[[#This Row],[Máximo]],Formato_Rango_Categorias)</f>
        <v>1.077 - 1.237</v>
      </c>
    </row>
    <row r="1455" spans="2:8">
      <c r="B1455" s="15">
        <f>Techo - ROW() + ROW(Categorias_Registro[])</f>
        <v>1174</v>
      </c>
      <c r="C1455" s="15">
        <f>IF(Categorias_Registro[[#This Row],[Puntos]]&lt;=ROUND(Piso,0),Piso,IF(Categorias_Registro[[#This Row],[Puntos]]&lt;D1456,C1456,D1456+1))</f>
        <v>1077</v>
      </c>
      <c r="D1455" s="15">
        <f>IF(Categorias_Registro[[#This Row],[Puntos]]=ROUND(Piso,0),ROUND(Categorias_Registro[[#This Row],[Puntos]]*(1+Categorias_Registro[[#This Row],[Amplitud]]),0),IF(Categorias_Registro[[#This Row],[Puntos]]&lt;D1456,D1456,ROUND(D1456*(1+Categorias_Registro[[#This Row],[Amplitud]]),0)))</f>
        <v>1237</v>
      </c>
      <c r="E1455" s="15">
        <f>E1456+IF(D1456=Categorias_Registro[[#This Row],[Máximo]],0,1)</f>
        <v>19</v>
      </c>
      <c r="F1455" s="15">
        <f>ROUND(Categorias_Registro[[#This Row],[Mínimo]]+((Categorias_Registro[[#This Row],[Máximo]]-Categorias_Registro[[#This Row],[Mínimo]])/2),0)</f>
        <v>1157</v>
      </c>
      <c r="G1455" s="78">
        <f>VLOOKUP(Categorias_Registro[[#This Row],[Puntos]],Categorias_Configuracion[],MATCH(Categorias_Configuracion[[#Headers],[% Amplitud]],Categorias_Configuracion[#Headers],0),TRUE)</f>
        <v>0.15</v>
      </c>
      <c r="H1455" s="15" t="str">
        <f ca="1">TEXT(Categorias_Registro[[#This Row],[Mínimo]],Formato_Rango_Categorias)&amp;" - "&amp;TEXT(Categorias_Registro[[#This Row],[Máximo]],Formato_Rango_Categorias)</f>
        <v>1.077 - 1.237</v>
      </c>
    </row>
    <row r="1456" spans="2:8">
      <c r="B1456" s="15">
        <f>Techo - ROW() + ROW(Categorias_Registro[])</f>
        <v>1173</v>
      </c>
      <c r="C1456" s="15">
        <f>IF(Categorias_Registro[[#This Row],[Puntos]]&lt;=ROUND(Piso,0),Piso,IF(Categorias_Registro[[#This Row],[Puntos]]&lt;D1457,C1457,D1457+1))</f>
        <v>1077</v>
      </c>
      <c r="D1456" s="15">
        <f>IF(Categorias_Registro[[#This Row],[Puntos]]=ROUND(Piso,0),ROUND(Categorias_Registro[[#This Row],[Puntos]]*(1+Categorias_Registro[[#This Row],[Amplitud]]),0),IF(Categorias_Registro[[#This Row],[Puntos]]&lt;D1457,D1457,ROUND(D1457*(1+Categorias_Registro[[#This Row],[Amplitud]]),0)))</f>
        <v>1237</v>
      </c>
      <c r="E1456" s="15">
        <f>E1457+IF(D1457=Categorias_Registro[[#This Row],[Máximo]],0,1)</f>
        <v>19</v>
      </c>
      <c r="F1456" s="15">
        <f>ROUND(Categorias_Registro[[#This Row],[Mínimo]]+((Categorias_Registro[[#This Row],[Máximo]]-Categorias_Registro[[#This Row],[Mínimo]])/2),0)</f>
        <v>1157</v>
      </c>
      <c r="G1456" s="78">
        <f>VLOOKUP(Categorias_Registro[[#This Row],[Puntos]],Categorias_Configuracion[],MATCH(Categorias_Configuracion[[#Headers],[% Amplitud]],Categorias_Configuracion[#Headers],0),TRUE)</f>
        <v>0.15</v>
      </c>
      <c r="H1456" s="15" t="str">
        <f ca="1">TEXT(Categorias_Registro[[#This Row],[Mínimo]],Formato_Rango_Categorias)&amp;" - "&amp;TEXT(Categorias_Registro[[#This Row],[Máximo]],Formato_Rango_Categorias)</f>
        <v>1.077 - 1.237</v>
      </c>
    </row>
    <row r="1457" spans="2:8">
      <c r="B1457" s="15">
        <f>Techo - ROW() + ROW(Categorias_Registro[])</f>
        <v>1172</v>
      </c>
      <c r="C1457" s="15">
        <f>IF(Categorias_Registro[[#This Row],[Puntos]]&lt;=ROUND(Piso,0),Piso,IF(Categorias_Registro[[#This Row],[Puntos]]&lt;D1458,C1458,D1458+1))</f>
        <v>1077</v>
      </c>
      <c r="D1457" s="15">
        <f>IF(Categorias_Registro[[#This Row],[Puntos]]=ROUND(Piso,0),ROUND(Categorias_Registro[[#This Row],[Puntos]]*(1+Categorias_Registro[[#This Row],[Amplitud]]),0),IF(Categorias_Registro[[#This Row],[Puntos]]&lt;D1458,D1458,ROUND(D1458*(1+Categorias_Registro[[#This Row],[Amplitud]]),0)))</f>
        <v>1237</v>
      </c>
      <c r="E1457" s="15">
        <f>E1458+IF(D1458=Categorias_Registro[[#This Row],[Máximo]],0,1)</f>
        <v>19</v>
      </c>
      <c r="F1457" s="15">
        <f>ROUND(Categorias_Registro[[#This Row],[Mínimo]]+((Categorias_Registro[[#This Row],[Máximo]]-Categorias_Registro[[#This Row],[Mínimo]])/2),0)</f>
        <v>1157</v>
      </c>
      <c r="G1457" s="78">
        <f>VLOOKUP(Categorias_Registro[[#This Row],[Puntos]],Categorias_Configuracion[],MATCH(Categorias_Configuracion[[#Headers],[% Amplitud]],Categorias_Configuracion[#Headers],0),TRUE)</f>
        <v>0.15</v>
      </c>
      <c r="H1457" s="15" t="str">
        <f ca="1">TEXT(Categorias_Registro[[#This Row],[Mínimo]],Formato_Rango_Categorias)&amp;" - "&amp;TEXT(Categorias_Registro[[#This Row],[Máximo]],Formato_Rango_Categorias)</f>
        <v>1.077 - 1.237</v>
      </c>
    </row>
    <row r="1458" spans="2:8">
      <c r="B1458" s="15">
        <f>Techo - ROW() + ROW(Categorias_Registro[])</f>
        <v>1171</v>
      </c>
      <c r="C1458" s="15">
        <f>IF(Categorias_Registro[[#This Row],[Puntos]]&lt;=ROUND(Piso,0),Piso,IF(Categorias_Registro[[#This Row],[Puntos]]&lt;D1459,C1459,D1459+1))</f>
        <v>1077</v>
      </c>
      <c r="D1458" s="15">
        <f>IF(Categorias_Registro[[#This Row],[Puntos]]=ROUND(Piso,0),ROUND(Categorias_Registro[[#This Row],[Puntos]]*(1+Categorias_Registro[[#This Row],[Amplitud]]),0),IF(Categorias_Registro[[#This Row],[Puntos]]&lt;D1459,D1459,ROUND(D1459*(1+Categorias_Registro[[#This Row],[Amplitud]]),0)))</f>
        <v>1237</v>
      </c>
      <c r="E1458" s="15">
        <f>E1459+IF(D1459=Categorias_Registro[[#This Row],[Máximo]],0,1)</f>
        <v>19</v>
      </c>
      <c r="F1458" s="15">
        <f>ROUND(Categorias_Registro[[#This Row],[Mínimo]]+((Categorias_Registro[[#This Row],[Máximo]]-Categorias_Registro[[#This Row],[Mínimo]])/2),0)</f>
        <v>1157</v>
      </c>
      <c r="G1458" s="78">
        <f>VLOOKUP(Categorias_Registro[[#This Row],[Puntos]],Categorias_Configuracion[],MATCH(Categorias_Configuracion[[#Headers],[% Amplitud]],Categorias_Configuracion[#Headers],0),TRUE)</f>
        <v>0.15</v>
      </c>
      <c r="H1458" s="15" t="str">
        <f ca="1">TEXT(Categorias_Registro[[#This Row],[Mínimo]],Formato_Rango_Categorias)&amp;" - "&amp;TEXT(Categorias_Registro[[#This Row],[Máximo]],Formato_Rango_Categorias)</f>
        <v>1.077 - 1.237</v>
      </c>
    </row>
    <row r="1459" spans="2:8">
      <c r="B1459" s="15">
        <f>Techo - ROW() + ROW(Categorias_Registro[])</f>
        <v>1170</v>
      </c>
      <c r="C1459" s="15">
        <f>IF(Categorias_Registro[[#This Row],[Puntos]]&lt;=ROUND(Piso,0),Piso,IF(Categorias_Registro[[#This Row],[Puntos]]&lt;D1460,C1460,D1460+1))</f>
        <v>1077</v>
      </c>
      <c r="D1459" s="15">
        <f>IF(Categorias_Registro[[#This Row],[Puntos]]=ROUND(Piso,0),ROUND(Categorias_Registro[[#This Row],[Puntos]]*(1+Categorias_Registro[[#This Row],[Amplitud]]),0),IF(Categorias_Registro[[#This Row],[Puntos]]&lt;D1460,D1460,ROUND(D1460*(1+Categorias_Registro[[#This Row],[Amplitud]]),0)))</f>
        <v>1237</v>
      </c>
      <c r="E1459" s="15">
        <f>E1460+IF(D1460=Categorias_Registro[[#This Row],[Máximo]],0,1)</f>
        <v>19</v>
      </c>
      <c r="F1459" s="15">
        <f>ROUND(Categorias_Registro[[#This Row],[Mínimo]]+((Categorias_Registro[[#This Row],[Máximo]]-Categorias_Registro[[#This Row],[Mínimo]])/2),0)</f>
        <v>1157</v>
      </c>
      <c r="G1459" s="78">
        <f>VLOOKUP(Categorias_Registro[[#This Row],[Puntos]],Categorias_Configuracion[],MATCH(Categorias_Configuracion[[#Headers],[% Amplitud]],Categorias_Configuracion[#Headers],0),TRUE)</f>
        <v>0.15</v>
      </c>
      <c r="H1459" s="15" t="str">
        <f ca="1">TEXT(Categorias_Registro[[#This Row],[Mínimo]],Formato_Rango_Categorias)&amp;" - "&amp;TEXT(Categorias_Registro[[#This Row],[Máximo]],Formato_Rango_Categorias)</f>
        <v>1.077 - 1.237</v>
      </c>
    </row>
    <row r="1460" spans="2:8">
      <c r="B1460" s="15">
        <f>Techo - ROW() + ROW(Categorias_Registro[])</f>
        <v>1169</v>
      </c>
      <c r="C1460" s="15">
        <f>IF(Categorias_Registro[[#This Row],[Puntos]]&lt;=ROUND(Piso,0),Piso,IF(Categorias_Registro[[#This Row],[Puntos]]&lt;D1461,C1461,D1461+1))</f>
        <v>1077</v>
      </c>
      <c r="D1460" s="15">
        <f>IF(Categorias_Registro[[#This Row],[Puntos]]=ROUND(Piso,0),ROUND(Categorias_Registro[[#This Row],[Puntos]]*(1+Categorias_Registro[[#This Row],[Amplitud]]),0),IF(Categorias_Registro[[#This Row],[Puntos]]&lt;D1461,D1461,ROUND(D1461*(1+Categorias_Registro[[#This Row],[Amplitud]]),0)))</f>
        <v>1237</v>
      </c>
      <c r="E1460" s="15">
        <f>E1461+IF(D1461=Categorias_Registro[[#This Row],[Máximo]],0,1)</f>
        <v>19</v>
      </c>
      <c r="F1460" s="15">
        <f>ROUND(Categorias_Registro[[#This Row],[Mínimo]]+((Categorias_Registro[[#This Row],[Máximo]]-Categorias_Registro[[#This Row],[Mínimo]])/2),0)</f>
        <v>1157</v>
      </c>
      <c r="G1460" s="78">
        <f>VLOOKUP(Categorias_Registro[[#This Row],[Puntos]],Categorias_Configuracion[],MATCH(Categorias_Configuracion[[#Headers],[% Amplitud]],Categorias_Configuracion[#Headers],0),TRUE)</f>
        <v>0.15</v>
      </c>
      <c r="H1460" s="15" t="str">
        <f ca="1">TEXT(Categorias_Registro[[#This Row],[Mínimo]],Formato_Rango_Categorias)&amp;" - "&amp;TEXT(Categorias_Registro[[#This Row],[Máximo]],Formato_Rango_Categorias)</f>
        <v>1.077 - 1.237</v>
      </c>
    </row>
    <row r="1461" spans="2:8">
      <c r="B1461" s="15">
        <f>Techo - ROW() + ROW(Categorias_Registro[])</f>
        <v>1168</v>
      </c>
      <c r="C1461" s="15">
        <f>IF(Categorias_Registro[[#This Row],[Puntos]]&lt;=ROUND(Piso,0),Piso,IF(Categorias_Registro[[#This Row],[Puntos]]&lt;D1462,C1462,D1462+1))</f>
        <v>1077</v>
      </c>
      <c r="D1461" s="15">
        <f>IF(Categorias_Registro[[#This Row],[Puntos]]=ROUND(Piso,0),ROUND(Categorias_Registro[[#This Row],[Puntos]]*(1+Categorias_Registro[[#This Row],[Amplitud]]),0),IF(Categorias_Registro[[#This Row],[Puntos]]&lt;D1462,D1462,ROUND(D1462*(1+Categorias_Registro[[#This Row],[Amplitud]]),0)))</f>
        <v>1237</v>
      </c>
      <c r="E1461" s="15">
        <f>E1462+IF(D1462=Categorias_Registro[[#This Row],[Máximo]],0,1)</f>
        <v>19</v>
      </c>
      <c r="F1461" s="15">
        <f>ROUND(Categorias_Registro[[#This Row],[Mínimo]]+((Categorias_Registro[[#This Row],[Máximo]]-Categorias_Registro[[#This Row],[Mínimo]])/2),0)</f>
        <v>1157</v>
      </c>
      <c r="G1461" s="78">
        <f>VLOOKUP(Categorias_Registro[[#This Row],[Puntos]],Categorias_Configuracion[],MATCH(Categorias_Configuracion[[#Headers],[% Amplitud]],Categorias_Configuracion[#Headers],0),TRUE)</f>
        <v>0.15</v>
      </c>
      <c r="H1461" s="15" t="str">
        <f ca="1">TEXT(Categorias_Registro[[#This Row],[Mínimo]],Formato_Rango_Categorias)&amp;" - "&amp;TEXT(Categorias_Registro[[#This Row],[Máximo]],Formato_Rango_Categorias)</f>
        <v>1.077 - 1.237</v>
      </c>
    </row>
    <row r="1462" spans="2:8">
      <c r="B1462" s="15">
        <f>Techo - ROW() + ROW(Categorias_Registro[])</f>
        <v>1167</v>
      </c>
      <c r="C1462" s="15">
        <f>IF(Categorias_Registro[[#This Row],[Puntos]]&lt;=ROUND(Piso,0),Piso,IF(Categorias_Registro[[#This Row],[Puntos]]&lt;D1463,C1463,D1463+1))</f>
        <v>1077</v>
      </c>
      <c r="D1462" s="15">
        <f>IF(Categorias_Registro[[#This Row],[Puntos]]=ROUND(Piso,0),ROUND(Categorias_Registro[[#This Row],[Puntos]]*(1+Categorias_Registro[[#This Row],[Amplitud]]),0),IF(Categorias_Registro[[#This Row],[Puntos]]&lt;D1463,D1463,ROUND(D1463*(1+Categorias_Registro[[#This Row],[Amplitud]]),0)))</f>
        <v>1237</v>
      </c>
      <c r="E1462" s="15">
        <f>E1463+IF(D1463=Categorias_Registro[[#This Row],[Máximo]],0,1)</f>
        <v>19</v>
      </c>
      <c r="F1462" s="15">
        <f>ROUND(Categorias_Registro[[#This Row],[Mínimo]]+((Categorias_Registro[[#This Row],[Máximo]]-Categorias_Registro[[#This Row],[Mínimo]])/2),0)</f>
        <v>1157</v>
      </c>
      <c r="G1462" s="78">
        <f>VLOOKUP(Categorias_Registro[[#This Row],[Puntos]],Categorias_Configuracion[],MATCH(Categorias_Configuracion[[#Headers],[% Amplitud]],Categorias_Configuracion[#Headers],0),TRUE)</f>
        <v>0.15</v>
      </c>
      <c r="H1462" s="15" t="str">
        <f ca="1">TEXT(Categorias_Registro[[#This Row],[Mínimo]],Formato_Rango_Categorias)&amp;" - "&amp;TEXT(Categorias_Registro[[#This Row],[Máximo]],Formato_Rango_Categorias)</f>
        <v>1.077 - 1.237</v>
      </c>
    </row>
    <row r="1463" spans="2:8">
      <c r="B1463" s="15">
        <f>Techo - ROW() + ROW(Categorias_Registro[])</f>
        <v>1166</v>
      </c>
      <c r="C1463" s="15">
        <f>IF(Categorias_Registro[[#This Row],[Puntos]]&lt;=ROUND(Piso,0),Piso,IF(Categorias_Registro[[#This Row],[Puntos]]&lt;D1464,C1464,D1464+1))</f>
        <v>1077</v>
      </c>
      <c r="D1463" s="15">
        <f>IF(Categorias_Registro[[#This Row],[Puntos]]=ROUND(Piso,0),ROUND(Categorias_Registro[[#This Row],[Puntos]]*(1+Categorias_Registro[[#This Row],[Amplitud]]),0),IF(Categorias_Registro[[#This Row],[Puntos]]&lt;D1464,D1464,ROUND(D1464*(1+Categorias_Registro[[#This Row],[Amplitud]]),0)))</f>
        <v>1237</v>
      </c>
      <c r="E1463" s="15">
        <f>E1464+IF(D1464=Categorias_Registro[[#This Row],[Máximo]],0,1)</f>
        <v>19</v>
      </c>
      <c r="F1463" s="15">
        <f>ROUND(Categorias_Registro[[#This Row],[Mínimo]]+((Categorias_Registro[[#This Row],[Máximo]]-Categorias_Registro[[#This Row],[Mínimo]])/2),0)</f>
        <v>1157</v>
      </c>
      <c r="G1463" s="78">
        <f>VLOOKUP(Categorias_Registro[[#This Row],[Puntos]],Categorias_Configuracion[],MATCH(Categorias_Configuracion[[#Headers],[% Amplitud]],Categorias_Configuracion[#Headers],0),TRUE)</f>
        <v>0.15</v>
      </c>
      <c r="H1463" s="15" t="str">
        <f ca="1">TEXT(Categorias_Registro[[#This Row],[Mínimo]],Formato_Rango_Categorias)&amp;" - "&amp;TEXT(Categorias_Registro[[#This Row],[Máximo]],Formato_Rango_Categorias)</f>
        <v>1.077 - 1.237</v>
      </c>
    </row>
    <row r="1464" spans="2:8">
      <c r="B1464" s="15">
        <f>Techo - ROW() + ROW(Categorias_Registro[])</f>
        <v>1165</v>
      </c>
      <c r="C1464" s="15">
        <f>IF(Categorias_Registro[[#This Row],[Puntos]]&lt;=ROUND(Piso,0),Piso,IF(Categorias_Registro[[#This Row],[Puntos]]&lt;D1465,C1465,D1465+1))</f>
        <v>1077</v>
      </c>
      <c r="D1464" s="15">
        <f>IF(Categorias_Registro[[#This Row],[Puntos]]=ROUND(Piso,0),ROUND(Categorias_Registro[[#This Row],[Puntos]]*(1+Categorias_Registro[[#This Row],[Amplitud]]),0),IF(Categorias_Registro[[#This Row],[Puntos]]&lt;D1465,D1465,ROUND(D1465*(1+Categorias_Registro[[#This Row],[Amplitud]]),0)))</f>
        <v>1237</v>
      </c>
      <c r="E1464" s="15">
        <f>E1465+IF(D1465=Categorias_Registro[[#This Row],[Máximo]],0,1)</f>
        <v>19</v>
      </c>
      <c r="F1464" s="15">
        <f>ROUND(Categorias_Registro[[#This Row],[Mínimo]]+((Categorias_Registro[[#This Row],[Máximo]]-Categorias_Registro[[#This Row],[Mínimo]])/2),0)</f>
        <v>1157</v>
      </c>
      <c r="G1464" s="78">
        <f>VLOOKUP(Categorias_Registro[[#This Row],[Puntos]],Categorias_Configuracion[],MATCH(Categorias_Configuracion[[#Headers],[% Amplitud]],Categorias_Configuracion[#Headers],0),TRUE)</f>
        <v>0.15</v>
      </c>
      <c r="H1464" s="15" t="str">
        <f ca="1">TEXT(Categorias_Registro[[#This Row],[Mínimo]],Formato_Rango_Categorias)&amp;" - "&amp;TEXT(Categorias_Registro[[#This Row],[Máximo]],Formato_Rango_Categorias)</f>
        <v>1.077 - 1.237</v>
      </c>
    </row>
    <row r="1465" spans="2:8">
      <c r="B1465" s="15">
        <f>Techo - ROW() + ROW(Categorias_Registro[])</f>
        <v>1164</v>
      </c>
      <c r="C1465" s="15">
        <f>IF(Categorias_Registro[[#This Row],[Puntos]]&lt;=ROUND(Piso,0),Piso,IF(Categorias_Registro[[#This Row],[Puntos]]&lt;D1466,C1466,D1466+1))</f>
        <v>1077</v>
      </c>
      <c r="D1465" s="15">
        <f>IF(Categorias_Registro[[#This Row],[Puntos]]=ROUND(Piso,0),ROUND(Categorias_Registro[[#This Row],[Puntos]]*(1+Categorias_Registro[[#This Row],[Amplitud]]),0),IF(Categorias_Registro[[#This Row],[Puntos]]&lt;D1466,D1466,ROUND(D1466*(1+Categorias_Registro[[#This Row],[Amplitud]]),0)))</f>
        <v>1237</v>
      </c>
      <c r="E1465" s="15">
        <f>E1466+IF(D1466=Categorias_Registro[[#This Row],[Máximo]],0,1)</f>
        <v>19</v>
      </c>
      <c r="F1465" s="15">
        <f>ROUND(Categorias_Registro[[#This Row],[Mínimo]]+((Categorias_Registro[[#This Row],[Máximo]]-Categorias_Registro[[#This Row],[Mínimo]])/2),0)</f>
        <v>1157</v>
      </c>
      <c r="G1465" s="78">
        <f>VLOOKUP(Categorias_Registro[[#This Row],[Puntos]],Categorias_Configuracion[],MATCH(Categorias_Configuracion[[#Headers],[% Amplitud]],Categorias_Configuracion[#Headers],0),TRUE)</f>
        <v>0.15</v>
      </c>
      <c r="H1465" s="15" t="str">
        <f ca="1">TEXT(Categorias_Registro[[#This Row],[Mínimo]],Formato_Rango_Categorias)&amp;" - "&amp;TEXT(Categorias_Registro[[#This Row],[Máximo]],Formato_Rango_Categorias)</f>
        <v>1.077 - 1.237</v>
      </c>
    </row>
    <row r="1466" spans="2:8">
      <c r="B1466" s="15">
        <f>Techo - ROW() + ROW(Categorias_Registro[])</f>
        <v>1163</v>
      </c>
      <c r="C1466" s="15">
        <f>IF(Categorias_Registro[[#This Row],[Puntos]]&lt;=ROUND(Piso,0),Piso,IF(Categorias_Registro[[#This Row],[Puntos]]&lt;D1467,C1467,D1467+1))</f>
        <v>1077</v>
      </c>
      <c r="D1466" s="15">
        <f>IF(Categorias_Registro[[#This Row],[Puntos]]=ROUND(Piso,0),ROUND(Categorias_Registro[[#This Row],[Puntos]]*(1+Categorias_Registro[[#This Row],[Amplitud]]),0),IF(Categorias_Registro[[#This Row],[Puntos]]&lt;D1467,D1467,ROUND(D1467*(1+Categorias_Registro[[#This Row],[Amplitud]]),0)))</f>
        <v>1237</v>
      </c>
      <c r="E1466" s="15">
        <f>E1467+IF(D1467=Categorias_Registro[[#This Row],[Máximo]],0,1)</f>
        <v>19</v>
      </c>
      <c r="F1466" s="15">
        <f>ROUND(Categorias_Registro[[#This Row],[Mínimo]]+((Categorias_Registro[[#This Row],[Máximo]]-Categorias_Registro[[#This Row],[Mínimo]])/2),0)</f>
        <v>1157</v>
      </c>
      <c r="G1466" s="78">
        <f>VLOOKUP(Categorias_Registro[[#This Row],[Puntos]],Categorias_Configuracion[],MATCH(Categorias_Configuracion[[#Headers],[% Amplitud]],Categorias_Configuracion[#Headers],0),TRUE)</f>
        <v>0.15</v>
      </c>
      <c r="H1466" s="15" t="str">
        <f ca="1">TEXT(Categorias_Registro[[#This Row],[Mínimo]],Formato_Rango_Categorias)&amp;" - "&amp;TEXT(Categorias_Registro[[#This Row],[Máximo]],Formato_Rango_Categorias)</f>
        <v>1.077 - 1.237</v>
      </c>
    </row>
    <row r="1467" spans="2:8">
      <c r="B1467" s="15">
        <f>Techo - ROW() + ROW(Categorias_Registro[])</f>
        <v>1162</v>
      </c>
      <c r="C1467" s="15">
        <f>IF(Categorias_Registro[[#This Row],[Puntos]]&lt;=ROUND(Piso,0),Piso,IF(Categorias_Registro[[#This Row],[Puntos]]&lt;D1468,C1468,D1468+1))</f>
        <v>1077</v>
      </c>
      <c r="D1467" s="15">
        <f>IF(Categorias_Registro[[#This Row],[Puntos]]=ROUND(Piso,0),ROUND(Categorias_Registro[[#This Row],[Puntos]]*(1+Categorias_Registro[[#This Row],[Amplitud]]),0),IF(Categorias_Registro[[#This Row],[Puntos]]&lt;D1468,D1468,ROUND(D1468*(1+Categorias_Registro[[#This Row],[Amplitud]]),0)))</f>
        <v>1237</v>
      </c>
      <c r="E1467" s="15">
        <f>E1468+IF(D1468=Categorias_Registro[[#This Row],[Máximo]],0,1)</f>
        <v>19</v>
      </c>
      <c r="F1467" s="15">
        <f>ROUND(Categorias_Registro[[#This Row],[Mínimo]]+((Categorias_Registro[[#This Row],[Máximo]]-Categorias_Registro[[#This Row],[Mínimo]])/2),0)</f>
        <v>1157</v>
      </c>
      <c r="G1467" s="78">
        <f>VLOOKUP(Categorias_Registro[[#This Row],[Puntos]],Categorias_Configuracion[],MATCH(Categorias_Configuracion[[#Headers],[% Amplitud]],Categorias_Configuracion[#Headers],0),TRUE)</f>
        <v>0.15</v>
      </c>
      <c r="H1467" s="15" t="str">
        <f ca="1">TEXT(Categorias_Registro[[#This Row],[Mínimo]],Formato_Rango_Categorias)&amp;" - "&amp;TEXT(Categorias_Registro[[#This Row],[Máximo]],Formato_Rango_Categorias)</f>
        <v>1.077 - 1.237</v>
      </c>
    </row>
    <row r="1468" spans="2:8">
      <c r="B1468" s="15">
        <f>Techo - ROW() + ROW(Categorias_Registro[])</f>
        <v>1161</v>
      </c>
      <c r="C1468" s="15">
        <f>IF(Categorias_Registro[[#This Row],[Puntos]]&lt;=ROUND(Piso,0),Piso,IF(Categorias_Registro[[#This Row],[Puntos]]&lt;D1469,C1469,D1469+1))</f>
        <v>1077</v>
      </c>
      <c r="D1468" s="15">
        <f>IF(Categorias_Registro[[#This Row],[Puntos]]=ROUND(Piso,0),ROUND(Categorias_Registro[[#This Row],[Puntos]]*(1+Categorias_Registro[[#This Row],[Amplitud]]),0),IF(Categorias_Registro[[#This Row],[Puntos]]&lt;D1469,D1469,ROUND(D1469*(1+Categorias_Registro[[#This Row],[Amplitud]]),0)))</f>
        <v>1237</v>
      </c>
      <c r="E1468" s="15">
        <f>E1469+IF(D1469=Categorias_Registro[[#This Row],[Máximo]],0,1)</f>
        <v>19</v>
      </c>
      <c r="F1468" s="15">
        <f>ROUND(Categorias_Registro[[#This Row],[Mínimo]]+((Categorias_Registro[[#This Row],[Máximo]]-Categorias_Registro[[#This Row],[Mínimo]])/2),0)</f>
        <v>1157</v>
      </c>
      <c r="G1468" s="78">
        <f>VLOOKUP(Categorias_Registro[[#This Row],[Puntos]],Categorias_Configuracion[],MATCH(Categorias_Configuracion[[#Headers],[% Amplitud]],Categorias_Configuracion[#Headers],0),TRUE)</f>
        <v>0.15</v>
      </c>
      <c r="H1468" s="15" t="str">
        <f ca="1">TEXT(Categorias_Registro[[#This Row],[Mínimo]],Formato_Rango_Categorias)&amp;" - "&amp;TEXT(Categorias_Registro[[#This Row],[Máximo]],Formato_Rango_Categorias)</f>
        <v>1.077 - 1.237</v>
      </c>
    </row>
    <row r="1469" spans="2:8">
      <c r="B1469" s="15">
        <f>Techo - ROW() + ROW(Categorias_Registro[])</f>
        <v>1160</v>
      </c>
      <c r="C1469" s="15">
        <f>IF(Categorias_Registro[[#This Row],[Puntos]]&lt;=ROUND(Piso,0),Piso,IF(Categorias_Registro[[#This Row],[Puntos]]&lt;D1470,C1470,D1470+1))</f>
        <v>1077</v>
      </c>
      <c r="D1469" s="15">
        <f>IF(Categorias_Registro[[#This Row],[Puntos]]=ROUND(Piso,0),ROUND(Categorias_Registro[[#This Row],[Puntos]]*(1+Categorias_Registro[[#This Row],[Amplitud]]),0),IF(Categorias_Registro[[#This Row],[Puntos]]&lt;D1470,D1470,ROUND(D1470*(1+Categorias_Registro[[#This Row],[Amplitud]]),0)))</f>
        <v>1237</v>
      </c>
      <c r="E1469" s="15">
        <f>E1470+IF(D1470=Categorias_Registro[[#This Row],[Máximo]],0,1)</f>
        <v>19</v>
      </c>
      <c r="F1469" s="15">
        <f>ROUND(Categorias_Registro[[#This Row],[Mínimo]]+((Categorias_Registro[[#This Row],[Máximo]]-Categorias_Registro[[#This Row],[Mínimo]])/2),0)</f>
        <v>1157</v>
      </c>
      <c r="G1469" s="78">
        <f>VLOOKUP(Categorias_Registro[[#This Row],[Puntos]],Categorias_Configuracion[],MATCH(Categorias_Configuracion[[#Headers],[% Amplitud]],Categorias_Configuracion[#Headers],0),TRUE)</f>
        <v>0.15</v>
      </c>
      <c r="H1469" s="15" t="str">
        <f ca="1">TEXT(Categorias_Registro[[#This Row],[Mínimo]],Formato_Rango_Categorias)&amp;" - "&amp;TEXT(Categorias_Registro[[#This Row],[Máximo]],Formato_Rango_Categorias)</f>
        <v>1.077 - 1.237</v>
      </c>
    </row>
    <row r="1470" spans="2:8">
      <c r="B1470" s="15">
        <f>Techo - ROW() + ROW(Categorias_Registro[])</f>
        <v>1159</v>
      </c>
      <c r="C1470" s="15">
        <f>IF(Categorias_Registro[[#This Row],[Puntos]]&lt;=ROUND(Piso,0),Piso,IF(Categorias_Registro[[#This Row],[Puntos]]&lt;D1471,C1471,D1471+1))</f>
        <v>1077</v>
      </c>
      <c r="D1470" s="15">
        <f>IF(Categorias_Registro[[#This Row],[Puntos]]=ROUND(Piso,0),ROUND(Categorias_Registro[[#This Row],[Puntos]]*(1+Categorias_Registro[[#This Row],[Amplitud]]),0),IF(Categorias_Registro[[#This Row],[Puntos]]&lt;D1471,D1471,ROUND(D1471*(1+Categorias_Registro[[#This Row],[Amplitud]]),0)))</f>
        <v>1237</v>
      </c>
      <c r="E1470" s="15">
        <f>E1471+IF(D1471=Categorias_Registro[[#This Row],[Máximo]],0,1)</f>
        <v>19</v>
      </c>
      <c r="F1470" s="15">
        <f>ROUND(Categorias_Registro[[#This Row],[Mínimo]]+((Categorias_Registro[[#This Row],[Máximo]]-Categorias_Registro[[#This Row],[Mínimo]])/2),0)</f>
        <v>1157</v>
      </c>
      <c r="G1470" s="78">
        <f>VLOOKUP(Categorias_Registro[[#This Row],[Puntos]],Categorias_Configuracion[],MATCH(Categorias_Configuracion[[#Headers],[% Amplitud]],Categorias_Configuracion[#Headers],0),TRUE)</f>
        <v>0.15</v>
      </c>
      <c r="H1470" s="15" t="str">
        <f ca="1">TEXT(Categorias_Registro[[#This Row],[Mínimo]],Formato_Rango_Categorias)&amp;" - "&amp;TEXT(Categorias_Registro[[#This Row],[Máximo]],Formato_Rango_Categorias)</f>
        <v>1.077 - 1.237</v>
      </c>
    </row>
    <row r="1471" spans="2:8">
      <c r="B1471" s="15">
        <f>Techo - ROW() + ROW(Categorias_Registro[])</f>
        <v>1158</v>
      </c>
      <c r="C1471" s="15">
        <f>IF(Categorias_Registro[[#This Row],[Puntos]]&lt;=ROUND(Piso,0),Piso,IF(Categorias_Registro[[#This Row],[Puntos]]&lt;D1472,C1472,D1472+1))</f>
        <v>1077</v>
      </c>
      <c r="D1471" s="15">
        <f>IF(Categorias_Registro[[#This Row],[Puntos]]=ROUND(Piso,0),ROUND(Categorias_Registro[[#This Row],[Puntos]]*(1+Categorias_Registro[[#This Row],[Amplitud]]),0),IF(Categorias_Registro[[#This Row],[Puntos]]&lt;D1472,D1472,ROUND(D1472*(1+Categorias_Registro[[#This Row],[Amplitud]]),0)))</f>
        <v>1237</v>
      </c>
      <c r="E1471" s="15">
        <f>E1472+IF(D1472=Categorias_Registro[[#This Row],[Máximo]],0,1)</f>
        <v>19</v>
      </c>
      <c r="F1471" s="15">
        <f>ROUND(Categorias_Registro[[#This Row],[Mínimo]]+((Categorias_Registro[[#This Row],[Máximo]]-Categorias_Registro[[#This Row],[Mínimo]])/2),0)</f>
        <v>1157</v>
      </c>
      <c r="G1471" s="78">
        <f>VLOOKUP(Categorias_Registro[[#This Row],[Puntos]],Categorias_Configuracion[],MATCH(Categorias_Configuracion[[#Headers],[% Amplitud]],Categorias_Configuracion[#Headers],0),TRUE)</f>
        <v>0.15</v>
      </c>
      <c r="H1471" s="15" t="str">
        <f ca="1">TEXT(Categorias_Registro[[#This Row],[Mínimo]],Formato_Rango_Categorias)&amp;" - "&amp;TEXT(Categorias_Registro[[#This Row],[Máximo]],Formato_Rango_Categorias)</f>
        <v>1.077 - 1.237</v>
      </c>
    </row>
    <row r="1472" spans="2:8">
      <c r="B1472" s="15">
        <f>Techo - ROW() + ROW(Categorias_Registro[])</f>
        <v>1157</v>
      </c>
      <c r="C1472" s="15">
        <f>IF(Categorias_Registro[[#This Row],[Puntos]]&lt;=ROUND(Piso,0),Piso,IF(Categorias_Registro[[#This Row],[Puntos]]&lt;D1473,C1473,D1473+1))</f>
        <v>1077</v>
      </c>
      <c r="D1472" s="15">
        <f>IF(Categorias_Registro[[#This Row],[Puntos]]=ROUND(Piso,0),ROUND(Categorias_Registro[[#This Row],[Puntos]]*(1+Categorias_Registro[[#This Row],[Amplitud]]),0),IF(Categorias_Registro[[#This Row],[Puntos]]&lt;D1473,D1473,ROUND(D1473*(1+Categorias_Registro[[#This Row],[Amplitud]]),0)))</f>
        <v>1237</v>
      </c>
      <c r="E1472" s="15">
        <f>E1473+IF(D1473=Categorias_Registro[[#This Row],[Máximo]],0,1)</f>
        <v>19</v>
      </c>
      <c r="F1472" s="15">
        <f>ROUND(Categorias_Registro[[#This Row],[Mínimo]]+((Categorias_Registro[[#This Row],[Máximo]]-Categorias_Registro[[#This Row],[Mínimo]])/2),0)</f>
        <v>1157</v>
      </c>
      <c r="G1472" s="78">
        <f>VLOOKUP(Categorias_Registro[[#This Row],[Puntos]],Categorias_Configuracion[],MATCH(Categorias_Configuracion[[#Headers],[% Amplitud]],Categorias_Configuracion[#Headers],0),TRUE)</f>
        <v>0.15</v>
      </c>
      <c r="H1472" s="15" t="str">
        <f ca="1">TEXT(Categorias_Registro[[#This Row],[Mínimo]],Formato_Rango_Categorias)&amp;" - "&amp;TEXT(Categorias_Registro[[#This Row],[Máximo]],Formato_Rango_Categorias)</f>
        <v>1.077 - 1.237</v>
      </c>
    </row>
    <row r="1473" spans="2:8">
      <c r="B1473" s="15">
        <f>Techo - ROW() + ROW(Categorias_Registro[])</f>
        <v>1156</v>
      </c>
      <c r="C1473" s="15">
        <f>IF(Categorias_Registro[[#This Row],[Puntos]]&lt;=ROUND(Piso,0),Piso,IF(Categorias_Registro[[#This Row],[Puntos]]&lt;D1474,C1474,D1474+1))</f>
        <v>1077</v>
      </c>
      <c r="D1473" s="15">
        <f>IF(Categorias_Registro[[#This Row],[Puntos]]=ROUND(Piso,0),ROUND(Categorias_Registro[[#This Row],[Puntos]]*(1+Categorias_Registro[[#This Row],[Amplitud]]),0),IF(Categorias_Registro[[#This Row],[Puntos]]&lt;D1474,D1474,ROUND(D1474*(1+Categorias_Registro[[#This Row],[Amplitud]]),0)))</f>
        <v>1237</v>
      </c>
      <c r="E1473" s="15">
        <f>E1474+IF(D1474=Categorias_Registro[[#This Row],[Máximo]],0,1)</f>
        <v>19</v>
      </c>
      <c r="F1473" s="15">
        <f>ROUND(Categorias_Registro[[#This Row],[Mínimo]]+((Categorias_Registro[[#This Row],[Máximo]]-Categorias_Registro[[#This Row],[Mínimo]])/2),0)</f>
        <v>1157</v>
      </c>
      <c r="G1473" s="78">
        <f>VLOOKUP(Categorias_Registro[[#This Row],[Puntos]],Categorias_Configuracion[],MATCH(Categorias_Configuracion[[#Headers],[% Amplitud]],Categorias_Configuracion[#Headers],0),TRUE)</f>
        <v>0.15</v>
      </c>
      <c r="H1473" s="15" t="str">
        <f ca="1">TEXT(Categorias_Registro[[#This Row],[Mínimo]],Formato_Rango_Categorias)&amp;" - "&amp;TEXT(Categorias_Registro[[#This Row],[Máximo]],Formato_Rango_Categorias)</f>
        <v>1.077 - 1.237</v>
      </c>
    </row>
    <row r="1474" spans="2:8">
      <c r="B1474" s="15">
        <f>Techo - ROW() + ROW(Categorias_Registro[])</f>
        <v>1155</v>
      </c>
      <c r="C1474" s="15">
        <f>IF(Categorias_Registro[[#This Row],[Puntos]]&lt;=ROUND(Piso,0),Piso,IF(Categorias_Registro[[#This Row],[Puntos]]&lt;D1475,C1475,D1475+1))</f>
        <v>1077</v>
      </c>
      <c r="D1474" s="15">
        <f>IF(Categorias_Registro[[#This Row],[Puntos]]=ROUND(Piso,0),ROUND(Categorias_Registro[[#This Row],[Puntos]]*(1+Categorias_Registro[[#This Row],[Amplitud]]),0),IF(Categorias_Registro[[#This Row],[Puntos]]&lt;D1475,D1475,ROUND(D1475*(1+Categorias_Registro[[#This Row],[Amplitud]]),0)))</f>
        <v>1237</v>
      </c>
      <c r="E1474" s="15">
        <f>E1475+IF(D1475=Categorias_Registro[[#This Row],[Máximo]],0,1)</f>
        <v>19</v>
      </c>
      <c r="F1474" s="15">
        <f>ROUND(Categorias_Registro[[#This Row],[Mínimo]]+((Categorias_Registro[[#This Row],[Máximo]]-Categorias_Registro[[#This Row],[Mínimo]])/2),0)</f>
        <v>1157</v>
      </c>
      <c r="G1474" s="78">
        <f>VLOOKUP(Categorias_Registro[[#This Row],[Puntos]],Categorias_Configuracion[],MATCH(Categorias_Configuracion[[#Headers],[% Amplitud]],Categorias_Configuracion[#Headers],0),TRUE)</f>
        <v>0.15</v>
      </c>
      <c r="H1474" s="15" t="str">
        <f ca="1">TEXT(Categorias_Registro[[#This Row],[Mínimo]],Formato_Rango_Categorias)&amp;" - "&amp;TEXT(Categorias_Registro[[#This Row],[Máximo]],Formato_Rango_Categorias)</f>
        <v>1.077 - 1.237</v>
      </c>
    </row>
    <row r="1475" spans="2:8">
      <c r="B1475" s="15">
        <f>Techo - ROW() + ROW(Categorias_Registro[])</f>
        <v>1154</v>
      </c>
      <c r="C1475" s="15">
        <f>IF(Categorias_Registro[[#This Row],[Puntos]]&lt;=ROUND(Piso,0),Piso,IF(Categorias_Registro[[#This Row],[Puntos]]&lt;D1476,C1476,D1476+1))</f>
        <v>1077</v>
      </c>
      <c r="D1475" s="15">
        <f>IF(Categorias_Registro[[#This Row],[Puntos]]=ROUND(Piso,0),ROUND(Categorias_Registro[[#This Row],[Puntos]]*(1+Categorias_Registro[[#This Row],[Amplitud]]),0),IF(Categorias_Registro[[#This Row],[Puntos]]&lt;D1476,D1476,ROUND(D1476*(1+Categorias_Registro[[#This Row],[Amplitud]]),0)))</f>
        <v>1237</v>
      </c>
      <c r="E1475" s="15">
        <f>E1476+IF(D1476=Categorias_Registro[[#This Row],[Máximo]],0,1)</f>
        <v>19</v>
      </c>
      <c r="F1475" s="15">
        <f>ROUND(Categorias_Registro[[#This Row],[Mínimo]]+((Categorias_Registro[[#This Row],[Máximo]]-Categorias_Registro[[#This Row],[Mínimo]])/2),0)</f>
        <v>1157</v>
      </c>
      <c r="G1475" s="78">
        <f>VLOOKUP(Categorias_Registro[[#This Row],[Puntos]],Categorias_Configuracion[],MATCH(Categorias_Configuracion[[#Headers],[% Amplitud]],Categorias_Configuracion[#Headers],0),TRUE)</f>
        <v>0.15</v>
      </c>
      <c r="H1475" s="15" t="str">
        <f ca="1">TEXT(Categorias_Registro[[#This Row],[Mínimo]],Formato_Rango_Categorias)&amp;" - "&amp;TEXT(Categorias_Registro[[#This Row],[Máximo]],Formato_Rango_Categorias)</f>
        <v>1.077 - 1.237</v>
      </c>
    </row>
    <row r="1476" spans="2:8">
      <c r="B1476" s="15">
        <f>Techo - ROW() + ROW(Categorias_Registro[])</f>
        <v>1153</v>
      </c>
      <c r="C1476" s="15">
        <f>IF(Categorias_Registro[[#This Row],[Puntos]]&lt;=ROUND(Piso,0),Piso,IF(Categorias_Registro[[#This Row],[Puntos]]&lt;D1477,C1477,D1477+1))</f>
        <v>1077</v>
      </c>
      <c r="D1476" s="15">
        <f>IF(Categorias_Registro[[#This Row],[Puntos]]=ROUND(Piso,0),ROUND(Categorias_Registro[[#This Row],[Puntos]]*(1+Categorias_Registro[[#This Row],[Amplitud]]),0),IF(Categorias_Registro[[#This Row],[Puntos]]&lt;D1477,D1477,ROUND(D1477*(1+Categorias_Registro[[#This Row],[Amplitud]]),0)))</f>
        <v>1237</v>
      </c>
      <c r="E1476" s="15">
        <f>E1477+IF(D1477=Categorias_Registro[[#This Row],[Máximo]],0,1)</f>
        <v>19</v>
      </c>
      <c r="F1476" s="15">
        <f>ROUND(Categorias_Registro[[#This Row],[Mínimo]]+((Categorias_Registro[[#This Row],[Máximo]]-Categorias_Registro[[#This Row],[Mínimo]])/2),0)</f>
        <v>1157</v>
      </c>
      <c r="G1476" s="78">
        <f>VLOOKUP(Categorias_Registro[[#This Row],[Puntos]],Categorias_Configuracion[],MATCH(Categorias_Configuracion[[#Headers],[% Amplitud]],Categorias_Configuracion[#Headers],0),TRUE)</f>
        <v>0.15</v>
      </c>
      <c r="H1476" s="15" t="str">
        <f ca="1">TEXT(Categorias_Registro[[#This Row],[Mínimo]],Formato_Rango_Categorias)&amp;" - "&amp;TEXT(Categorias_Registro[[#This Row],[Máximo]],Formato_Rango_Categorias)</f>
        <v>1.077 - 1.237</v>
      </c>
    </row>
    <row r="1477" spans="2:8">
      <c r="B1477" s="15">
        <f>Techo - ROW() + ROW(Categorias_Registro[])</f>
        <v>1152</v>
      </c>
      <c r="C1477" s="15">
        <f>IF(Categorias_Registro[[#This Row],[Puntos]]&lt;=ROUND(Piso,0),Piso,IF(Categorias_Registro[[#This Row],[Puntos]]&lt;D1478,C1478,D1478+1))</f>
        <v>1077</v>
      </c>
      <c r="D1477" s="15">
        <f>IF(Categorias_Registro[[#This Row],[Puntos]]=ROUND(Piso,0),ROUND(Categorias_Registro[[#This Row],[Puntos]]*(1+Categorias_Registro[[#This Row],[Amplitud]]),0),IF(Categorias_Registro[[#This Row],[Puntos]]&lt;D1478,D1478,ROUND(D1478*(1+Categorias_Registro[[#This Row],[Amplitud]]),0)))</f>
        <v>1237</v>
      </c>
      <c r="E1477" s="15">
        <f>E1478+IF(D1478=Categorias_Registro[[#This Row],[Máximo]],0,1)</f>
        <v>19</v>
      </c>
      <c r="F1477" s="15">
        <f>ROUND(Categorias_Registro[[#This Row],[Mínimo]]+((Categorias_Registro[[#This Row],[Máximo]]-Categorias_Registro[[#This Row],[Mínimo]])/2),0)</f>
        <v>1157</v>
      </c>
      <c r="G1477" s="78">
        <f>VLOOKUP(Categorias_Registro[[#This Row],[Puntos]],Categorias_Configuracion[],MATCH(Categorias_Configuracion[[#Headers],[% Amplitud]],Categorias_Configuracion[#Headers],0),TRUE)</f>
        <v>0.15</v>
      </c>
      <c r="H1477" s="15" t="str">
        <f ca="1">TEXT(Categorias_Registro[[#This Row],[Mínimo]],Formato_Rango_Categorias)&amp;" - "&amp;TEXT(Categorias_Registro[[#This Row],[Máximo]],Formato_Rango_Categorias)</f>
        <v>1.077 - 1.237</v>
      </c>
    </row>
    <row r="1478" spans="2:8">
      <c r="B1478" s="15">
        <f>Techo - ROW() + ROW(Categorias_Registro[])</f>
        <v>1151</v>
      </c>
      <c r="C1478" s="15">
        <f>IF(Categorias_Registro[[#This Row],[Puntos]]&lt;=ROUND(Piso,0),Piso,IF(Categorias_Registro[[#This Row],[Puntos]]&lt;D1479,C1479,D1479+1))</f>
        <v>1077</v>
      </c>
      <c r="D1478" s="15">
        <f>IF(Categorias_Registro[[#This Row],[Puntos]]=ROUND(Piso,0),ROUND(Categorias_Registro[[#This Row],[Puntos]]*(1+Categorias_Registro[[#This Row],[Amplitud]]),0),IF(Categorias_Registro[[#This Row],[Puntos]]&lt;D1479,D1479,ROUND(D1479*(1+Categorias_Registro[[#This Row],[Amplitud]]),0)))</f>
        <v>1237</v>
      </c>
      <c r="E1478" s="15">
        <f>E1479+IF(D1479=Categorias_Registro[[#This Row],[Máximo]],0,1)</f>
        <v>19</v>
      </c>
      <c r="F1478" s="15">
        <f>ROUND(Categorias_Registro[[#This Row],[Mínimo]]+((Categorias_Registro[[#This Row],[Máximo]]-Categorias_Registro[[#This Row],[Mínimo]])/2),0)</f>
        <v>1157</v>
      </c>
      <c r="G1478" s="78">
        <f>VLOOKUP(Categorias_Registro[[#This Row],[Puntos]],Categorias_Configuracion[],MATCH(Categorias_Configuracion[[#Headers],[% Amplitud]],Categorias_Configuracion[#Headers],0),TRUE)</f>
        <v>0.15</v>
      </c>
      <c r="H1478" s="15" t="str">
        <f ca="1">TEXT(Categorias_Registro[[#This Row],[Mínimo]],Formato_Rango_Categorias)&amp;" - "&amp;TEXT(Categorias_Registro[[#This Row],[Máximo]],Formato_Rango_Categorias)</f>
        <v>1.077 - 1.237</v>
      </c>
    </row>
    <row r="1479" spans="2:8">
      <c r="B1479" s="15">
        <f>Techo - ROW() + ROW(Categorias_Registro[])</f>
        <v>1150</v>
      </c>
      <c r="C1479" s="15">
        <f>IF(Categorias_Registro[[#This Row],[Puntos]]&lt;=ROUND(Piso,0),Piso,IF(Categorias_Registro[[#This Row],[Puntos]]&lt;D1480,C1480,D1480+1))</f>
        <v>1077</v>
      </c>
      <c r="D1479" s="15">
        <f>IF(Categorias_Registro[[#This Row],[Puntos]]=ROUND(Piso,0),ROUND(Categorias_Registro[[#This Row],[Puntos]]*(1+Categorias_Registro[[#This Row],[Amplitud]]),0),IF(Categorias_Registro[[#This Row],[Puntos]]&lt;D1480,D1480,ROUND(D1480*(1+Categorias_Registro[[#This Row],[Amplitud]]),0)))</f>
        <v>1237</v>
      </c>
      <c r="E1479" s="15">
        <f>E1480+IF(D1480=Categorias_Registro[[#This Row],[Máximo]],0,1)</f>
        <v>19</v>
      </c>
      <c r="F1479" s="15">
        <f>ROUND(Categorias_Registro[[#This Row],[Mínimo]]+((Categorias_Registro[[#This Row],[Máximo]]-Categorias_Registro[[#This Row],[Mínimo]])/2),0)</f>
        <v>1157</v>
      </c>
      <c r="G1479" s="78">
        <f>VLOOKUP(Categorias_Registro[[#This Row],[Puntos]],Categorias_Configuracion[],MATCH(Categorias_Configuracion[[#Headers],[% Amplitud]],Categorias_Configuracion[#Headers],0),TRUE)</f>
        <v>0.15</v>
      </c>
      <c r="H1479" s="15" t="str">
        <f ca="1">TEXT(Categorias_Registro[[#This Row],[Mínimo]],Formato_Rango_Categorias)&amp;" - "&amp;TEXT(Categorias_Registro[[#This Row],[Máximo]],Formato_Rango_Categorias)</f>
        <v>1.077 - 1.237</v>
      </c>
    </row>
    <row r="1480" spans="2:8">
      <c r="B1480" s="15">
        <f>Techo - ROW() + ROW(Categorias_Registro[])</f>
        <v>1149</v>
      </c>
      <c r="C1480" s="15">
        <f>IF(Categorias_Registro[[#This Row],[Puntos]]&lt;=ROUND(Piso,0),Piso,IF(Categorias_Registro[[#This Row],[Puntos]]&lt;D1481,C1481,D1481+1))</f>
        <v>1077</v>
      </c>
      <c r="D1480" s="15">
        <f>IF(Categorias_Registro[[#This Row],[Puntos]]=ROUND(Piso,0),ROUND(Categorias_Registro[[#This Row],[Puntos]]*(1+Categorias_Registro[[#This Row],[Amplitud]]),0),IF(Categorias_Registro[[#This Row],[Puntos]]&lt;D1481,D1481,ROUND(D1481*(1+Categorias_Registro[[#This Row],[Amplitud]]),0)))</f>
        <v>1237</v>
      </c>
      <c r="E1480" s="15">
        <f>E1481+IF(D1481=Categorias_Registro[[#This Row],[Máximo]],0,1)</f>
        <v>19</v>
      </c>
      <c r="F1480" s="15">
        <f>ROUND(Categorias_Registro[[#This Row],[Mínimo]]+((Categorias_Registro[[#This Row],[Máximo]]-Categorias_Registro[[#This Row],[Mínimo]])/2),0)</f>
        <v>1157</v>
      </c>
      <c r="G1480" s="78">
        <f>VLOOKUP(Categorias_Registro[[#This Row],[Puntos]],Categorias_Configuracion[],MATCH(Categorias_Configuracion[[#Headers],[% Amplitud]],Categorias_Configuracion[#Headers],0),TRUE)</f>
        <v>0.15</v>
      </c>
      <c r="H1480" s="15" t="str">
        <f ca="1">TEXT(Categorias_Registro[[#This Row],[Mínimo]],Formato_Rango_Categorias)&amp;" - "&amp;TEXT(Categorias_Registro[[#This Row],[Máximo]],Formato_Rango_Categorias)</f>
        <v>1.077 - 1.237</v>
      </c>
    </row>
    <row r="1481" spans="2:8">
      <c r="B1481" s="15">
        <f>Techo - ROW() + ROW(Categorias_Registro[])</f>
        <v>1148</v>
      </c>
      <c r="C1481" s="15">
        <f>IF(Categorias_Registro[[#This Row],[Puntos]]&lt;=ROUND(Piso,0),Piso,IF(Categorias_Registro[[#This Row],[Puntos]]&lt;D1482,C1482,D1482+1))</f>
        <v>1077</v>
      </c>
      <c r="D1481" s="15">
        <f>IF(Categorias_Registro[[#This Row],[Puntos]]=ROUND(Piso,0),ROUND(Categorias_Registro[[#This Row],[Puntos]]*(1+Categorias_Registro[[#This Row],[Amplitud]]),0),IF(Categorias_Registro[[#This Row],[Puntos]]&lt;D1482,D1482,ROUND(D1482*(1+Categorias_Registro[[#This Row],[Amplitud]]),0)))</f>
        <v>1237</v>
      </c>
      <c r="E1481" s="15">
        <f>E1482+IF(D1482=Categorias_Registro[[#This Row],[Máximo]],0,1)</f>
        <v>19</v>
      </c>
      <c r="F1481" s="15">
        <f>ROUND(Categorias_Registro[[#This Row],[Mínimo]]+((Categorias_Registro[[#This Row],[Máximo]]-Categorias_Registro[[#This Row],[Mínimo]])/2),0)</f>
        <v>1157</v>
      </c>
      <c r="G1481" s="78">
        <f>VLOOKUP(Categorias_Registro[[#This Row],[Puntos]],Categorias_Configuracion[],MATCH(Categorias_Configuracion[[#Headers],[% Amplitud]],Categorias_Configuracion[#Headers],0),TRUE)</f>
        <v>0.15</v>
      </c>
      <c r="H1481" s="15" t="str">
        <f ca="1">TEXT(Categorias_Registro[[#This Row],[Mínimo]],Formato_Rango_Categorias)&amp;" - "&amp;TEXT(Categorias_Registro[[#This Row],[Máximo]],Formato_Rango_Categorias)</f>
        <v>1.077 - 1.237</v>
      </c>
    </row>
    <row r="1482" spans="2:8">
      <c r="B1482" s="15">
        <f>Techo - ROW() + ROW(Categorias_Registro[])</f>
        <v>1147</v>
      </c>
      <c r="C1482" s="15">
        <f>IF(Categorias_Registro[[#This Row],[Puntos]]&lt;=ROUND(Piso,0),Piso,IF(Categorias_Registro[[#This Row],[Puntos]]&lt;D1483,C1483,D1483+1))</f>
        <v>1077</v>
      </c>
      <c r="D1482" s="15">
        <f>IF(Categorias_Registro[[#This Row],[Puntos]]=ROUND(Piso,0),ROUND(Categorias_Registro[[#This Row],[Puntos]]*(1+Categorias_Registro[[#This Row],[Amplitud]]),0),IF(Categorias_Registro[[#This Row],[Puntos]]&lt;D1483,D1483,ROUND(D1483*(1+Categorias_Registro[[#This Row],[Amplitud]]),0)))</f>
        <v>1237</v>
      </c>
      <c r="E1482" s="15">
        <f>E1483+IF(D1483=Categorias_Registro[[#This Row],[Máximo]],0,1)</f>
        <v>19</v>
      </c>
      <c r="F1482" s="15">
        <f>ROUND(Categorias_Registro[[#This Row],[Mínimo]]+((Categorias_Registro[[#This Row],[Máximo]]-Categorias_Registro[[#This Row],[Mínimo]])/2),0)</f>
        <v>1157</v>
      </c>
      <c r="G1482" s="78">
        <f>VLOOKUP(Categorias_Registro[[#This Row],[Puntos]],Categorias_Configuracion[],MATCH(Categorias_Configuracion[[#Headers],[% Amplitud]],Categorias_Configuracion[#Headers],0),TRUE)</f>
        <v>0.15</v>
      </c>
      <c r="H1482" s="15" t="str">
        <f ca="1">TEXT(Categorias_Registro[[#This Row],[Mínimo]],Formato_Rango_Categorias)&amp;" - "&amp;TEXT(Categorias_Registro[[#This Row],[Máximo]],Formato_Rango_Categorias)</f>
        <v>1.077 - 1.237</v>
      </c>
    </row>
    <row r="1483" spans="2:8">
      <c r="B1483" s="15">
        <f>Techo - ROW() + ROW(Categorias_Registro[])</f>
        <v>1146</v>
      </c>
      <c r="C1483" s="15">
        <f>IF(Categorias_Registro[[#This Row],[Puntos]]&lt;=ROUND(Piso,0),Piso,IF(Categorias_Registro[[#This Row],[Puntos]]&lt;D1484,C1484,D1484+1))</f>
        <v>1077</v>
      </c>
      <c r="D1483" s="15">
        <f>IF(Categorias_Registro[[#This Row],[Puntos]]=ROUND(Piso,0),ROUND(Categorias_Registro[[#This Row],[Puntos]]*(1+Categorias_Registro[[#This Row],[Amplitud]]),0),IF(Categorias_Registro[[#This Row],[Puntos]]&lt;D1484,D1484,ROUND(D1484*(1+Categorias_Registro[[#This Row],[Amplitud]]),0)))</f>
        <v>1237</v>
      </c>
      <c r="E1483" s="15">
        <f>E1484+IF(D1484=Categorias_Registro[[#This Row],[Máximo]],0,1)</f>
        <v>19</v>
      </c>
      <c r="F1483" s="15">
        <f>ROUND(Categorias_Registro[[#This Row],[Mínimo]]+((Categorias_Registro[[#This Row],[Máximo]]-Categorias_Registro[[#This Row],[Mínimo]])/2),0)</f>
        <v>1157</v>
      </c>
      <c r="G1483" s="78">
        <f>VLOOKUP(Categorias_Registro[[#This Row],[Puntos]],Categorias_Configuracion[],MATCH(Categorias_Configuracion[[#Headers],[% Amplitud]],Categorias_Configuracion[#Headers],0),TRUE)</f>
        <v>0.15</v>
      </c>
      <c r="H1483" s="15" t="str">
        <f ca="1">TEXT(Categorias_Registro[[#This Row],[Mínimo]],Formato_Rango_Categorias)&amp;" - "&amp;TEXT(Categorias_Registro[[#This Row],[Máximo]],Formato_Rango_Categorias)</f>
        <v>1.077 - 1.237</v>
      </c>
    </row>
    <row r="1484" spans="2:8">
      <c r="B1484" s="15">
        <f>Techo - ROW() + ROW(Categorias_Registro[])</f>
        <v>1145</v>
      </c>
      <c r="C1484" s="15">
        <f>IF(Categorias_Registro[[#This Row],[Puntos]]&lt;=ROUND(Piso,0),Piso,IF(Categorias_Registro[[#This Row],[Puntos]]&lt;D1485,C1485,D1485+1))</f>
        <v>1077</v>
      </c>
      <c r="D1484" s="15">
        <f>IF(Categorias_Registro[[#This Row],[Puntos]]=ROUND(Piso,0),ROUND(Categorias_Registro[[#This Row],[Puntos]]*(1+Categorias_Registro[[#This Row],[Amplitud]]),0),IF(Categorias_Registro[[#This Row],[Puntos]]&lt;D1485,D1485,ROUND(D1485*(1+Categorias_Registro[[#This Row],[Amplitud]]),0)))</f>
        <v>1237</v>
      </c>
      <c r="E1484" s="15">
        <f>E1485+IF(D1485=Categorias_Registro[[#This Row],[Máximo]],0,1)</f>
        <v>19</v>
      </c>
      <c r="F1484" s="15">
        <f>ROUND(Categorias_Registro[[#This Row],[Mínimo]]+((Categorias_Registro[[#This Row],[Máximo]]-Categorias_Registro[[#This Row],[Mínimo]])/2),0)</f>
        <v>1157</v>
      </c>
      <c r="G1484" s="78">
        <f>VLOOKUP(Categorias_Registro[[#This Row],[Puntos]],Categorias_Configuracion[],MATCH(Categorias_Configuracion[[#Headers],[% Amplitud]],Categorias_Configuracion[#Headers],0),TRUE)</f>
        <v>0.15</v>
      </c>
      <c r="H1484" s="15" t="str">
        <f ca="1">TEXT(Categorias_Registro[[#This Row],[Mínimo]],Formato_Rango_Categorias)&amp;" - "&amp;TEXT(Categorias_Registro[[#This Row],[Máximo]],Formato_Rango_Categorias)</f>
        <v>1.077 - 1.237</v>
      </c>
    </row>
    <row r="1485" spans="2:8">
      <c r="B1485" s="15">
        <f>Techo - ROW() + ROW(Categorias_Registro[])</f>
        <v>1144</v>
      </c>
      <c r="C1485" s="15">
        <f>IF(Categorias_Registro[[#This Row],[Puntos]]&lt;=ROUND(Piso,0),Piso,IF(Categorias_Registro[[#This Row],[Puntos]]&lt;D1486,C1486,D1486+1))</f>
        <v>1077</v>
      </c>
      <c r="D1485" s="15">
        <f>IF(Categorias_Registro[[#This Row],[Puntos]]=ROUND(Piso,0),ROUND(Categorias_Registro[[#This Row],[Puntos]]*(1+Categorias_Registro[[#This Row],[Amplitud]]),0),IF(Categorias_Registro[[#This Row],[Puntos]]&lt;D1486,D1486,ROUND(D1486*(1+Categorias_Registro[[#This Row],[Amplitud]]),0)))</f>
        <v>1237</v>
      </c>
      <c r="E1485" s="15">
        <f>E1486+IF(D1486=Categorias_Registro[[#This Row],[Máximo]],0,1)</f>
        <v>19</v>
      </c>
      <c r="F1485" s="15">
        <f>ROUND(Categorias_Registro[[#This Row],[Mínimo]]+((Categorias_Registro[[#This Row],[Máximo]]-Categorias_Registro[[#This Row],[Mínimo]])/2),0)</f>
        <v>1157</v>
      </c>
      <c r="G1485" s="78">
        <f>VLOOKUP(Categorias_Registro[[#This Row],[Puntos]],Categorias_Configuracion[],MATCH(Categorias_Configuracion[[#Headers],[% Amplitud]],Categorias_Configuracion[#Headers],0),TRUE)</f>
        <v>0.15</v>
      </c>
      <c r="H1485" s="15" t="str">
        <f ca="1">TEXT(Categorias_Registro[[#This Row],[Mínimo]],Formato_Rango_Categorias)&amp;" - "&amp;TEXT(Categorias_Registro[[#This Row],[Máximo]],Formato_Rango_Categorias)</f>
        <v>1.077 - 1.237</v>
      </c>
    </row>
    <row r="1486" spans="2:8">
      <c r="B1486" s="15">
        <f>Techo - ROW() + ROW(Categorias_Registro[])</f>
        <v>1143</v>
      </c>
      <c r="C1486" s="15">
        <f>IF(Categorias_Registro[[#This Row],[Puntos]]&lt;=ROUND(Piso,0),Piso,IF(Categorias_Registro[[#This Row],[Puntos]]&lt;D1487,C1487,D1487+1))</f>
        <v>1077</v>
      </c>
      <c r="D1486" s="15">
        <f>IF(Categorias_Registro[[#This Row],[Puntos]]=ROUND(Piso,0),ROUND(Categorias_Registro[[#This Row],[Puntos]]*(1+Categorias_Registro[[#This Row],[Amplitud]]),0),IF(Categorias_Registro[[#This Row],[Puntos]]&lt;D1487,D1487,ROUND(D1487*(1+Categorias_Registro[[#This Row],[Amplitud]]),0)))</f>
        <v>1237</v>
      </c>
      <c r="E1486" s="15">
        <f>E1487+IF(D1487=Categorias_Registro[[#This Row],[Máximo]],0,1)</f>
        <v>19</v>
      </c>
      <c r="F1486" s="15">
        <f>ROUND(Categorias_Registro[[#This Row],[Mínimo]]+((Categorias_Registro[[#This Row],[Máximo]]-Categorias_Registro[[#This Row],[Mínimo]])/2),0)</f>
        <v>1157</v>
      </c>
      <c r="G1486" s="78">
        <f>VLOOKUP(Categorias_Registro[[#This Row],[Puntos]],Categorias_Configuracion[],MATCH(Categorias_Configuracion[[#Headers],[% Amplitud]],Categorias_Configuracion[#Headers],0),TRUE)</f>
        <v>0.15</v>
      </c>
      <c r="H1486" s="15" t="str">
        <f ca="1">TEXT(Categorias_Registro[[#This Row],[Mínimo]],Formato_Rango_Categorias)&amp;" - "&amp;TEXT(Categorias_Registro[[#This Row],[Máximo]],Formato_Rango_Categorias)</f>
        <v>1.077 - 1.237</v>
      </c>
    </row>
    <row r="1487" spans="2:8">
      <c r="B1487" s="15">
        <f>Techo - ROW() + ROW(Categorias_Registro[])</f>
        <v>1142</v>
      </c>
      <c r="C1487" s="15">
        <f>IF(Categorias_Registro[[#This Row],[Puntos]]&lt;=ROUND(Piso,0),Piso,IF(Categorias_Registro[[#This Row],[Puntos]]&lt;D1488,C1488,D1488+1))</f>
        <v>1077</v>
      </c>
      <c r="D1487" s="15">
        <f>IF(Categorias_Registro[[#This Row],[Puntos]]=ROUND(Piso,0),ROUND(Categorias_Registro[[#This Row],[Puntos]]*(1+Categorias_Registro[[#This Row],[Amplitud]]),0),IF(Categorias_Registro[[#This Row],[Puntos]]&lt;D1488,D1488,ROUND(D1488*(1+Categorias_Registro[[#This Row],[Amplitud]]),0)))</f>
        <v>1237</v>
      </c>
      <c r="E1487" s="15">
        <f>E1488+IF(D1488=Categorias_Registro[[#This Row],[Máximo]],0,1)</f>
        <v>19</v>
      </c>
      <c r="F1487" s="15">
        <f>ROUND(Categorias_Registro[[#This Row],[Mínimo]]+((Categorias_Registro[[#This Row],[Máximo]]-Categorias_Registro[[#This Row],[Mínimo]])/2),0)</f>
        <v>1157</v>
      </c>
      <c r="G1487" s="78">
        <f>VLOOKUP(Categorias_Registro[[#This Row],[Puntos]],Categorias_Configuracion[],MATCH(Categorias_Configuracion[[#Headers],[% Amplitud]],Categorias_Configuracion[#Headers],0),TRUE)</f>
        <v>0.15</v>
      </c>
      <c r="H1487" s="15" t="str">
        <f ca="1">TEXT(Categorias_Registro[[#This Row],[Mínimo]],Formato_Rango_Categorias)&amp;" - "&amp;TEXT(Categorias_Registro[[#This Row],[Máximo]],Formato_Rango_Categorias)</f>
        <v>1.077 - 1.237</v>
      </c>
    </row>
    <row r="1488" spans="2:8">
      <c r="B1488" s="15">
        <f>Techo - ROW() + ROW(Categorias_Registro[])</f>
        <v>1141</v>
      </c>
      <c r="C1488" s="15">
        <f>IF(Categorias_Registro[[#This Row],[Puntos]]&lt;=ROUND(Piso,0),Piso,IF(Categorias_Registro[[#This Row],[Puntos]]&lt;D1489,C1489,D1489+1))</f>
        <v>1077</v>
      </c>
      <c r="D1488" s="15">
        <f>IF(Categorias_Registro[[#This Row],[Puntos]]=ROUND(Piso,0),ROUND(Categorias_Registro[[#This Row],[Puntos]]*(1+Categorias_Registro[[#This Row],[Amplitud]]),0),IF(Categorias_Registro[[#This Row],[Puntos]]&lt;D1489,D1489,ROUND(D1489*(1+Categorias_Registro[[#This Row],[Amplitud]]),0)))</f>
        <v>1237</v>
      </c>
      <c r="E1488" s="15">
        <f>E1489+IF(D1489=Categorias_Registro[[#This Row],[Máximo]],0,1)</f>
        <v>19</v>
      </c>
      <c r="F1488" s="15">
        <f>ROUND(Categorias_Registro[[#This Row],[Mínimo]]+((Categorias_Registro[[#This Row],[Máximo]]-Categorias_Registro[[#This Row],[Mínimo]])/2),0)</f>
        <v>1157</v>
      </c>
      <c r="G1488" s="78">
        <f>VLOOKUP(Categorias_Registro[[#This Row],[Puntos]],Categorias_Configuracion[],MATCH(Categorias_Configuracion[[#Headers],[% Amplitud]],Categorias_Configuracion[#Headers],0),TRUE)</f>
        <v>0.15</v>
      </c>
      <c r="H1488" s="15" t="str">
        <f ca="1">TEXT(Categorias_Registro[[#This Row],[Mínimo]],Formato_Rango_Categorias)&amp;" - "&amp;TEXT(Categorias_Registro[[#This Row],[Máximo]],Formato_Rango_Categorias)</f>
        <v>1.077 - 1.237</v>
      </c>
    </row>
    <row r="1489" spans="2:8">
      <c r="B1489" s="15">
        <f>Techo - ROW() + ROW(Categorias_Registro[])</f>
        <v>1140</v>
      </c>
      <c r="C1489" s="15">
        <f>IF(Categorias_Registro[[#This Row],[Puntos]]&lt;=ROUND(Piso,0),Piso,IF(Categorias_Registro[[#This Row],[Puntos]]&lt;D1490,C1490,D1490+1))</f>
        <v>1077</v>
      </c>
      <c r="D1489" s="15">
        <f>IF(Categorias_Registro[[#This Row],[Puntos]]=ROUND(Piso,0),ROUND(Categorias_Registro[[#This Row],[Puntos]]*(1+Categorias_Registro[[#This Row],[Amplitud]]),0),IF(Categorias_Registro[[#This Row],[Puntos]]&lt;D1490,D1490,ROUND(D1490*(1+Categorias_Registro[[#This Row],[Amplitud]]),0)))</f>
        <v>1237</v>
      </c>
      <c r="E1489" s="15">
        <f>E1490+IF(D1490=Categorias_Registro[[#This Row],[Máximo]],0,1)</f>
        <v>19</v>
      </c>
      <c r="F1489" s="15">
        <f>ROUND(Categorias_Registro[[#This Row],[Mínimo]]+((Categorias_Registro[[#This Row],[Máximo]]-Categorias_Registro[[#This Row],[Mínimo]])/2),0)</f>
        <v>1157</v>
      </c>
      <c r="G1489" s="78">
        <f>VLOOKUP(Categorias_Registro[[#This Row],[Puntos]],Categorias_Configuracion[],MATCH(Categorias_Configuracion[[#Headers],[% Amplitud]],Categorias_Configuracion[#Headers],0),TRUE)</f>
        <v>0.15</v>
      </c>
      <c r="H1489" s="15" t="str">
        <f ca="1">TEXT(Categorias_Registro[[#This Row],[Mínimo]],Formato_Rango_Categorias)&amp;" - "&amp;TEXT(Categorias_Registro[[#This Row],[Máximo]],Formato_Rango_Categorias)</f>
        <v>1.077 - 1.237</v>
      </c>
    </row>
    <row r="1490" spans="2:8">
      <c r="B1490" s="15">
        <f>Techo - ROW() + ROW(Categorias_Registro[])</f>
        <v>1139</v>
      </c>
      <c r="C1490" s="15">
        <f>IF(Categorias_Registro[[#This Row],[Puntos]]&lt;=ROUND(Piso,0),Piso,IF(Categorias_Registro[[#This Row],[Puntos]]&lt;D1491,C1491,D1491+1))</f>
        <v>1077</v>
      </c>
      <c r="D1490" s="15">
        <f>IF(Categorias_Registro[[#This Row],[Puntos]]=ROUND(Piso,0),ROUND(Categorias_Registro[[#This Row],[Puntos]]*(1+Categorias_Registro[[#This Row],[Amplitud]]),0),IF(Categorias_Registro[[#This Row],[Puntos]]&lt;D1491,D1491,ROUND(D1491*(1+Categorias_Registro[[#This Row],[Amplitud]]),0)))</f>
        <v>1237</v>
      </c>
      <c r="E1490" s="15">
        <f>E1491+IF(D1491=Categorias_Registro[[#This Row],[Máximo]],0,1)</f>
        <v>19</v>
      </c>
      <c r="F1490" s="15">
        <f>ROUND(Categorias_Registro[[#This Row],[Mínimo]]+((Categorias_Registro[[#This Row],[Máximo]]-Categorias_Registro[[#This Row],[Mínimo]])/2),0)</f>
        <v>1157</v>
      </c>
      <c r="G1490" s="78">
        <f>VLOOKUP(Categorias_Registro[[#This Row],[Puntos]],Categorias_Configuracion[],MATCH(Categorias_Configuracion[[#Headers],[% Amplitud]],Categorias_Configuracion[#Headers],0),TRUE)</f>
        <v>0.15</v>
      </c>
      <c r="H1490" s="15" t="str">
        <f ca="1">TEXT(Categorias_Registro[[#This Row],[Mínimo]],Formato_Rango_Categorias)&amp;" - "&amp;TEXT(Categorias_Registro[[#This Row],[Máximo]],Formato_Rango_Categorias)</f>
        <v>1.077 - 1.237</v>
      </c>
    </row>
    <row r="1491" spans="2:8">
      <c r="B1491" s="15">
        <f>Techo - ROW() + ROW(Categorias_Registro[])</f>
        <v>1138</v>
      </c>
      <c r="C1491" s="15">
        <f>IF(Categorias_Registro[[#This Row],[Puntos]]&lt;=ROUND(Piso,0),Piso,IF(Categorias_Registro[[#This Row],[Puntos]]&lt;D1492,C1492,D1492+1))</f>
        <v>1077</v>
      </c>
      <c r="D1491" s="15">
        <f>IF(Categorias_Registro[[#This Row],[Puntos]]=ROUND(Piso,0),ROUND(Categorias_Registro[[#This Row],[Puntos]]*(1+Categorias_Registro[[#This Row],[Amplitud]]),0),IF(Categorias_Registro[[#This Row],[Puntos]]&lt;D1492,D1492,ROUND(D1492*(1+Categorias_Registro[[#This Row],[Amplitud]]),0)))</f>
        <v>1237</v>
      </c>
      <c r="E1491" s="15">
        <f>E1492+IF(D1492=Categorias_Registro[[#This Row],[Máximo]],0,1)</f>
        <v>19</v>
      </c>
      <c r="F1491" s="15">
        <f>ROUND(Categorias_Registro[[#This Row],[Mínimo]]+((Categorias_Registro[[#This Row],[Máximo]]-Categorias_Registro[[#This Row],[Mínimo]])/2),0)</f>
        <v>1157</v>
      </c>
      <c r="G1491" s="78">
        <f>VLOOKUP(Categorias_Registro[[#This Row],[Puntos]],Categorias_Configuracion[],MATCH(Categorias_Configuracion[[#Headers],[% Amplitud]],Categorias_Configuracion[#Headers],0),TRUE)</f>
        <v>0.15</v>
      </c>
      <c r="H1491" s="15" t="str">
        <f ca="1">TEXT(Categorias_Registro[[#This Row],[Mínimo]],Formato_Rango_Categorias)&amp;" - "&amp;TEXT(Categorias_Registro[[#This Row],[Máximo]],Formato_Rango_Categorias)</f>
        <v>1.077 - 1.237</v>
      </c>
    </row>
    <row r="1492" spans="2:8">
      <c r="B1492" s="15">
        <f>Techo - ROW() + ROW(Categorias_Registro[])</f>
        <v>1137</v>
      </c>
      <c r="C1492" s="15">
        <f>IF(Categorias_Registro[[#This Row],[Puntos]]&lt;=ROUND(Piso,0),Piso,IF(Categorias_Registro[[#This Row],[Puntos]]&lt;D1493,C1493,D1493+1))</f>
        <v>1077</v>
      </c>
      <c r="D1492" s="15">
        <f>IF(Categorias_Registro[[#This Row],[Puntos]]=ROUND(Piso,0),ROUND(Categorias_Registro[[#This Row],[Puntos]]*(1+Categorias_Registro[[#This Row],[Amplitud]]),0),IF(Categorias_Registro[[#This Row],[Puntos]]&lt;D1493,D1493,ROUND(D1493*(1+Categorias_Registro[[#This Row],[Amplitud]]),0)))</f>
        <v>1237</v>
      </c>
      <c r="E1492" s="15">
        <f>E1493+IF(D1493=Categorias_Registro[[#This Row],[Máximo]],0,1)</f>
        <v>19</v>
      </c>
      <c r="F1492" s="15">
        <f>ROUND(Categorias_Registro[[#This Row],[Mínimo]]+((Categorias_Registro[[#This Row],[Máximo]]-Categorias_Registro[[#This Row],[Mínimo]])/2),0)</f>
        <v>1157</v>
      </c>
      <c r="G1492" s="78">
        <f>VLOOKUP(Categorias_Registro[[#This Row],[Puntos]],Categorias_Configuracion[],MATCH(Categorias_Configuracion[[#Headers],[% Amplitud]],Categorias_Configuracion[#Headers],0),TRUE)</f>
        <v>0.15</v>
      </c>
      <c r="H1492" s="15" t="str">
        <f ca="1">TEXT(Categorias_Registro[[#This Row],[Mínimo]],Formato_Rango_Categorias)&amp;" - "&amp;TEXT(Categorias_Registro[[#This Row],[Máximo]],Formato_Rango_Categorias)</f>
        <v>1.077 - 1.237</v>
      </c>
    </row>
    <row r="1493" spans="2:8">
      <c r="B1493" s="15">
        <f>Techo - ROW() + ROW(Categorias_Registro[])</f>
        <v>1136</v>
      </c>
      <c r="C1493" s="15">
        <f>IF(Categorias_Registro[[#This Row],[Puntos]]&lt;=ROUND(Piso,0),Piso,IF(Categorias_Registro[[#This Row],[Puntos]]&lt;D1494,C1494,D1494+1))</f>
        <v>1077</v>
      </c>
      <c r="D1493" s="15">
        <f>IF(Categorias_Registro[[#This Row],[Puntos]]=ROUND(Piso,0),ROUND(Categorias_Registro[[#This Row],[Puntos]]*(1+Categorias_Registro[[#This Row],[Amplitud]]),0),IF(Categorias_Registro[[#This Row],[Puntos]]&lt;D1494,D1494,ROUND(D1494*(1+Categorias_Registro[[#This Row],[Amplitud]]),0)))</f>
        <v>1237</v>
      </c>
      <c r="E1493" s="15">
        <f>E1494+IF(D1494=Categorias_Registro[[#This Row],[Máximo]],0,1)</f>
        <v>19</v>
      </c>
      <c r="F1493" s="15">
        <f>ROUND(Categorias_Registro[[#This Row],[Mínimo]]+((Categorias_Registro[[#This Row],[Máximo]]-Categorias_Registro[[#This Row],[Mínimo]])/2),0)</f>
        <v>1157</v>
      </c>
      <c r="G1493" s="78">
        <f>VLOOKUP(Categorias_Registro[[#This Row],[Puntos]],Categorias_Configuracion[],MATCH(Categorias_Configuracion[[#Headers],[% Amplitud]],Categorias_Configuracion[#Headers],0),TRUE)</f>
        <v>0.15</v>
      </c>
      <c r="H1493" s="15" t="str">
        <f ca="1">TEXT(Categorias_Registro[[#This Row],[Mínimo]],Formato_Rango_Categorias)&amp;" - "&amp;TEXT(Categorias_Registro[[#This Row],[Máximo]],Formato_Rango_Categorias)</f>
        <v>1.077 - 1.237</v>
      </c>
    </row>
    <row r="1494" spans="2:8">
      <c r="B1494" s="15">
        <f>Techo - ROW() + ROW(Categorias_Registro[])</f>
        <v>1135</v>
      </c>
      <c r="C1494" s="15">
        <f>IF(Categorias_Registro[[#This Row],[Puntos]]&lt;=ROUND(Piso,0),Piso,IF(Categorias_Registro[[#This Row],[Puntos]]&lt;D1495,C1495,D1495+1))</f>
        <v>1077</v>
      </c>
      <c r="D1494" s="15">
        <f>IF(Categorias_Registro[[#This Row],[Puntos]]=ROUND(Piso,0),ROUND(Categorias_Registro[[#This Row],[Puntos]]*(1+Categorias_Registro[[#This Row],[Amplitud]]),0),IF(Categorias_Registro[[#This Row],[Puntos]]&lt;D1495,D1495,ROUND(D1495*(1+Categorias_Registro[[#This Row],[Amplitud]]),0)))</f>
        <v>1237</v>
      </c>
      <c r="E1494" s="15">
        <f>E1495+IF(D1495=Categorias_Registro[[#This Row],[Máximo]],0,1)</f>
        <v>19</v>
      </c>
      <c r="F1494" s="15">
        <f>ROUND(Categorias_Registro[[#This Row],[Mínimo]]+((Categorias_Registro[[#This Row],[Máximo]]-Categorias_Registro[[#This Row],[Mínimo]])/2),0)</f>
        <v>1157</v>
      </c>
      <c r="G1494" s="78">
        <f>VLOOKUP(Categorias_Registro[[#This Row],[Puntos]],Categorias_Configuracion[],MATCH(Categorias_Configuracion[[#Headers],[% Amplitud]],Categorias_Configuracion[#Headers],0),TRUE)</f>
        <v>0.15</v>
      </c>
      <c r="H1494" s="15" t="str">
        <f ca="1">TEXT(Categorias_Registro[[#This Row],[Mínimo]],Formato_Rango_Categorias)&amp;" - "&amp;TEXT(Categorias_Registro[[#This Row],[Máximo]],Formato_Rango_Categorias)</f>
        <v>1.077 - 1.237</v>
      </c>
    </row>
    <row r="1495" spans="2:8">
      <c r="B1495" s="15">
        <f>Techo - ROW() + ROW(Categorias_Registro[])</f>
        <v>1134</v>
      </c>
      <c r="C1495" s="15">
        <f>IF(Categorias_Registro[[#This Row],[Puntos]]&lt;=ROUND(Piso,0),Piso,IF(Categorias_Registro[[#This Row],[Puntos]]&lt;D1496,C1496,D1496+1))</f>
        <v>1077</v>
      </c>
      <c r="D1495" s="15">
        <f>IF(Categorias_Registro[[#This Row],[Puntos]]=ROUND(Piso,0),ROUND(Categorias_Registro[[#This Row],[Puntos]]*(1+Categorias_Registro[[#This Row],[Amplitud]]),0),IF(Categorias_Registro[[#This Row],[Puntos]]&lt;D1496,D1496,ROUND(D1496*(1+Categorias_Registro[[#This Row],[Amplitud]]),0)))</f>
        <v>1237</v>
      </c>
      <c r="E1495" s="15">
        <f>E1496+IF(D1496=Categorias_Registro[[#This Row],[Máximo]],0,1)</f>
        <v>19</v>
      </c>
      <c r="F1495" s="15">
        <f>ROUND(Categorias_Registro[[#This Row],[Mínimo]]+((Categorias_Registro[[#This Row],[Máximo]]-Categorias_Registro[[#This Row],[Mínimo]])/2),0)</f>
        <v>1157</v>
      </c>
      <c r="G1495" s="78">
        <f>VLOOKUP(Categorias_Registro[[#This Row],[Puntos]],Categorias_Configuracion[],MATCH(Categorias_Configuracion[[#Headers],[% Amplitud]],Categorias_Configuracion[#Headers],0),TRUE)</f>
        <v>0.15</v>
      </c>
      <c r="H1495" s="15" t="str">
        <f ca="1">TEXT(Categorias_Registro[[#This Row],[Mínimo]],Formato_Rango_Categorias)&amp;" - "&amp;TEXT(Categorias_Registro[[#This Row],[Máximo]],Formato_Rango_Categorias)</f>
        <v>1.077 - 1.237</v>
      </c>
    </row>
    <row r="1496" spans="2:8">
      <c r="B1496" s="15">
        <f>Techo - ROW() + ROW(Categorias_Registro[])</f>
        <v>1133</v>
      </c>
      <c r="C1496" s="15">
        <f>IF(Categorias_Registro[[#This Row],[Puntos]]&lt;=ROUND(Piso,0),Piso,IF(Categorias_Registro[[#This Row],[Puntos]]&lt;D1497,C1497,D1497+1))</f>
        <v>1077</v>
      </c>
      <c r="D1496" s="15">
        <f>IF(Categorias_Registro[[#This Row],[Puntos]]=ROUND(Piso,0),ROUND(Categorias_Registro[[#This Row],[Puntos]]*(1+Categorias_Registro[[#This Row],[Amplitud]]),0),IF(Categorias_Registro[[#This Row],[Puntos]]&lt;D1497,D1497,ROUND(D1497*(1+Categorias_Registro[[#This Row],[Amplitud]]),0)))</f>
        <v>1237</v>
      </c>
      <c r="E1496" s="15">
        <f>E1497+IF(D1497=Categorias_Registro[[#This Row],[Máximo]],0,1)</f>
        <v>19</v>
      </c>
      <c r="F1496" s="15">
        <f>ROUND(Categorias_Registro[[#This Row],[Mínimo]]+((Categorias_Registro[[#This Row],[Máximo]]-Categorias_Registro[[#This Row],[Mínimo]])/2),0)</f>
        <v>1157</v>
      </c>
      <c r="G1496" s="78">
        <f>VLOOKUP(Categorias_Registro[[#This Row],[Puntos]],Categorias_Configuracion[],MATCH(Categorias_Configuracion[[#Headers],[% Amplitud]],Categorias_Configuracion[#Headers],0),TRUE)</f>
        <v>0.15</v>
      </c>
      <c r="H1496" s="15" t="str">
        <f ca="1">TEXT(Categorias_Registro[[#This Row],[Mínimo]],Formato_Rango_Categorias)&amp;" - "&amp;TEXT(Categorias_Registro[[#This Row],[Máximo]],Formato_Rango_Categorias)</f>
        <v>1.077 - 1.237</v>
      </c>
    </row>
    <row r="1497" spans="2:8">
      <c r="B1497" s="15">
        <f>Techo - ROW() + ROW(Categorias_Registro[])</f>
        <v>1132</v>
      </c>
      <c r="C1497" s="15">
        <f>IF(Categorias_Registro[[#This Row],[Puntos]]&lt;=ROUND(Piso,0),Piso,IF(Categorias_Registro[[#This Row],[Puntos]]&lt;D1498,C1498,D1498+1))</f>
        <v>1077</v>
      </c>
      <c r="D1497" s="15">
        <f>IF(Categorias_Registro[[#This Row],[Puntos]]=ROUND(Piso,0),ROUND(Categorias_Registro[[#This Row],[Puntos]]*(1+Categorias_Registro[[#This Row],[Amplitud]]),0),IF(Categorias_Registro[[#This Row],[Puntos]]&lt;D1498,D1498,ROUND(D1498*(1+Categorias_Registro[[#This Row],[Amplitud]]),0)))</f>
        <v>1237</v>
      </c>
      <c r="E1497" s="15">
        <f>E1498+IF(D1498=Categorias_Registro[[#This Row],[Máximo]],0,1)</f>
        <v>19</v>
      </c>
      <c r="F1497" s="15">
        <f>ROUND(Categorias_Registro[[#This Row],[Mínimo]]+((Categorias_Registro[[#This Row],[Máximo]]-Categorias_Registro[[#This Row],[Mínimo]])/2),0)</f>
        <v>1157</v>
      </c>
      <c r="G1497" s="78">
        <f>VLOOKUP(Categorias_Registro[[#This Row],[Puntos]],Categorias_Configuracion[],MATCH(Categorias_Configuracion[[#Headers],[% Amplitud]],Categorias_Configuracion[#Headers],0),TRUE)</f>
        <v>0.15</v>
      </c>
      <c r="H1497" s="15" t="str">
        <f ca="1">TEXT(Categorias_Registro[[#This Row],[Mínimo]],Formato_Rango_Categorias)&amp;" - "&amp;TEXT(Categorias_Registro[[#This Row],[Máximo]],Formato_Rango_Categorias)</f>
        <v>1.077 - 1.237</v>
      </c>
    </row>
    <row r="1498" spans="2:8">
      <c r="B1498" s="15">
        <f>Techo - ROW() + ROW(Categorias_Registro[])</f>
        <v>1131</v>
      </c>
      <c r="C1498" s="15">
        <f>IF(Categorias_Registro[[#This Row],[Puntos]]&lt;=ROUND(Piso,0),Piso,IF(Categorias_Registro[[#This Row],[Puntos]]&lt;D1499,C1499,D1499+1))</f>
        <v>1077</v>
      </c>
      <c r="D1498" s="15">
        <f>IF(Categorias_Registro[[#This Row],[Puntos]]=ROUND(Piso,0),ROUND(Categorias_Registro[[#This Row],[Puntos]]*(1+Categorias_Registro[[#This Row],[Amplitud]]),0),IF(Categorias_Registro[[#This Row],[Puntos]]&lt;D1499,D1499,ROUND(D1499*(1+Categorias_Registro[[#This Row],[Amplitud]]),0)))</f>
        <v>1237</v>
      </c>
      <c r="E1498" s="15">
        <f>E1499+IF(D1499=Categorias_Registro[[#This Row],[Máximo]],0,1)</f>
        <v>19</v>
      </c>
      <c r="F1498" s="15">
        <f>ROUND(Categorias_Registro[[#This Row],[Mínimo]]+((Categorias_Registro[[#This Row],[Máximo]]-Categorias_Registro[[#This Row],[Mínimo]])/2),0)</f>
        <v>1157</v>
      </c>
      <c r="G1498" s="78">
        <f>VLOOKUP(Categorias_Registro[[#This Row],[Puntos]],Categorias_Configuracion[],MATCH(Categorias_Configuracion[[#Headers],[% Amplitud]],Categorias_Configuracion[#Headers],0),TRUE)</f>
        <v>0.15</v>
      </c>
      <c r="H1498" s="15" t="str">
        <f ca="1">TEXT(Categorias_Registro[[#This Row],[Mínimo]],Formato_Rango_Categorias)&amp;" - "&amp;TEXT(Categorias_Registro[[#This Row],[Máximo]],Formato_Rango_Categorias)</f>
        <v>1.077 - 1.237</v>
      </c>
    </row>
    <row r="1499" spans="2:8">
      <c r="B1499" s="15">
        <f>Techo - ROW() + ROW(Categorias_Registro[])</f>
        <v>1130</v>
      </c>
      <c r="C1499" s="15">
        <f>IF(Categorias_Registro[[#This Row],[Puntos]]&lt;=ROUND(Piso,0),Piso,IF(Categorias_Registro[[#This Row],[Puntos]]&lt;D1500,C1500,D1500+1))</f>
        <v>1077</v>
      </c>
      <c r="D1499" s="15">
        <f>IF(Categorias_Registro[[#This Row],[Puntos]]=ROUND(Piso,0),ROUND(Categorias_Registro[[#This Row],[Puntos]]*(1+Categorias_Registro[[#This Row],[Amplitud]]),0),IF(Categorias_Registro[[#This Row],[Puntos]]&lt;D1500,D1500,ROUND(D1500*(1+Categorias_Registro[[#This Row],[Amplitud]]),0)))</f>
        <v>1237</v>
      </c>
      <c r="E1499" s="15">
        <f>E1500+IF(D1500=Categorias_Registro[[#This Row],[Máximo]],0,1)</f>
        <v>19</v>
      </c>
      <c r="F1499" s="15">
        <f>ROUND(Categorias_Registro[[#This Row],[Mínimo]]+((Categorias_Registro[[#This Row],[Máximo]]-Categorias_Registro[[#This Row],[Mínimo]])/2),0)</f>
        <v>1157</v>
      </c>
      <c r="G1499" s="78">
        <f>VLOOKUP(Categorias_Registro[[#This Row],[Puntos]],Categorias_Configuracion[],MATCH(Categorias_Configuracion[[#Headers],[% Amplitud]],Categorias_Configuracion[#Headers],0),TRUE)</f>
        <v>0.15</v>
      </c>
      <c r="H1499" s="15" t="str">
        <f ca="1">TEXT(Categorias_Registro[[#This Row],[Mínimo]],Formato_Rango_Categorias)&amp;" - "&amp;TEXT(Categorias_Registro[[#This Row],[Máximo]],Formato_Rango_Categorias)</f>
        <v>1.077 - 1.237</v>
      </c>
    </row>
    <row r="1500" spans="2:8">
      <c r="B1500" s="15">
        <f>Techo - ROW() + ROW(Categorias_Registro[])</f>
        <v>1129</v>
      </c>
      <c r="C1500" s="15">
        <f>IF(Categorias_Registro[[#This Row],[Puntos]]&lt;=ROUND(Piso,0),Piso,IF(Categorias_Registro[[#This Row],[Puntos]]&lt;D1501,C1501,D1501+1))</f>
        <v>1077</v>
      </c>
      <c r="D1500" s="15">
        <f>IF(Categorias_Registro[[#This Row],[Puntos]]=ROUND(Piso,0),ROUND(Categorias_Registro[[#This Row],[Puntos]]*(1+Categorias_Registro[[#This Row],[Amplitud]]),0),IF(Categorias_Registro[[#This Row],[Puntos]]&lt;D1501,D1501,ROUND(D1501*(1+Categorias_Registro[[#This Row],[Amplitud]]),0)))</f>
        <v>1237</v>
      </c>
      <c r="E1500" s="15">
        <f>E1501+IF(D1501=Categorias_Registro[[#This Row],[Máximo]],0,1)</f>
        <v>19</v>
      </c>
      <c r="F1500" s="15">
        <f>ROUND(Categorias_Registro[[#This Row],[Mínimo]]+((Categorias_Registro[[#This Row],[Máximo]]-Categorias_Registro[[#This Row],[Mínimo]])/2),0)</f>
        <v>1157</v>
      </c>
      <c r="G1500" s="78">
        <f>VLOOKUP(Categorias_Registro[[#This Row],[Puntos]],Categorias_Configuracion[],MATCH(Categorias_Configuracion[[#Headers],[% Amplitud]],Categorias_Configuracion[#Headers],0),TRUE)</f>
        <v>0.15</v>
      </c>
      <c r="H1500" s="15" t="str">
        <f ca="1">TEXT(Categorias_Registro[[#This Row],[Mínimo]],Formato_Rango_Categorias)&amp;" - "&amp;TEXT(Categorias_Registro[[#This Row],[Máximo]],Formato_Rango_Categorias)</f>
        <v>1.077 - 1.237</v>
      </c>
    </row>
    <row r="1501" spans="2:8">
      <c r="B1501" s="15">
        <f>Techo - ROW() + ROW(Categorias_Registro[])</f>
        <v>1128</v>
      </c>
      <c r="C1501" s="15">
        <f>IF(Categorias_Registro[[#This Row],[Puntos]]&lt;=ROUND(Piso,0),Piso,IF(Categorias_Registro[[#This Row],[Puntos]]&lt;D1502,C1502,D1502+1))</f>
        <v>1077</v>
      </c>
      <c r="D1501" s="15">
        <f>IF(Categorias_Registro[[#This Row],[Puntos]]=ROUND(Piso,0),ROUND(Categorias_Registro[[#This Row],[Puntos]]*(1+Categorias_Registro[[#This Row],[Amplitud]]),0),IF(Categorias_Registro[[#This Row],[Puntos]]&lt;D1502,D1502,ROUND(D1502*(1+Categorias_Registro[[#This Row],[Amplitud]]),0)))</f>
        <v>1237</v>
      </c>
      <c r="E1501" s="15">
        <f>E1502+IF(D1502=Categorias_Registro[[#This Row],[Máximo]],0,1)</f>
        <v>19</v>
      </c>
      <c r="F1501" s="15">
        <f>ROUND(Categorias_Registro[[#This Row],[Mínimo]]+((Categorias_Registro[[#This Row],[Máximo]]-Categorias_Registro[[#This Row],[Mínimo]])/2),0)</f>
        <v>1157</v>
      </c>
      <c r="G1501" s="78">
        <f>VLOOKUP(Categorias_Registro[[#This Row],[Puntos]],Categorias_Configuracion[],MATCH(Categorias_Configuracion[[#Headers],[% Amplitud]],Categorias_Configuracion[#Headers],0),TRUE)</f>
        <v>0.15</v>
      </c>
      <c r="H1501" s="15" t="str">
        <f ca="1">TEXT(Categorias_Registro[[#This Row],[Mínimo]],Formato_Rango_Categorias)&amp;" - "&amp;TEXT(Categorias_Registro[[#This Row],[Máximo]],Formato_Rango_Categorias)</f>
        <v>1.077 - 1.237</v>
      </c>
    </row>
    <row r="1502" spans="2:8">
      <c r="B1502" s="15">
        <f>Techo - ROW() + ROW(Categorias_Registro[])</f>
        <v>1127</v>
      </c>
      <c r="C1502" s="15">
        <f>IF(Categorias_Registro[[#This Row],[Puntos]]&lt;=ROUND(Piso,0),Piso,IF(Categorias_Registro[[#This Row],[Puntos]]&lt;D1503,C1503,D1503+1))</f>
        <v>1077</v>
      </c>
      <c r="D1502" s="15">
        <f>IF(Categorias_Registro[[#This Row],[Puntos]]=ROUND(Piso,0),ROUND(Categorias_Registro[[#This Row],[Puntos]]*(1+Categorias_Registro[[#This Row],[Amplitud]]),0),IF(Categorias_Registro[[#This Row],[Puntos]]&lt;D1503,D1503,ROUND(D1503*(1+Categorias_Registro[[#This Row],[Amplitud]]),0)))</f>
        <v>1237</v>
      </c>
      <c r="E1502" s="15">
        <f>E1503+IF(D1503=Categorias_Registro[[#This Row],[Máximo]],0,1)</f>
        <v>19</v>
      </c>
      <c r="F1502" s="15">
        <f>ROUND(Categorias_Registro[[#This Row],[Mínimo]]+((Categorias_Registro[[#This Row],[Máximo]]-Categorias_Registro[[#This Row],[Mínimo]])/2),0)</f>
        <v>1157</v>
      </c>
      <c r="G1502" s="78">
        <f>VLOOKUP(Categorias_Registro[[#This Row],[Puntos]],Categorias_Configuracion[],MATCH(Categorias_Configuracion[[#Headers],[% Amplitud]],Categorias_Configuracion[#Headers],0),TRUE)</f>
        <v>0.15</v>
      </c>
      <c r="H1502" s="15" t="str">
        <f ca="1">TEXT(Categorias_Registro[[#This Row],[Mínimo]],Formato_Rango_Categorias)&amp;" - "&amp;TEXT(Categorias_Registro[[#This Row],[Máximo]],Formato_Rango_Categorias)</f>
        <v>1.077 - 1.237</v>
      </c>
    </row>
    <row r="1503" spans="2:8">
      <c r="B1503" s="15">
        <f>Techo - ROW() + ROW(Categorias_Registro[])</f>
        <v>1126</v>
      </c>
      <c r="C1503" s="15">
        <f>IF(Categorias_Registro[[#This Row],[Puntos]]&lt;=ROUND(Piso,0),Piso,IF(Categorias_Registro[[#This Row],[Puntos]]&lt;D1504,C1504,D1504+1))</f>
        <v>1077</v>
      </c>
      <c r="D1503" s="15">
        <f>IF(Categorias_Registro[[#This Row],[Puntos]]=ROUND(Piso,0),ROUND(Categorias_Registro[[#This Row],[Puntos]]*(1+Categorias_Registro[[#This Row],[Amplitud]]),0),IF(Categorias_Registro[[#This Row],[Puntos]]&lt;D1504,D1504,ROUND(D1504*(1+Categorias_Registro[[#This Row],[Amplitud]]),0)))</f>
        <v>1237</v>
      </c>
      <c r="E1503" s="15">
        <f>E1504+IF(D1504=Categorias_Registro[[#This Row],[Máximo]],0,1)</f>
        <v>19</v>
      </c>
      <c r="F1503" s="15">
        <f>ROUND(Categorias_Registro[[#This Row],[Mínimo]]+((Categorias_Registro[[#This Row],[Máximo]]-Categorias_Registro[[#This Row],[Mínimo]])/2),0)</f>
        <v>1157</v>
      </c>
      <c r="G1503" s="78">
        <f>VLOOKUP(Categorias_Registro[[#This Row],[Puntos]],Categorias_Configuracion[],MATCH(Categorias_Configuracion[[#Headers],[% Amplitud]],Categorias_Configuracion[#Headers],0),TRUE)</f>
        <v>0.15</v>
      </c>
      <c r="H1503" s="15" t="str">
        <f ca="1">TEXT(Categorias_Registro[[#This Row],[Mínimo]],Formato_Rango_Categorias)&amp;" - "&amp;TEXT(Categorias_Registro[[#This Row],[Máximo]],Formato_Rango_Categorias)</f>
        <v>1.077 - 1.237</v>
      </c>
    </row>
    <row r="1504" spans="2:8">
      <c r="B1504" s="15">
        <f>Techo - ROW() + ROW(Categorias_Registro[])</f>
        <v>1125</v>
      </c>
      <c r="C1504" s="15">
        <f>IF(Categorias_Registro[[#This Row],[Puntos]]&lt;=ROUND(Piso,0),Piso,IF(Categorias_Registro[[#This Row],[Puntos]]&lt;D1505,C1505,D1505+1))</f>
        <v>1077</v>
      </c>
      <c r="D1504" s="15">
        <f>IF(Categorias_Registro[[#This Row],[Puntos]]=ROUND(Piso,0),ROUND(Categorias_Registro[[#This Row],[Puntos]]*(1+Categorias_Registro[[#This Row],[Amplitud]]),0),IF(Categorias_Registro[[#This Row],[Puntos]]&lt;D1505,D1505,ROUND(D1505*(1+Categorias_Registro[[#This Row],[Amplitud]]),0)))</f>
        <v>1237</v>
      </c>
      <c r="E1504" s="15">
        <f>E1505+IF(D1505=Categorias_Registro[[#This Row],[Máximo]],0,1)</f>
        <v>19</v>
      </c>
      <c r="F1504" s="15">
        <f>ROUND(Categorias_Registro[[#This Row],[Mínimo]]+((Categorias_Registro[[#This Row],[Máximo]]-Categorias_Registro[[#This Row],[Mínimo]])/2),0)</f>
        <v>1157</v>
      </c>
      <c r="G1504" s="78">
        <f>VLOOKUP(Categorias_Registro[[#This Row],[Puntos]],Categorias_Configuracion[],MATCH(Categorias_Configuracion[[#Headers],[% Amplitud]],Categorias_Configuracion[#Headers],0),TRUE)</f>
        <v>0.15</v>
      </c>
      <c r="H1504" s="15" t="str">
        <f ca="1">TEXT(Categorias_Registro[[#This Row],[Mínimo]],Formato_Rango_Categorias)&amp;" - "&amp;TEXT(Categorias_Registro[[#This Row],[Máximo]],Formato_Rango_Categorias)</f>
        <v>1.077 - 1.237</v>
      </c>
    </row>
    <row r="1505" spans="2:8">
      <c r="B1505" s="15">
        <f>Techo - ROW() + ROW(Categorias_Registro[])</f>
        <v>1124</v>
      </c>
      <c r="C1505" s="15">
        <f>IF(Categorias_Registro[[#This Row],[Puntos]]&lt;=ROUND(Piso,0),Piso,IF(Categorias_Registro[[#This Row],[Puntos]]&lt;D1506,C1506,D1506+1))</f>
        <v>1077</v>
      </c>
      <c r="D1505" s="15">
        <f>IF(Categorias_Registro[[#This Row],[Puntos]]=ROUND(Piso,0),ROUND(Categorias_Registro[[#This Row],[Puntos]]*(1+Categorias_Registro[[#This Row],[Amplitud]]),0),IF(Categorias_Registro[[#This Row],[Puntos]]&lt;D1506,D1506,ROUND(D1506*(1+Categorias_Registro[[#This Row],[Amplitud]]),0)))</f>
        <v>1237</v>
      </c>
      <c r="E1505" s="15">
        <f>E1506+IF(D1506=Categorias_Registro[[#This Row],[Máximo]],0,1)</f>
        <v>19</v>
      </c>
      <c r="F1505" s="15">
        <f>ROUND(Categorias_Registro[[#This Row],[Mínimo]]+((Categorias_Registro[[#This Row],[Máximo]]-Categorias_Registro[[#This Row],[Mínimo]])/2),0)</f>
        <v>1157</v>
      </c>
      <c r="G1505" s="78">
        <f>VLOOKUP(Categorias_Registro[[#This Row],[Puntos]],Categorias_Configuracion[],MATCH(Categorias_Configuracion[[#Headers],[% Amplitud]],Categorias_Configuracion[#Headers],0),TRUE)</f>
        <v>0.15</v>
      </c>
      <c r="H1505" s="15" t="str">
        <f ca="1">TEXT(Categorias_Registro[[#This Row],[Mínimo]],Formato_Rango_Categorias)&amp;" - "&amp;TEXT(Categorias_Registro[[#This Row],[Máximo]],Formato_Rango_Categorias)</f>
        <v>1.077 - 1.237</v>
      </c>
    </row>
    <row r="1506" spans="2:8">
      <c r="B1506" s="15">
        <f>Techo - ROW() + ROW(Categorias_Registro[])</f>
        <v>1123</v>
      </c>
      <c r="C1506" s="15">
        <f>IF(Categorias_Registro[[#This Row],[Puntos]]&lt;=ROUND(Piso,0),Piso,IF(Categorias_Registro[[#This Row],[Puntos]]&lt;D1507,C1507,D1507+1))</f>
        <v>1077</v>
      </c>
      <c r="D1506" s="15">
        <f>IF(Categorias_Registro[[#This Row],[Puntos]]=ROUND(Piso,0),ROUND(Categorias_Registro[[#This Row],[Puntos]]*(1+Categorias_Registro[[#This Row],[Amplitud]]),0),IF(Categorias_Registro[[#This Row],[Puntos]]&lt;D1507,D1507,ROUND(D1507*(1+Categorias_Registro[[#This Row],[Amplitud]]),0)))</f>
        <v>1237</v>
      </c>
      <c r="E1506" s="15">
        <f>E1507+IF(D1507=Categorias_Registro[[#This Row],[Máximo]],0,1)</f>
        <v>19</v>
      </c>
      <c r="F1506" s="15">
        <f>ROUND(Categorias_Registro[[#This Row],[Mínimo]]+((Categorias_Registro[[#This Row],[Máximo]]-Categorias_Registro[[#This Row],[Mínimo]])/2),0)</f>
        <v>1157</v>
      </c>
      <c r="G1506" s="78">
        <f>VLOOKUP(Categorias_Registro[[#This Row],[Puntos]],Categorias_Configuracion[],MATCH(Categorias_Configuracion[[#Headers],[% Amplitud]],Categorias_Configuracion[#Headers],0),TRUE)</f>
        <v>0.15</v>
      </c>
      <c r="H1506" s="15" t="str">
        <f ca="1">TEXT(Categorias_Registro[[#This Row],[Mínimo]],Formato_Rango_Categorias)&amp;" - "&amp;TEXT(Categorias_Registro[[#This Row],[Máximo]],Formato_Rango_Categorias)</f>
        <v>1.077 - 1.237</v>
      </c>
    </row>
    <row r="1507" spans="2:8">
      <c r="B1507" s="15">
        <f>Techo - ROW() + ROW(Categorias_Registro[])</f>
        <v>1122</v>
      </c>
      <c r="C1507" s="15">
        <f>IF(Categorias_Registro[[#This Row],[Puntos]]&lt;=ROUND(Piso,0),Piso,IF(Categorias_Registro[[#This Row],[Puntos]]&lt;D1508,C1508,D1508+1))</f>
        <v>1077</v>
      </c>
      <c r="D1507" s="15">
        <f>IF(Categorias_Registro[[#This Row],[Puntos]]=ROUND(Piso,0),ROUND(Categorias_Registro[[#This Row],[Puntos]]*(1+Categorias_Registro[[#This Row],[Amplitud]]),0),IF(Categorias_Registro[[#This Row],[Puntos]]&lt;D1508,D1508,ROUND(D1508*(1+Categorias_Registro[[#This Row],[Amplitud]]),0)))</f>
        <v>1237</v>
      </c>
      <c r="E1507" s="15">
        <f>E1508+IF(D1508=Categorias_Registro[[#This Row],[Máximo]],0,1)</f>
        <v>19</v>
      </c>
      <c r="F1507" s="15">
        <f>ROUND(Categorias_Registro[[#This Row],[Mínimo]]+((Categorias_Registro[[#This Row],[Máximo]]-Categorias_Registro[[#This Row],[Mínimo]])/2),0)</f>
        <v>1157</v>
      </c>
      <c r="G1507" s="78">
        <f>VLOOKUP(Categorias_Registro[[#This Row],[Puntos]],Categorias_Configuracion[],MATCH(Categorias_Configuracion[[#Headers],[% Amplitud]],Categorias_Configuracion[#Headers],0),TRUE)</f>
        <v>0.15</v>
      </c>
      <c r="H1507" s="15" t="str">
        <f ca="1">TEXT(Categorias_Registro[[#This Row],[Mínimo]],Formato_Rango_Categorias)&amp;" - "&amp;TEXT(Categorias_Registro[[#This Row],[Máximo]],Formato_Rango_Categorias)</f>
        <v>1.077 - 1.237</v>
      </c>
    </row>
    <row r="1508" spans="2:8">
      <c r="B1508" s="15">
        <f>Techo - ROW() + ROW(Categorias_Registro[])</f>
        <v>1121</v>
      </c>
      <c r="C1508" s="15">
        <f>IF(Categorias_Registro[[#This Row],[Puntos]]&lt;=ROUND(Piso,0),Piso,IF(Categorias_Registro[[#This Row],[Puntos]]&lt;D1509,C1509,D1509+1))</f>
        <v>1077</v>
      </c>
      <c r="D1508" s="15">
        <f>IF(Categorias_Registro[[#This Row],[Puntos]]=ROUND(Piso,0),ROUND(Categorias_Registro[[#This Row],[Puntos]]*(1+Categorias_Registro[[#This Row],[Amplitud]]),0),IF(Categorias_Registro[[#This Row],[Puntos]]&lt;D1509,D1509,ROUND(D1509*(1+Categorias_Registro[[#This Row],[Amplitud]]),0)))</f>
        <v>1237</v>
      </c>
      <c r="E1508" s="15">
        <f>E1509+IF(D1509=Categorias_Registro[[#This Row],[Máximo]],0,1)</f>
        <v>19</v>
      </c>
      <c r="F1508" s="15">
        <f>ROUND(Categorias_Registro[[#This Row],[Mínimo]]+((Categorias_Registro[[#This Row],[Máximo]]-Categorias_Registro[[#This Row],[Mínimo]])/2),0)</f>
        <v>1157</v>
      </c>
      <c r="G1508" s="78">
        <f>VLOOKUP(Categorias_Registro[[#This Row],[Puntos]],Categorias_Configuracion[],MATCH(Categorias_Configuracion[[#Headers],[% Amplitud]],Categorias_Configuracion[#Headers],0),TRUE)</f>
        <v>0.15</v>
      </c>
      <c r="H1508" s="15" t="str">
        <f ca="1">TEXT(Categorias_Registro[[#This Row],[Mínimo]],Formato_Rango_Categorias)&amp;" - "&amp;TEXT(Categorias_Registro[[#This Row],[Máximo]],Formato_Rango_Categorias)</f>
        <v>1.077 - 1.237</v>
      </c>
    </row>
    <row r="1509" spans="2:8">
      <c r="B1509" s="15">
        <f>Techo - ROW() + ROW(Categorias_Registro[])</f>
        <v>1120</v>
      </c>
      <c r="C1509" s="15">
        <f>IF(Categorias_Registro[[#This Row],[Puntos]]&lt;=ROUND(Piso,0),Piso,IF(Categorias_Registro[[#This Row],[Puntos]]&lt;D1510,C1510,D1510+1))</f>
        <v>1077</v>
      </c>
      <c r="D1509" s="15">
        <f>IF(Categorias_Registro[[#This Row],[Puntos]]=ROUND(Piso,0),ROUND(Categorias_Registro[[#This Row],[Puntos]]*(1+Categorias_Registro[[#This Row],[Amplitud]]),0),IF(Categorias_Registro[[#This Row],[Puntos]]&lt;D1510,D1510,ROUND(D1510*(1+Categorias_Registro[[#This Row],[Amplitud]]),0)))</f>
        <v>1237</v>
      </c>
      <c r="E1509" s="15">
        <f>E1510+IF(D1510=Categorias_Registro[[#This Row],[Máximo]],0,1)</f>
        <v>19</v>
      </c>
      <c r="F1509" s="15">
        <f>ROUND(Categorias_Registro[[#This Row],[Mínimo]]+((Categorias_Registro[[#This Row],[Máximo]]-Categorias_Registro[[#This Row],[Mínimo]])/2),0)</f>
        <v>1157</v>
      </c>
      <c r="G1509" s="78">
        <f>VLOOKUP(Categorias_Registro[[#This Row],[Puntos]],Categorias_Configuracion[],MATCH(Categorias_Configuracion[[#Headers],[% Amplitud]],Categorias_Configuracion[#Headers],0),TRUE)</f>
        <v>0.15</v>
      </c>
      <c r="H1509" s="15" t="str">
        <f ca="1">TEXT(Categorias_Registro[[#This Row],[Mínimo]],Formato_Rango_Categorias)&amp;" - "&amp;TEXT(Categorias_Registro[[#This Row],[Máximo]],Formato_Rango_Categorias)</f>
        <v>1.077 - 1.237</v>
      </c>
    </row>
    <row r="1510" spans="2:8">
      <c r="B1510" s="15">
        <f>Techo - ROW() + ROW(Categorias_Registro[])</f>
        <v>1119</v>
      </c>
      <c r="C1510" s="15">
        <f>IF(Categorias_Registro[[#This Row],[Puntos]]&lt;=ROUND(Piso,0),Piso,IF(Categorias_Registro[[#This Row],[Puntos]]&lt;D1511,C1511,D1511+1))</f>
        <v>1077</v>
      </c>
      <c r="D1510" s="15">
        <f>IF(Categorias_Registro[[#This Row],[Puntos]]=ROUND(Piso,0),ROUND(Categorias_Registro[[#This Row],[Puntos]]*(1+Categorias_Registro[[#This Row],[Amplitud]]),0),IF(Categorias_Registro[[#This Row],[Puntos]]&lt;D1511,D1511,ROUND(D1511*(1+Categorias_Registro[[#This Row],[Amplitud]]),0)))</f>
        <v>1237</v>
      </c>
      <c r="E1510" s="15">
        <f>E1511+IF(D1511=Categorias_Registro[[#This Row],[Máximo]],0,1)</f>
        <v>19</v>
      </c>
      <c r="F1510" s="15">
        <f>ROUND(Categorias_Registro[[#This Row],[Mínimo]]+((Categorias_Registro[[#This Row],[Máximo]]-Categorias_Registro[[#This Row],[Mínimo]])/2),0)</f>
        <v>1157</v>
      </c>
      <c r="G1510" s="78">
        <f>VLOOKUP(Categorias_Registro[[#This Row],[Puntos]],Categorias_Configuracion[],MATCH(Categorias_Configuracion[[#Headers],[% Amplitud]],Categorias_Configuracion[#Headers],0),TRUE)</f>
        <v>0.15</v>
      </c>
      <c r="H1510" s="15" t="str">
        <f ca="1">TEXT(Categorias_Registro[[#This Row],[Mínimo]],Formato_Rango_Categorias)&amp;" - "&amp;TEXT(Categorias_Registro[[#This Row],[Máximo]],Formato_Rango_Categorias)</f>
        <v>1.077 - 1.237</v>
      </c>
    </row>
    <row r="1511" spans="2:8">
      <c r="B1511" s="15">
        <f>Techo - ROW() + ROW(Categorias_Registro[])</f>
        <v>1118</v>
      </c>
      <c r="C1511" s="15">
        <f>IF(Categorias_Registro[[#This Row],[Puntos]]&lt;=ROUND(Piso,0),Piso,IF(Categorias_Registro[[#This Row],[Puntos]]&lt;D1512,C1512,D1512+1))</f>
        <v>1077</v>
      </c>
      <c r="D1511" s="15">
        <f>IF(Categorias_Registro[[#This Row],[Puntos]]=ROUND(Piso,0),ROUND(Categorias_Registro[[#This Row],[Puntos]]*(1+Categorias_Registro[[#This Row],[Amplitud]]),0),IF(Categorias_Registro[[#This Row],[Puntos]]&lt;D1512,D1512,ROUND(D1512*(1+Categorias_Registro[[#This Row],[Amplitud]]),0)))</f>
        <v>1237</v>
      </c>
      <c r="E1511" s="15">
        <f>E1512+IF(D1512=Categorias_Registro[[#This Row],[Máximo]],0,1)</f>
        <v>19</v>
      </c>
      <c r="F1511" s="15">
        <f>ROUND(Categorias_Registro[[#This Row],[Mínimo]]+((Categorias_Registro[[#This Row],[Máximo]]-Categorias_Registro[[#This Row],[Mínimo]])/2),0)</f>
        <v>1157</v>
      </c>
      <c r="G1511" s="78">
        <f>VLOOKUP(Categorias_Registro[[#This Row],[Puntos]],Categorias_Configuracion[],MATCH(Categorias_Configuracion[[#Headers],[% Amplitud]],Categorias_Configuracion[#Headers],0),TRUE)</f>
        <v>0.15</v>
      </c>
      <c r="H1511" s="15" t="str">
        <f ca="1">TEXT(Categorias_Registro[[#This Row],[Mínimo]],Formato_Rango_Categorias)&amp;" - "&amp;TEXT(Categorias_Registro[[#This Row],[Máximo]],Formato_Rango_Categorias)</f>
        <v>1.077 - 1.237</v>
      </c>
    </row>
    <row r="1512" spans="2:8">
      <c r="B1512" s="15">
        <f>Techo - ROW() + ROW(Categorias_Registro[])</f>
        <v>1117</v>
      </c>
      <c r="C1512" s="15">
        <f>IF(Categorias_Registro[[#This Row],[Puntos]]&lt;=ROUND(Piso,0),Piso,IF(Categorias_Registro[[#This Row],[Puntos]]&lt;D1513,C1513,D1513+1))</f>
        <v>1077</v>
      </c>
      <c r="D1512" s="15">
        <f>IF(Categorias_Registro[[#This Row],[Puntos]]=ROUND(Piso,0),ROUND(Categorias_Registro[[#This Row],[Puntos]]*(1+Categorias_Registro[[#This Row],[Amplitud]]),0),IF(Categorias_Registro[[#This Row],[Puntos]]&lt;D1513,D1513,ROUND(D1513*(1+Categorias_Registro[[#This Row],[Amplitud]]),0)))</f>
        <v>1237</v>
      </c>
      <c r="E1512" s="15">
        <f>E1513+IF(D1513=Categorias_Registro[[#This Row],[Máximo]],0,1)</f>
        <v>19</v>
      </c>
      <c r="F1512" s="15">
        <f>ROUND(Categorias_Registro[[#This Row],[Mínimo]]+((Categorias_Registro[[#This Row],[Máximo]]-Categorias_Registro[[#This Row],[Mínimo]])/2),0)</f>
        <v>1157</v>
      </c>
      <c r="G1512" s="78">
        <f>VLOOKUP(Categorias_Registro[[#This Row],[Puntos]],Categorias_Configuracion[],MATCH(Categorias_Configuracion[[#Headers],[% Amplitud]],Categorias_Configuracion[#Headers],0),TRUE)</f>
        <v>0.15</v>
      </c>
      <c r="H1512" s="15" t="str">
        <f ca="1">TEXT(Categorias_Registro[[#This Row],[Mínimo]],Formato_Rango_Categorias)&amp;" - "&amp;TEXT(Categorias_Registro[[#This Row],[Máximo]],Formato_Rango_Categorias)</f>
        <v>1.077 - 1.237</v>
      </c>
    </row>
    <row r="1513" spans="2:8">
      <c r="B1513" s="15">
        <f>Techo - ROW() + ROW(Categorias_Registro[])</f>
        <v>1116</v>
      </c>
      <c r="C1513" s="15">
        <f>IF(Categorias_Registro[[#This Row],[Puntos]]&lt;=ROUND(Piso,0),Piso,IF(Categorias_Registro[[#This Row],[Puntos]]&lt;D1514,C1514,D1514+1))</f>
        <v>1077</v>
      </c>
      <c r="D1513" s="15">
        <f>IF(Categorias_Registro[[#This Row],[Puntos]]=ROUND(Piso,0),ROUND(Categorias_Registro[[#This Row],[Puntos]]*(1+Categorias_Registro[[#This Row],[Amplitud]]),0),IF(Categorias_Registro[[#This Row],[Puntos]]&lt;D1514,D1514,ROUND(D1514*(1+Categorias_Registro[[#This Row],[Amplitud]]),0)))</f>
        <v>1237</v>
      </c>
      <c r="E1513" s="15">
        <f>E1514+IF(D1514=Categorias_Registro[[#This Row],[Máximo]],0,1)</f>
        <v>19</v>
      </c>
      <c r="F1513" s="15">
        <f>ROUND(Categorias_Registro[[#This Row],[Mínimo]]+((Categorias_Registro[[#This Row],[Máximo]]-Categorias_Registro[[#This Row],[Mínimo]])/2),0)</f>
        <v>1157</v>
      </c>
      <c r="G1513" s="78">
        <f>VLOOKUP(Categorias_Registro[[#This Row],[Puntos]],Categorias_Configuracion[],MATCH(Categorias_Configuracion[[#Headers],[% Amplitud]],Categorias_Configuracion[#Headers],0),TRUE)</f>
        <v>0.15</v>
      </c>
      <c r="H1513" s="15" t="str">
        <f ca="1">TEXT(Categorias_Registro[[#This Row],[Mínimo]],Formato_Rango_Categorias)&amp;" - "&amp;TEXT(Categorias_Registro[[#This Row],[Máximo]],Formato_Rango_Categorias)</f>
        <v>1.077 - 1.237</v>
      </c>
    </row>
    <row r="1514" spans="2:8">
      <c r="B1514" s="15">
        <f>Techo - ROW() + ROW(Categorias_Registro[])</f>
        <v>1115</v>
      </c>
      <c r="C1514" s="15">
        <f>IF(Categorias_Registro[[#This Row],[Puntos]]&lt;=ROUND(Piso,0),Piso,IF(Categorias_Registro[[#This Row],[Puntos]]&lt;D1515,C1515,D1515+1))</f>
        <v>1077</v>
      </c>
      <c r="D1514" s="15">
        <f>IF(Categorias_Registro[[#This Row],[Puntos]]=ROUND(Piso,0),ROUND(Categorias_Registro[[#This Row],[Puntos]]*(1+Categorias_Registro[[#This Row],[Amplitud]]),0),IF(Categorias_Registro[[#This Row],[Puntos]]&lt;D1515,D1515,ROUND(D1515*(1+Categorias_Registro[[#This Row],[Amplitud]]),0)))</f>
        <v>1237</v>
      </c>
      <c r="E1514" s="15">
        <f>E1515+IF(D1515=Categorias_Registro[[#This Row],[Máximo]],0,1)</f>
        <v>19</v>
      </c>
      <c r="F1514" s="15">
        <f>ROUND(Categorias_Registro[[#This Row],[Mínimo]]+((Categorias_Registro[[#This Row],[Máximo]]-Categorias_Registro[[#This Row],[Mínimo]])/2),0)</f>
        <v>1157</v>
      </c>
      <c r="G1514" s="78">
        <f>VLOOKUP(Categorias_Registro[[#This Row],[Puntos]],Categorias_Configuracion[],MATCH(Categorias_Configuracion[[#Headers],[% Amplitud]],Categorias_Configuracion[#Headers],0),TRUE)</f>
        <v>0.15</v>
      </c>
      <c r="H1514" s="15" t="str">
        <f ca="1">TEXT(Categorias_Registro[[#This Row],[Mínimo]],Formato_Rango_Categorias)&amp;" - "&amp;TEXT(Categorias_Registro[[#This Row],[Máximo]],Formato_Rango_Categorias)</f>
        <v>1.077 - 1.237</v>
      </c>
    </row>
    <row r="1515" spans="2:8">
      <c r="B1515" s="15">
        <f>Techo - ROW() + ROW(Categorias_Registro[])</f>
        <v>1114</v>
      </c>
      <c r="C1515" s="15">
        <f>IF(Categorias_Registro[[#This Row],[Puntos]]&lt;=ROUND(Piso,0),Piso,IF(Categorias_Registro[[#This Row],[Puntos]]&lt;D1516,C1516,D1516+1))</f>
        <v>1077</v>
      </c>
      <c r="D1515" s="15">
        <f>IF(Categorias_Registro[[#This Row],[Puntos]]=ROUND(Piso,0),ROUND(Categorias_Registro[[#This Row],[Puntos]]*(1+Categorias_Registro[[#This Row],[Amplitud]]),0),IF(Categorias_Registro[[#This Row],[Puntos]]&lt;D1516,D1516,ROUND(D1516*(1+Categorias_Registro[[#This Row],[Amplitud]]),0)))</f>
        <v>1237</v>
      </c>
      <c r="E1515" s="15">
        <f>E1516+IF(D1516=Categorias_Registro[[#This Row],[Máximo]],0,1)</f>
        <v>19</v>
      </c>
      <c r="F1515" s="15">
        <f>ROUND(Categorias_Registro[[#This Row],[Mínimo]]+((Categorias_Registro[[#This Row],[Máximo]]-Categorias_Registro[[#This Row],[Mínimo]])/2),0)</f>
        <v>1157</v>
      </c>
      <c r="G1515" s="78">
        <f>VLOOKUP(Categorias_Registro[[#This Row],[Puntos]],Categorias_Configuracion[],MATCH(Categorias_Configuracion[[#Headers],[% Amplitud]],Categorias_Configuracion[#Headers],0),TRUE)</f>
        <v>0.15</v>
      </c>
      <c r="H1515" s="15" t="str">
        <f ca="1">TEXT(Categorias_Registro[[#This Row],[Mínimo]],Formato_Rango_Categorias)&amp;" - "&amp;TEXT(Categorias_Registro[[#This Row],[Máximo]],Formato_Rango_Categorias)</f>
        <v>1.077 - 1.237</v>
      </c>
    </row>
    <row r="1516" spans="2:8">
      <c r="B1516" s="15">
        <f>Techo - ROW() + ROW(Categorias_Registro[])</f>
        <v>1113</v>
      </c>
      <c r="C1516" s="15">
        <f>IF(Categorias_Registro[[#This Row],[Puntos]]&lt;=ROUND(Piso,0),Piso,IF(Categorias_Registro[[#This Row],[Puntos]]&lt;D1517,C1517,D1517+1))</f>
        <v>1077</v>
      </c>
      <c r="D1516" s="15">
        <f>IF(Categorias_Registro[[#This Row],[Puntos]]=ROUND(Piso,0),ROUND(Categorias_Registro[[#This Row],[Puntos]]*(1+Categorias_Registro[[#This Row],[Amplitud]]),0),IF(Categorias_Registro[[#This Row],[Puntos]]&lt;D1517,D1517,ROUND(D1517*(1+Categorias_Registro[[#This Row],[Amplitud]]),0)))</f>
        <v>1237</v>
      </c>
      <c r="E1516" s="15">
        <f>E1517+IF(D1517=Categorias_Registro[[#This Row],[Máximo]],0,1)</f>
        <v>19</v>
      </c>
      <c r="F1516" s="15">
        <f>ROUND(Categorias_Registro[[#This Row],[Mínimo]]+((Categorias_Registro[[#This Row],[Máximo]]-Categorias_Registro[[#This Row],[Mínimo]])/2),0)</f>
        <v>1157</v>
      </c>
      <c r="G1516" s="78">
        <f>VLOOKUP(Categorias_Registro[[#This Row],[Puntos]],Categorias_Configuracion[],MATCH(Categorias_Configuracion[[#Headers],[% Amplitud]],Categorias_Configuracion[#Headers],0),TRUE)</f>
        <v>0.15</v>
      </c>
      <c r="H1516" s="15" t="str">
        <f ca="1">TEXT(Categorias_Registro[[#This Row],[Mínimo]],Formato_Rango_Categorias)&amp;" - "&amp;TEXT(Categorias_Registro[[#This Row],[Máximo]],Formato_Rango_Categorias)</f>
        <v>1.077 - 1.237</v>
      </c>
    </row>
    <row r="1517" spans="2:8">
      <c r="B1517" s="15">
        <f>Techo - ROW() + ROW(Categorias_Registro[])</f>
        <v>1112</v>
      </c>
      <c r="C1517" s="15">
        <f>IF(Categorias_Registro[[#This Row],[Puntos]]&lt;=ROUND(Piso,0),Piso,IF(Categorias_Registro[[#This Row],[Puntos]]&lt;D1518,C1518,D1518+1))</f>
        <v>1077</v>
      </c>
      <c r="D1517" s="15">
        <f>IF(Categorias_Registro[[#This Row],[Puntos]]=ROUND(Piso,0),ROUND(Categorias_Registro[[#This Row],[Puntos]]*(1+Categorias_Registro[[#This Row],[Amplitud]]),0),IF(Categorias_Registro[[#This Row],[Puntos]]&lt;D1518,D1518,ROUND(D1518*(1+Categorias_Registro[[#This Row],[Amplitud]]),0)))</f>
        <v>1237</v>
      </c>
      <c r="E1517" s="15">
        <f>E1518+IF(D1518=Categorias_Registro[[#This Row],[Máximo]],0,1)</f>
        <v>19</v>
      </c>
      <c r="F1517" s="15">
        <f>ROUND(Categorias_Registro[[#This Row],[Mínimo]]+((Categorias_Registro[[#This Row],[Máximo]]-Categorias_Registro[[#This Row],[Mínimo]])/2),0)</f>
        <v>1157</v>
      </c>
      <c r="G1517" s="78">
        <f>VLOOKUP(Categorias_Registro[[#This Row],[Puntos]],Categorias_Configuracion[],MATCH(Categorias_Configuracion[[#Headers],[% Amplitud]],Categorias_Configuracion[#Headers],0),TRUE)</f>
        <v>0.15</v>
      </c>
      <c r="H1517" s="15" t="str">
        <f ca="1">TEXT(Categorias_Registro[[#This Row],[Mínimo]],Formato_Rango_Categorias)&amp;" - "&amp;TEXT(Categorias_Registro[[#This Row],[Máximo]],Formato_Rango_Categorias)</f>
        <v>1.077 - 1.237</v>
      </c>
    </row>
    <row r="1518" spans="2:8">
      <c r="B1518" s="15">
        <f>Techo - ROW() + ROW(Categorias_Registro[])</f>
        <v>1111</v>
      </c>
      <c r="C1518" s="15">
        <f>IF(Categorias_Registro[[#This Row],[Puntos]]&lt;=ROUND(Piso,0),Piso,IF(Categorias_Registro[[#This Row],[Puntos]]&lt;D1519,C1519,D1519+1))</f>
        <v>1077</v>
      </c>
      <c r="D1518" s="15">
        <f>IF(Categorias_Registro[[#This Row],[Puntos]]=ROUND(Piso,0),ROUND(Categorias_Registro[[#This Row],[Puntos]]*(1+Categorias_Registro[[#This Row],[Amplitud]]),0),IF(Categorias_Registro[[#This Row],[Puntos]]&lt;D1519,D1519,ROUND(D1519*(1+Categorias_Registro[[#This Row],[Amplitud]]),0)))</f>
        <v>1237</v>
      </c>
      <c r="E1518" s="15">
        <f>E1519+IF(D1519=Categorias_Registro[[#This Row],[Máximo]],0,1)</f>
        <v>19</v>
      </c>
      <c r="F1518" s="15">
        <f>ROUND(Categorias_Registro[[#This Row],[Mínimo]]+((Categorias_Registro[[#This Row],[Máximo]]-Categorias_Registro[[#This Row],[Mínimo]])/2),0)</f>
        <v>1157</v>
      </c>
      <c r="G1518" s="78">
        <f>VLOOKUP(Categorias_Registro[[#This Row],[Puntos]],Categorias_Configuracion[],MATCH(Categorias_Configuracion[[#Headers],[% Amplitud]],Categorias_Configuracion[#Headers],0),TRUE)</f>
        <v>0.15</v>
      </c>
      <c r="H1518" s="15" t="str">
        <f ca="1">TEXT(Categorias_Registro[[#This Row],[Mínimo]],Formato_Rango_Categorias)&amp;" - "&amp;TEXT(Categorias_Registro[[#This Row],[Máximo]],Formato_Rango_Categorias)</f>
        <v>1.077 - 1.237</v>
      </c>
    </row>
    <row r="1519" spans="2:8">
      <c r="B1519" s="15">
        <f>Techo - ROW() + ROW(Categorias_Registro[])</f>
        <v>1110</v>
      </c>
      <c r="C1519" s="15">
        <f>IF(Categorias_Registro[[#This Row],[Puntos]]&lt;=ROUND(Piso,0),Piso,IF(Categorias_Registro[[#This Row],[Puntos]]&lt;D1520,C1520,D1520+1))</f>
        <v>1077</v>
      </c>
      <c r="D1519" s="15">
        <f>IF(Categorias_Registro[[#This Row],[Puntos]]=ROUND(Piso,0),ROUND(Categorias_Registro[[#This Row],[Puntos]]*(1+Categorias_Registro[[#This Row],[Amplitud]]),0),IF(Categorias_Registro[[#This Row],[Puntos]]&lt;D1520,D1520,ROUND(D1520*(1+Categorias_Registro[[#This Row],[Amplitud]]),0)))</f>
        <v>1237</v>
      </c>
      <c r="E1519" s="15">
        <f>E1520+IF(D1520=Categorias_Registro[[#This Row],[Máximo]],0,1)</f>
        <v>19</v>
      </c>
      <c r="F1519" s="15">
        <f>ROUND(Categorias_Registro[[#This Row],[Mínimo]]+((Categorias_Registro[[#This Row],[Máximo]]-Categorias_Registro[[#This Row],[Mínimo]])/2),0)</f>
        <v>1157</v>
      </c>
      <c r="G1519" s="78">
        <f>VLOOKUP(Categorias_Registro[[#This Row],[Puntos]],Categorias_Configuracion[],MATCH(Categorias_Configuracion[[#Headers],[% Amplitud]],Categorias_Configuracion[#Headers],0),TRUE)</f>
        <v>0.15</v>
      </c>
      <c r="H1519" s="15" t="str">
        <f ca="1">TEXT(Categorias_Registro[[#This Row],[Mínimo]],Formato_Rango_Categorias)&amp;" - "&amp;TEXT(Categorias_Registro[[#This Row],[Máximo]],Formato_Rango_Categorias)</f>
        <v>1.077 - 1.237</v>
      </c>
    </row>
    <row r="1520" spans="2:8">
      <c r="B1520" s="15">
        <f>Techo - ROW() + ROW(Categorias_Registro[])</f>
        <v>1109</v>
      </c>
      <c r="C1520" s="15">
        <f>IF(Categorias_Registro[[#This Row],[Puntos]]&lt;=ROUND(Piso,0),Piso,IF(Categorias_Registro[[#This Row],[Puntos]]&lt;D1521,C1521,D1521+1))</f>
        <v>1077</v>
      </c>
      <c r="D1520" s="15">
        <f>IF(Categorias_Registro[[#This Row],[Puntos]]=ROUND(Piso,0),ROUND(Categorias_Registro[[#This Row],[Puntos]]*(1+Categorias_Registro[[#This Row],[Amplitud]]),0),IF(Categorias_Registro[[#This Row],[Puntos]]&lt;D1521,D1521,ROUND(D1521*(1+Categorias_Registro[[#This Row],[Amplitud]]),0)))</f>
        <v>1237</v>
      </c>
      <c r="E1520" s="15">
        <f>E1521+IF(D1521=Categorias_Registro[[#This Row],[Máximo]],0,1)</f>
        <v>19</v>
      </c>
      <c r="F1520" s="15">
        <f>ROUND(Categorias_Registro[[#This Row],[Mínimo]]+((Categorias_Registro[[#This Row],[Máximo]]-Categorias_Registro[[#This Row],[Mínimo]])/2),0)</f>
        <v>1157</v>
      </c>
      <c r="G1520" s="78">
        <f>VLOOKUP(Categorias_Registro[[#This Row],[Puntos]],Categorias_Configuracion[],MATCH(Categorias_Configuracion[[#Headers],[% Amplitud]],Categorias_Configuracion[#Headers],0),TRUE)</f>
        <v>0.15</v>
      </c>
      <c r="H1520" s="15" t="str">
        <f ca="1">TEXT(Categorias_Registro[[#This Row],[Mínimo]],Formato_Rango_Categorias)&amp;" - "&amp;TEXT(Categorias_Registro[[#This Row],[Máximo]],Formato_Rango_Categorias)</f>
        <v>1.077 - 1.237</v>
      </c>
    </row>
    <row r="1521" spans="2:8">
      <c r="B1521" s="15">
        <f>Techo - ROW() + ROW(Categorias_Registro[])</f>
        <v>1108</v>
      </c>
      <c r="C1521" s="15">
        <f>IF(Categorias_Registro[[#This Row],[Puntos]]&lt;=ROUND(Piso,0),Piso,IF(Categorias_Registro[[#This Row],[Puntos]]&lt;D1522,C1522,D1522+1))</f>
        <v>1077</v>
      </c>
      <c r="D1521" s="15">
        <f>IF(Categorias_Registro[[#This Row],[Puntos]]=ROUND(Piso,0),ROUND(Categorias_Registro[[#This Row],[Puntos]]*(1+Categorias_Registro[[#This Row],[Amplitud]]),0),IF(Categorias_Registro[[#This Row],[Puntos]]&lt;D1522,D1522,ROUND(D1522*(1+Categorias_Registro[[#This Row],[Amplitud]]),0)))</f>
        <v>1237</v>
      </c>
      <c r="E1521" s="15">
        <f>E1522+IF(D1522=Categorias_Registro[[#This Row],[Máximo]],0,1)</f>
        <v>19</v>
      </c>
      <c r="F1521" s="15">
        <f>ROUND(Categorias_Registro[[#This Row],[Mínimo]]+((Categorias_Registro[[#This Row],[Máximo]]-Categorias_Registro[[#This Row],[Mínimo]])/2),0)</f>
        <v>1157</v>
      </c>
      <c r="G1521" s="78">
        <f>VLOOKUP(Categorias_Registro[[#This Row],[Puntos]],Categorias_Configuracion[],MATCH(Categorias_Configuracion[[#Headers],[% Amplitud]],Categorias_Configuracion[#Headers],0),TRUE)</f>
        <v>0.15</v>
      </c>
      <c r="H1521" s="15" t="str">
        <f ca="1">TEXT(Categorias_Registro[[#This Row],[Mínimo]],Formato_Rango_Categorias)&amp;" - "&amp;TEXT(Categorias_Registro[[#This Row],[Máximo]],Formato_Rango_Categorias)</f>
        <v>1.077 - 1.237</v>
      </c>
    </row>
    <row r="1522" spans="2:8">
      <c r="B1522" s="15">
        <f>Techo - ROW() + ROW(Categorias_Registro[])</f>
        <v>1107</v>
      </c>
      <c r="C1522" s="15">
        <f>IF(Categorias_Registro[[#This Row],[Puntos]]&lt;=ROUND(Piso,0),Piso,IF(Categorias_Registro[[#This Row],[Puntos]]&lt;D1523,C1523,D1523+1))</f>
        <v>1077</v>
      </c>
      <c r="D1522" s="15">
        <f>IF(Categorias_Registro[[#This Row],[Puntos]]=ROUND(Piso,0),ROUND(Categorias_Registro[[#This Row],[Puntos]]*(1+Categorias_Registro[[#This Row],[Amplitud]]),0),IF(Categorias_Registro[[#This Row],[Puntos]]&lt;D1523,D1523,ROUND(D1523*(1+Categorias_Registro[[#This Row],[Amplitud]]),0)))</f>
        <v>1237</v>
      </c>
      <c r="E1522" s="15">
        <f>E1523+IF(D1523=Categorias_Registro[[#This Row],[Máximo]],0,1)</f>
        <v>19</v>
      </c>
      <c r="F1522" s="15">
        <f>ROUND(Categorias_Registro[[#This Row],[Mínimo]]+((Categorias_Registro[[#This Row],[Máximo]]-Categorias_Registro[[#This Row],[Mínimo]])/2),0)</f>
        <v>1157</v>
      </c>
      <c r="G1522" s="78">
        <f>VLOOKUP(Categorias_Registro[[#This Row],[Puntos]],Categorias_Configuracion[],MATCH(Categorias_Configuracion[[#Headers],[% Amplitud]],Categorias_Configuracion[#Headers],0),TRUE)</f>
        <v>0.15</v>
      </c>
      <c r="H1522" s="15" t="str">
        <f ca="1">TEXT(Categorias_Registro[[#This Row],[Mínimo]],Formato_Rango_Categorias)&amp;" - "&amp;TEXT(Categorias_Registro[[#This Row],[Máximo]],Formato_Rango_Categorias)</f>
        <v>1.077 - 1.237</v>
      </c>
    </row>
    <row r="1523" spans="2:8">
      <c r="B1523" s="15">
        <f>Techo - ROW() + ROW(Categorias_Registro[])</f>
        <v>1106</v>
      </c>
      <c r="C1523" s="15">
        <f>IF(Categorias_Registro[[#This Row],[Puntos]]&lt;=ROUND(Piso,0),Piso,IF(Categorias_Registro[[#This Row],[Puntos]]&lt;D1524,C1524,D1524+1))</f>
        <v>1077</v>
      </c>
      <c r="D1523" s="15">
        <f>IF(Categorias_Registro[[#This Row],[Puntos]]=ROUND(Piso,0),ROUND(Categorias_Registro[[#This Row],[Puntos]]*(1+Categorias_Registro[[#This Row],[Amplitud]]),0),IF(Categorias_Registro[[#This Row],[Puntos]]&lt;D1524,D1524,ROUND(D1524*(1+Categorias_Registro[[#This Row],[Amplitud]]),0)))</f>
        <v>1237</v>
      </c>
      <c r="E1523" s="15">
        <f>E1524+IF(D1524=Categorias_Registro[[#This Row],[Máximo]],0,1)</f>
        <v>19</v>
      </c>
      <c r="F1523" s="15">
        <f>ROUND(Categorias_Registro[[#This Row],[Mínimo]]+((Categorias_Registro[[#This Row],[Máximo]]-Categorias_Registro[[#This Row],[Mínimo]])/2),0)</f>
        <v>1157</v>
      </c>
      <c r="G1523" s="78">
        <f>VLOOKUP(Categorias_Registro[[#This Row],[Puntos]],Categorias_Configuracion[],MATCH(Categorias_Configuracion[[#Headers],[% Amplitud]],Categorias_Configuracion[#Headers],0),TRUE)</f>
        <v>0.15</v>
      </c>
      <c r="H1523" s="15" t="str">
        <f ca="1">TEXT(Categorias_Registro[[#This Row],[Mínimo]],Formato_Rango_Categorias)&amp;" - "&amp;TEXT(Categorias_Registro[[#This Row],[Máximo]],Formato_Rango_Categorias)</f>
        <v>1.077 - 1.237</v>
      </c>
    </row>
    <row r="1524" spans="2:8">
      <c r="B1524" s="15">
        <f>Techo - ROW() + ROW(Categorias_Registro[])</f>
        <v>1105</v>
      </c>
      <c r="C1524" s="15">
        <f>IF(Categorias_Registro[[#This Row],[Puntos]]&lt;=ROUND(Piso,0),Piso,IF(Categorias_Registro[[#This Row],[Puntos]]&lt;D1525,C1525,D1525+1))</f>
        <v>1077</v>
      </c>
      <c r="D1524" s="15">
        <f>IF(Categorias_Registro[[#This Row],[Puntos]]=ROUND(Piso,0),ROUND(Categorias_Registro[[#This Row],[Puntos]]*(1+Categorias_Registro[[#This Row],[Amplitud]]),0),IF(Categorias_Registro[[#This Row],[Puntos]]&lt;D1525,D1525,ROUND(D1525*(1+Categorias_Registro[[#This Row],[Amplitud]]),0)))</f>
        <v>1237</v>
      </c>
      <c r="E1524" s="15">
        <f>E1525+IF(D1525=Categorias_Registro[[#This Row],[Máximo]],0,1)</f>
        <v>19</v>
      </c>
      <c r="F1524" s="15">
        <f>ROUND(Categorias_Registro[[#This Row],[Mínimo]]+((Categorias_Registro[[#This Row],[Máximo]]-Categorias_Registro[[#This Row],[Mínimo]])/2),0)</f>
        <v>1157</v>
      </c>
      <c r="G1524" s="78">
        <f>VLOOKUP(Categorias_Registro[[#This Row],[Puntos]],Categorias_Configuracion[],MATCH(Categorias_Configuracion[[#Headers],[% Amplitud]],Categorias_Configuracion[#Headers],0),TRUE)</f>
        <v>0.15</v>
      </c>
      <c r="H1524" s="15" t="str">
        <f ca="1">TEXT(Categorias_Registro[[#This Row],[Mínimo]],Formato_Rango_Categorias)&amp;" - "&amp;TEXT(Categorias_Registro[[#This Row],[Máximo]],Formato_Rango_Categorias)</f>
        <v>1.077 - 1.237</v>
      </c>
    </row>
    <row r="1525" spans="2:8">
      <c r="B1525" s="15">
        <f>Techo - ROW() + ROW(Categorias_Registro[])</f>
        <v>1104</v>
      </c>
      <c r="C1525" s="15">
        <f>IF(Categorias_Registro[[#This Row],[Puntos]]&lt;=ROUND(Piso,0),Piso,IF(Categorias_Registro[[#This Row],[Puntos]]&lt;D1526,C1526,D1526+1))</f>
        <v>1077</v>
      </c>
      <c r="D1525" s="15">
        <f>IF(Categorias_Registro[[#This Row],[Puntos]]=ROUND(Piso,0),ROUND(Categorias_Registro[[#This Row],[Puntos]]*(1+Categorias_Registro[[#This Row],[Amplitud]]),0),IF(Categorias_Registro[[#This Row],[Puntos]]&lt;D1526,D1526,ROUND(D1526*(1+Categorias_Registro[[#This Row],[Amplitud]]),0)))</f>
        <v>1237</v>
      </c>
      <c r="E1525" s="15">
        <f>E1526+IF(D1526=Categorias_Registro[[#This Row],[Máximo]],0,1)</f>
        <v>19</v>
      </c>
      <c r="F1525" s="15">
        <f>ROUND(Categorias_Registro[[#This Row],[Mínimo]]+((Categorias_Registro[[#This Row],[Máximo]]-Categorias_Registro[[#This Row],[Mínimo]])/2),0)</f>
        <v>1157</v>
      </c>
      <c r="G1525" s="78">
        <f>VLOOKUP(Categorias_Registro[[#This Row],[Puntos]],Categorias_Configuracion[],MATCH(Categorias_Configuracion[[#Headers],[% Amplitud]],Categorias_Configuracion[#Headers],0),TRUE)</f>
        <v>0.15</v>
      </c>
      <c r="H1525" s="15" t="str">
        <f ca="1">TEXT(Categorias_Registro[[#This Row],[Mínimo]],Formato_Rango_Categorias)&amp;" - "&amp;TEXT(Categorias_Registro[[#This Row],[Máximo]],Formato_Rango_Categorias)</f>
        <v>1.077 - 1.237</v>
      </c>
    </row>
    <row r="1526" spans="2:8">
      <c r="B1526" s="15">
        <f>Techo - ROW() + ROW(Categorias_Registro[])</f>
        <v>1103</v>
      </c>
      <c r="C1526" s="15">
        <f>IF(Categorias_Registro[[#This Row],[Puntos]]&lt;=ROUND(Piso,0),Piso,IF(Categorias_Registro[[#This Row],[Puntos]]&lt;D1527,C1527,D1527+1))</f>
        <v>1077</v>
      </c>
      <c r="D1526" s="15">
        <f>IF(Categorias_Registro[[#This Row],[Puntos]]=ROUND(Piso,0),ROUND(Categorias_Registro[[#This Row],[Puntos]]*(1+Categorias_Registro[[#This Row],[Amplitud]]),0),IF(Categorias_Registro[[#This Row],[Puntos]]&lt;D1527,D1527,ROUND(D1527*(1+Categorias_Registro[[#This Row],[Amplitud]]),0)))</f>
        <v>1237</v>
      </c>
      <c r="E1526" s="15">
        <f>E1527+IF(D1527=Categorias_Registro[[#This Row],[Máximo]],0,1)</f>
        <v>19</v>
      </c>
      <c r="F1526" s="15">
        <f>ROUND(Categorias_Registro[[#This Row],[Mínimo]]+((Categorias_Registro[[#This Row],[Máximo]]-Categorias_Registro[[#This Row],[Mínimo]])/2),0)</f>
        <v>1157</v>
      </c>
      <c r="G1526" s="78">
        <f>VLOOKUP(Categorias_Registro[[#This Row],[Puntos]],Categorias_Configuracion[],MATCH(Categorias_Configuracion[[#Headers],[% Amplitud]],Categorias_Configuracion[#Headers],0),TRUE)</f>
        <v>0.15</v>
      </c>
      <c r="H1526" s="15" t="str">
        <f ca="1">TEXT(Categorias_Registro[[#This Row],[Mínimo]],Formato_Rango_Categorias)&amp;" - "&amp;TEXT(Categorias_Registro[[#This Row],[Máximo]],Formato_Rango_Categorias)</f>
        <v>1.077 - 1.237</v>
      </c>
    </row>
    <row r="1527" spans="2:8">
      <c r="B1527" s="15">
        <f>Techo - ROW() + ROW(Categorias_Registro[])</f>
        <v>1102</v>
      </c>
      <c r="C1527" s="15">
        <f>IF(Categorias_Registro[[#This Row],[Puntos]]&lt;=ROUND(Piso,0),Piso,IF(Categorias_Registro[[#This Row],[Puntos]]&lt;D1528,C1528,D1528+1))</f>
        <v>1077</v>
      </c>
      <c r="D1527" s="15">
        <f>IF(Categorias_Registro[[#This Row],[Puntos]]=ROUND(Piso,0),ROUND(Categorias_Registro[[#This Row],[Puntos]]*(1+Categorias_Registro[[#This Row],[Amplitud]]),0),IF(Categorias_Registro[[#This Row],[Puntos]]&lt;D1528,D1528,ROUND(D1528*(1+Categorias_Registro[[#This Row],[Amplitud]]),0)))</f>
        <v>1237</v>
      </c>
      <c r="E1527" s="15">
        <f>E1528+IF(D1528=Categorias_Registro[[#This Row],[Máximo]],0,1)</f>
        <v>19</v>
      </c>
      <c r="F1527" s="15">
        <f>ROUND(Categorias_Registro[[#This Row],[Mínimo]]+((Categorias_Registro[[#This Row],[Máximo]]-Categorias_Registro[[#This Row],[Mínimo]])/2),0)</f>
        <v>1157</v>
      </c>
      <c r="G1527" s="78">
        <f>VLOOKUP(Categorias_Registro[[#This Row],[Puntos]],Categorias_Configuracion[],MATCH(Categorias_Configuracion[[#Headers],[% Amplitud]],Categorias_Configuracion[#Headers],0),TRUE)</f>
        <v>0.15</v>
      </c>
      <c r="H1527" s="15" t="str">
        <f ca="1">TEXT(Categorias_Registro[[#This Row],[Mínimo]],Formato_Rango_Categorias)&amp;" - "&amp;TEXT(Categorias_Registro[[#This Row],[Máximo]],Formato_Rango_Categorias)</f>
        <v>1.077 - 1.237</v>
      </c>
    </row>
    <row r="1528" spans="2:8">
      <c r="B1528" s="15">
        <f>Techo - ROW() + ROW(Categorias_Registro[])</f>
        <v>1101</v>
      </c>
      <c r="C1528" s="15">
        <f>IF(Categorias_Registro[[#This Row],[Puntos]]&lt;=ROUND(Piso,0),Piso,IF(Categorias_Registro[[#This Row],[Puntos]]&lt;D1529,C1529,D1529+1))</f>
        <v>1077</v>
      </c>
      <c r="D1528" s="15">
        <f>IF(Categorias_Registro[[#This Row],[Puntos]]=ROUND(Piso,0),ROUND(Categorias_Registro[[#This Row],[Puntos]]*(1+Categorias_Registro[[#This Row],[Amplitud]]),0),IF(Categorias_Registro[[#This Row],[Puntos]]&lt;D1529,D1529,ROUND(D1529*(1+Categorias_Registro[[#This Row],[Amplitud]]),0)))</f>
        <v>1237</v>
      </c>
      <c r="E1528" s="15">
        <f>E1529+IF(D1529=Categorias_Registro[[#This Row],[Máximo]],0,1)</f>
        <v>19</v>
      </c>
      <c r="F1528" s="15">
        <f>ROUND(Categorias_Registro[[#This Row],[Mínimo]]+((Categorias_Registro[[#This Row],[Máximo]]-Categorias_Registro[[#This Row],[Mínimo]])/2),0)</f>
        <v>1157</v>
      </c>
      <c r="G1528" s="78">
        <f>VLOOKUP(Categorias_Registro[[#This Row],[Puntos]],Categorias_Configuracion[],MATCH(Categorias_Configuracion[[#Headers],[% Amplitud]],Categorias_Configuracion[#Headers],0),TRUE)</f>
        <v>0.15</v>
      </c>
      <c r="H1528" s="15" t="str">
        <f ca="1">TEXT(Categorias_Registro[[#This Row],[Mínimo]],Formato_Rango_Categorias)&amp;" - "&amp;TEXT(Categorias_Registro[[#This Row],[Máximo]],Formato_Rango_Categorias)</f>
        <v>1.077 - 1.237</v>
      </c>
    </row>
    <row r="1529" spans="2:8">
      <c r="B1529" s="15">
        <f>Techo - ROW() + ROW(Categorias_Registro[])</f>
        <v>1100</v>
      </c>
      <c r="C1529" s="15">
        <f>IF(Categorias_Registro[[#This Row],[Puntos]]&lt;=ROUND(Piso,0),Piso,IF(Categorias_Registro[[#This Row],[Puntos]]&lt;D1530,C1530,D1530+1))</f>
        <v>1077</v>
      </c>
      <c r="D1529" s="15">
        <f>IF(Categorias_Registro[[#This Row],[Puntos]]=ROUND(Piso,0),ROUND(Categorias_Registro[[#This Row],[Puntos]]*(1+Categorias_Registro[[#This Row],[Amplitud]]),0),IF(Categorias_Registro[[#This Row],[Puntos]]&lt;D1530,D1530,ROUND(D1530*(1+Categorias_Registro[[#This Row],[Amplitud]]),0)))</f>
        <v>1237</v>
      </c>
      <c r="E1529" s="15">
        <f>E1530+IF(D1530=Categorias_Registro[[#This Row],[Máximo]],0,1)</f>
        <v>19</v>
      </c>
      <c r="F1529" s="15">
        <f>ROUND(Categorias_Registro[[#This Row],[Mínimo]]+((Categorias_Registro[[#This Row],[Máximo]]-Categorias_Registro[[#This Row],[Mínimo]])/2),0)</f>
        <v>1157</v>
      </c>
      <c r="G1529" s="78">
        <f>VLOOKUP(Categorias_Registro[[#This Row],[Puntos]],Categorias_Configuracion[],MATCH(Categorias_Configuracion[[#Headers],[% Amplitud]],Categorias_Configuracion[#Headers],0),TRUE)</f>
        <v>0.15</v>
      </c>
      <c r="H1529" s="15" t="str">
        <f ca="1">TEXT(Categorias_Registro[[#This Row],[Mínimo]],Formato_Rango_Categorias)&amp;" - "&amp;TEXT(Categorias_Registro[[#This Row],[Máximo]],Formato_Rango_Categorias)</f>
        <v>1.077 - 1.237</v>
      </c>
    </row>
    <row r="1530" spans="2:8">
      <c r="B1530" s="15">
        <f>Techo - ROW() + ROW(Categorias_Registro[])</f>
        <v>1099</v>
      </c>
      <c r="C1530" s="15">
        <f>IF(Categorias_Registro[[#This Row],[Puntos]]&lt;=ROUND(Piso,0),Piso,IF(Categorias_Registro[[#This Row],[Puntos]]&lt;D1531,C1531,D1531+1))</f>
        <v>1077</v>
      </c>
      <c r="D1530" s="15">
        <f>IF(Categorias_Registro[[#This Row],[Puntos]]=ROUND(Piso,0),ROUND(Categorias_Registro[[#This Row],[Puntos]]*(1+Categorias_Registro[[#This Row],[Amplitud]]),0),IF(Categorias_Registro[[#This Row],[Puntos]]&lt;D1531,D1531,ROUND(D1531*(1+Categorias_Registro[[#This Row],[Amplitud]]),0)))</f>
        <v>1237</v>
      </c>
      <c r="E1530" s="15">
        <f>E1531+IF(D1531=Categorias_Registro[[#This Row],[Máximo]],0,1)</f>
        <v>19</v>
      </c>
      <c r="F1530" s="15">
        <f>ROUND(Categorias_Registro[[#This Row],[Mínimo]]+((Categorias_Registro[[#This Row],[Máximo]]-Categorias_Registro[[#This Row],[Mínimo]])/2),0)</f>
        <v>1157</v>
      </c>
      <c r="G1530" s="78">
        <f>VLOOKUP(Categorias_Registro[[#This Row],[Puntos]],Categorias_Configuracion[],MATCH(Categorias_Configuracion[[#Headers],[% Amplitud]],Categorias_Configuracion[#Headers],0),TRUE)</f>
        <v>0.15</v>
      </c>
      <c r="H1530" s="15" t="str">
        <f ca="1">TEXT(Categorias_Registro[[#This Row],[Mínimo]],Formato_Rango_Categorias)&amp;" - "&amp;TEXT(Categorias_Registro[[#This Row],[Máximo]],Formato_Rango_Categorias)</f>
        <v>1.077 - 1.237</v>
      </c>
    </row>
    <row r="1531" spans="2:8">
      <c r="B1531" s="15">
        <f>Techo - ROW() + ROW(Categorias_Registro[])</f>
        <v>1098</v>
      </c>
      <c r="C1531" s="15">
        <f>IF(Categorias_Registro[[#This Row],[Puntos]]&lt;=ROUND(Piso,0),Piso,IF(Categorias_Registro[[#This Row],[Puntos]]&lt;D1532,C1532,D1532+1))</f>
        <v>1077</v>
      </c>
      <c r="D1531" s="15">
        <f>IF(Categorias_Registro[[#This Row],[Puntos]]=ROUND(Piso,0),ROUND(Categorias_Registro[[#This Row],[Puntos]]*(1+Categorias_Registro[[#This Row],[Amplitud]]),0),IF(Categorias_Registro[[#This Row],[Puntos]]&lt;D1532,D1532,ROUND(D1532*(1+Categorias_Registro[[#This Row],[Amplitud]]),0)))</f>
        <v>1237</v>
      </c>
      <c r="E1531" s="15">
        <f>E1532+IF(D1532=Categorias_Registro[[#This Row],[Máximo]],0,1)</f>
        <v>19</v>
      </c>
      <c r="F1531" s="15">
        <f>ROUND(Categorias_Registro[[#This Row],[Mínimo]]+((Categorias_Registro[[#This Row],[Máximo]]-Categorias_Registro[[#This Row],[Mínimo]])/2),0)</f>
        <v>1157</v>
      </c>
      <c r="G1531" s="78">
        <f>VLOOKUP(Categorias_Registro[[#This Row],[Puntos]],Categorias_Configuracion[],MATCH(Categorias_Configuracion[[#Headers],[% Amplitud]],Categorias_Configuracion[#Headers],0),TRUE)</f>
        <v>0.15</v>
      </c>
      <c r="H1531" s="15" t="str">
        <f ca="1">TEXT(Categorias_Registro[[#This Row],[Mínimo]],Formato_Rango_Categorias)&amp;" - "&amp;TEXT(Categorias_Registro[[#This Row],[Máximo]],Formato_Rango_Categorias)</f>
        <v>1.077 - 1.237</v>
      </c>
    </row>
    <row r="1532" spans="2:8">
      <c r="B1532" s="15">
        <f>Techo - ROW() + ROW(Categorias_Registro[])</f>
        <v>1097</v>
      </c>
      <c r="C1532" s="15">
        <f>IF(Categorias_Registro[[#This Row],[Puntos]]&lt;=ROUND(Piso,0),Piso,IF(Categorias_Registro[[#This Row],[Puntos]]&lt;D1533,C1533,D1533+1))</f>
        <v>1077</v>
      </c>
      <c r="D1532" s="15">
        <f>IF(Categorias_Registro[[#This Row],[Puntos]]=ROUND(Piso,0),ROUND(Categorias_Registro[[#This Row],[Puntos]]*(1+Categorias_Registro[[#This Row],[Amplitud]]),0),IF(Categorias_Registro[[#This Row],[Puntos]]&lt;D1533,D1533,ROUND(D1533*(1+Categorias_Registro[[#This Row],[Amplitud]]),0)))</f>
        <v>1237</v>
      </c>
      <c r="E1532" s="15">
        <f>E1533+IF(D1533=Categorias_Registro[[#This Row],[Máximo]],0,1)</f>
        <v>19</v>
      </c>
      <c r="F1532" s="15">
        <f>ROUND(Categorias_Registro[[#This Row],[Mínimo]]+((Categorias_Registro[[#This Row],[Máximo]]-Categorias_Registro[[#This Row],[Mínimo]])/2),0)</f>
        <v>1157</v>
      </c>
      <c r="G1532" s="78">
        <f>VLOOKUP(Categorias_Registro[[#This Row],[Puntos]],Categorias_Configuracion[],MATCH(Categorias_Configuracion[[#Headers],[% Amplitud]],Categorias_Configuracion[#Headers],0),TRUE)</f>
        <v>0.15</v>
      </c>
      <c r="H1532" s="15" t="str">
        <f ca="1">TEXT(Categorias_Registro[[#This Row],[Mínimo]],Formato_Rango_Categorias)&amp;" - "&amp;TEXT(Categorias_Registro[[#This Row],[Máximo]],Formato_Rango_Categorias)</f>
        <v>1.077 - 1.237</v>
      </c>
    </row>
    <row r="1533" spans="2:8">
      <c r="B1533" s="15">
        <f>Techo - ROW() + ROW(Categorias_Registro[])</f>
        <v>1096</v>
      </c>
      <c r="C1533" s="15">
        <f>IF(Categorias_Registro[[#This Row],[Puntos]]&lt;=ROUND(Piso,0),Piso,IF(Categorias_Registro[[#This Row],[Puntos]]&lt;D1534,C1534,D1534+1))</f>
        <v>1077</v>
      </c>
      <c r="D1533" s="15">
        <f>IF(Categorias_Registro[[#This Row],[Puntos]]=ROUND(Piso,0),ROUND(Categorias_Registro[[#This Row],[Puntos]]*(1+Categorias_Registro[[#This Row],[Amplitud]]),0),IF(Categorias_Registro[[#This Row],[Puntos]]&lt;D1534,D1534,ROUND(D1534*(1+Categorias_Registro[[#This Row],[Amplitud]]),0)))</f>
        <v>1237</v>
      </c>
      <c r="E1533" s="15">
        <f>E1534+IF(D1534=Categorias_Registro[[#This Row],[Máximo]],0,1)</f>
        <v>19</v>
      </c>
      <c r="F1533" s="15">
        <f>ROUND(Categorias_Registro[[#This Row],[Mínimo]]+((Categorias_Registro[[#This Row],[Máximo]]-Categorias_Registro[[#This Row],[Mínimo]])/2),0)</f>
        <v>1157</v>
      </c>
      <c r="G1533" s="78">
        <f>VLOOKUP(Categorias_Registro[[#This Row],[Puntos]],Categorias_Configuracion[],MATCH(Categorias_Configuracion[[#Headers],[% Amplitud]],Categorias_Configuracion[#Headers],0),TRUE)</f>
        <v>0.15</v>
      </c>
      <c r="H1533" s="15" t="str">
        <f ca="1">TEXT(Categorias_Registro[[#This Row],[Mínimo]],Formato_Rango_Categorias)&amp;" - "&amp;TEXT(Categorias_Registro[[#This Row],[Máximo]],Formato_Rango_Categorias)</f>
        <v>1.077 - 1.237</v>
      </c>
    </row>
    <row r="1534" spans="2:8">
      <c r="B1534" s="15">
        <f>Techo - ROW() + ROW(Categorias_Registro[])</f>
        <v>1095</v>
      </c>
      <c r="C1534" s="15">
        <f>IF(Categorias_Registro[[#This Row],[Puntos]]&lt;=ROUND(Piso,0),Piso,IF(Categorias_Registro[[#This Row],[Puntos]]&lt;D1535,C1535,D1535+1))</f>
        <v>1077</v>
      </c>
      <c r="D1534" s="15">
        <f>IF(Categorias_Registro[[#This Row],[Puntos]]=ROUND(Piso,0),ROUND(Categorias_Registro[[#This Row],[Puntos]]*(1+Categorias_Registro[[#This Row],[Amplitud]]),0),IF(Categorias_Registro[[#This Row],[Puntos]]&lt;D1535,D1535,ROUND(D1535*(1+Categorias_Registro[[#This Row],[Amplitud]]),0)))</f>
        <v>1237</v>
      </c>
      <c r="E1534" s="15">
        <f>E1535+IF(D1535=Categorias_Registro[[#This Row],[Máximo]],0,1)</f>
        <v>19</v>
      </c>
      <c r="F1534" s="15">
        <f>ROUND(Categorias_Registro[[#This Row],[Mínimo]]+((Categorias_Registro[[#This Row],[Máximo]]-Categorias_Registro[[#This Row],[Mínimo]])/2),0)</f>
        <v>1157</v>
      </c>
      <c r="G1534" s="78">
        <f>VLOOKUP(Categorias_Registro[[#This Row],[Puntos]],Categorias_Configuracion[],MATCH(Categorias_Configuracion[[#Headers],[% Amplitud]],Categorias_Configuracion[#Headers],0),TRUE)</f>
        <v>0.15</v>
      </c>
      <c r="H1534" s="15" t="str">
        <f ca="1">TEXT(Categorias_Registro[[#This Row],[Mínimo]],Formato_Rango_Categorias)&amp;" - "&amp;TEXT(Categorias_Registro[[#This Row],[Máximo]],Formato_Rango_Categorias)</f>
        <v>1.077 - 1.237</v>
      </c>
    </row>
    <row r="1535" spans="2:8">
      <c r="B1535" s="15">
        <f>Techo - ROW() + ROW(Categorias_Registro[])</f>
        <v>1094</v>
      </c>
      <c r="C1535" s="15">
        <f>IF(Categorias_Registro[[#This Row],[Puntos]]&lt;=ROUND(Piso,0),Piso,IF(Categorias_Registro[[#This Row],[Puntos]]&lt;D1536,C1536,D1536+1))</f>
        <v>1077</v>
      </c>
      <c r="D1535" s="15">
        <f>IF(Categorias_Registro[[#This Row],[Puntos]]=ROUND(Piso,0),ROUND(Categorias_Registro[[#This Row],[Puntos]]*(1+Categorias_Registro[[#This Row],[Amplitud]]),0),IF(Categorias_Registro[[#This Row],[Puntos]]&lt;D1536,D1536,ROUND(D1536*(1+Categorias_Registro[[#This Row],[Amplitud]]),0)))</f>
        <v>1237</v>
      </c>
      <c r="E1535" s="15">
        <f>E1536+IF(D1536=Categorias_Registro[[#This Row],[Máximo]],0,1)</f>
        <v>19</v>
      </c>
      <c r="F1535" s="15">
        <f>ROUND(Categorias_Registro[[#This Row],[Mínimo]]+((Categorias_Registro[[#This Row],[Máximo]]-Categorias_Registro[[#This Row],[Mínimo]])/2),0)</f>
        <v>1157</v>
      </c>
      <c r="G1535" s="78">
        <f>VLOOKUP(Categorias_Registro[[#This Row],[Puntos]],Categorias_Configuracion[],MATCH(Categorias_Configuracion[[#Headers],[% Amplitud]],Categorias_Configuracion[#Headers],0),TRUE)</f>
        <v>0.15</v>
      </c>
      <c r="H1535" s="15" t="str">
        <f ca="1">TEXT(Categorias_Registro[[#This Row],[Mínimo]],Formato_Rango_Categorias)&amp;" - "&amp;TEXT(Categorias_Registro[[#This Row],[Máximo]],Formato_Rango_Categorias)</f>
        <v>1.077 - 1.237</v>
      </c>
    </row>
    <row r="1536" spans="2:8">
      <c r="B1536" s="15">
        <f>Techo - ROW() + ROW(Categorias_Registro[])</f>
        <v>1093</v>
      </c>
      <c r="C1536" s="15">
        <f>IF(Categorias_Registro[[#This Row],[Puntos]]&lt;=ROUND(Piso,0),Piso,IF(Categorias_Registro[[#This Row],[Puntos]]&lt;D1537,C1537,D1537+1))</f>
        <v>1077</v>
      </c>
      <c r="D1536" s="15">
        <f>IF(Categorias_Registro[[#This Row],[Puntos]]=ROUND(Piso,0),ROUND(Categorias_Registro[[#This Row],[Puntos]]*(1+Categorias_Registro[[#This Row],[Amplitud]]),0),IF(Categorias_Registro[[#This Row],[Puntos]]&lt;D1537,D1537,ROUND(D1537*(1+Categorias_Registro[[#This Row],[Amplitud]]),0)))</f>
        <v>1237</v>
      </c>
      <c r="E1536" s="15">
        <f>E1537+IF(D1537=Categorias_Registro[[#This Row],[Máximo]],0,1)</f>
        <v>19</v>
      </c>
      <c r="F1536" s="15">
        <f>ROUND(Categorias_Registro[[#This Row],[Mínimo]]+((Categorias_Registro[[#This Row],[Máximo]]-Categorias_Registro[[#This Row],[Mínimo]])/2),0)</f>
        <v>1157</v>
      </c>
      <c r="G1536" s="78">
        <f>VLOOKUP(Categorias_Registro[[#This Row],[Puntos]],Categorias_Configuracion[],MATCH(Categorias_Configuracion[[#Headers],[% Amplitud]],Categorias_Configuracion[#Headers],0),TRUE)</f>
        <v>0.15</v>
      </c>
      <c r="H1536" s="15" t="str">
        <f ca="1">TEXT(Categorias_Registro[[#This Row],[Mínimo]],Formato_Rango_Categorias)&amp;" - "&amp;TEXT(Categorias_Registro[[#This Row],[Máximo]],Formato_Rango_Categorias)</f>
        <v>1.077 - 1.237</v>
      </c>
    </row>
    <row r="1537" spans="2:8">
      <c r="B1537" s="15">
        <f>Techo - ROW() + ROW(Categorias_Registro[])</f>
        <v>1092</v>
      </c>
      <c r="C1537" s="15">
        <f>IF(Categorias_Registro[[#This Row],[Puntos]]&lt;=ROUND(Piso,0),Piso,IF(Categorias_Registro[[#This Row],[Puntos]]&lt;D1538,C1538,D1538+1))</f>
        <v>1077</v>
      </c>
      <c r="D1537" s="15">
        <f>IF(Categorias_Registro[[#This Row],[Puntos]]=ROUND(Piso,0),ROUND(Categorias_Registro[[#This Row],[Puntos]]*(1+Categorias_Registro[[#This Row],[Amplitud]]),0),IF(Categorias_Registro[[#This Row],[Puntos]]&lt;D1538,D1538,ROUND(D1538*(1+Categorias_Registro[[#This Row],[Amplitud]]),0)))</f>
        <v>1237</v>
      </c>
      <c r="E1537" s="15">
        <f>E1538+IF(D1538=Categorias_Registro[[#This Row],[Máximo]],0,1)</f>
        <v>19</v>
      </c>
      <c r="F1537" s="15">
        <f>ROUND(Categorias_Registro[[#This Row],[Mínimo]]+((Categorias_Registro[[#This Row],[Máximo]]-Categorias_Registro[[#This Row],[Mínimo]])/2),0)</f>
        <v>1157</v>
      </c>
      <c r="G1537" s="78">
        <f>VLOOKUP(Categorias_Registro[[#This Row],[Puntos]],Categorias_Configuracion[],MATCH(Categorias_Configuracion[[#Headers],[% Amplitud]],Categorias_Configuracion[#Headers],0),TRUE)</f>
        <v>0.15</v>
      </c>
      <c r="H1537" s="15" t="str">
        <f ca="1">TEXT(Categorias_Registro[[#This Row],[Mínimo]],Formato_Rango_Categorias)&amp;" - "&amp;TEXT(Categorias_Registro[[#This Row],[Máximo]],Formato_Rango_Categorias)</f>
        <v>1.077 - 1.237</v>
      </c>
    </row>
    <row r="1538" spans="2:8">
      <c r="B1538" s="15">
        <f>Techo - ROW() + ROW(Categorias_Registro[])</f>
        <v>1091</v>
      </c>
      <c r="C1538" s="15">
        <f>IF(Categorias_Registro[[#This Row],[Puntos]]&lt;=ROUND(Piso,0),Piso,IF(Categorias_Registro[[#This Row],[Puntos]]&lt;D1539,C1539,D1539+1))</f>
        <v>1077</v>
      </c>
      <c r="D1538" s="15">
        <f>IF(Categorias_Registro[[#This Row],[Puntos]]=ROUND(Piso,0),ROUND(Categorias_Registro[[#This Row],[Puntos]]*(1+Categorias_Registro[[#This Row],[Amplitud]]),0),IF(Categorias_Registro[[#This Row],[Puntos]]&lt;D1539,D1539,ROUND(D1539*(1+Categorias_Registro[[#This Row],[Amplitud]]),0)))</f>
        <v>1237</v>
      </c>
      <c r="E1538" s="15">
        <f>E1539+IF(D1539=Categorias_Registro[[#This Row],[Máximo]],0,1)</f>
        <v>19</v>
      </c>
      <c r="F1538" s="15">
        <f>ROUND(Categorias_Registro[[#This Row],[Mínimo]]+((Categorias_Registro[[#This Row],[Máximo]]-Categorias_Registro[[#This Row],[Mínimo]])/2),0)</f>
        <v>1157</v>
      </c>
      <c r="G1538" s="78">
        <f>VLOOKUP(Categorias_Registro[[#This Row],[Puntos]],Categorias_Configuracion[],MATCH(Categorias_Configuracion[[#Headers],[% Amplitud]],Categorias_Configuracion[#Headers],0),TRUE)</f>
        <v>0.15</v>
      </c>
      <c r="H1538" s="15" t="str">
        <f ca="1">TEXT(Categorias_Registro[[#This Row],[Mínimo]],Formato_Rango_Categorias)&amp;" - "&amp;TEXT(Categorias_Registro[[#This Row],[Máximo]],Formato_Rango_Categorias)</f>
        <v>1.077 - 1.237</v>
      </c>
    </row>
    <row r="1539" spans="2:8">
      <c r="B1539" s="15">
        <f>Techo - ROW() + ROW(Categorias_Registro[])</f>
        <v>1090</v>
      </c>
      <c r="C1539" s="15">
        <f>IF(Categorias_Registro[[#This Row],[Puntos]]&lt;=ROUND(Piso,0),Piso,IF(Categorias_Registro[[#This Row],[Puntos]]&lt;D1540,C1540,D1540+1))</f>
        <v>1077</v>
      </c>
      <c r="D1539" s="15">
        <f>IF(Categorias_Registro[[#This Row],[Puntos]]=ROUND(Piso,0),ROUND(Categorias_Registro[[#This Row],[Puntos]]*(1+Categorias_Registro[[#This Row],[Amplitud]]),0),IF(Categorias_Registro[[#This Row],[Puntos]]&lt;D1540,D1540,ROUND(D1540*(1+Categorias_Registro[[#This Row],[Amplitud]]),0)))</f>
        <v>1237</v>
      </c>
      <c r="E1539" s="15">
        <f>E1540+IF(D1540=Categorias_Registro[[#This Row],[Máximo]],0,1)</f>
        <v>19</v>
      </c>
      <c r="F1539" s="15">
        <f>ROUND(Categorias_Registro[[#This Row],[Mínimo]]+((Categorias_Registro[[#This Row],[Máximo]]-Categorias_Registro[[#This Row],[Mínimo]])/2),0)</f>
        <v>1157</v>
      </c>
      <c r="G1539" s="78">
        <f>VLOOKUP(Categorias_Registro[[#This Row],[Puntos]],Categorias_Configuracion[],MATCH(Categorias_Configuracion[[#Headers],[% Amplitud]],Categorias_Configuracion[#Headers],0),TRUE)</f>
        <v>0.15</v>
      </c>
      <c r="H1539" s="15" t="str">
        <f ca="1">TEXT(Categorias_Registro[[#This Row],[Mínimo]],Formato_Rango_Categorias)&amp;" - "&amp;TEXT(Categorias_Registro[[#This Row],[Máximo]],Formato_Rango_Categorias)</f>
        <v>1.077 - 1.237</v>
      </c>
    </row>
    <row r="1540" spans="2:8">
      <c r="B1540" s="15">
        <f>Techo - ROW() + ROW(Categorias_Registro[])</f>
        <v>1089</v>
      </c>
      <c r="C1540" s="15">
        <f>IF(Categorias_Registro[[#This Row],[Puntos]]&lt;=ROUND(Piso,0),Piso,IF(Categorias_Registro[[#This Row],[Puntos]]&lt;D1541,C1541,D1541+1))</f>
        <v>1077</v>
      </c>
      <c r="D1540" s="15">
        <f>IF(Categorias_Registro[[#This Row],[Puntos]]=ROUND(Piso,0),ROUND(Categorias_Registro[[#This Row],[Puntos]]*(1+Categorias_Registro[[#This Row],[Amplitud]]),0),IF(Categorias_Registro[[#This Row],[Puntos]]&lt;D1541,D1541,ROUND(D1541*(1+Categorias_Registro[[#This Row],[Amplitud]]),0)))</f>
        <v>1237</v>
      </c>
      <c r="E1540" s="15">
        <f>E1541+IF(D1541=Categorias_Registro[[#This Row],[Máximo]],0,1)</f>
        <v>19</v>
      </c>
      <c r="F1540" s="15">
        <f>ROUND(Categorias_Registro[[#This Row],[Mínimo]]+((Categorias_Registro[[#This Row],[Máximo]]-Categorias_Registro[[#This Row],[Mínimo]])/2),0)</f>
        <v>1157</v>
      </c>
      <c r="G1540" s="78">
        <f>VLOOKUP(Categorias_Registro[[#This Row],[Puntos]],Categorias_Configuracion[],MATCH(Categorias_Configuracion[[#Headers],[% Amplitud]],Categorias_Configuracion[#Headers],0),TRUE)</f>
        <v>0.15</v>
      </c>
      <c r="H1540" s="15" t="str">
        <f ca="1">TEXT(Categorias_Registro[[#This Row],[Mínimo]],Formato_Rango_Categorias)&amp;" - "&amp;TEXT(Categorias_Registro[[#This Row],[Máximo]],Formato_Rango_Categorias)</f>
        <v>1.077 - 1.237</v>
      </c>
    </row>
    <row r="1541" spans="2:8">
      <c r="B1541" s="15">
        <f>Techo - ROW() + ROW(Categorias_Registro[])</f>
        <v>1088</v>
      </c>
      <c r="C1541" s="15">
        <f>IF(Categorias_Registro[[#This Row],[Puntos]]&lt;=ROUND(Piso,0),Piso,IF(Categorias_Registro[[#This Row],[Puntos]]&lt;D1542,C1542,D1542+1))</f>
        <v>1077</v>
      </c>
      <c r="D1541" s="15">
        <f>IF(Categorias_Registro[[#This Row],[Puntos]]=ROUND(Piso,0),ROUND(Categorias_Registro[[#This Row],[Puntos]]*(1+Categorias_Registro[[#This Row],[Amplitud]]),0),IF(Categorias_Registro[[#This Row],[Puntos]]&lt;D1542,D1542,ROUND(D1542*(1+Categorias_Registro[[#This Row],[Amplitud]]),0)))</f>
        <v>1237</v>
      </c>
      <c r="E1541" s="15">
        <f>E1542+IF(D1542=Categorias_Registro[[#This Row],[Máximo]],0,1)</f>
        <v>19</v>
      </c>
      <c r="F1541" s="15">
        <f>ROUND(Categorias_Registro[[#This Row],[Mínimo]]+((Categorias_Registro[[#This Row],[Máximo]]-Categorias_Registro[[#This Row],[Mínimo]])/2),0)</f>
        <v>1157</v>
      </c>
      <c r="G1541" s="78">
        <f>VLOOKUP(Categorias_Registro[[#This Row],[Puntos]],Categorias_Configuracion[],MATCH(Categorias_Configuracion[[#Headers],[% Amplitud]],Categorias_Configuracion[#Headers],0),TRUE)</f>
        <v>0.15</v>
      </c>
      <c r="H1541" s="15" t="str">
        <f ca="1">TEXT(Categorias_Registro[[#This Row],[Mínimo]],Formato_Rango_Categorias)&amp;" - "&amp;TEXT(Categorias_Registro[[#This Row],[Máximo]],Formato_Rango_Categorias)</f>
        <v>1.077 - 1.237</v>
      </c>
    </row>
    <row r="1542" spans="2:8">
      <c r="B1542" s="15">
        <f>Techo - ROW() + ROW(Categorias_Registro[])</f>
        <v>1087</v>
      </c>
      <c r="C1542" s="15">
        <f>IF(Categorias_Registro[[#This Row],[Puntos]]&lt;=ROUND(Piso,0),Piso,IF(Categorias_Registro[[#This Row],[Puntos]]&lt;D1543,C1543,D1543+1))</f>
        <v>1077</v>
      </c>
      <c r="D1542" s="15">
        <f>IF(Categorias_Registro[[#This Row],[Puntos]]=ROUND(Piso,0),ROUND(Categorias_Registro[[#This Row],[Puntos]]*(1+Categorias_Registro[[#This Row],[Amplitud]]),0),IF(Categorias_Registro[[#This Row],[Puntos]]&lt;D1543,D1543,ROUND(D1543*(1+Categorias_Registro[[#This Row],[Amplitud]]),0)))</f>
        <v>1237</v>
      </c>
      <c r="E1542" s="15">
        <f>E1543+IF(D1543=Categorias_Registro[[#This Row],[Máximo]],0,1)</f>
        <v>19</v>
      </c>
      <c r="F1542" s="15">
        <f>ROUND(Categorias_Registro[[#This Row],[Mínimo]]+((Categorias_Registro[[#This Row],[Máximo]]-Categorias_Registro[[#This Row],[Mínimo]])/2),0)</f>
        <v>1157</v>
      </c>
      <c r="G1542" s="78">
        <f>VLOOKUP(Categorias_Registro[[#This Row],[Puntos]],Categorias_Configuracion[],MATCH(Categorias_Configuracion[[#Headers],[% Amplitud]],Categorias_Configuracion[#Headers],0),TRUE)</f>
        <v>0.15</v>
      </c>
      <c r="H1542" s="15" t="str">
        <f ca="1">TEXT(Categorias_Registro[[#This Row],[Mínimo]],Formato_Rango_Categorias)&amp;" - "&amp;TEXT(Categorias_Registro[[#This Row],[Máximo]],Formato_Rango_Categorias)</f>
        <v>1.077 - 1.237</v>
      </c>
    </row>
    <row r="1543" spans="2:8">
      <c r="B1543" s="15">
        <f>Techo - ROW() + ROW(Categorias_Registro[])</f>
        <v>1086</v>
      </c>
      <c r="C1543" s="15">
        <f>IF(Categorias_Registro[[#This Row],[Puntos]]&lt;=ROUND(Piso,0),Piso,IF(Categorias_Registro[[#This Row],[Puntos]]&lt;D1544,C1544,D1544+1))</f>
        <v>1077</v>
      </c>
      <c r="D1543" s="15">
        <f>IF(Categorias_Registro[[#This Row],[Puntos]]=ROUND(Piso,0),ROUND(Categorias_Registro[[#This Row],[Puntos]]*(1+Categorias_Registro[[#This Row],[Amplitud]]),0),IF(Categorias_Registro[[#This Row],[Puntos]]&lt;D1544,D1544,ROUND(D1544*(1+Categorias_Registro[[#This Row],[Amplitud]]),0)))</f>
        <v>1237</v>
      </c>
      <c r="E1543" s="15">
        <f>E1544+IF(D1544=Categorias_Registro[[#This Row],[Máximo]],0,1)</f>
        <v>19</v>
      </c>
      <c r="F1543" s="15">
        <f>ROUND(Categorias_Registro[[#This Row],[Mínimo]]+((Categorias_Registro[[#This Row],[Máximo]]-Categorias_Registro[[#This Row],[Mínimo]])/2),0)</f>
        <v>1157</v>
      </c>
      <c r="G1543" s="78">
        <f>VLOOKUP(Categorias_Registro[[#This Row],[Puntos]],Categorias_Configuracion[],MATCH(Categorias_Configuracion[[#Headers],[% Amplitud]],Categorias_Configuracion[#Headers],0),TRUE)</f>
        <v>0.15</v>
      </c>
      <c r="H1543" s="15" t="str">
        <f ca="1">TEXT(Categorias_Registro[[#This Row],[Mínimo]],Formato_Rango_Categorias)&amp;" - "&amp;TEXT(Categorias_Registro[[#This Row],[Máximo]],Formato_Rango_Categorias)</f>
        <v>1.077 - 1.237</v>
      </c>
    </row>
    <row r="1544" spans="2:8">
      <c r="B1544" s="15">
        <f>Techo - ROW() + ROW(Categorias_Registro[])</f>
        <v>1085</v>
      </c>
      <c r="C1544" s="15">
        <f>IF(Categorias_Registro[[#This Row],[Puntos]]&lt;=ROUND(Piso,0),Piso,IF(Categorias_Registro[[#This Row],[Puntos]]&lt;D1545,C1545,D1545+1))</f>
        <v>1077</v>
      </c>
      <c r="D1544" s="15">
        <f>IF(Categorias_Registro[[#This Row],[Puntos]]=ROUND(Piso,0),ROUND(Categorias_Registro[[#This Row],[Puntos]]*(1+Categorias_Registro[[#This Row],[Amplitud]]),0),IF(Categorias_Registro[[#This Row],[Puntos]]&lt;D1545,D1545,ROUND(D1545*(1+Categorias_Registro[[#This Row],[Amplitud]]),0)))</f>
        <v>1237</v>
      </c>
      <c r="E1544" s="15">
        <f>E1545+IF(D1545=Categorias_Registro[[#This Row],[Máximo]],0,1)</f>
        <v>19</v>
      </c>
      <c r="F1544" s="15">
        <f>ROUND(Categorias_Registro[[#This Row],[Mínimo]]+((Categorias_Registro[[#This Row],[Máximo]]-Categorias_Registro[[#This Row],[Mínimo]])/2),0)</f>
        <v>1157</v>
      </c>
      <c r="G1544" s="78">
        <f>VLOOKUP(Categorias_Registro[[#This Row],[Puntos]],Categorias_Configuracion[],MATCH(Categorias_Configuracion[[#Headers],[% Amplitud]],Categorias_Configuracion[#Headers],0),TRUE)</f>
        <v>0.15</v>
      </c>
      <c r="H1544" s="15" t="str">
        <f ca="1">TEXT(Categorias_Registro[[#This Row],[Mínimo]],Formato_Rango_Categorias)&amp;" - "&amp;TEXT(Categorias_Registro[[#This Row],[Máximo]],Formato_Rango_Categorias)</f>
        <v>1.077 - 1.237</v>
      </c>
    </row>
    <row r="1545" spans="2:8">
      <c r="B1545" s="15">
        <f>Techo - ROW() + ROW(Categorias_Registro[])</f>
        <v>1084</v>
      </c>
      <c r="C1545" s="15">
        <f>IF(Categorias_Registro[[#This Row],[Puntos]]&lt;=ROUND(Piso,0),Piso,IF(Categorias_Registro[[#This Row],[Puntos]]&lt;D1546,C1546,D1546+1))</f>
        <v>1077</v>
      </c>
      <c r="D1545" s="15">
        <f>IF(Categorias_Registro[[#This Row],[Puntos]]=ROUND(Piso,0),ROUND(Categorias_Registro[[#This Row],[Puntos]]*(1+Categorias_Registro[[#This Row],[Amplitud]]),0),IF(Categorias_Registro[[#This Row],[Puntos]]&lt;D1546,D1546,ROUND(D1546*(1+Categorias_Registro[[#This Row],[Amplitud]]),0)))</f>
        <v>1237</v>
      </c>
      <c r="E1545" s="15">
        <f>E1546+IF(D1546=Categorias_Registro[[#This Row],[Máximo]],0,1)</f>
        <v>19</v>
      </c>
      <c r="F1545" s="15">
        <f>ROUND(Categorias_Registro[[#This Row],[Mínimo]]+((Categorias_Registro[[#This Row],[Máximo]]-Categorias_Registro[[#This Row],[Mínimo]])/2),0)</f>
        <v>1157</v>
      </c>
      <c r="G1545" s="78">
        <f>VLOOKUP(Categorias_Registro[[#This Row],[Puntos]],Categorias_Configuracion[],MATCH(Categorias_Configuracion[[#Headers],[% Amplitud]],Categorias_Configuracion[#Headers],0),TRUE)</f>
        <v>0.15</v>
      </c>
      <c r="H1545" s="15" t="str">
        <f ca="1">TEXT(Categorias_Registro[[#This Row],[Mínimo]],Formato_Rango_Categorias)&amp;" - "&amp;TEXT(Categorias_Registro[[#This Row],[Máximo]],Formato_Rango_Categorias)</f>
        <v>1.077 - 1.237</v>
      </c>
    </row>
    <row r="1546" spans="2:8">
      <c r="B1546" s="15">
        <f>Techo - ROW() + ROW(Categorias_Registro[])</f>
        <v>1083</v>
      </c>
      <c r="C1546" s="15">
        <f>IF(Categorias_Registro[[#This Row],[Puntos]]&lt;=ROUND(Piso,0),Piso,IF(Categorias_Registro[[#This Row],[Puntos]]&lt;D1547,C1547,D1547+1))</f>
        <v>1077</v>
      </c>
      <c r="D1546" s="15">
        <f>IF(Categorias_Registro[[#This Row],[Puntos]]=ROUND(Piso,0),ROUND(Categorias_Registro[[#This Row],[Puntos]]*(1+Categorias_Registro[[#This Row],[Amplitud]]),0),IF(Categorias_Registro[[#This Row],[Puntos]]&lt;D1547,D1547,ROUND(D1547*(1+Categorias_Registro[[#This Row],[Amplitud]]),0)))</f>
        <v>1237</v>
      </c>
      <c r="E1546" s="15">
        <f>E1547+IF(D1547=Categorias_Registro[[#This Row],[Máximo]],0,1)</f>
        <v>19</v>
      </c>
      <c r="F1546" s="15">
        <f>ROUND(Categorias_Registro[[#This Row],[Mínimo]]+((Categorias_Registro[[#This Row],[Máximo]]-Categorias_Registro[[#This Row],[Mínimo]])/2),0)</f>
        <v>1157</v>
      </c>
      <c r="G1546" s="78">
        <f>VLOOKUP(Categorias_Registro[[#This Row],[Puntos]],Categorias_Configuracion[],MATCH(Categorias_Configuracion[[#Headers],[% Amplitud]],Categorias_Configuracion[#Headers],0),TRUE)</f>
        <v>0.15</v>
      </c>
      <c r="H1546" s="15" t="str">
        <f ca="1">TEXT(Categorias_Registro[[#This Row],[Mínimo]],Formato_Rango_Categorias)&amp;" - "&amp;TEXT(Categorias_Registro[[#This Row],[Máximo]],Formato_Rango_Categorias)</f>
        <v>1.077 - 1.237</v>
      </c>
    </row>
    <row r="1547" spans="2:8">
      <c r="B1547" s="15">
        <f>Techo - ROW() + ROW(Categorias_Registro[])</f>
        <v>1082</v>
      </c>
      <c r="C1547" s="15">
        <f>IF(Categorias_Registro[[#This Row],[Puntos]]&lt;=ROUND(Piso,0),Piso,IF(Categorias_Registro[[#This Row],[Puntos]]&lt;D1548,C1548,D1548+1))</f>
        <v>1077</v>
      </c>
      <c r="D1547" s="15">
        <f>IF(Categorias_Registro[[#This Row],[Puntos]]=ROUND(Piso,0),ROUND(Categorias_Registro[[#This Row],[Puntos]]*(1+Categorias_Registro[[#This Row],[Amplitud]]),0),IF(Categorias_Registro[[#This Row],[Puntos]]&lt;D1548,D1548,ROUND(D1548*(1+Categorias_Registro[[#This Row],[Amplitud]]),0)))</f>
        <v>1237</v>
      </c>
      <c r="E1547" s="15">
        <f>E1548+IF(D1548=Categorias_Registro[[#This Row],[Máximo]],0,1)</f>
        <v>19</v>
      </c>
      <c r="F1547" s="15">
        <f>ROUND(Categorias_Registro[[#This Row],[Mínimo]]+((Categorias_Registro[[#This Row],[Máximo]]-Categorias_Registro[[#This Row],[Mínimo]])/2),0)</f>
        <v>1157</v>
      </c>
      <c r="G1547" s="78">
        <f>VLOOKUP(Categorias_Registro[[#This Row],[Puntos]],Categorias_Configuracion[],MATCH(Categorias_Configuracion[[#Headers],[% Amplitud]],Categorias_Configuracion[#Headers],0),TRUE)</f>
        <v>0.15</v>
      </c>
      <c r="H1547" s="15" t="str">
        <f ca="1">TEXT(Categorias_Registro[[#This Row],[Mínimo]],Formato_Rango_Categorias)&amp;" - "&amp;TEXT(Categorias_Registro[[#This Row],[Máximo]],Formato_Rango_Categorias)</f>
        <v>1.077 - 1.237</v>
      </c>
    </row>
    <row r="1548" spans="2:8">
      <c r="B1548" s="15">
        <f>Techo - ROW() + ROW(Categorias_Registro[])</f>
        <v>1081</v>
      </c>
      <c r="C1548" s="15">
        <f>IF(Categorias_Registro[[#This Row],[Puntos]]&lt;=ROUND(Piso,0),Piso,IF(Categorias_Registro[[#This Row],[Puntos]]&lt;D1549,C1549,D1549+1))</f>
        <v>1077</v>
      </c>
      <c r="D1548" s="15">
        <f>IF(Categorias_Registro[[#This Row],[Puntos]]=ROUND(Piso,0),ROUND(Categorias_Registro[[#This Row],[Puntos]]*(1+Categorias_Registro[[#This Row],[Amplitud]]),0),IF(Categorias_Registro[[#This Row],[Puntos]]&lt;D1549,D1549,ROUND(D1549*(1+Categorias_Registro[[#This Row],[Amplitud]]),0)))</f>
        <v>1237</v>
      </c>
      <c r="E1548" s="15">
        <f>E1549+IF(D1549=Categorias_Registro[[#This Row],[Máximo]],0,1)</f>
        <v>19</v>
      </c>
      <c r="F1548" s="15">
        <f>ROUND(Categorias_Registro[[#This Row],[Mínimo]]+((Categorias_Registro[[#This Row],[Máximo]]-Categorias_Registro[[#This Row],[Mínimo]])/2),0)</f>
        <v>1157</v>
      </c>
      <c r="G1548" s="78">
        <f>VLOOKUP(Categorias_Registro[[#This Row],[Puntos]],Categorias_Configuracion[],MATCH(Categorias_Configuracion[[#Headers],[% Amplitud]],Categorias_Configuracion[#Headers],0),TRUE)</f>
        <v>0.15</v>
      </c>
      <c r="H1548" s="15" t="str">
        <f ca="1">TEXT(Categorias_Registro[[#This Row],[Mínimo]],Formato_Rango_Categorias)&amp;" - "&amp;TEXT(Categorias_Registro[[#This Row],[Máximo]],Formato_Rango_Categorias)</f>
        <v>1.077 - 1.237</v>
      </c>
    </row>
    <row r="1549" spans="2:8">
      <c r="B1549" s="15">
        <f>Techo - ROW() + ROW(Categorias_Registro[])</f>
        <v>1080</v>
      </c>
      <c r="C1549" s="15">
        <f>IF(Categorias_Registro[[#This Row],[Puntos]]&lt;=ROUND(Piso,0),Piso,IF(Categorias_Registro[[#This Row],[Puntos]]&lt;D1550,C1550,D1550+1))</f>
        <v>1077</v>
      </c>
      <c r="D1549" s="15">
        <f>IF(Categorias_Registro[[#This Row],[Puntos]]=ROUND(Piso,0),ROUND(Categorias_Registro[[#This Row],[Puntos]]*(1+Categorias_Registro[[#This Row],[Amplitud]]),0),IF(Categorias_Registro[[#This Row],[Puntos]]&lt;D1550,D1550,ROUND(D1550*(1+Categorias_Registro[[#This Row],[Amplitud]]),0)))</f>
        <v>1237</v>
      </c>
      <c r="E1549" s="15">
        <f>E1550+IF(D1550=Categorias_Registro[[#This Row],[Máximo]],0,1)</f>
        <v>19</v>
      </c>
      <c r="F1549" s="15">
        <f>ROUND(Categorias_Registro[[#This Row],[Mínimo]]+((Categorias_Registro[[#This Row],[Máximo]]-Categorias_Registro[[#This Row],[Mínimo]])/2),0)</f>
        <v>1157</v>
      </c>
      <c r="G1549" s="78">
        <f>VLOOKUP(Categorias_Registro[[#This Row],[Puntos]],Categorias_Configuracion[],MATCH(Categorias_Configuracion[[#Headers],[% Amplitud]],Categorias_Configuracion[#Headers],0),TRUE)</f>
        <v>0.15</v>
      </c>
      <c r="H1549" s="15" t="str">
        <f ca="1">TEXT(Categorias_Registro[[#This Row],[Mínimo]],Formato_Rango_Categorias)&amp;" - "&amp;TEXT(Categorias_Registro[[#This Row],[Máximo]],Formato_Rango_Categorias)</f>
        <v>1.077 - 1.237</v>
      </c>
    </row>
    <row r="1550" spans="2:8">
      <c r="B1550" s="15">
        <f>Techo - ROW() + ROW(Categorias_Registro[])</f>
        <v>1079</v>
      </c>
      <c r="C1550" s="15">
        <f>IF(Categorias_Registro[[#This Row],[Puntos]]&lt;=ROUND(Piso,0),Piso,IF(Categorias_Registro[[#This Row],[Puntos]]&lt;D1551,C1551,D1551+1))</f>
        <v>1077</v>
      </c>
      <c r="D1550" s="15">
        <f>IF(Categorias_Registro[[#This Row],[Puntos]]=ROUND(Piso,0),ROUND(Categorias_Registro[[#This Row],[Puntos]]*(1+Categorias_Registro[[#This Row],[Amplitud]]),0),IF(Categorias_Registro[[#This Row],[Puntos]]&lt;D1551,D1551,ROUND(D1551*(1+Categorias_Registro[[#This Row],[Amplitud]]),0)))</f>
        <v>1237</v>
      </c>
      <c r="E1550" s="15">
        <f>E1551+IF(D1551=Categorias_Registro[[#This Row],[Máximo]],0,1)</f>
        <v>19</v>
      </c>
      <c r="F1550" s="15">
        <f>ROUND(Categorias_Registro[[#This Row],[Mínimo]]+((Categorias_Registro[[#This Row],[Máximo]]-Categorias_Registro[[#This Row],[Mínimo]])/2),0)</f>
        <v>1157</v>
      </c>
      <c r="G1550" s="78">
        <f>VLOOKUP(Categorias_Registro[[#This Row],[Puntos]],Categorias_Configuracion[],MATCH(Categorias_Configuracion[[#Headers],[% Amplitud]],Categorias_Configuracion[#Headers],0),TRUE)</f>
        <v>0.15</v>
      </c>
      <c r="H1550" s="15" t="str">
        <f ca="1">TEXT(Categorias_Registro[[#This Row],[Mínimo]],Formato_Rango_Categorias)&amp;" - "&amp;TEXT(Categorias_Registro[[#This Row],[Máximo]],Formato_Rango_Categorias)</f>
        <v>1.077 - 1.237</v>
      </c>
    </row>
    <row r="1551" spans="2:8">
      <c r="B1551" s="15">
        <f>Techo - ROW() + ROW(Categorias_Registro[])</f>
        <v>1078</v>
      </c>
      <c r="C1551" s="15">
        <f>IF(Categorias_Registro[[#This Row],[Puntos]]&lt;=ROUND(Piso,0),Piso,IF(Categorias_Registro[[#This Row],[Puntos]]&lt;D1552,C1552,D1552+1))</f>
        <v>1077</v>
      </c>
      <c r="D1551" s="15">
        <f>IF(Categorias_Registro[[#This Row],[Puntos]]=ROUND(Piso,0),ROUND(Categorias_Registro[[#This Row],[Puntos]]*(1+Categorias_Registro[[#This Row],[Amplitud]]),0),IF(Categorias_Registro[[#This Row],[Puntos]]&lt;D1552,D1552,ROUND(D1552*(1+Categorias_Registro[[#This Row],[Amplitud]]),0)))</f>
        <v>1237</v>
      </c>
      <c r="E1551" s="15">
        <f>E1552+IF(D1552=Categorias_Registro[[#This Row],[Máximo]],0,1)</f>
        <v>19</v>
      </c>
      <c r="F1551" s="15">
        <f>ROUND(Categorias_Registro[[#This Row],[Mínimo]]+((Categorias_Registro[[#This Row],[Máximo]]-Categorias_Registro[[#This Row],[Mínimo]])/2),0)</f>
        <v>1157</v>
      </c>
      <c r="G1551" s="78">
        <f>VLOOKUP(Categorias_Registro[[#This Row],[Puntos]],Categorias_Configuracion[],MATCH(Categorias_Configuracion[[#Headers],[% Amplitud]],Categorias_Configuracion[#Headers],0),TRUE)</f>
        <v>0.15</v>
      </c>
      <c r="H1551" s="15" t="str">
        <f ca="1">TEXT(Categorias_Registro[[#This Row],[Mínimo]],Formato_Rango_Categorias)&amp;" - "&amp;TEXT(Categorias_Registro[[#This Row],[Máximo]],Formato_Rango_Categorias)</f>
        <v>1.077 - 1.237</v>
      </c>
    </row>
    <row r="1552" spans="2:8">
      <c r="B1552" s="15">
        <f>Techo - ROW() + ROW(Categorias_Registro[])</f>
        <v>1077</v>
      </c>
      <c r="C1552" s="15">
        <f>IF(Categorias_Registro[[#This Row],[Puntos]]&lt;=ROUND(Piso,0),Piso,IF(Categorias_Registro[[#This Row],[Puntos]]&lt;D1553,C1553,D1553+1))</f>
        <v>1077</v>
      </c>
      <c r="D1552" s="15">
        <f>IF(Categorias_Registro[[#This Row],[Puntos]]=ROUND(Piso,0),ROUND(Categorias_Registro[[#This Row],[Puntos]]*(1+Categorias_Registro[[#This Row],[Amplitud]]),0),IF(Categorias_Registro[[#This Row],[Puntos]]&lt;D1553,D1553,ROUND(D1553*(1+Categorias_Registro[[#This Row],[Amplitud]]),0)))</f>
        <v>1237</v>
      </c>
      <c r="E1552" s="15">
        <f>E1553+IF(D1553=Categorias_Registro[[#This Row],[Máximo]],0,1)</f>
        <v>19</v>
      </c>
      <c r="F1552" s="15">
        <f>ROUND(Categorias_Registro[[#This Row],[Mínimo]]+((Categorias_Registro[[#This Row],[Máximo]]-Categorias_Registro[[#This Row],[Mínimo]])/2),0)</f>
        <v>1157</v>
      </c>
      <c r="G1552" s="78">
        <f>VLOOKUP(Categorias_Registro[[#This Row],[Puntos]],Categorias_Configuracion[],MATCH(Categorias_Configuracion[[#Headers],[% Amplitud]],Categorias_Configuracion[#Headers],0),TRUE)</f>
        <v>0.15</v>
      </c>
      <c r="H1552" s="15" t="str">
        <f ca="1">TEXT(Categorias_Registro[[#This Row],[Mínimo]],Formato_Rango_Categorias)&amp;" - "&amp;TEXT(Categorias_Registro[[#This Row],[Máximo]],Formato_Rango_Categorias)</f>
        <v>1.077 - 1.237</v>
      </c>
    </row>
    <row r="1553" spans="2:8">
      <c r="B1553" s="15">
        <f>Techo - ROW() + ROW(Categorias_Registro[])</f>
        <v>1076</v>
      </c>
      <c r="C1553" s="15">
        <f>IF(Categorias_Registro[[#This Row],[Puntos]]&lt;=ROUND(Piso,0),Piso,IF(Categorias_Registro[[#This Row],[Puntos]]&lt;D1554,C1554,D1554+1))</f>
        <v>1077</v>
      </c>
      <c r="D1553" s="15">
        <f>IF(Categorias_Registro[[#This Row],[Puntos]]=ROUND(Piso,0),ROUND(Categorias_Registro[[#This Row],[Puntos]]*(1+Categorias_Registro[[#This Row],[Amplitud]]),0),IF(Categorias_Registro[[#This Row],[Puntos]]&lt;D1554,D1554,ROUND(D1554*(1+Categorias_Registro[[#This Row],[Amplitud]]),0)))</f>
        <v>1237</v>
      </c>
      <c r="E1553" s="15">
        <f>E1554+IF(D1554=Categorias_Registro[[#This Row],[Máximo]],0,1)</f>
        <v>19</v>
      </c>
      <c r="F1553" s="15">
        <f>ROUND(Categorias_Registro[[#This Row],[Mínimo]]+((Categorias_Registro[[#This Row],[Máximo]]-Categorias_Registro[[#This Row],[Mínimo]])/2),0)</f>
        <v>1157</v>
      </c>
      <c r="G1553" s="78">
        <f>VLOOKUP(Categorias_Registro[[#This Row],[Puntos]],Categorias_Configuracion[],MATCH(Categorias_Configuracion[[#Headers],[% Amplitud]],Categorias_Configuracion[#Headers],0),TRUE)</f>
        <v>0.15</v>
      </c>
      <c r="H1553" s="15" t="str">
        <f ca="1">TEXT(Categorias_Registro[[#This Row],[Mínimo]],Formato_Rango_Categorias)&amp;" - "&amp;TEXT(Categorias_Registro[[#This Row],[Máximo]],Formato_Rango_Categorias)</f>
        <v>1.077 - 1.237</v>
      </c>
    </row>
    <row r="1554" spans="2:8">
      <c r="B1554" s="15">
        <f>Techo - ROW() + ROW(Categorias_Registro[])</f>
        <v>1075</v>
      </c>
      <c r="C1554" s="15">
        <f>IF(Categorias_Registro[[#This Row],[Puntos]]&lt;=ROUND(Piso,0),Piso,IF(Categorias_Registro[[#This Row],[Puntos]]&lt;D1555,C1555,D1555+1))</f>
        <v>937</v>
      </c>
      <c r="D1554" s="15">
        <f>IF(Categorias_Registro[[#This Row],[Puntos]]=ROUND(Piso,0),ROUND(Categorias_Registro[[#This Row],[Puntos]]*(1+Categorias_Registro[[#This Row],[Amplitud]]),0),IF(Categorias_Registro[[#This Row],[Puntos]]&lt;D1555,D1555,ROUND(D1555*(1+Categorias_Registro[[#This Row],[Amplitud]]),0)))</f>
        <v>1076</v>
      </c>
      <c r="E1554" s="15">
        <f>E1555+IF(D1555=Categorias_Registro[[#This Row],[Máximo]],0,1)</f>
        <v>18</v>
      </c>
      <c r="F1554" s="15">
        <f>ROUND(Categorias_Registro[[#This Row],[Mínimo]]+((Categorias_Registro[[#This Row],[Máximo]]-Categorias_Registro[[#This Row],[Mínimo]])/2),0)</f>
        <v>1007</v>
      </c>
      <c r="G1554" s="78">
        <f>VLOOKUP(Categorias_Registro[[#This Row],[Puntos]],Categorias_Configuracion[],MATCH(Categorias_Configuracion[[#Headers],[% Amplitud]],Categorias_Configuracion[#Headers],0),TRUE)</f>
        <v>0.15</v>
      </c>
      <c r="H1554" s="15" t="str">
        <f ca="1">TEXT(Categorias_Registro[[#This Row],[Mínimo]],Formato_Rango_Categorias)&amp;" - "&amp;TEXT(Categorias_Registro[[#This Row],[Máximo]],Formato_Rango_Categorias)</f>
        <v>937 - 1.076</v>
      </c>
    </row>
    <row r="1555" spans="2:8">
      <c r="B1555" s="15">
        <f>Techo - ROW() + ROW(Categorias_Registro[])</f>
        <v>1074</v>
      </c>
      <c r="C1555" s="15">
        <f>IF(Categorias_Registro[[#This Row],[Puntos]]&lt;=ROUND(Piso,0),Piso,IF(Categorias_Registro[[#This Row],[Puntos]]&lt;D1556,C1556,D1556+1))</f>
        <v>937</v>
      </c>
      <c r="D1555" s="15">
        <f>IF(Categorias_Registro[[#This Row],[Puntos]]=ROUND(Piso,0),ROUND(Categorias_Registro[[#This Row],[Puntos]]*(1+Categorias_Registro[[#This Row],[Amplitud]]),0),IF(Categorias_Registro[[#This Row],[Puntos]]&lt;D1556,D1556,ROUND(D1556*(1+Categorias_Registro[[#This Row],[Amplitud]]),0)))</f>
        <v>1076</v>
      </c>
      <c r="E1555" s="15">
        <f>E1556+IF(D1556=Categorias_Registro[[#This Row],[Máximo]],0,1)</f>
        <v>18</v>
      </c>
      <c r="F1555" s="15">
        <f>ROUND(Categorias_Registro[[#This Row],[Mínimo]]+((Categorias_Registro[[#This Row],[Máximo]]-Categorias_Registro[[#This Row],[Mínimo]])/2),0)</f>
        <v>1007</v>
      </c>
      <c r="G1555" s="78">
        <f>VLOOKUP(Categorias_Registro[[#This Row],[Puntos]],Categorias_Configuracion[],MATCH(Categorias_Configuracion[[#Headers],[% Amplitud]],Categorias_Configuracion[#Headers],0),TRUE)</f>
        <v>0.15</v>
      </c>
      <c r="H1555" s="15" t="str">
        <f ca="1">TEXT(Categorias_Registro[[#This Row],[Mínimo]],Formato_Rango_Categorias)&amp;" - "&amp;TEXT(Categorias_Registro[[#This Row],[Máximo]],Formato_Rango_Categorias)</f>
        <v>937 - 1.076</v>
      </c>
    </row>
    <row r="1556" spans="2:8">
      <c r="B1556" s="15">
        <f>Techo - ROW() + ROW(Categorias_Registro[])</f>
        <v>1073</v>
      </c>
      <c r="C1556" s="15">
        <f>IF(Categorias_Registro[[#This Row],[Puntos]]&lt;=ROUND(Piso,0),Piso,IF(Categorias_Registro[[#This Row],[Puntos]]&lt;D1557,C1557,D1557+1))</f>
        <v>937</v>
      </c>
      <c r="D1556" s="15">
        <f>IF(Categorias_Registro[[#This Row],[Puntos]]=ROUND(Piso,0),ROUND(Categorias_Registro[[#This Row],[Puntos]]*(1+Categorias_Registro[[#This Row],[Amplitud]]),0),IF(Categorias_Registro[[#This Row],[Puntos]]&lt;D1557,D1557,ROUND(D1557*(1+Categorias_Registro[[#This Row],[Amplitud]]),0)))</f>
        <v>1076</v>
      </c>
      <c r="E1556" s="15">
        <f>E1557+IF(D1557=Categorias_Registro[[#This Row],[Máximo]],0,1)</f>
        <v>18</v>
      </c>
      <c r="F1556" s="15">
        <f>ROUND(Categorias_Registro[[#This Row],[Mínimo]]+((Categorias_Registro[[#This Row],[Máximo]]-Categorias_Registro[[#This Row],[Mínimo]])/2),0)</f>
        <v>1007</v>
      </c>
      <c r="G1556" s="78">
        <f>VLOOKUP(Categorias_Registro[[#This Row],[Puntos]],Categorias_Configuracion[],MATCH(Categorias_Configuracion[[#Headers],[% Amplitud]],Categorias_Configuracion[#Headers],0),TRUE)</f>
        <v>0.15</v>
      </c>
      <c r="H1556" s="15" t="str">
        <f ca="1">TEXT(Categorias_Registro[[#This Row],[Mínimo]],Formato_Rango_Categorias)&amp;" - "&amp;TEXT(Categorias_Registro[[#This Row],[Máximo]],Formato_Rango_Categorias)</f>
        <v>937 - 1.076</v>
      </c>
    </row>
    <row r="1557" spans="2:8">
      <c r="B1557" s="15">
        <f>Techo - ROW() + ROW(Categorias_Registro[])</f>
        <v>1072</v>
      </c>
      <c r="C1557" s="15">
        <f>IF(Categorias_Registro[[#This Row],[Puntos]]&lt;=ROUND(Piso,0),Piso,IF(Categorias_Registro[[#This Row],[Puntos]]&lt;D1558,C1558,D1558+1))</f>
        <v>937</v>
      </c>
      <c r="D1557" s="15">
        <f>IF(Categorias_Registro[[#This Row],[Puntos]]=ROUND(Piso,0),ROUND(Categorias_Registro[[#This Row],[Puntos]]*(1+Categorias_Registro[[#This Row],[Amplitud]]),0),IF(Categorias_Registro[[#This Row],[Puntos]]&lt;D1558,D1558,ROUND(D1558*(1+Categorias_Registro[[#This Row],[Amplitud]]),0)))</f>
        <v>1076</v>
      </c>
      <c r="E1557" s="15">
        <f>E1558+IF(D1558=Categorias_Registro[[#This Row],[Máximo]],0,1)</f>
        <v>18</v>
      </c>
      <c r="F1557" s="15">
        <f>ROUND(Categorias_Registro[[#This Row],[Mínimo]]+((Categorias_Registro[[#This Row],[Máximo]]-Categorias_Registro[[#This Row],[Mínimo]])/2),0)</f>
        <v>1007</v>
      </c>
      <c r="G1557" s="78">
        <f>VLOOKUP(Categorias_Registro[[#This Row],[Puntos]],Categorias_Configuracion[],MATCH(Categorias_Configuracion[[#Headers],[% Amplitud]],Categorias_Configuracion[#Headers],0),TRUE)</f>
        <v>0.15</v>
      </c>
      <c r="H1557" s="15" t="str">
        <f ca="1">TEXT(Categorias_Registro[[#This Row],[Mínimo]],Formato_Rango_Categorias)&amp;" - "&amp;TEXT(Categorias_Registro[[#This Row],[Máximo]],Formato_Rango_Categorias)</f>
        <v>937 - 1.076</v>
      </c>
    </row>
    <row r="1558" spans="2:8">
      <c r="B1558" s="15">
        <f>Techo - ROW() + ROW(Categorias_Registro[])</f>
        <v>1071</v>
      </c>
      <c r="C1558" s="15">
        <f>IF(Categorias_Registro[[#This Row],[Puntos]]&lt;=ROUND(Piso,0),Piso,IF(Categorias_Registro[[#This Row],[Puntos]]&lt;D1559,C1559,D1559+1))</f>
        <v>937</v>
      </c>
      <c r="D1558" s="15">
        <f>IF(Categorias_Registro[[#This Row],[Puntos]]=ROUND(Piso,0),ROUND(Categorias_Registro[[#This Row],[Puntos]]*(1+Categorias_Registro[[#This Row],[Amplitud]]),0),IF(Categorias_Registro[[#This Row],[Puntos]]&lt;D1559,D1559,ROUND(D1559*(1+Categorias_Registro[[#This Row],[Amplitud]]),0)))</f>
        <v>1076</v>
      </c>
      <c r="E1558" s="15">
        <f>E1559+IF(D1559=Categorias_Registro[[#This Row],[Máximo]],0,1)</f>
        <v>18</v>
      </c>
      <c r="F1558" s="15">
        <f>ROUND(Categorias_Registro[[#This Row],[Mínimo]]+((Categorias_Registro[[#This Row],[Máximo]]-Categorias_Registro[[#This Row],[Mínimo]])/2),0)</f>
        <v>1007</v>
      </c>
      <c r="G1558" s="78">
        <f>VLOOKUP(Categorias_Registro[[#This Row],[Puntos]],Categorias_Configuracion[],MATCH(Categorias_Configuracion[[#Headers],[% Amplitud]],Categorias_Configuracion[#Headers],0),TRUE)</f>
        <v>0.15</v>
      </c>
      <c r="H1558" s="15" t="str">
        <f ca="1">TEXT(Categorias_Registro[[#This Row],[Mínimo]],Formato_Rango_Categorias)&amp;" - "&amp;TEXT(Categorias_Registro[[#This Row],[Máximo]],Formato_Rango_Categorias)</f>
        <v>937 - 1.076</v>
      </c>
    </row>
    <row r="1559" spans="2:8">
      <c r="B1559" s="15">
        <f>Techo - ROW() + ROW(Categorias_Registro[])</f>
        <v>1070</v>
      </c>
      <c r="C1559" s="15">
        <f>IF(Categorias_Registro[[#This Row],[Puntos]]&lt;=ROUND(Piso,0),Piso,IF(Categorias_Registro[[#This Row],[Puntos]]&lt;D1560,C1560,D1560+1))</f>
        <v>937</v>
      </c>
      <c r="D1559" s="15">
        <f>IF(Categorias_Registro[[#This Row],[Puntos]]=ROUND(Piso,0),ROUND(Categorias_Registro[[#This Row],[Puntos]]*(1+Categorias_Registro[[#This Row],[Amplitud]]),0),IF(Categorias_Registro[[#This Row],[Puntos]]&lt;D1560,D1560,ROUND(D1560*(1+Categorias_Registro[[#This Row],[Amplitud]]),0)))</f>
        <v>1076</v>
      </c>
      <c r="E1559" s="15">
        <f>E1560+IF(D1560=Categorias_Registro[[#This Row],[Máximo]],0,1)</f>
        <v>18</v>
      </c>
      <c r="F1559" s="15">
        <f>ROUND(Categorias_Registro[[#This Row],[Mínimo]]+((Categorias_Registro[[#This Row],[Máximo]]-Categorias_Registro[[#This Row],[Mínimo]])/2),0)</f>
        <v>1007</v>
      </c>
      <c r="G1559" s="78">
        <f>VLOOKUP(Categorias_Registro[[#This Row],[Puntos]],Categorias_Configuracion[],MATCH(Categorias_Configuracion[[#Headers],[% Amplitud]],Categorias_Configuracion[#Headers],0),TRUE)</f>
        <v>0.15</v>
      </c>
      <c r="H1559" s="15" t="str">
        <f ca="1">TEXT(Categorias_Registro[[#This Row],[Mínimo]],Formato_Rango_Categorias)&amp;" - "&amp;TEXT(Categorias_Registro[[#This Row],[Máximo]],Formato_Rango_Categorias)</f>
        <v>937 - 1.076</v>
      </c>
    </row>
    <row r="1560" spans="2:8">
      <c r="B1560" s="15">
        <f>Techo - ROW() + ROW(Categorias_Registro[])</f>
        <v>1069</v>
      </c>
      <c r="C1560" s="15">
        <f>IF(Categorias_Registro[[#This Row],[Puntos]]&lt;=ROUND(Piso,0),Piso,IF(Categorias_Registro[[#This Row],[Puntos]]&lt;D1561,C1561,D1561+1))</f>
        <v>937</v>
      </c>
      <c r="D1560" s="15">
        <f>IF(Categorias_Registro[[#This Row],[Puntos]]=ROUND(Piso,0),ROUND(Categorias_Registro[[#This Row],[Puntos]]*(1+Categorias_Registro[[#This Row],[Amplitud]]),0),IF(Categorias_Registro[[#This Row],[Puntos]]&lt;D1561,D1561,ROUND(D1561*(1+Categorias_Registro[[#This Row],[Amplitud]]),0)))</f>
        <v>1076</v>
      </c>
      <c r="E1560" s="15">
        <f>E1561+IF(D1561=Categorias_Registro[[#This Row],[Máximo]],0,1)</f>
        <v>18</v>
      </c>
      <c r="F1560" s="15">
        <f>ROUND(Categorias_Registro[[#This Row],[Mínimo]]+((Categorias_Registro[[#This Row],[Máximo]]-Categorias_Registro[[#This Row],[Mínimo]])/2),0)</f>
        <v>1007</v>
      </c>
      <c r="G1560" s="78">
        <f>VLOOKUP(Categorias_Registro[[#This Row],[Puntos]],Categorias_Configuracion[],MATCH(Categorias_Configuracion[[#Headers],[% Amplitud]],Categorias_Configuracion[#Headers],0),TRUE)</f>
        <v>0.15</v>
      </c>
      <c r="H1560" s="15" t="str">
        <f ca="1">TEXT(Categorias_Registro[[#This Row],[Mínimo]],Formato_Rango_Categorias)&amp;" - "&amp;TEXT(Categorias_Registro[[#This Row],[Máximo]],Formato_Rango_Categorias)</f>
        <v>937 - 1.076</v>
      </c>
    </row>
    <row r="1561" spans="2:8">
      <c r="B1561" s="15">
        <f>Techo - ROW() + ROW(Categorias_Registro[])</f>
        <v>1068</v>
      </c>
      <c r="C1561" s="15">
        <f>IF(Categorias_Registro[[#This Row],[Puntos]]&lt;=ROUND(Piso,0),Piso,IF(Categorias_Registro[[#This Row],[Puntos]]&lt;D1562,C1562,D1562+1))</f>
        <v>937</v>
      </c>
      <c r="D1561" s="15">
        <f>IF(Categorias_Registro[[#This Row],[Puntos]]=ROUND(Piso,0),ROUND(Categorias_Registro[[#This Row],[Puntos]]*(1+Categorias_Registro[[#This Row],[Amplitud]]),0),IF(Categorias_Registro[[#This Row],[Puntos]]&lt;D1562,D1562,ROUND(D1562*(1+Categorias_Registro[[#This Row],[Amplitud]]),0)))</f>
        <v>1076</v>
      </c>
      <c r="E1561" s="15">
        <f>E1562+IF(D1562=Categorias_Registro[[#This Row],[Máximo]],0,1)</f>
        <v>18</v>
      </c>
      <c r="F1561" s="15">
        <f>ROUND(Categorias_Registro[[#This Row],[Mínimo]]+((Categorias_Registro[[#This Row],[Máximo]]-Categorias_Registro[[#This Row],[Mínimo]])/2),0)</f>
        <v>1007</v>
      </c>
      <c r="G1561" s="78">
        <f>VLOOKUP(Categorias_Registro[[#This Row],[Puntos]],Categorias_Configuracion[],MATCH(Categorias_Configuracion[[#Headers],[% Amplitud]],Categorias_Configuracion[#Headers],0),TRUE)</f>
        <v>0.15</v>
      </c>
      <c r="H1561" s="15" t="str">
        <f ca="1">TEXT(Categorias_Registro[[#This Row],[Mínimo]],Formato_Rango_Categorias)&amp;" - "&amp;TEXT(Categorias_Registro[[#This Row],[Máximo]],Formato_Rango_Categorias)</f>
        <v>937 - 1.076</v>
      </c>
    </row>
    <row r="1562" spans="2:8">
      <c r="B1562" s="15">
        <f>Techo - ROW() + ROW(Categorias_Registro[])</f>
        <v>1067</v>
      </c>
      <c r="C1562" s="15">
        <f>IF(Categorias_Registro[[#This Row],[Puntos]]&lt;=ROUND(Piso,0),Piso,IF(Categorias_Registro[[#This Row],[Puntos]]&lt;D1563,C1563,D1563+1))</f>
        <v>937</v>
      </c>
      <c r="D1562" s="15">
        <f>IF(Categorias_Registro[[#This Row],[Puntos]]=ROUND(Piso,0),ROUND(Categorias_Registro[[#This Row],[Puntos]]*(1+Categorias_Registro[[#This Row],[Amplitud]]),0),IF(Categorias_Registro[[#This Row],[Puntos]]&lt;D1563,D1563,ROUND(D1563*(1+Categorias_Registro[[#This Row],[Amplitud]]),0)))</f>
        <v>1076</v>
      </c>
      <c r="E1562" s="15">
        <f>E1563+IF(D1563=Categorias_Registro[[#This Row],[Máximo]],0,1)</f>
        <v>18</v>
      </c>
      <c r="F1562" s="15">
        <f>ROUND(Categorias_Registro[[#This Row],[Mínimo]]+((Categorias_Registro[[#This Row],[Máximo]]-Categorias_Registro[[#This Row],[Mínimo]])/2),0)</f>
        <v>1007</v>
      </c>
      <c r="G1562" s="78">
        <f>VLOOKUP(Categorias_Registro[[#This Row],[Puntos]],Categorias_Configuracion[],MATCH(Categorias_Configuracion[[#Headers],[% Amplitud]],Categorias_Configuracion[#Headers],0),TRUE)</f>
        <v>0.15</v>
      </c>
      <c r="H1562" s="15" t="str">
        <f ca="1">TEXT(Categorias_Registro[[#This Row],[Mínimo]],Formato_Rango_Categorias)&amp;" - "&amp;TEXT(Categorias_Registro[[#This Row],[Máximo]],Formato_Rango_Categorias)</f>
        <v>937 - 1.076</v>
      </c>
    </row>
    <row r="1563" spans="2:8">
      <c r="B1563" s="15">
        <f>Techo - ROW() + ROW(Categorias_Registro[])</f>
        <v>1066</v>
      </c>
      <c r="C1563" s="15">
        <f>IF(Categorias_Registro[[#This Row],[Puntos]]&lt;=ROUND(Piso,0),Piso,IF(Categorias_Registro[[#This Row],[Puntos]]&lt;D1564,C1564,D1564+1))</f>
        <v>937</v>
      </c>
      <c r="D1563" s="15">
        <f>IF(Categorias_Registro[[#This Row],[Puntos]]=ROUND(Piso,0),ROUND(Categorias_Registro[[#This Row],[Puntos]]*(1+Categorias_Registro[[#This Row],[Amplitud]]),0),IF(Categorias_Registro[[#This Row],[Puntos]]&lt;D1564,D1564,ROUND(D1564*(1+Categorias_Registro[[#This Row],[Amplitud]]),0)))</f>
        <v>1076</v>
      </c>
      <c r="E1563" s="15">
        <f>E1564+IF(D1564=Categorias_Registro[[#This Row],[Máximo]],0,1)</f>
        <v>18</v>
      </c>
      <c r="F1563" s="15">
        <f>ROUND(Categorias_Registro[[#This Row],[Mínimo]]+((Categorias_Registro[[#This Row],[Máximo]]-Categorias_Registro[[#This Row],[Mínimo]])/2),0)</f>
        <v>1007</v>
      </c>
      <c r="G1563" s="78">
        <f>VLOOKUP(Categorias_Registro[[#This Row],[Puntos]],Categorias_Configuracion[],MATCH(Categorias_Configuracion[[#Headers],[% Amplitud]],Categorias_Configuracion[#Headers],0),TRUE)</f>
        <v>0.15</v>
      </c>
      <c r="H1563" s="15" t="str">
        <f ca="1">TEXT(Categorias_Registro[[#This Row],[Mínimo]],Formato_Rango_Categorias)&amp;" - "&amp;TEXT(Categorias_Registro[[#This Row],[Máximo]],Formato_Rango_Categorias)</f>
        <v>937 - 1.076</v>
      </c>
    </row>
    <row r="1564" spans="2:8">
      <c r="B1564" s="15">
        <f>Techo - ROW() + ROW(Categorias_Registro[])</f>
        <v>1065</v>
      </c>
      <c r="C1564" s="15">
        <f>IF(Categorias_Registro[[#This Row],[Puntos]]&lt;=ROUND(Piso,0),Piso,IF(Categorias_Registro[[#This Row],[Puntos]]&lt;D1565,C1565,D1565+1))</f>
        <v>937</v>
      </c>
      <c r="D1564" s="15">
        <f>IF(Categorias_Registro[[#This Row],[Puntos]]=ROUND(Piso,0),ROUND(Categorias_Registro[[#This Row],[Puntos]]*(1+Categorias_Registro[[#This Row],[Amplitud]]),0),IF(Categorias_Registro[[#This Row],[Puntos]]&lt;D1565,D1565,ROUND(D1565*(1+Categorias_Registro[[#This Row],[Amplitud]]),0)))</f>
        <v>1076</v>
      </c>
      <c r="E1564" s="15">
        <f>E1565+IF(D1565=Categorias_Registro[[#This Row],[Máximo]],0,1)</f>
        <v>18</v>
      </c>
      <c r="F1564" s="15">
        <f>ROUND(Categorias_Registro[[#This Row],[Mínimo]]+((Categorias_Registro[[#This Row],[Máximo]]-Categorias_Registro[[#This Row],[Mínimo]])/2),0)</f>
        <v>1007</v>
      </c>
      <c r="G1564" s="78">
        <f>VLOOKUP(Categorias_Registro[[#This Row],[Puntos]],Categorias_Configuracion[],MATCH(Categorias_Configuracion[[#Headers],[% Amplitud]],Categorias_Configuracion[#Headers],0),TRUE)</f>
        <v>0.15</v>
      </c>
      <c r="H1564" s="15" t="str">
        <f ca="1">TEXT(Categorias_Registro[[#This Row],[Mínimo]],Formato_Rango_Categorias)&amp;" - "&amp;TEXT(Categorias_Registro[[#This Row],[Máximo]],Formato_Rango_Categorias)</f>
        <v>937 - 1.076</v>
      </c>
    </row>
    <row r="1565" spans="2:8">
      <c r="B1565" s="15">
        <f>Techo - ROW() + ROW(Categorias_Registro[])</f>
        <v>1064</v>
      </c>
      <c r="C1565" s="15">
        <f>IF(Categorias_Registro[[#This Row],[Puntos]]&lt;=ROUND(Piso,0),Piso,IF(Categorias_Registro[[#This Row],[Puntos]]&lt;D1566,C1566,D1566+1))</f>
        <v>937</v>
      </c>
      <c r="D1565" s="15">
        <f>IF(Categorias_Registro[[#This Row],[Puntos]]=ROUND(Piso,0),ROUND(Categorias_Registro[[#This Row],[Puntos]]*(1+Categorias_Registro[[#This Row],[Amplitud]]),0),IF(Categorias_Registro[[#This Row],[Puntos]]&lt;D1566,D1566,ROUND(D1566*(1+Categorias_Registro[[#This Row],[Amplitud]]),0)))</f>
        <v>1076</v>
      </c>
      <c r="E1565" s="15">
        <f>E1566+IF(D1566=Categorias_Registro[[#This Row],[Máximo]],0,1)</f>
        <v>18</v>
      </c>
      <c r="F1565" s="15">
        <f>ROUND(Categorias_Registro[[#This Row],[Mínimo]]+((Categorias_Registro[[#This Row],[Máximo]]-Categorias_Registro[[#This Row],[Mínimo]])/2),0)</f>
        <v>1007</v>
      </c>
      <c r="G1565" s="78">
        <f>VLOOKUP(Categorias_Registro[[#This Row],[Puntos]],Categorias_Configuracion[],MATCH(Categorias_Configuracion[[#Headers],[% Amplitud]],Categorias_Configuracion[#Headers],0),TRUE)</f>
        <v>0.15</v>
      </c>
      <c r="H1565" s="15" t="str">
        <f ca="1">TEXT(Categorias_Registro[[#This Row],[Mínimo]],Formato_Rango_Categorias)&amp;" - "&amp;TEXT(Categorias_Registro[[#This Row],[Máximo]],Formato_Rango_Categorias)</f>
        <v>937 - 1.076</v>
      </c>
    </row>
    <row r="1566" spans="2:8">
      <c r="B1566" s="15">
        <f>Techo - ROW() + ROW(Categorias_Registro[])</f>
        <v>1063</v>
      </c>
      <c r="C1566" s="15">
        <f>IF(Categorias_Registro[[#This Row],[Puntos]]&lt;=ROUND(Piso,0),Piso,IF(Categorias_Registro[[#This Row],[Puntos]]&lt;D1567,C1567,D1567+1))</f>
        <v>937</v>
      </c>
      <c r="D1566" s="15">
        <f>IF(Categorias_Registro[[#This Row],[Puntos]]=ROUND(Piso,0),ROUND(Categorias_Registro[[#This Row],[Puntos]]*(1+Categorias_Registro[[#This Row],[Amplitud]]),0),IF(Categorias_Registro[[#This Row],[Puntos]]&lt;D1567,D1567,ROUND(D1567*(1+Categorias_Registro[[#This Row],[Amplitud]]),0)))</f>
        <v>1076</v>
      </c>
      <c r="E1566" s="15">
        <f>E1567+IF(D1567=Categorias_Registro[[#This Row],[Máximo]],0,1)</f>
        <v>18</v>
      </c>
      <c r="F1566" s="15">
        <f>ROUND(Categorias_Registro[[#This Row],[Mínimo]]+((Categorias_Registro[[#This Row],[Máximo]]-Categorias_Registro[[#This Row],[Mínimo]])/2),0)</f>
        <v>1007</v>
      </c>
      <c r="G1566" s="78">
        <f>VLOOKUP(Categorias_Registro[[#This Row],[Puntos]],Categorias_Configuracion[],MATCH(Categorias_Configuracion[[#Headers],[% Amplitud]],Categorias_Configuracion[#Headers],0),TRUE)</f>
        <v>0.15</v>
      </c>
      <c r="H1566" s="15" t="str">
        <f ca="1">TEXT(Categorias_Registro[[#This Row],[Mínimo]],Formato_Rango_Categorias)&amp;" - "&amp;TEXT(Categorias_Registro[[#This Row],[Máximo]],Formato_Rango_Categorias)</f>
        <v>937 - 1.076</v>
      </c>
    </row>
    <row r="1567" spans="2:8">
      <c r="B1567" s="15">
        <f>Techo - ROW() + ROW(Categorias_Registro[])</f>
        <v>1062</v>
      </c>
      <c r="C1567" s="15">
        <f>IF(Categorias_Registro[[#This Row],[Puntos]]&lt;=ROUND(Piso,0),Piso,IF(Categorias_Registro[[#This Row],[Puntos]]&lt;D1568,C1568,D1568+1))</f>
        <v>937</v>
      </c>
      <c r="D1567" s="15">
        <f>IF(Categorias_Registro[[#This Row],[Puntos]]=ROUND(Piso,0),ROUND(Categorias_Registro[[#This Row],[Puntos]]*(1+Categorias_Registro[[#This Row],[Amplitud]]),0),IF(Categorias_Registro[[#This Row],[Puntos]]&lt;D1568,D1568,ROUND(D1568*(1+Categorias_Registro[[#This Row],[Amplitud]]),0)))</f>
        <v>1076</v>
      </c>
      <c r="E1567" s="15">
        <f>E1568+IF(D1568=Categorias_Registro[[#This Row],[Máximo]],0,1)</f>
        <v>18</v>
      </c>
      <c r="F1567" s="15">
        <f>ROUND(Categorias_Registro[[#This Row],[Mínimo]]+((Categorias_Registro[[#This Row],[Máximo]]-Categorias_Registro[[#This Row],[Mínimo]])/2),0)</f>
        <v>1007</v>
      </c>
      <c r="G1567" s="78">
        <f>VLOOKUP(Categorias_Registro[[#This Row],[Puntos]],Categorias_Configuracion[],MATCH(Categorias_Configuracion[[#Headers],[% Amplitud]],Categorias_Configuracion[#Headers],0),TRUE)</f>
        <v>0.15</v>
      </c>
      <c r="H1567" s="15" t="str">
        <f ca="1">TEXT(Categorias_Registro[[#This Row],[Mínimo]],Formato_Rango_Categorias)&amp;" - "&amp;TEXT(Categorias_Registro[[#This Row],[Máximo]],Formato_Rango_Categorias)</f>
        <v>937 - 1.076</v>
      </c>
    </row>
    <row r="1568" spans="2:8">
      <c r="B1568" s="15">
        <f>Techo - ROW() + ROW(Categorias_Registro[])</f>
        <v>1061</v>
      </c>
      <c r="C1568" s="15">
        <f>IF(Categorias_Registro[[#This Row],[Puntos]]&lt;=ROUND(Piso,0),Piso,IF(Categorias_Registro[[#This Row],[Puntos]]&lt;D1569,C1569,D1569+1))</f>
        <v>937</v>
      </c>
      <c r="D1568" s="15">
        <f>IF(Categorias_Registro[[#This Row],[Puntos]]=ROUND(Piso,0),ROUND(Categorias_Registro[[#This Row],[Puntos]]*(1+Categorias_Registro[[#This Row],[Amplitud]]),0),IF(Categorias_Registro[[#This Row],[Puntos]]&lt;D1569,D1569,ROUND(D1569*(1+Categorias_Registro[[#This Row],[Amplitud]]),0)))</f>
        <v>1076</v>
      </c>
      <c r="E1568" s="15">
        <f>E1569+IF(D1569=Categorias_Registro[[#This Row],[Máximo]],0,1)</f>
        <v>18</v>
      </c>
      <c r="F1568" s="15">
        <f>ROUND(Categorias_Registro[[#This Row],[Mínimo]]+((Categorias_Registro[[#This Row],[Máximo]]-Categorias_Registro[[#This Row],[Mínimo]])/2),0)</f>
        <v>1007</v>
      </c>
      <c r="G1568" s="78">
        <f>VLOOKUP(Categorias_Registro[[#This Row],[Puntos]],Categorias_Configuracion[],MATCH(Categorias_Configuracion[[#Headers],[% Amplitud]],Categorias_Configuracion[#Headers],0),TRUE)</f>
        <v>0.15</v>
      </c>
      <c r="H1568" s="15" t="str">
        <f ca="1">TEXT(Categorias_Registro[[#This Row],[Mínimo]],Formato_Rango_Categorias)&amp;" - "&amp;TEXT(Categorias_Registro[[#This Row],[Máximo]],Formato_Rango_Categorias)</f>
        <v>937 - 1.076</v>
      </c>
    </row>
    <row r="1569" spans="2:8">
      <c r="B1569" s="15">
        <f>Techo - ROW() + ROW(Categorias_Registro[])</f>
        <v>1060</v>
      </c>
      <c r="C1569" s="15">
        <f>IF(Categorias_Registro[[#This Row],[Puntos]]&lt;=ROUND(Piso,0),Piso,IF(Categorias_Registro[[#This Row],[Puntos]]&lt;D1570,C1570,D1570+1))</f>
        <v>937</v>
      </c>
      <c r="D1569" s="15">
        <f>IF(Categorias_Registro[[#This Row],[Puntos]]=ROUND(Piso,0),ROUND(Categorias_Registro[[#This Row],[Puntos]]*(1+Categorias_Registro[[#This Row],[Amplitud]]),0),IF(Categorias_Registro[[#This Row],[Puntos]]&lt;D1570,D1570,ROUND(D1570*(1+Categorias_Registro[[#This Row],[Amplitud]]),0)))</f>
        <v>1076</v>
      </c>
      <c r="E1569" s="15">
        <f>E1570+IF(D1570=Categorias_Registro[[#This Row],[Máximo]],0,1)</f>
        <v>18</v>
      </c>
      <c r="F1569" s="15">
        <f>ROUND(Categorias_Registro[[#This Row],[Mínimo]]+((Categorias_Registro[[#This Row],[Máximo]]-Categorias_Registro[[#This Row],[Mínimo]])/2),0)</f>
        <v>1007</v>
      </c>
      <c r="G1569" s="78">
        <f>VLOOKUP(Categorias_Registro[[#This Row],[Puntos]],Categorias_Configuracion[],MATCH(Categorias_Configuracion[[#Headers],[% Amplitud]],Categorias_Configuracion[#Headers],0),TRUE)</f>
        <v>0.15</v>
      </c>
      <c r="H1569" s="15" t="str">
        <f ca="1">TEXT(Categorias_Registro[[#This Row],[Mínimo]],Formato_Rango_Categorias)&amp;" - "&amp;TEXT(Categorias_Registro[[#This Row],[Máximo]],Formato_Rango_Categorias)</f>
        <v>937 - 1.076</v>
      </c>
    </row>
    <row r="1570" spans="2:8">
      <c r="B1570" s="15">
        <f>Techo - ROW() + ROW(Categorias_Registro[])</f>
        <v>1059</v>
      </c>
      <c r="C1570" s="15">
        <f>IF(Categorias_Registro[[#This Row],[Puntos]]&lt;=ROUND(Piso,0),Piso,IF(Categorias_Registro[[#This Row],[Puntos]]&lt;D1571,C1571,D1571+1))</f>
        <v>937</v>
      </c>
      <c r="D1570" s="15">
        <f>IF(Categorias_Registro[[#This Row],[Puntos]]=ROUND(Piso,0),ROUND(Categorias_Registro[[#This Row],[Puntos]]*(1+Categorias_Registro[[#This Row],[Amplitud]]),0),IF(Categorias_Registro[[#This Row],[Puntos]]&lt;D1571,D1571,ROUND(D1571*(1+Categorias_Registro[[#This Row],[Amplitud]]),0)))</f>
        <v>1076</v>
      </c>
      <c r="E1570" s="15">
        <f>E1571+IF(D1571=Categorias_Registro[[#This Row],[Máximo]],0,1)</f>
        <v>18</v>
      </c>
      <c r="F1570" s="15">
        <f>ROUND(Categorias_Registro[[#This Row],[Mínimo]]+((Categorias_Registro[[#This Row],[Máximo]]-Categorias_Registro[[#This Row],[Mínimo]])/2),0)</f>
        <v>1007</v>
      </c>
      <c r="G1570" s="78">
        <f>VLOOKUP(Categorias_Registro[[#This Row],[Puntos]],Categorias_Configuracion[],MATCH(Categorias_Configuracion[[#Headers],[% Amplitud]],Categorias_Configuracion[#Headers],0),TRUE)</f>
        <v>0.15</v>
      </c>
      <c r="H1570" s="15" t="str">
        <f ca="1">TEXT(Categorias_Registro[[#This Row],[Mínimo]],Formato_Rango_Categorias)&amp;" - "&amp;TEXT(Categorias_Registro[[#This Row],[Máximo]],Formato_Rango_Categorias)</f>
        <v>937 - 1.076</v>
      </c>
    </row>
    <row r="1571" spans="2:8">
      <c r="B1571" s="15">
        <f>Techo - ROW() + ROW(Categorias_Registro[])</f>
        <v>1058</v>
      </c>
      <c r="C1571" s="15">
        <f>IF(Categorias_Registro[[#This Row],[Puntos]]&lt;=ROUND(Piso,0),Piso,IF(Categorias_Registro[[#This Row],[Puntos]]&lt;D1572,C1572,D1572+1))</f>
        <v>937</v>
      </c>
      <c r="D1571" s="15">
        <f>IF(Categorias_Registro[[#This Row],[Puntos]]=ROUND(Piso,0),ROUND(Categorias_Registro[[#This Row],[Puntos]]*(1+Categorias_Registro[[#This Row],[Amplitud]]),0),IF(Categorias_Registro[[#This Row],[Puntos]]&lt;D1572,D1572,ROUND(D1572*(1+Categorias_Registro[[#This Row],[Amplitud]]),0)))</f>
        <v>1076</v>
      </c>
      <c r="E1571" s="15">
        <f>E1572+IF(D1572=Categorias_Registro[[#This Row],[Máximo]],0,1)</f>
        <v>18</v>
      </c>
      <c r="F1571" s="15">
        <f>ROUND(Categorias_Registro[[#This Row],[Mínimo]]+((Categorias_Registro[[#This Row],[Máximo]]-Categorias_Registro[[#This Row],[Mínimo]])/2),0)</f>
        <v>1007</v>
      </c>
      <c r="G1571" s="78">
        <f>VLOOKUP(Categorias_Registro[[#This Row],[Puntos]],Categorias_Configuracion[],MATCH(Categorias_Configuracion[[#Headers],[% Amplitud]],Categorias_Configuracion[#Headers],0),TRUE)</f>
        <v>0.15</v>
      </c>
      <c r="H1571" s="15" t="str">
        <f ca="1">TEXT(Categorias_Registro[[#This Row],[Mínimo]],Formato_Rango_Categorias)&amp;" - "&amp;TEXT(Categorias_Registro[[#This Row],[Máximo]],Formato_Rango_Categorias)</f>
        <v>937 - 1.076</v>
      </c>
    </row>
    <row r="1572" spans="2:8">
      <c r="B1572" s="15">
        <f>Techo - ROW() + ROW(Categorias_Registro[])</f>
        <v>1057</v>
      </c>
      <c r="C1572" s="15">
        <f>IF(Categorias_Registro[[#This Row],[Puntos]]&lt;=ROUND(Piso,0),Piso,IF(Categorias_Registro[[#This Row],[Puntos]]&lt;D1573,C1573,D1573+1))</f>
        <v>937</v>
      </c>
      <c r="D1572" s="15">
        <f>IF(Categorias_Registro[[#This Row],[Puntos]]=ROUND(Piso,0),ROUND(Categorias_Registro[[#This Row],[Puntos]]*(1+Categorias_Registro[[#This Row],[Amplitud]]),0),IF(Categorias_Registro[[#This Row],[Puntos]]&lt;D1573,D1573,ROUND(D1573*(1+Categorias_Registro[[#This Row],[Amplitud]]),0)))</f>
        <v>1076</v>
      </c>
      <c r="E1572" s="15">
        <f>E1573+IF(D1573=Categorias_Registro[[#This Row],[Máximo]],0,1)</f>
        <v>18</v>
      </c>
      <c r="F1572" s="15">
        <f>ROUND(Categorias_Registro[[#This Row],[Mínimo]]+((Categorias_Registro[[#This Row],[Máximo]]-Categorias_Registro[[#This Row],[Mínimo]])/2),0)</f>
        <v>1007</v>
      </c>
      <c r="G1572" s="78">
        <f>VLOOKUP(Categorias_Registro[[#This Row],[Puntos]],Categorias_Configuracion[],MATCH(Categorias_Configuracion[[#Headers],[% Amplitud]],Categorias_Configuracion[#Headers],0),TRUE)</f>
        <v>0.15</v>
      </c>
      <c r="H1572" s="15" t="str">
        <f ca="1">TEXT(Categorias_Registro[[#This Row],[Mínimo]],Formato_Rango_Categorias)&amp;" - "&amp;TEXT(Categorias_Registro[[#This Row],[Máximo]],Formato_Rango_Categorias)</f>
        <v>937 - 1.076</v>
      </c>
    </row>
    <row r="1573" spans="2:8">
      <c r="B1573" s="15">
        <f>Techo - ROW() + ROW(Categorias_Registro[])</f>
        <v>1056</v>
      </c>
      <c r="C1573" s="15">
        <f>IF(Categorias_Registro[[#This Row],[Puntos]]&lt;=ROUND(Piso,0),Piso,IF(Categorias_Registro[[#This Row],[Puntos]]&lt;D1574,C1574,D1574+1))</f>
        <v>937</v>
      </c>
      <c r="D1573" s="15">
        <f>IF(Categorias_Registro[[#This Row],[Puntos]]=ROUND(Piso,0),ROUND(Categorias_Registro[[#This Row],[Puntos]]*(1+Categorias_Registro[[#This Row],[Amplitud]]),0),IF(Categorias_Registro[[#This Row],[Puntos]]&lt;D1574,D1574,ROUND(D1574*(1+Categorias_Registro[[#This Row],[Amplitud]]),0)))</f>
        <v>1076</v>
      </c>
      <c r="E1573" s="15">
        <f>E1574+IF(D1574=Categorias_Registro[[#This Row],[Máximo]],0,1)</f>
        <v>18</v>
      </c>
      <c r="F1573" s="15">
        <f>ROUND(Categorias_Registro[[#This Row],[Mínimo]]+((Categorias_Registro[[#This Row],[Máximo]]-Categorias_Registro[[#This Row],[Mínimo]])/2),0)</f>
        <v>1007</v>
      </c>
      <c r="G1573" s="78">
        <f>VLOOKUP(Categorias_Registro[[#This Row],[Puntos]],Categorias_Configuracion[],MATCH(Categorias_Configuracion[[#Headers],[% Amplitud]],Categorias_Configuracion[#Headers],0),TRUE)</f>
        <v>0.15</v>
      </c>
      <c r="H1573" s="15" t="str">
        <f ca="1">TEXT(Categorias_Registro[[#This Row],[Mínimo]],Formato_Rango_Categorias)&amp;" - "&amp;TEXT(Categorias_Registro[[#This Row],[Máximo]],Formato_Rango_Categorias)</f>
        <v>937 - 1.076</v>
      </c>
    </row>
    <row r="1574" spans="2:8">
      <c r="B1574" s="15">
        <f>Techo - ROW() + ROW(Categorias_Registro[])</f>
        <v>1055</v>
      </c>
      <c r="C1574" s="15">
        <f>IF(Categorias_Registro[[#This Row],[Puntos]]&lt;=ROUND(Piso,0),Piso,IF(Categorias_Registro[[#This Row],[Puntos]]&lt;D1575,C1575,D1575+1))</f>
        <v>937</v>
      </c>
      <c r="D1574" s="15">
        <f>IF(Categorias_Registro[[#This Row],[Puntos]]=ROUND(Piso,0),ROUND(Categorias_Registro[[#This Row],[Puntos]]*(1+Categorias_Registro[[#This Row],[Amplitud]]),0),IF(Categorias_Registro[[#This Row],[Puntos]]&lt;D1575,D1575,ROUND(D1575*(1+Categorias_Registro[[#This Row],[Amplitud]]),0)))</f>
        <v>1076</v>
      </c>
      <c r="E1574" s="15">
        <f>E1575+IF(D1575=Categorias_Registro[[#This Row],[Máximo]],0,1)</f>
        <v>18</v>
      </c>
      <c r="F1574" s="15">
        <f>ROUND(Categorias_Registro[[#This Row],[Mínimo]]+((Categorias_Registro[[#This Row],[Máximo]]-Categorias_Registro[[#This Row],[Mínimo]])/2),0)</f>
        <v>1007</v>
      </c>
      <c r="G1574" s="78">
        <f>VLOOKUP(Categorias_Registro[[#This Row],[Puntos]],Categorias_Configuracion[],MATCH(Categorias_Configuracion[[#Headers],[% Amplitud]],Categorias_Configuracion[#Headers],0),TRUE)</f>
        <v>0.15</v>
      </c>
      <c r="H1574" s="15" t="str">
        <f ca="1">TEXT(Categorias_Registro[[#This Row],[Mínimo]],Formato_Rango_Categorias)&amp;" - "&amp;TEXT(Categorias_Registro[[#This Row],[Máximo]],Formato_Rango_Categorias)</f>
        <v>937 - 1.076</v>
      </c>
    </row>
    <row r="1575" spans="2:8">
      <c r="B1575" s="15">
        <f>Techo - ROW() + ROW(Categorias_Registro[])</f>
        <v>1054</v>
      </c>
      <c r="C1575" s="15">
        <f>IF(Categorias_Registro[[#This Row],[Puntos]]&lt;=ROUND(Piso,0),Piso,IF(Categorias_Registro[[#This Row],[Puntos]]&lt;D1576,C1576,D1576+1))</f>
        <v>937</v>
      </c>
      <c r="D1575" s="15">
        <f>IF(Categorias_Registro[[#This Row],[Puntos]]=ROUND(Piso,0),ROUND(Categorias_Registro[[#This Row],[Puntos]]*(1+Categorias_Registro[[#This Row],[Amplitud]]),0),IF(Categorias_Registro[[#This Row],[Puntos]]&lt;D1576,D1576,ROUND(D1576*(1+Categorias_Registro[[#This Row],[Amplitud]]),0)))</f>
        <v>1076</v>
      </c>
      <c r="E1575" s="15">
        <f>E1576+IF(D1576=Categorias_Registro[[#This Row],[Máximo]],0,1)</f>
        <v>18</v>
      </c>
      <c r="F1575" s="15">
        <f>ROUND(Categorias_Registro[[#This Row],[Mínimo]]+((Categorias_Registro[[#This Row],[Máximo]]-Categorias_Registro[[#This Row],[Mínimo]])/2),0)</f>
        <v>1007</v>
      </c>
      <c r="G1575" s="78">
        <f>VLOOKUP(Categorias_Registro[[#This Row],[Puntos]],Categorias_Configuracion[],MATCH(Categorias_Configuracion[[#Headers],[% Amplitud]],Categorias_Configuracion[#Headers],0),TRUE)</f>
        <v>0.15</v>
      </c>
      <c r="H1575" s="15" t="str">
        <f ca="1">TEXT(Categorias_Registro[[#This Row],[Mínimo]],Formato_Rango_Categorias)&amp;" - "&amp;TEXT(Categorias_Registro[[#This Row],[Máximo]],Formato_Rango_Categorias)</f>
        <v>937 - 1.076</v>
      </c>
    </row>
    <row r="1576" spans="2:8">
      <c r="B1576" s="15">
        <f>Techo - ROW() + ROW(Categorias_Registro[])</f>
        <v>1053</v>
      </c>
      <c r="C1576" s="15">
        <f>IF(Categorias_Registro[[#This Row],[Puntos]]&lt;=ROUND(Piso,0),Piso,IF(Categorias_Registro[[#This Row],[Puntos]]&lt;D1577,C1577,D1577+1))</f>
        <v>937</v>
      </c>
      <c r="D1576" s="15">
        <f>IF(Categorias_Registro[[#This Row],[Puntos]]=ROUND(Piso,0),ROUND(Categorias_Registro[[#This Row],[Puntos]]*(1+Categorias_Registro[[#This Row],[Amplitud]]),0),IF(Categorias_Registro[[#This Row],[Puntos]]&lt;D1577,D1577,ROUND(D1577*(1+Categorias_Registro[[#This Row],[Amplitud]]),0)))</f>
        <v>1076</v>
      </c>
      <c r="E1576" s="15">
        <f>E1577+IF(D1577=Categorias_Registro[[#This Row],[Máximo]],0,1)</f>
        <v>18</v>
      </c>
      <c r="F1576" s="15">
        <f>ROUND(Categorias_Registro[[#This Row],[Mínimo]]+((Categorias_Registro[[#This Row],[Máximo]]-Categorias_Registro[[#This Row],[Mínimo]])/2),0)</f>
        <v>1007</v>
      </c>
      <c r="G1576" s="78">
        <f>VLOOKUP(Categorias_Registro[[#This Row],[Puntos]],Categorias_Configuracion[],MATCH(Categorias_Configuracion[[#Headers],[% Amplitud]],Categorias_Configuracion[#Headers],0),TRUE)</f>
        <v>0.15</v>
      </c>
      <c r="H1576" s="15" t="str">
        <f ca="1">TEXT(Categorias_Registro[[#This Row],[Mínimo]],Formato_Rango_Categorias)&amp;" - "&amp;TEXT(Categorias_Registro[[#This Row],[Máximo]],Formato_Rango_Categorias)</f>
        <v>937 - 1.076</v>
      </c>
    </row>
    <row r="1577" spans="2:8">
      <c r="B1577" s="15">
        <f>Techo - ROW() + ROW(Categorias_Registro[])</f>
        <v>1052</v>
      </c>
      <c r="C1577" s="15">
        <f>IF(Categorias_Registro[[#This Row],[Puntos]]&lt;=ROUND(Piso,0),Piso,IF(Categorias_Registro[[#This Row],[Puntos]]&lt;D1578,C1578,D1578+1))</f>
        <v>937</v>
      </c>
      <c r="D1577" s="15">
        <f>IF(Categorias_Registro[[#This Row],[Puntos]]=ROUND(Piso,0),ROUND(Categorias_Registro[[#This Row],[Puntos]]*(1+Categorias_Registro[[#This Row],[Amplitud]]),0),IF(Categorias_Registro[[#This Row],[Puntos]]&lt;D1578,D1578,ROUND(D1578*(1+Categorias_Registro[[#This Row],[Amplitud]]),0)))</f>
        <v>1076</v>
      </c>
      <c r="E1577" s="15">
        <f>E1578+IF(D1578=Categorias_Registro[[#This Row],[Máximo]],0,1)</f>
        <v>18</v>
      </c>
      <c r="F1577" s="15">
        <f>ROUND(Categorias_Registro[[#This Row],[Mínimo]]+((Categorias_Registro[[#This Row],[Máximo]]-Categorias_Registro[[#This Row],[Mínimo]])/2),0)</f>
        <v>1007</v>
      </c>
      <c r="G1577" s="78">
        <f>VLOOKUP(Categorias_Registro[[#This Row],[Puntos]],Categorias_Configuracion[],MATCH(Categorias_Configuracion[[#Headers],[% Amplitud]],Categorias_Configuracion[#Headers],0),TRUE)</f>
        <v>0.15</v>
      </c>
      <c r="H1577" s="15" t="str">
        <f ca="1">TEXT(Categorias_Registro[[#This Row],[Mínimo]],Formato_Rango_Categorias)&amp;" - "&amp;TEXT(Categorias_Registro[[#This Row],[Máximo]],Formato_Rango_Categorias)</f>
        <v>937 - 1.076</v>
      </c>
    </row>
    <row r="1578" spans="2:8">
      <c r="B1578" s="15">
        <f>Techo - ROW() + ROW(Categorias_Registro[])</f>
        <v>1051</v>
      </c>
      <c r="C1578" s="15">
        <f>IF(Categorias_Registro[[#This Row],[Puntos]]&lt;=ROUND(Piso,0),Piso,IF(Categorias_Registro[[#This Row],[Puntos]]&lt;D1579,C1579,D1579+1))</f>
        <v>937</v>
      </c>
      <c r="D1578" s="15">
        <f>IF(Categorias_Registro[[#This Row],[Puntos]]=ROUND(Piso,0),ROUND(Categorias_Registro[[#This Row],[Puntos]]*(1+Categorias_Registro[[#This Row],[Amplitud]]),0),IF(Categorias_Registro[[#This Row],[Puntos]]&lt;D1579,D1579,ROUND(D1579*(1+Categorias_Registro[[#This Row],[Amplitud]]),0)))</f>
        <v>1076</v>
      </c>
      <c r="E1578" s="15">
        <f>E1579+IF(D1579=Categorias_Registro[[#This Row],[Máximo]],0,1)</f>
        <v>18</v>
      </c>
      <c r="F1578" s="15">
        <f>ROUND(Categorias_Registro[[#This Row],[Mínimo]]+((Categorias_Registro[[#This Row],[Máximo]]-Categorias_Registro[[#This Row],[Mínimo]])/2),0)</f>
        <v>1007</v>
      </c>
      <c r="G1578" s="78">
        <f>VLOOKUP(Categorias_Registro[[#This Row],[Puntos]],Categorias_Configuracion[],MATCH(Categorias_Configuracion[[#Headers],[% Amplitud]],Categorias_Configuracion[#Headers],0),TRUE)</f>
        <v>0.15</v>
      </c>
      <c r="H1578" s="15" t="str">
        <f ca="1">TEXT(Categorias_Registro[[#This Row],[Mínimo]],Formato_Rango_Categorias)&amp;" - "&amp;TEXT(Categorias_Registro[[#This Row],[Máximo]],Formato_Rango_Categorias)</f>
        <v>937 - 1.076</v>
      </c>
    </row>
    <row r="1579" spans="2:8">
      <c r="B1579" s="15">
        <f>Techo - ROW() + ROW(Categorias_Registro[])</f>
        <v>1050</v>
      </c>
      <c r="C1579" s="15">
        <f>IF(Categorias_Registro[[#This Row],[Puntos]]&lt;=ROUND(Piso,0),Piso,IF(Categorias_Registro[[#This Row],[Puntos]]&lt;D1580,C1580,D1580+1))</f>
        <v>937</v>
      </c>
      <c r="D1579" s="15">
        <f>IF(Categorias_Registro[[#This Row],[Puntos]]=ROUND(Piso,0),ROUND(Categorias_Registro[[#This Row],[Puntos]]*(1+Categorias_Registro[[#This Row],[Amplitud]]),0),IF(Categorias_Registro[[#This Row],[Puntos]]&lt;D1580,D1580,ROUND(D1580*(1+Categorias_Registro[[#This Row],[Amplitud]]),0)))</f>
        <v>1076</v>
      </c>
      <c r="E1579" s="15">
        <f>E1580+IF(D1580=Categorias_Registro[[#This Row],[Máximo]],0,1)</f>
        <v>18</v>
      </c>
      <c r="F1579" s="15">
        <f>ROUND(Categorias_Registro[[#This Row],[Mínimo]]+((Categorias_Registro[[#This Row],[Máximo]]-Categorias_Registro[[#This Row],[Mínimo]])/2),0)</f>
        <v>1007</v>
      </c>
      <c r="G1579" s="78">
        <f>VLOOKUP(Categorias_Registro[[#This Row],[Puntos]],Categorias_Configuracion[],MATCH(Categorias_Configuracion[[#Headers],[% Amplitud]],Categorias_Configuracion[#Headers],0),TRUE)</f>
        <v>0.15</v>
      </c>
      <c r="H1579" s="15" t="str">
        <f ca="1">TEXT(Categorias_Registro[[#This Row],[Mínimo]],Formato_Rango_Categorias)&amp;" - "&amp;TEXT(Categorias_Registro[[#This Row],[Máximo]],Formato_Rango_Categorias)</f>
        <v>937 - 1.076</v>
      </c>
    </row>
    <row r="1580" spans="2:8">
      <c r="B1580" s="15">
        <f>Techo - ROW() + ROW(Categorias_Registro[])</f>
        <v>1049</v>
      </c>
      <c r="C1580" s="15">
        <f>IF(Categorias_Registro[[#This Row],[Puntos]]&lt;=ROUND(Piso,0),Piso,IF(Categorias_Registro[[#This Row],[Puntos]]&lt;D1581,C1581,D1581+1))</f>
        <v>937</v>
      </c>
      <c r="D1580" s="15">
        <f>IF(Categorias_Registro[[#This Row],[Puntos]]=ROUND(Piso,0),ROUND(Categorias_Registro[[#This Row],[Puntos]]*(1+Categorias_Registro[[#This Row],[Amplitud]]),0),IF(Categorias_Registro[[#This Row],[Puntos]]&lt;D1581,D1581,ROUND(D1581*(1+Categorias_Registro[[#This Row],[Amplitud]]),0)))</f>
        <v>1076</v>
      </c>
      <c r="E1580" s="15">
        <f>E1581+IF(D1581=Categorias_Registro[[#This Row],[Máximo]],0,1)</f>
        <v>18</v>
      </c>
      <c r="F1580" s="15">
        <f>ROUND(Categorias_Registro[[#This Row],[Mínimo]]+((Categorias_Registro[[#This Row],[Máximo]]-Categorias_Registro[[#This Row],[Mínimo]])/2),0)</f>
        <v>1007</v>
      </c>
      <c r="G1580" s="78">
        <f>VLOOKUP(Categorias_Registro[[#This Row],[Puntos]],Categorias_Configuracion[],MATCH(Categorias_Configuracion[[#Headers],[% Amplitud]],Categorias_Configuracion[#Headers],0),TRUE)</f>
        <v>0.15</v>
      </c>
      <c r="H1580" s="15" t="str">
        <f ca="1">TEXT(Categorias_Registro[[#This Row],[Mínimo]],Formato_Rango_Categorias)&amp;" - "&amp;TEXT(Categorias_Registro[[#This Row],[Máximo]],Formato_Rango_Categorias)</f>
        <v>937 - 1.076</v>
      </c>
    </row>
    <row r="1581" spans="2:8">
      <c r="B1581" s="15">
        <f>Techo - ROW() + ROW(Categorias_Registro[])</f>
        <v>1048</v>
      </c>
      <c r="C1581" s="15">
        <f>IF(Categorias_Registro[[#This Row],[Puntos]]&lt;=ROUND(Piso,0),Piso,IF(Categorias_Registro[[#This Row],[Puntos]]&lt;D1582,C1582,D1582+1))</f>
        <v>937</v>
      </c>
      <c r="D1581" s="15">
        <f>IF(Categorias_Registro[[#This Row],[Puntos]]=ROUND(Piso,0),ROUND(Categorias_Registro[[#This Row],[Puntos]]*(1+Categorias_Registro[[#This Row],[Amplitud]]),0),IF(Categorias_Registro[[#This Row],[Puntos]]&lt;D1582,D1582,ROUND(D1582*(1+Categorias_Registro[[#This Row],[Amplitud]]),0)))</f>
        <v>1076</v>
      </c>
      <c r="E1581" s="15">
        <f>E1582+IF(D1582=Categorias_Registro[[#This Row],[Máximo]],0,1)</f>
        <v>18</v>
      </c>
      <c r="F1581" s="15">
        <f>ROUND(Categorias_Registro[[#This Row],[Mínimo]]+((Categorias_Registro[[#This Row],[Máximo]]-Categorias_Registro[[#This Row],[Mínimo]])/2),0)</f>
        <v>1007</v>
      </c>
      <c r="G1581" s="78">
        <f>VLOOKUP(Categorias_Registro[[#This Row],[Puntos]],Categorias_Configuracion[],MATCH(Categorias_Configuracion[[#Headers],[% Amplitud]],Categorias_Configuracion[#Headers],0),TRUE)</f>
        <v>0.15</v>
      </c>
      <c r="H1581" s="15" t="str">
        <f ca="1">TEXT(Categorias_Registro[[#This Row],[Mínimo]],Formato_Rango_Categorias)&amp;" - "&amp;TEXT(Categorias_Registro[[#This Row],[Máximo]],Formato_Rango_Categorias)</f>
        <v>937 - 1.076</v>
      </c>
    </row>
    <row r="1582" spans="2:8">
      <c r="B1582" s="15">
        <f>Techo - ROW() + ROW(Categorias_Registro[])</f>
        <v>1047</v>
      </c>
      <c r="C1582" s="15">
        <f>IF(Categorias_Registro[[#This Row],[Puntos]]&lt;=ROUND(Piso,0),Piso,IF(Categorias_Registro[[#This Row],[Puntos]]&lt;D1583,C1583,D1583+1))</f>
        <v>937</v>
      </c>
      <c r="D1582" s="15">
        <f>IF(Categorias_Registro[[#This Row],[Puntos]]=ROUND(Piso,0),ROUND(Categorias_Registro[[#This Row],[Puntos]]*(1+Categorias_Registro[[#This Row],[Amplitud]]),0),IF(Categorias_Registro[[#This Row],[Puntos]]&lt;D1583,D1583,ROUND(D1583*(1+Categorias_Registro[[#This Row],[Amplitud]]),0)))</f>
        <v>1076</v>
      </c>
      <c r="E1582" s="15">
        <f>E1583+IF(D1583=Categorias_Registro[[#This Row],[Máximo]],0,1)</f>
        <v>18</v>
      </c>
      <c r="F1582" s="15">
        <f>ROUND(Categorias_Registro[[#This Row],[Mínimo]]+((Categorias_Registro[[#This Row],[Máximo]]-Categorias_Registro[[#This Row],[Mínimo]])/2),0)</f>
        <v>1007</v>
      </c>
      <c r="G1582" s="78">
        <f>VLOOKUP(Categorias_Registro[[#This Row],[Puntos]],Categorias_Configuracion[],MATCH(Categorias_Configuracion[[#Headers],[% Amplitud]],Categorias_Configuracion[#Headers],0),TRUE)</f>
        <v>0.15</v>
      </c>
      <c r="H1582" s="15" t="str">
        <f ca="1">TEXT(Categorias_Registro[[#This Row],[Mínimo]],Formato_Rango_Categorias)&amp;" - "&amp;TEXT(Categorias_Registro[[#This Row],[Máximo]],Formato_Rango_Categorias)</f>
        <v>937 - 1.076</v>
      </c>
    </row>
    <row r="1583" spans="2:8">
      <c r="B1583" s="15">
        <f>Techo - ROW() + ROW(Categorias_Registro[])</f>
        <v>1046</v>
      </c>
      <c r="C1583" s="15">
        <f>IF(Categorias_Registro[[#This Row],[Puntos]]&lt;=ROUND(Piso,0),Piso,IF(Categorias_Registro[[#This Row],[Puntos]]&lt;D1584,C1584,D1584+1))</f>
        <v>937</v>
      </c>
      <c r="D1583" s="15">
        <f>IF(Categorias_Registro[[#This Row],[Puntos]]=ROUND(Piso,0),ROUND(Categorias_Registro[[#This Row],[Puntos]]*(1+Categorias_Registro[[#This Row],[Amplitud]]),0),IF(Categorias_Registro[[#This Row],[Puntos]]&lt;D1584,D1584,ROUND(D1584*(1+Categorias_Registro[[#This Row],[Amplitud]]),0)))</f>
        <v>1076</v>
      </c>
      <c r="E1583" s="15">
        <f>E1584+IF(D1584=Categorias_Registro[[#This Row],[Máximo]],0,1)</f>
        <v>18</v>
      </c>
      <c r="F1583" s="15">
        <f>ROUND(Categorias_Registro[[#This Row],[Mínimo]]+((Categorias_Registro[[#This Row],[Máximo]]-Categorias_Registro[[#This Row],[Mínimo]])/2),0)</f>
        <v>1007</v>
      </c>
      <c r="G1583" s="78">
        <f>VLOOKUP(Categorias_Registro[[#This Row],[Puntos]],Categorias_Configuracion[],MATCH(Categorias_Configuracion[[#Headers],[% Amplitud]],Categorias_Configuracion[#Headers],0),TRUE)</f>
        <v>0.15</v>
      </c>
      <c r="H1583" s="15" t="str">
        <f ca="1">TEXT(Categorias_Registro[[#This Row],[Mínimo]],Formato_Rango_Categorias)&amp;" - "&amp;TEXT(Categorias_Registro[[#This Row],[Máximo]],Formato_Rango_Categorias)</f>
        <v>937 - 1.076</v>
      </c>
    </row>
    <row r="1584" spans="2:8">
      <c r="B1584" s="15">
        <f>Techo - ROW() + ROW(Categorias_Registro[])</f>
        <v>1045</v>
      </c>
      <c r="C1584" s="15">
        <f>IF(Categorias_Registro[[#This Row],[Puntos]]&lt;=ROUND(Piso,0),Piso,IF(Categorias_Registro[[#This Row],[Puntos]]&lt;D1585,C1585,D1585+1))</f>
        <v>937</v>
      </c>
      <c r="D1584" s="15">
        <f>IF(Categorias_Registro[[#This Row],[Puntos]]=ROUND(Piso,0),ROUND(Categorias_Registro[[#This Row],[Puntos]]*(1+Categorias_Registro[[#This Row],[Amplitud]]),0),IF(Categorias_Registro[[#This Row],[Puntos]]&lt;D1585,D1585,ROUND(D1585*(1+Categorias_Registro[[#This Row],[Amplitud]]),0)))</f>
        <v>1076</v>
      </c>
      <c r="E1584" s="15">
        <f>E1585+IF(D1585=Categorias_Registro[[#This Row],[Máximo]],0,1)</f>
        <v>18</v>
      </c>
      <c r="F1584" s="15">
        <f>ROUND(Categorias_Registro[[#This Row],[Mínimo]]+((Categorias_Registro[[#This Row],[Máximo]]-Categorias_Registro[[#This Row],[Mínimo]])/2),0)</f>
        <v>1007</v>
      </c>
      <c r="G1584" s="78">
        <f>VLOOKUP(Categorias_Registro[[#This Row],[Puntos]],Categorias_Configuracion[],MATCH(Categorias_Configuracion[[#Headers],[% Amplitud]],Categorias_Configuracion[#Headers],0),TRUE)</f>
        <v>0.15</v>
      </c>
      <c r="H1584" s="15" t="str">
        <f ca="1">TEXT(Categorias_Registro[[#This Row],[Mínimo]],Formato_Rango_Categorias)&amp;" - "&amp;TEXT(Categorias_Registro[[#This Row],[Máximo]],Formato_Rango_Categorias)</f>
        <v>937 - 1.076</v>
      </c>
    </row>
    <row r="1585" spans="2:8">
      <c r="B1585" s="15">
        <f>Techo - ROW() + ROW(Categorias_Registro[])</f>
        <v>1044</v>
      </c>
      <c r="C1585" s="15">
        <f>IF(Categorias_Registro[[#This Row],[Puntos]]&lt;=ROUND(Piso,0),Piso,IF(Categorias_Registro[[#This Row],[Puntos]]&lt;D1586,C1586,D1586+1))</f>
        <v>937</v>
      </c>
      <c r="D1585" s="15">
        <f>IF(Categorias_Registro[[#This Row],[Puntos]]=ROUND(Piso,0),ROUND(Categorias_Registro[[#This Row],[Puntos]]*(1+Categorias_Registro[[#This Row],[Amplitud]]),0),IF(Categorias_Registro[[#This Row],[Puntos]]&lt;D1586,D1586,ROUND(D1586*(1+Categorias_Registro[[#This Row],[Amplitud]]),0)))</f>
        <v>1076</v>
      </c>
      <c r="E1585" s="15">
        <f>E1586+IF(D1586=Categorias_Registro[[#This Row],[Máximo]],0,1)</f>
        <v>18</v>
      </c>
      <c r="F1585" s="15">
        <f>ROUND(Categorias_Registro[[#This Row],[Mínimo]]+((Categorias_Registro[[#This Row],[Máximo]]-Categorias_Registro[[#This Row],[Mínimo]])/2),0)</f>
        <v>1007</v>
      </c>
      <c r="G1585" s="78">
        <f>VLOOKUP(Categorias_Registro[[#This Row],[Puntos]],Categorias_Configuracion[],MATCH(Categorias_Configuracion[[#Headers],[% Amplitud]],Categorias_Configuracion[#Headers],0),TRUE)</f>
        <v>0.15</v>
      </c>
      <c r="H1585" s="15" t="str">
        <f ca="1">TEXT(Categorias_Registro[[#This Row],[Mínimo]],Formato_Rango_Categorias)&amp;" - "&amp;TEXT(Categorias_Registro[[#This Row],[Máximo]],Formato_Rango_Categorias)</f>
        <v>937 - 1.076</v>
      </c>
    </row>
    <row r="1586" spans="2:8">
      <c r="B1586" s="15">
        <f>Techo - ROW() + ROW(Categorias_Registro[])</f>
        <v>1043</v>
      </c>
      <c r="C1586" s="15">
        <f>IF(Categorias_Registro[[#This Row],[Puntos]]&lt;=ROUND(Piso,0),Piso,IF(Categorias_Registro[[#This Row],[Puntos]]&lt;D1587,C1587,D1587+1))</f>
        <v>937</v>
      </c>
      <c r="D1586" s="15">
        <f>IF(Categorias_Registro[[#This Row],[Puntos]]=ROUND(Piso,0),ROUND(Categorias_Registro[[#This Row],[Puntos]]*(1+Categorias_Registro[[#This Row],[Amplitud]]),0),IF(Categorias_Registro[[#This Row],[Puntos]]&lt;D1587,D1587,ROUND(D1587*(1+Categorias_Registro[[#This Row],[Amplitud]]),0)))</f>
        <v>1076</v>
      </c>
      <c r="E1586" s="15">
        <f>E1587+IF(D1587=Categorias_Registro[[#This Row],[Máximo]],0,1)</f>
        <v>18</v>
      </c>
      <c r="F1586" s="15">
        <f>ROUND(Categorias_Registro[[#This Row],[Mínimo]]+((Categorias_Registro[[#This Row],[Máximo]]-Categorias_Registro[[#This Row],[Mínimo]])/2),0)</f>
        <v>1007</v>
      </c>
      <c r="G1586" s="78">
        <f>VLOOKUP(Categorias_Registro[[#This Row],[Puntos]],Categorias_Configuracion[],MATCH(Categorias_Configuracion[[#Headers],[% Amplitud]],Categorias_Configuracion[#Headers],0),TRUE)</f>
        <v>0.15</v>
      </c>
      <c r="H1586" s="15" t="str">
        <f ca="1">TEXT(Categorias_Registro[[#This Row],[Mínimo]],Formato_Rango_Categorias)&amp;" - "&amp;TEXT(Categorias_Registro[[#This Row],[Máximo]],Formato_Rango_Categorias)</f>
        <v>937 - 1.076</v>
      </c>
    </row>
    <row r="1587" spans="2:8">
      <c r="B1587" s="15">
        <f>Techo - ROW() + ROW(Categorias_Registro[])</f>
        <v>1042</v>
      </c>
      <c r="C1587" s="15">
        <f>IF(Categorias_Registro[[#This Row],[Puntos]]&lt;=ROUND(Piso,0),Piso,IF(Categorias_Registro[[#This Row],[Puntos]]&lt;D1588,C1588,D1588+1))</f>
        <v>937</v>
      </c>
      <c r="D1587" s="15">
        <f>IF(Categorias_Registro[[#This Row],[Puntos]]=ROUND(Piso,0),ROUND(Categorias_Registro[[#This Row],[Puntos]]*(1+Categorias_Registro[[#This Row],[Amplitud]]),0),IF(Categorias_Registro[[#This Row],[Puntos]]&lt;D1588,D1588,ROUND(D1588*(1+Categorias_Registro[[#This Row],[Amplitud]]),0)))</f>
        <v>1076</v>
      </c>
      <c r="E1587" s="15">
        <f>E1588+IF(D1588=Categorias_Registro[[#This Row],[Máximo]],0,1)</f>
        <v>18</v>
      </c>
      <c r="F1587" s="15">
        <f>ROUND(Categorias_Registro[[#This Row],[Mínimo]]+((Categorias_Registro[[#This Row],[Máximo]]-Categorias_Registro[[#This Row],[Mínimo]])/2),0)</f>
        <v>1007</v>
      </c>
      <c r="G1587" s="78">
        <f>VLOOKUP(Categorias_Registro[[#This Row],[Puntos]],Categorias_Configuracion[],MATCH(Categorias_Configuracion[[#Headers],[% Amplitud]],Categorias_Configuracion[#Headers],0),TRUE)</f>
        <v>0.15</v>
      </c>
      <c r="H1587" s="15" t="str">
        <f ca="1">TEXT(Categorias_Registro[[#This Row],[Mínimo]],Formato_Rango_Categorias)&amp;" - "&amp;TEXT(Categorias_Registro[[#This Row],[Máximo]],Formato_Rango_Categorias)</f>
        <v>937 - 1.076</v>
      </c>
    </row>
    <row r="1588" spans="2:8">
      <c r="B1588" s="15">
        <f>Techo - ROW() + ROW(Categorias_Registro[])</f>
        <v>1041</v>
      </c>
      <c r="C1588" s="15">
        <f>IF(Categorias_Registro[[#This Row],[Puntos]]&lt;=ROUND(Piso,0),Piso,IF(Categorias_Registro[[#This Row],[Puntos]]&lt;D1589,C1589,D1589+1))</f>
        <v>937</v>
      </c>
      <c r="D1588" s="15">
        <f>IF(Categorias_Registro[[#This Row],[Puntos]]=ROUND(Piso,0),ROUND(Categorias_Registro[[#This Row],[Puntos]]*(1+Categorias_Registro[[#This Row],[Amplitud]]),0),IF(Categorias_Registro[[#This Row],[Puntos]]&lt;D1589,D1589,ROUND(D1589*(1+Categorias_Registro[[#This Row],[Amplitud]]),0)))</f>
        <v>1076</v>
      </c>
      <c r="E1588" s="15">
        <f>E1589+IF(D1589=Categorias_Registro[[#This Row],[Máximo]],0,1)</f>
        <v>18</v>
      </c>
      <c r="F1588" s="15">
        <f>ROUND(Categorias_Registro[[#This Row],[Mínimo]]+((Categorias_Registro[[#This Row],[Máximo]]-Categorias_Registro[[#This Row],[Mínimo]])/2),0)</f>
        <v>1007</v>
      </c>
      <c r="G1588" s="78">
        <f>VLOOKUP(Categorias_Registro[[#This Row],[Puntos]],Categorias_Configuracion[],MATCH(Categorias_Configuracion[[#Headers],[% Amplitud]],Categorias_Configuracion[#Headers],0),TRUE)</f>
        <v>0.15</v>
      </c>
      <c r="H1588" s="15" t="str">
        <f ca="1">TEXT(Categorias_Registro[[#This Row],[Mínimo]],Formato_Rango_Categorias)&amp;" - "&amp;TEXT(Categorias_Registro[[#This Row],[Máximo]],Formato_Rango_Categorias)</f>
        <v>937 - 1.076</v>
      </c>
    </row>
    <row r="1589" spans="2:8">
      <c r="B1589" s="15">
        <f>Techo - ROW() + ROW(Categorias_Registro[])</f>
        <v>1040</v>
      </c>
      <c r="C1589" s="15">
        <f>IF(Categorias_Registro[[#This Row],[Puntos]]&lt;=ROUND(Piso,0),Piso,IF(Categorias_Registro[[#This Row],[Puntos]]&lt;D1590,C1590,D1590+1))</f>
        <v>937</v>
      </c>
      <c r="D1589" s="15">
        <f>IF(Categorias_Registro[[#This Row],[Puntos]]=ROUND(Piso,0),ROUND(Categorias_Registro[[#This Row],[Puntos]]*(1+Categorias_Registro[[#This Row],[Amplitud]]),0),IF(Categorias_Registro[[#This Row],[Puntos]]&lt;D1590,D1590,ROUND(D1590*(1+Categorias_Registro[[#This Row],[Amplitud]]),0)))</f>
        <v>1076</v>
      </c>
      <c r="E1589" s="15">
        <f>E1590+IF(D1590=Categorias_Registro[[#This Row],[Máximo]],0,1)</f>
        <v>18</v>
      </c>
      <c r="F1589" s="15">
        <f>ROUND(Categorias_Registro[[#This Row],[Mínimo]]+((Categorias_Registro[[#This Row],[Máximo]]-Categorias_Registro[[#This Row],[Mínimo]])/2),0)</f>
        <v>1007</v>
      </c>
      <c r="G1589" s="78">
        <f>VLOOKUP(Categorias_Registro[[#This Row],[Puntos]],Categorias_Configuracion[],MATCH(Categorias_Configuracion[[#Headers],[% Amplitud]],Categorias_Configuracion[#Headers],0),TRUE)</f>
        <v>0.15</v>
      </c>
      <c r="H1589" s="15" t="str">
        <f ca="1">TEXT(Categorias_Registro[[#This Row],[Mínimo]],Formato_Rango_Categorias)&amp;" - "&amp;TEXT(Categorias_Registro[[#This Row],[Máximo]],Formato_Rango_Categorias)</f>
        <v>937 - 1.076</v>
      </c>
    </row>
    <row r="1590" spans="2:8">
      <c r="B1590" s="15">
        <f>Techo - ROW() + ROW(Categorias_Registro[])</f>
        <v>1039</v>
      </c>
      <c r="C1590" s="15">
        <f>IF(Categorias_Registro[[#This Row],[Puntos]]&lt;=ROUND(Piso,0),Piso,IF(Categorias_Registro[[#This Row],[Puntos]]&lt;D1591,C1591,D1591+1))</f>
        <v>937</v>
      </c>
      <c r="D1590" s="15">
        <f>IF(Categorias_Registro[[#This Row],[Puntos]]=ROUND(Piso,0),ROUND(Categorias_Registro[[#This Row],[Puntos]]*(1+Categorias_Registro[[#This Row],[Amplitud]]),0),IF(Categorias_Registro[[#This Row],[Puntos]]&lt;D1591,D1591,ROUND(D1591*(1+Categorias_Registro[[#This Row],[Amplitud]]),0)))</f>
        <v>1076</v>
      </c>
      <c r="E1590" s="15">
        <f>E1591+IF(D1591=Categorias_Registro[[#This Row],[Máximo]],0,1)</f>
        <v>18</v>
      </c>
      <c r="F1590" s="15">
        <f>ROUND(Categorias_Registro[[#This Row],[Mínimo]]+((Categorias_Registro[[#This Row],[Máximo]]-Categorias_Registro[[#This Row],[Mínimo]])/2),0)</f>
        <v>1007</v>
      </c>
      <c r="G1590" s="78">
        <f>VLOOKUP(Categorias_Registro[[#This Row],[Puntos]],Categorias_Configuracion[],MATCH(Categorias_Configuracion[[#Headers],[% Amplitud]],Categorias_Configuracion[#Headers],0),TRUE)</f>
        <v>0.15</v>
      </c>
      <c r="H1590" s="15" t="str">
        <f ca="1">TEXT(Categorias_Registro[[#This Row],[Mínimo]],Formato_Rango_Categorias)&amp;" - "&amp;TEXT(Categorias_Registro[[#This Row],[Máximo]],Formato_Rango_Categorias)</f>
        <v>937 - 1.076</v>
      </c>
    </row>
    <row r="1591" spans="2:8">
      <c r="B1591" s="15">
        <f>Techo - ROW() + ROW(Categorias_Registro[])</f>
        <v>1038</v>
      </c>
      <c r="C1591" s="15">
        <f>IF(Categorias_Registro[[#This Row],[Puntos]]&lt;=ROUND(Piso,0),Piso,IF(Categorias_Registro[[#This Row],[Puntos]]&lt;D1592,C1592,D1592+1))</f>
        <v>937</v>
      </c>
      <c r="D1591" s="15">
        <f>IF(Categorias_Registro[[#This Row],[Puntos]]=ROUND(Piso,0),ROUND(Categorias_Registro[[#This Row],[Puntos]]*(1+Categorias_Registro[[#This Row],[Amplitud]]),0),IF(Categorias_Registro[[#This Row],[Puntos]]&lt;D1592,D1592,ROUND(D1592*(1+Categorias_Registro[[#This Row],[Amplitud]]),0)))</f>
        <v>1076</v>
      </c>
      <c r="E1591" s="15">
        <f>E1592+IF(D1592=Categorias_Registro[[#This Row],[Máximo]],0,1)</f>
        <v>18</v>
      </c>
      <c r="F1591" s="15">
        <f>ROUND(Categorias_Registro[[#This Row],[Mínimo]]+((Categorias_Registro[[#This Row],[Máximo]]-Categorias_Registro[[#This Row],[Mínimo]])/2),0)</f>
        <v>1007</v>
      </c>
      <c r="G1591" s="78">
        <f>VLOOKUP(Categorias_Registro[[#This Row],[Puntos]],Categorias_Configuracion[],MATCH(Categorias_Configuracion[[#Headers],[% Amplitud]],Categorias_Configuracion[#Headers],0),TRUE)</f>
        <v>0.15</v>
      </c>
      <c r="H1591" s="15" t="str">
        <f ca="1">TEXT(Categorias_Registro[[#This Row],[Mínimo]],Formato_Rango_Categorias)&amp;" - "&amp;TEXT(Categorias_Registro[[#This Row],[Máximo]],Formato_Rango_Categorias)</f>
        <v>937 - 1.076</v>
      </c>
    </row>
    <row r="1592" spans="2:8">
      <c r="B1592" s="15">
        <f>Techo - ROW() + ROW(Categorias_Registro[])</f>
        <v>1037</v>
      </c>
      <c r="C1592" s="15">
        <f>IF(Categorias_Registro[[#This Row],[Puntos]]&lt;=ROUND(Piso,0),Piso,IF(Categorias_Registro[[#This Row],[Puntos]]&lt;D1593,C1593,D1593+1))</f>
        <v>937</v>
      </c>
      <c r="D1592" s="15">
        <f>IF(Categorias_Registro[[#This Row],[Puntos]]=ROUND(Piso,0),ROUND(Categorias_Registro[[#This Row],[Puntos]]*(1+Categorias_Registro[[#This Row],[Amplitud]]),0),IF(Categorias_Registro[[#This Row],[Puntos]]&lt;D1593,D1593,ROUND(D1593*(1+Categorias_Registro[[#This Row],[Amplitud]]),0)))</f>
        <v>1076</v>
      </c>
      <c r="E1592" s="15">
        <f>E1593+IF(D1593=Categorias_Registro[[#This Row],[Máximo]],0,1)</f>
        <v>18</v>
      </c>
      <c r="F1592" s="15">
        <f>ROUND(Categorias_Registro[[#This Row],[Mínimo]]+((Categorias_Registro[[#This Row],[Máximo]]-Categorias_Registro[[#This Row],[Mínimo]])/2),0)</f>
        <v>1007</v>
      </c>
      <c r="G1592" s="78">
        <f>VLOOKUP(Categorias_Registro[[#This Row],[Puntos]],Categorias_Configuracion[],MATCH(Categorias_Configuracion[[#Headers],[% Amplitud]],Categorias_Configuracion[#Headers],0),TRUE)</f>
        <v>0.15</v>
      </c>
      <c r="H1592" s="15" t="str">
        <f ca="1">TEXT(Categorias_Registro[[#This Row],[Mínimo]],Formato_Rango_Categorias)&amp;" - "&amp;TEXT(Categorias_Registro[[#This Row],[Máximo]],Formato_Rango_Categorias)</f>
        <v>937 - 1.076</v>
      </c>
    </row>
    <row r="1593" spans="2:8">
      <c r="B1593" s="15">
        <f>Techo - ROW() + ROW(Categorias_Registro[])</f>
        <v>1036</v>
      </c>
      <c r="C1593" s="15">
        <f>IF(Categorias_Registro[[#This Row],[Puntos]]&lt;=ROUND(Piso,0),Piso,IF(Categorias_Registro[[#This Row],[Puntos]]&lt;D1594,C1594,D1594+1))</f>
        <v>937</v>
      </c>
      <c r="D1593" s="15">
        <f>IF(Categorias_Registro[[#This Row],[Puntos]]=ROUND(Piso,0),ROUND(Categorias_Registro[[#This Row],[Puntos]]*(1+Categorias_Registro[[#This Row],[Amplitud]]),0),IF(Categorias_Registro[[#This Row],[Puntos]]&lt;D1594,D1594,ROUND(D1594*(1+Categorias_Registro[[#This Row],[Amplitud]]),0)))</f>
        <v>1076</v>
      </c>
      <c r="E1593" s="15">
        <f>E1594+IF(D1594=Categorias_Registro[[#This Row],[Máximo]],0,1)</f>
        <v>18</v>
      </c>
      <c r="F1593" s="15">
        <f>ROUND(Categorias_Registro[[#This Row],[Mínimo]]+((Categorias_Registro[[#This Row],[Máximo]]-Categorias_Registro[[#This Row],[Mínimo]])/2),0)</f>
        <v>1007</v>
      </c>
      <c r="G1593" s="78">
        <f>VLOOKUP(Categorias_Registro[[#This Row],[Puntos]],Categorias_Configuracion[],MATCH(Categorias_Configuracion[[#Headers],[% Amplitud]],Categorias_Configuracion[#Headers],0),TRUE)</f>
        <v>0.15</v>
      </c>
      <c r="H1593" s="15" t="str">
        <f ca="1">TEXT(Categorias_Registro[[#This Row],[Mínimo]],Formato_Rango_Categorias)&amp;" - "&amp;TEXT(Categorias_Registro[[#This Row],[Máximo]],Formato_Rango_Categorias)</f>
        <v>937 - 1.076</v>
      </c>
    </row>
    <row r="1594" spans="2:8">
      <c r="B1594" s="15">
        <f>Techo - ROW() + ROW(Categorias_Registro[])</f>
        <v>1035</v>
      </c>
      <c r="C1594" s="15">
        <f>IF(Categorias_Registro[[#This Row],[Puntos]]&lt;=ROUND(Piso,0),Piso,IF(Categorias_Registro[[#This Row],[Puntos]]&lt;D1595,C1595,D1595+1))</f>
        <v>937</v>
      </c>
      <c r="D1594" s="15">
        <f>IF(Categorias_Registro[[#This Row],[Puntos]]=ROUND(Piso,0),ROUND(Categorias_Registro[[#This Row],[Puntos]]*(1+Categorias_Registro[[#This Row],[Amplitud]]),0),IF(Categorias_Registro[[#This Row],[Puntos]]&lt;D1595,D1595,ROUND(D1595*(1+Categorias_Registro[[#This Row],[Amplitud]]),0)))</f>
        <v>1076</v>
      </c>
      <c r="E1594" s="15">
        <f>E1595+IF(D1595=Categorias_Registro[[#This Row],[Máximo]],0,1)</f>
        <v>18</v>
      </c>
      <c r="F1594" s="15">
        <f>ROUND(Categorias_Registro[[#This Row],[Mínimo]]+((Categorias_Registro[[#This Row],[Máximo]]-Categorias_Registro[[#This Row],[Mínimo]])/2),0)</f>
        <v>1007</v>
      </c>
      <c r="G1594" s="78">
        <f>VLOOKUP(Categorias_Registro[[#This Row],[Puntos]],Categorias_Configuracion[],MATCH(Categorias_Configuracion[[#Headers],[% Amplitud]],Categorias_Configuracion[#Headers],0),TRUE)</f>
        <v>0.15</v>
      </c>
      <c r="H1594" s="15" t="str">
        <f ca="1">TEXT(Categorias_Registro[[#This Row],[Mínimo]],Formato_Rango_Categorias)&amp;" - "&amp;TEXT(Categorias_Registro[[#This Row],[Máximo]],Formato_Rango_Categorias)</f>
        <v>937 - 1.076</v>
      </c>
    </row>
    <row r="1595" spans="2:8">
      <c r="B1595" s="15">
        <f>Techo - ROW() + ROW(Categorias_Registro[])</f>
        <v>1034</v>
      </c>
      <c r="C1595" s="15">
        <f>IF(Categorias_Registro[[#This Row],[Puntos]]&lt;=ROUND(Piso,0),Piso,IF(Categorias_Registro[[#This Row],[Puntos]]&lt;D1596,C1596,D1596+1))</f>
        <v>937</v>
      </c>
      <c r="D1595" s="15">
        <f>IF(Categorias_Registro[[#This Row],[Puntos]]=ROUND(Piso,0),ROUND(Categorias_Registro[[#This Row],[Puntos]]*(1+Categorias_Registro[[#This Row],[Amplitud]]),0),IF(Categorias_Registro[[#This Row],[Puntos]]&lt;D1596,D1596,ROUND(D1596*(1+Categorias_Registro[[#This Row],[Amplitud]]),0)))</f>
        <v>1076</v>
      </c>
      <c r="E1595" s="15">
        <f>E1596+IF(D1596=Categorias_Registro[[#This Row],[Máximo]],0,1)</f>
        <v>18</v>
      </c>
      <c r="F1595" s="15">
        <f>ROUND(Categorias_Registro[[#This Row],[Mínimo]]+((Categorias_Registro[[#This Row],[Máximo]]-Categorias_Registro[[#This Row],[Mínimo]])/2),0)</f>
        <v>1007</v>
      </c>
      <c r="G1595" s="78">
        <f>VLOOKUP(Categorias_Registro[[#This Row],[Puntos]],Categorias_Configuracion[],MATCH(Categorias_Configuracion[[#Headers],[% Amplitud]],Categorias_Configuracion[#Headers],0),TRUE)</f>
        <v>0.15</v>
      </c>
      <c r="H1595" s="15" t="str">
        <f ca="1">TEXT(Categorias_Registro[[#This Row],[Mínimo]],Formato_Rango_Categorias)&amp;" - "&amp;TEXT(Categorias_Registro[[#This Row],[Máximo]],Formato_Rango_Categorias)</f>
        <v>937 - 1.076</v>
      </c>
    </row>
    <row r="1596" spans="2:8">
      <c r="B1596" s="15">
        <f>Techo - ROW() + ROW(Categorias_Registro[])</f>
        <v>1033</v>
      </c>
      <c r="C1596" s="15">
        <f>IF(Categorias_Registro[[#This Row],[Puntos]]&lt;=ROUND(Piso,0),Piso,IF(Categorias_Registro[[#This Row],[Puntos]]&lt;D1597,C1597,D1597+1))</f>
        <v>937</v>
      </c>
      <c r="D1596" s="15">
        <f>IF(Categorias_Registro[[#This Row],[Puntos]]=ROUND(Piso,0),ROUND(Categorias_Registro[[#This Row],[Puntos]]*(1+Categorias_Registro[[#This Row],[Amplitud]]),0),IF(Categorias_Registro[[#This Row],[Puntos]]&lt;D1597,D1597,ROUND(D1597*(1+Categorias_Registro[[#This Row],[Amplitud]]),0)))</f>
        <v>1076</v>
      </c>
      <c r="E1596" s="15">
        <f>E1597+IF(D1597=Categorias_Registro[[#This Row],[Máximo]],0,1)</f>
        <v>18</v>
      </c>
      <c r="F1596" s="15">
        <f>ROUND(Categorias_Registro[[#This Row],[Mínimo]]+((Categorias_Registro[[#This Row],[Máximo]]-Categorias_Registro[[#This Row],[Mínimo]])/2),0)</f>
        <v>1007</v>
      </c>
      <c r="G1596" s="78">
        <f>VLOOKUP(Categorias_Registro[[#This Row],[Puntos]],Categorias_Configuracion[],MATCH(Categorias_Configuracion[[#Headers],[% Amplitud]],Categorias_Configuracion[#Headers],0),TRUE)</f>
        <v>0.15</v>
      </c>
      <c r="H1596" s="15" t="str">
        <f ca="1">TEXT(Categorias_Registro[[#This Row],[Mínimo]],Formato_Rango_Categorias)&amp;" - "&amp;TEXT(Categorias_Registro[[#This Row],[Máximo]],Formato_Rango_Categorias)</f>
        <v>937 - 1.076</v>
      </c>
    </row>
    <row r="1597" spans="2:8">
      <c r="B1597" s="15">
        <f>Techo - ROW() + ROW(Categorias_Registro[])</f>
        <v>1032</v>
      </c>
      <c r="C1597" s="15">
        <f>IF(Categorias_Registro[[#This Row],[Puntos]]&lt;=ROUND(Piso,0),Piso,IF(Categorias_Registro[[#This Row],[Puntos]]&lt;D1598,C1598,D1598+1))</f>
        <v>937</v>
      </c>
      <c r="D1597" s="15">
        <f>IF(Categorias_Registro[[#This Row],[Puntos]]=ROUND(Piso,0),ROUND(Categorias_Registro[[#This Row],[Puntos]]*(1+Categorias_Registro[[#This Row],[Amplitud]]),0),IF(Categorias_Registro[[#This Row],[Puntos]]&lt;D1598,D1598,ROUND(D1598*(1+Categorias_Registro[[#This Row],[Amplitud]]),0)))</f>
        <v>1076</v>
      </c>
      <c r="E1597" s="15">
        <f>E1598+IF(D1598=Categorias_Registro[[#This Row],[Máximo]],0,1)</f>
        <v>18</v>
      </c>
      <c r="F1597" s="15">
        <f>ROUND(Categorias_Registro[[#This Row],[Mínimo]]+((Categorias_Registro[[#This Row],[Máximo]]-Categorias_Registro[[#This Row],[Mínimo]])/2),0)</f>
        <v>1007</v>
      </c>
      <c r="G1597" s="78">
        <f>VLOOKUP(Categorias_Registro[[#This Row],[Puntos]],Categorias_Configuracion[],MATCH(Categorias_Configuracion[[#Headers],[% Amplitud]],Categorias_Configuracion[#Headers],0),TRUE)</f>
        <v>0.15</v>
      </c>
      <c r="H1597" s="15" t="str">
        <f ca="1">TEXT(Categorias_Registro[[#This Row],[Mínimo]],Formato_Rango_Categorias)&amp;" - "&amp;TEXT(Categorias_Registro[[#This Row],[Máximo]],Formato_Rango_Categorias)</f>
        <v>937 - 1.076</v>
      </c>
    </row>
    <row r="1598" spans="2:8">
      <c r="B1598" s="15">
        <f>Techo - ROW() + ROW(Categorias_Registro[])</f>
        <v>1031</v>
      </c>
      <c r="C1598" s="15">
        <f>IF(Categorias_Registro[[#This Row],[Puntos]]&lt;=ROUND(Piso,0),Piso,IF(Categorias_Registro[[#This Row],[Puntos]]&lt;D1599,C1599,D1599+1))</f>
        <v>937</v>
      </c>
      <c r="D1598" s="15">
        <f>IF(Categorias_Registro[[#This Row],[Puntos]]=ROUND(Piso,0),ROUND(Categorias_Registro[[#This Row],[Puntos]]*(1+Categorias_Registro[[#This Row],[Amplitud]]),0),IF(Categorias_Registro[[#This Row],[Puntos]]&lt;D1599,D1599,ROUND(D1599*(1+Categorias_Registro[[#This Row],[Amplitud]]),0)))</f>
        <v>1076</v>
      </c>
      <c r="E1598" s="15">
        <f>E1599+IF(D1599=Categorias_Registro[[#This Row],[Máximo]],0,1)</f>
        <v>18</v>
      </c>
      <c r="F1598" s="15">
        <f>ROUND(Categorias_Registro[[#This Row],[Mínimo]]+((Categorias_Registro[[#This Row],[Máximo]]-Categorias_Registro[[#This Row],[Mínimo]])/2),0)</f>
        <v>1007</v>
      </c>
      <c r="G1598" s="78">
        <f>VLOOKUP(Categorias_Registro[[#This Row],[Puntos]],Categorias_Configuracion[],MATCH(Categorias_Configuracion[[#Headers],[% Amplitud]],Categorias_Configuracion[#Headers],0),TRUE)</f>
        <v>0.15</v>
      </c>
      <c r="H1598" s="15" t="str">
        <f ca="1">TEXT(Categorias_Registro[[#This Row],[Mínimo]],Formato_Rango_Categorias)&amp;" - "&amp;TEXT(Categorias_Registro[[#This Row],[Máximo]],Formato_Rango_Categorias)</f>
        <v>937 - 1.076</v>
      </c>
    </row>
    <row r="1599" spans="2:8">
      <c r="B1599" s="15">
        <f>Techo - ROW() + ROW(Categorias_Registro[])</f>
        <v>1030</v>
      </c>
      <c r="C1599" s="15">
        <f>IF(Categorias_Registro[[#This Row],[Puntos]]&lt;=ROUND(Piso,0),Piso,IF(Categorias_Registro[[#This Row],[Puntos]]&lt;D1600,C1600,D1600+1))</f>
        <v>937</v>
      </c>
      <c r="D1599" s="15">
        <f>IF(Categorias_Registro[[#This Row],[Puntos]]=ROUND(Piso,0),ROUND(Categorias_Registro[[#This Row],[Puntos]]*(1+Categorias_Registro[[#This Row],[Amplitud]]),0),IF(Categorias_Registro[[#This Row],[Puntos]]&lt;D1600,D1600,ROUND(D1600*(1+Categorias_Registro[[#This Row],[Amplitud]]),0)))</f>
        <v>1076</v>
      </c>
      <c r="E1599" s="15">
        <f>E1600+IF(D1600=Categorias_Registro[[#This Row],[Máximo]],0,1)</f>
        <v>18</v>
      </c>
      <c r="F1599" s="15">
        <f>ROUND(Categorias_Registro[[#This Row],[Mínimo]]+((Categorias_Registro[[#This Row],[Máximo]]-Categorias_Registro[[#This Row],[Mínimo]])/2),0)</f>
        <v>1007</v>
      </c>
      <c r="G1599" s="78">
        <f>VLOOKUP(Categorias_Registro[[#This Row],[Puntos]],Categorias_Configuracion[],MATCH(Categorias_Configuracion[[#Headers],[% Amplitud]],Categorias_Configuracion[#Headers],0),TRUE)</f>
        <v>0.15</v>
      </c>
      <c r="H1599" s="15" t="str">
        <f ca="1">TEXT(Categorias_Registro[[#This Row],[Mínimo]],Formato_Rango_Categorias)&amp;" - "&amp;TEXT(Categorias_Registro[[#This Row],[Máximo]],Formato_Rango_Categorias)</f>
        <v>937 - 1.076</v>
      </c>
    </row>
    <row r="1600" spans="2:8">
      <c r="B1600" s="15">
        <f>Techo - ROW() + ROW(Categorias_Registro[])</f>
        <v>1029</v>
      </c>
      <c r="C1600" s="15">
        <f>IF(Categorias_Registro[[#This Row],[Puntos]]&lt;=ROUND(Piso,0),Piso,IF(Categorias_Registro[[#This Row],[Puntos]]&lt;D1601,C1601,D1601+1))</f>
        <v>937</v>
      </c>
      <c r="D1600" s="15">
        <f>IF(Categorias_Registro[[#This Row],[Puntos]]=ROUND(Piso,0),ROUND(Categorias_Registro[[#This Row],[Puntos]]*(1+Categorias_Registro[[#This Row],[Amplitud]]),0),IF(Categorias_Registro[[#This Row],[Puntos]]&lt;D1601,D1601,ROUND(D1601*(1+Categorias_Registro[[#This Row],[Amplitud]]),0)))</f>
        <v>1076</v>
      </c>
      <c r="E1600" s="15">
        <f>E1601+IF(D1601=Categorias_Registro[[#This Row],[Máximo]],0,1)</f>
        <v>18</v>
      </c>
      <c r="F1600" s="15">
        <f>ROUND(Categorias_Registro[[#This Row],[Mínimo]]+((Categorias_Registro[[#This Row],[Máximo]]-Categorias_Registro[[#This Row],[Mínimo]])/2),0)</f>
        <v>1007</v>
      </c>
      <c r="G1600" s="78">
        <f>VLOOKUP(Categorias_Registro[[#This Row],[Puntos]],Categorias_Configuracion[],MATCH(Categorias_Configuracion[[#Headers],[% Amplitud]],Categorias_Configuracion[#Headers],0),TRUE)</f>
        <v>0.15</v>
      </c>
      <c r="H1600" s="15" t="str">
        <f ca="1">TEXT(Categorias_Registro[[#This Row],[Mínimo]],Formato_Rango_Categorias)&amp;" - "&amp;TEXT(Categorias_Registro[[#This Row],[Máximo]],Formato_Rango_Categorias)</f>
        <v>937 - 1.076</v>
      </c>
    </row>
    <row r="1601" spans="2:8">
      <c r="B1601" s="15">
        <f>Techo - ROW() + ROW(Categorias_Registro[])</f>
        <v>1028</v>
      </c>
      <c r="C1601" s="15">
        <f>IF(Categorias_Registro[[#This Row],[Puntos]]&lt;=ROUND(Piso,0),Piso,IF(Categorias_Registro[[#This Row],[Puntos]]&lt;D1602,C1602,D1602+1))</f>
        <v>937</v>
      </c>
      <c r="D1601" s="15">
        <f>IF(Categorias_Registro[[#This Row],[Puntos]]=ROUND(Piso,0),ROUND(Categorias_Registro[[#This Row],[Puntos]]*(1+Categorias_Registro[[#This Row],[Amplitud]]),0),IF(Categorias_Registro[[#This Row],[Puntos]]&lt;D1602,D1602,ROUND(D1602*(1+Categorias_Registro[[#This Row],[Amplitud]]),0)))</f>
        <v>1076</v>
      </c>
      <c r="E1601" s="15">
        <f>E1602+IF(D1602=Categorias_Registro[[#This Row],[Máximo]],0,1)</f>
        <v>18</v>
      </c>
      <c r="F1601" s="15">
        <f>ROUND(Categorias_Registro[[#This Row],[Mínimo]]+((Categorias_Registro[[#This Row],[Máximo]]-Categorias_Registro[[#This Row],[Mínimo]])/2),0)</f>
        <v>1007</v>
      </c>
      <c r="G1601" s="78">
        <f>VLOOKUP(Categorias_Registro[[#This Row],[Puntos]],Categorias_Configuracion[],MATCH(Categorias_Configuracion[[#Headers],[% Amplitud]],Categorias_Configuracion[#Headers],0),TRUE)</f>
        <v>0.15</v>
      </c>
      <c r="H1601" s="15" t="str">
        <f ca="1">TEXT(Categorias_Registro[[#This Row],[Mínimo]],Formato_Rango_Categorias)&amp;" - "&amp;TEXT(Categorias_Registro[[#This Row],[Máximo]],Formato_Rango_Categorias)</f>
        <v>937 - 1.076</v>
      </c>
    </row>
    <row r="1602" spans="2:8">
      <c r="B1602" s="15">
        <f>Techo - ROW() + ROW(Categorias_Registro[])</f>
        <v>1027</v>
      </c>
      <c r="C1602" s="15">
        <f>IF(Categorias_Registro[[#This Row],[Puntos]]&lt;=ROUND(Piso,0),Piso,IF(Categorias_Registro[[#This Row],[Puntos]]&lt;D1603,C1603,D1603+1))</f>
        <v>937</v>
      </c>
      <c r="D1602" s="15">
        <f>IF(Categorias_Registro[[#This Row],[Puntos]]=ROUND(Piso,0),ROUND(Categorias_Registro[[#This Row],[Puntos]]*(1+Categorias_Registro[[#This Row],[Amplitud]]),0),IF(Categorias_Registro[[#This Row],[Puntos]]&lt;D1603,D1603,ROUND(D1603*(1+Categorias_Registro[[#This Row],[Amplitud]]),0)))</f>
        <v>1076</v>
      </c>
      <c r="E1602" s="15">
        <f>E1603+IF(D1603=Categorias_Registro[[#This Row],[Máximo]],0,1)</f>
        <v>18</v>
      </c>
      <c r="F1602" s="15">
        <f>ROUND(Categorias_Registro[[#This Row],[Mínimo]]+((Categorias_Registro[[#This Row],[Máximo]]-Categorias_Registro[[#This Row],[Mínimo]])/2),0)</f>
        <v>1007</v>
      </c>
      <c r="G1602" s="78">
        <f>VLOOKUP(Categorias_Registro[[#This Row],[Puntos]],Categorias_Configuracion[],MATCH(Categorias_Configuracion[[#Headers],[% Amplitud]],Categorias_Configuracion[#Headers],0),TRUE)</f>
        <v>0.15</v>
      </c>
      <c r="H1602" s="15" t="str">
        <f ca="1">TEXT(Categorias_Registro[[#This Row],[Mínimo]],Formato_Rango_Categorias)&amp;" - "&amp;TEXT(Categorias_Registro[[#This Row],[Máximo]],Formato_Rango_Categorias)</f>
        <v>937 - 1.076</v>
      </c>
    </row>
    <row r="1603" spans="2:8">
      <c r="B1603" s="15">
        <f>Techo - ROW() + ROW(Categorias_Registro[])</f>
        <v>1026</v>
      </c>
      <c r="C1603" s="15">
        <f>IF(Categorias_Registro[[#This Row],[Puntos]]&lt;=ROUND(Piso,0),Piso,IF(Categorias_Registro[[#This Row],[Puntos]]&lt;D1604,C1604,D1604+1))</f>
        <v>937</v>
      </c>
      <c r="D1603" s="15">
        <f>IF(Categorias_Registro[[#This Row],[Puntos]]=ROUND(Piso,0),ROUND(Categorias_Registro[[#This Row],[Puntos]]*(1+Categorias_Registro[[#This Row],[Amplitud]]),0),IF(Categorias_Registro[[#This Row],[Puntos]]&lt;D1604,D1604,ROUND(D1604*(1+Categorias_Registro[[#This Row],[Amplitud]]),0)))</f>
        <v>1076</v>
      </c>
      <c r="E1603" s="15">
        <f>E1604+IF(D1604=Categorias_Registro[[#This Row],[Máximo]],0,1)</f>
        <v>18</v>
      </c>
      <c r="F1603" s="15">
        <f>ROUND(Categorias_Registro[[#This Row],[Mínimo]]+((Categorias_Registro[[#This Row],[Máximo]]-Categorias_Registro[[#This Row],[Mínimo]])/2),0)</f>
        <v>1007</v>
      </c>
      <c r="G1603" s="78">
        <f>VLOOKUP(Categorias_Registro[[#This Row],[Puntos]],Categorias_Configuracion[],MATCH(Categorias_Configuracion[[#Headers],[% Amplitud]],Categorias_Configuracion[#Headers],0),TRUE)</f>
        <v>0.15</v>
      </c>
      <c r="H1603" s="15" t="str">
        <f ca="1">TEXT(Categorias_Registro[[#This Row],[Mínimo]],Formato_Rango_Categorias)&amp;" - "&amp;TEXT(Categorias_Registro[[#This Row],[Máximo]],Formato_Rango_Categorias)</f>
        <v>937 - 1.076</v>
      </c>
    </row>
    <row r="1604" spans="2:8">
      <c r="B1604" s="15">
        <f>Techo - ROW() + ROW(Categorias_Registro[])</f>
        <v>1025</v>
      </c>
      <c r="C1604" s="15">
        <f>IF(Categorias_Registro[[#This Row],[Puntos]]&lt;=ROUND(Piso,0),Piso,IF(Categorias_Registro[[#This Row],[Puntos]]&lt;D1605,C1605,D1605+1))</f>
        <v>937</v>
      </c>
      <c r="D1604" s="15">
        <f>IF(Categorias_Registro[[#This Row],[Puntos]]=ROUND(Piso,0),ROUND(Categorias_Registro[[#This Row],[Puntos]]*(1+Categorias_Registro[[#This Row],[Amplitud]]),0),IF(Categorias_Registro[[#This Row],[Puntos]]&lt;D1605,D1605,ROUND(D1605*(1+Categorias_Registro[[#This Row],[Amplitud]]),0)))</f>
        <v>1076</v>
      </c>
      <c r="E1604" s="15">
        <f>E1605+IF(D1605=Categorias_Registro[[#This Row],[Máximo]],0,1)</f>
        <v>18</v>
      </c>
      <c r="F1604" s="15">
        <f>ROUND(Categorias_Registro[[#This Row],[Mínimo]]+((Categorias_Registro[[#This Row],[Máximo]]-Categorias_Registro[[#This Row],[Mínimo]])/2),0)</f>
        <v>1007</v>
      </c>
      <c r="G1604" s="78">
        <f>VLOOKUP(Categorias_Registro[[#This Row],[Puntos]],Categorias_Configuracion[],MATCH(Categorias_Configuracion[[#Headers],[% Amplitud]],Categorias_Configuracion[#Headers],0),TRUE)</f>
        <v>0.15</v>
      </c>
      <c r="H1604" s="15" t="str">
        <f ca="1">TEXT(Categorias_Registro[[#This Row],[Mínimo]],Formato_Rango_Categorias)&amp;" - "&amp;TEXT(Categorias_Registro[[#This Row],[Máximo]],Formato_Rango_Categorias)</f>
        <v>937 - 1.076</v>
      </c>
    </row>
    <row r="1605" spans="2:8">
      <c r="B1605" s="15">
        <f>Techo - ROW() + ROW(Categorias_Registro[])</f>
        <v>1024</v>
      </c>
      <c r="C1605" s="15">
        <f>IF(Categorias_Registro[[#This Row],[Puntos]]&lt;=ROUND(Piso,0),Piso,IF(Categorias_Registro[[#This Row],[Puntos]]&lt;D1606,C1606,D1606+1))</f>
        <v>937</v>
      </c>
      <c r="D1605" s="15">
        <f>IF(Categorias_Registro[[#This Row],[Puntos]]=ROUND(Piso,0),ROUND(Categorias_Registro[[#This Row],[Puntos]]*(1+Categorias_Registro[[#This Row],[Amplitud]]),0),IF(Categorias_Registro[[#This Row],[Puntos]]&lt;D1606,D1606,ROUND(D1606*(1+Categorias_Registro[[#This Row],[Amplitud]]),0)))</f>
        <v>1076</v>
      </c>
      <c r="E1605" s="15">
        <f>E1606+IF(D1606=Categorias_Registro[[#This Row],[Máximo]],0,1)</f>
        <v>18</v>
      </c>
      <c r="F1605" s="15">
        <f>ROUND(Categorias_Registro[[#This Row],[Mínimo]]+((Categorias_Registro[[#This Row],[Máximo]]-Categorias_Registro[[#This Row],[Mínimo]])/2),0)</f>
        <v>1007</v>
      </c>
      <c r="G1605" s="78">
        <f>VLOOKUP(Categorias_Registro[[#This Row],[Puntos]],Categorias_Configuracion[],MATCH(Categorias_Configuracion[[#Headers],[% Amplitud]],Categorias_Configuracion[#Headers],0),TRUE)</f>
        <v>0.15</v>
      </c>
      <c r="H1605" s="15" t="str">
        <f ca="1">TEXT(Categorias_Registro[[#This Row],[Mínimo]],Formato_Rango_Categorias)&amp;" - "&amp;TEXT(Categorias_Registro[[#This Row],[Máximo]],Formato_Rango_Categorias)</f>
        <v>937 - 1.076</v>
      </c>
    </row>
    <row r="1606" spans="2:8">
      <c r="B1606" s="15">
        <f>Techo - ROW() + ROW(Categorias_Registro[])</f>
        <v>1023</v>
      </c>
      <c r="C1606" s="15">
        <f>IF(Categorias_Registro[[#This Row],[Puntos]]&lt;=ROUND(Piso,0),Piso,IF(Categorias_Registro[[#This Row],[Puntos]]&lt;D1607,C1607,D1607+1))</f>
        <v>937</v>
      </c>
      <c r="D1606" s="15">
        <f>IF(Categorias_Registro[[#This Row],[Puntos]]=ROUND(Piso,0),ROUND(Categorias_Registro[[#This Row],[Puntos]]*(1+Categorias_Registro[[#This Row],[Amplitud]]),0),IF(Categorias_Registro[[#This Row],[Puntos]]&lt;D1607,D1607,ROUND(D1607*(1+Categorias_Registro[[#This Row],[Amplitud]]),0)))</f>
        <v>1076</v>
      </c>
      <c r="E1606" s="15">
        <f>E1607+IF(D1607=Categorias_Registro[[#This Row],[Máximo]],0,1)</f>
        <v>18</v>
      </c>
      <c r="F1606" s="15">
        <f>ROUND(Categorias_Registro[[#This Row],[Mínimo]]+((Categorias_Registro[[#This Row],[Máximo]]-Categorias_Registro[[#This Row],[Mínimo]])/2),0)</f>
        <v>1007</v>
      </c>
      <c r="G1606" s="78">
        <f>VLOOKUP(Categorias_Registro[[#This Row],[Puntos]],Categorias_Configuracion[],MATCH(Categorias_Configuracion[[#Headers],[% Amplitud]],Categorias_Configuracion[#Headers],0),TRUE)</f>
        <v>0.15</v>
      </c>
      <c r="H1606" s="15" t="str">
        <f ca="1">TEXT(Categorias_Registro[[#This Row],[Mínimo]],Formato_Rango_Categorias)&amp;" - "&amp;TEXT(Categorias_Registro[[#This Row],[Máximo]],Formato_Rango_Categorias)</f>
        <v>937 - 1.076</v>
      </c>
    </row>
    <row r="1607" spans="2:8">
      <c r="B1607" s="15">
        <f>Techo - ROW() + ROW(Categorias_Registro[])</f>
        <v>1022</v>
      </c>
      <c r="C1607" s="15">
        <f>IF(Categorias_Registro[[#This Row],[Puntos]]&lt;=ROUND(Piso,0),Piso,IF(Categorias_Registro[[#This Row],[Puntos]]&lt;D1608,C1608,D1608+1))</f>
        <v>937</v>
      </c>
      <c r="D1607" s="15">
        <f>IF(Categorias_Registro[[#This Row],[Puntos]]=ROUND(Piso,0),ROUND(Categorias_Registro[[#This Row],[Puntos]]*(1+Categorias_Registro[[#This Row],[Amplitud]]),0),IF(Categorias_Registro[[#This Row],[Puntos]]&lt;D1608,D1608,ROUND(D1608*(1+Categorias_Registro[[#This Row],[Amplitud]]),0)))</f>
        <v>1076</v>
      </c>
      <c r="E1607" s="15">
        <f>E1608+IF(D1608=Categorias_Registro[[#This Row],[Máximo]],0,1)</f>
        <v>18</v>
      </c>
      <c r="F1607" s="15">
        <f>ROUND(Categorias_Registro[[#This Row],[Mínimo]]+((Categorias_Registro[[#This Row],[Máximo]]-Categorias_Registro[[#This Row],[Mínimo]])/2),0)</f>
        <v>1007</v>
      </c>
      <c r="G1607" s="78">
        <f>VLOOKUP(Categorias_Registro[[#This Row],[Puntos]],Categorias_Configuracion[],MATCH(Categorias_Configuracion[[#Headers],[% Amplitud]],Categorias_Configuracion[#Headers],0),TRUE)</f>
        <v>0.15</v>
      </c>
      <c r="H1607" s="15" t="str">
        <f ca="1">TEXT(Categorias_Registro[[#This Row],[Mínimo]],Formato_Rango_Categorias)&amp;" - "&amp;TEXT(Categorias_Registro[[#This Row],[Máximo]],Formato_Rango_Categorias)</f>
        <v>937 - 1.076</v>
      </c>
    </row>
    <row r="1608" spans="2:8">
      <c r="B1608" s="15">
        <f>Techo - ROW() + ROW(Categorias_Registro[])</f>
        <v>1021</v>
      </c>
      <c r="C1608" s="15">
        <f>IF(Categorias_Registro[[#This Row],[Puntos]]&lt;=ROUND(Piso,0),Piso,IF(Categorias_Registro[[#This Row],[Puntos]]&lt;D1609,C1609,D1609+1))</f>
        <v>937</v>
      </c>
      <c r="D1608" s="15">
        <f>IF(Categorias_Registro[[#This Row],[Puntos]]=ROUND(Piso,0),ROUND(Categorias_Registro[[#This Row],[Puntos]]*(1+Categorias_Registro[[#This Row],[Amplitud]]),0),IF(Categorias_Registro[[#This Row],[Puntos]]&lt;D1609,D1609,ROUND(D1609*(1+Categorias_Registro[[#This Row],[Amplitud]]),0)))</f>
        <v>1076</v>
      </c>
      <c r="E1608" s="15">
        <f>E1609+IF(D1609=Categorias_Registro[[#This Row],[Máximo]],0,1)</f>
        <v>18</v>
      </c>
      <c r="F1608" s="15">
        <f>ROUND(Categorias_Registro[[#This Row],[Mínimo]]+((Categorias_Registro[[#This Row],[Máximo]]-Categorias_Registro[[#This Row],[Mínimo]])/2),0)</f>
        <v>1007</v>
      </c>
      <c r="G1608" s="78">
        <f>VLOOKUP(Categorias_Registro[[#This Row],[Puntos]],Categorias_Configuracion[],MATCH(Categorias_Configuracion[[#Headers],[% Amplitud]],Categorias_Configuracion[#Headers],0),TRUE)</f>
        <v>0.15</v>
      </c>
      <c r="H1608" s="15" t="str">
        <f ca="1">TEXT(Categorias_Registro[[#This Row],[Mínimo]],Formato_Rango_Categorias)&amp;" - "&amp;TEXT(Categorias_Registro[[#This Row],[Máximo]],Formato_Rango_Categorias)</f>
        <v>937 - 1.076</v>
      </c>
    </row>
    <row r="1609" spans="2:8">
      <c r="B1609" s="15">
        <f>Techo - ROW() + ROW(Categorias_Registro[])</f>
        <v>1020</v>
      </c>
      <c r="C1609" s="15">
        <f>IF(Categorias_Registro[[#This Row],[Puntos]]&lt;=ROUND(Piso,0),Piso,IF(Categorias_Registro[[#This Row],[Puntos]]&lt;D1610,C1610,D1610+1))</f>
        <v>937</v>
      </c>
      <c r="D1609" s="15">
        <f>IF(Categorias_Registro[[#This Row],[Puntos]]=ROUND(Piso,0),ROUND(Categorias_Registro[[#This Row],[Puntos]]*(1+Categorias_Registro[[#This Row],[Amplitud]]),0),IF(Categorias_Registro[[#This Row],[Puntos]]&lt;D1610,D1610,ROUND(D1610*(1+Categorias_Registro[[#This Row],[Amplitud]]),0)))</f>
        <v>1076</v>
      </c>
      <c r="E1609" s="15">
        <f>E1610+IF(D1610=Categorias_Registro[[#This Row],[Máximo]],0,1)</f>
        <v>18</v>
      </c>
      <c r="F1609" s="15">
        <f>ROUND(Categorias_Registro[[#This Row],[Mínimo]]+((Categorias_Registro[[#This Row],[Máximo]]-Categorias_Registro[[#This Row],[Mínimo]])/2),0)</f>
        <v>1007</v>
      </c>
      <c r="G1609" s="78">
        <f>VLOOKUP(Categorias_Registro[[#This Row],[Puntos]],Categorias_Configuracion[],MATCH(Categorias_Configuracion[[#Headers],[% Amplitud]],Categorias_Configuracion[#Headers],0),TRUE)</f>
        <v>0.15</v>
      </c>
      <c r="H1609" s="15" t="str">
        <f ca="1">TEXT(Categorias_Registro[[#This Row],[Mínimo]],Formato_Rango_Categorias)&amp;" - "&amp;TEXT(Categorias_Registro[[#This Row],[Máximo]],Formato_Rango_Categorias)</f>
        <v>937 - 1.076</v>
      </c>
    </row>
    <row r="1610" spans="2:8">
      <c r="B1610" s="15">
        <f>Techo - ROW() + ROW(Categorias_Registro[])</f>
        <v>1019</v>
      </c>
      <c r="C1610" s="15">
        <f>IF(Categorias_Registro[[#This Row],[Puntos]]&lt;=ROUND(Piso,0),Piso,IF(Categorias_Registro[[#This Row],[Puntos]]&lt;D1611,C1611,D1611+1))</f>
        <v>937</v>
      </c>
      <c r="D1610" s="15">
        <f>IF(Categorias_Registro[[#This Row],[Puntos]]=ROUND(Piso,0),ROUND(Categorias_Registro[[#This Row],[Puntos]]*(1+Categorias_Registro[[#This Row],[Amplitud]]),0),IF(Categorias_Registro[[#This Row],[Puntos]]&lt;D1611,D1611,ROUND(D1611*(1+Categorias_Registro[[#This Row],[Amplitud]]),0)))</f>
        <v>1076</v>
      </c>
      <c r="E1610" s="15">
        <f>E1611+IF(D1611=Categorias_Registro[[#This Row],[Máximo]],0,1)</f>
        <v>18</v>
      </c>
      <c r="F1610" s="15">
        <f>ROUND(Categorias_Registro[[#This Row],[Mínimo]]+((Categorias_Registro[[#This Row],[Máximo]]-Categorias_Registro[[#This Row],[Mínimo]])/2),0)</f>
        <v>1007</v>
      </c>
      <c r="G1610" s="78">
        <f>VLOOKUP(Categorias_Registro[[#This Row],[Puntos]],Categorias_Configuracion[],MATCH(Categorias_Configuracion[[#Headers],[% Amplitud]],Categorias_Configuracion[#Headers],0),TRUE)</f>
        <v>0.15</v>
      </c>
      <c r="H1610" s="15" t="str">
        <f ca="1">TEXT(Categorias_Registro[[#This Row],[Mínimo]],Formato_Rango_Categorias)&amp;" - "&amp;TEXT(Categorias_Registro[[#This Row],[Máximo]],Formato_Rango_Categorias)</f>
        <v>937 - 1.076</v>
      </c>
    </row>
    <row r="1611" spans="2:8">
      <c r="B1611" s="15">
        <f>Techo - ROW() + ROW(Categorias_Registro[])</f>
        <v>1018</v>
      </c>
      <c r="C1611" s="15">
        <f>IF(Categorias_Registro[[#This Row],[Puntos]]&lt;=ROUND(Piso,0),Piso,IF(Categorias_Registro[[#This Row],[Puntos]]&lt;D1612,C1612,D1612+1))</f>
        <v>937</v>
      </c>
      <c r="D1611" s="15">
        <f>IF(Categorias_Registro[[#This Row],[Puntos]]=ROUND(Piso,0),ROUND(Categorias_Registro[[#This Row],[Puntos]]*(1+Categorias_Registro[[#This Row],[Amplitud]]),0),IF(Categorias_Registro[[#This Row],[Puntos]]&lt;D1612,D1612,ROUND(D1612*(1+Categorias_Registro[[#This Row],[Amplitud]]),0)))</f>
        <v>1076</v>
      </c>
      <c r="E1611" s="15">
        <f>E1612+IF(D1612=Categorias_Registro[[#This Row],[Máximo]],0,1)</f>
        <v>18</v>
      </c>
      <c r="F1611" s="15">
        <f>ROUND(Categorias_Registro[[#This Row],[Mínimo]]+((Categorias_Registro[[#This Row],[Máximo]]-Categorias_Registro[[#This Row],[Mínimo]])/2),0)</f>
        <v>1007</v>
      </c>
      <c r="G1611" s="78">
        <f>VLOOKUP(Categorias_Registro[[#This Row],[Puntos]],Categorias_Configuracion[],MATCH(Categorias_Configuracion[[#Headers],[% Amplitud]],Categorias_Configuracion[#Headers],0),TRUE)</f>
        <v>0.15</v>
      </c>
      <c r="H1611" s="15" t="str">
        <f ca="1">TEXT(Categorias_Registro[[#This Row],[Mínimo]],Formato_Rango_Categorias)&amp;" - "&amp;TEXT(Categorias_Registro[[#This Row],[Máximo]],Formato_Rango_Categorias)</f>
        <v>937 - 1.076</v>
      </c>
    </row>
    <row r="1612" spans="2:8">
      <c r="B1612" s="15">
        <f>Techo - ROW() + ROW(Categorias_Registro[])</f>
        <v>1017</v>
      </c>
      <c r="C1612" s="15">
        <f>IF(Categorias_Registro[[#This Row],[Puntos]]&lt;=ROUND(Piso,0),Piso,IF(Categorias_Registro[[#This Row],[Puntos]]&lt;D1613,C1613,D1613+1))</f>
        <v>937</v>
      </c>
      <c r="D1612" s="15">
        <f>IF(Categorias_Registro[[#This Row],[Puntos]]=ROUND(Piso,0),ROUND(Categorias_Registro[[#This Row],[Puntos]]*(1+Categorias_Registro[[#This Row],[Amplitud]]),0),IF(Categorias_Registro[[#This Row],[Puntos]]&lt;D1613,D1613,ROUND(D1613*(1+Categorias_Registro[[#This Row],[Amplitud]]),0)))</f>
        <v>1076</v>
      </c>
      <c r="E1612" s="15">
        <f>E1613+IF(D1613=Categorias_Registro[[#This Row],[Máximo]],0,1)</f>
        <v>18</v>
      </c>
      <c r="F1612" s="15">
        <f>ROUND(Categorias_Registro[[#This Row],[Mínimo]]+((Categorias_Registro[[#This Row],[Máximo]]-Categorias_Registro[[#This Row],[Mínimo]])/2),0)</f>
        <v>1007</v>
      </c>
      <c r="G1612" s="78">
        <f>VLOOKUP(Categorias_Registro[[#This Row],[Puntos]],Categorias_Configuracion[],MATCH(Categorias_Configuracion[[#Headers],[% Amplitud]],Categorias_Configuracion[#Headers],0),TRUE)</f>
        <v>0.15</v>
      </c>
      <c r="H1612" s="15" t="str">
        <f ca="1">TEXT(Categorias_Registro[[#This Row],[Mínimo]],Formato_Rango_Categorias)&amp;" - "&amp;TEXT(Categorias_Registro[[#This Row],[Máximo]],Formato_Rango_Categorias)</f>
        <v>937 - 1.076</v>
      </c>
    </row>
    <row r="1613" spans="2:8">
      <c r="B1613" s="15">
        <f>Techo - ROW() + ROW(Categorias_Registro[])</f>
        <v>1016</v>
      </c>
      <c r="C1613" s="15">
        <f>IF(Categorias_Registro[[#This Row],[Puntos]]&lt;=ROUND(Piso,0),Piso,IF(Categorias_Registro[[#This Row],[Puntos]]&lt;D1614,C1614,D1614+1))</f>
        <v>937</v>
      </c>
      <c r="D1613" s="15">
        <f>IF(Categorias_Registro[[#This Row],[Puntos]]=ROUND(Piso,0),ROUND(Categorias_Registro[[#This Row],[Puntos]]*(1+Categorias_Registro[[#This Row],[Amplitud]]),0),IF(Categorias_Registro[[#This Row],[Puntos]]&lt;D1614,D1614,ROUND(D1614*(1+Categorias_Registro[[#This Row],[Amplitud]]),0)))</f>
        <v>1076</v>
      </c>
      <c r="E1613" s="15">
        <f>E1614+IF(D1614=Categorias_Registro[[#This Row],[Máximo]],0,1)</f>
        <v>18</v>
      </c>
      <c r="F1613" s="15">
        <f>ROUND(Categorias_Registro[[#This Row],[Mínimo]]+((Categorias_Registro[[#This Row],[Máximo]]-Categorias_Registro[[#This Row],[Mínimo]])/2),0)</f>
        <v>1007</v>
      </c>
      <c r="G1613" s="78">
        <f>VLOOKUP(Categorias_Registro[[#This Row],[Puntos]],Categorias_Configuracion[],MATCH(Categorias_Configuracion[[#Headers],[% Amplitud]],Categorias_Configuracion[#Headers],0),TRUE)</f>
        <v>0.15</v>
      </c>
      <c r="H1613" s="15" t="str">
        <f ca="1">TEXT(Categorias_Registro[[#This Row],[Mínimo]],Formato_Rango_Categorias)&amp;" - "&amp;TEXT(Categorias_Registro[[#This Row],[Máximo]],Formato_Rango_Categorias)</f>
        <v>937 - 1.076</v>
      </c>
    </row>
    <row r="1614" spans="2:8">
      <c r="B1614" s="15">
        <f>Techo - ROW() + ROW(Categorias_Registro[])</f>
        <v>1015</v>
      </c>
      <c r="C1614" s="15">
        <f>IF(Categorias_Registro[[#This Row],[Puntos]]&lt;=ROUND(Piso,0),Piso,IF(Categorias_Registro[[#This Row],[Puntos]]&lt;D1615,C1615,D1615+1))</f>
        <v>937</v>
      </c>
      <c r="D1614" s="15">
        <f>IF(Categorias_Registro[[#This Row],[Puntos]]=ROUND(Piso,0),ROUND(Categorias_Registro[[#This Row],[Puntos]]*(1+Categorias_Registro[[#This Row],[Amplitud]]),0),IF(Categorias_Registro[[#This Row],[Puntos]]&lt;D1615,D1615,ROUND(D1615*(1+Categorias_Registro[[#This Row],[Amplitud]]),0)))</f>
        <v>1076</v>
      </c>
      <c r="E1614" s="15">
        <f>E1615+IF(D1615=Categorias_Registro[[#This Row],[Máximo]],0,1)</f>
        <v>18</v>
      </c>
      <c r="F1614" s="15">
        <f>ROUND(Categorias_Registro[[#This Row],[Mínimo]]+((Categorias_Registro[[#This Row],[Máximo]]-Categorias_Registro[[#This Row],[Mínimo]])/2),0)</f>
        <v>1007</v>
      </c>
      <c r="G1614" s="78">
        <f>VLOOKUP(Categorias_Registro[[#This Row],[Puntos]],Categorias_Configuracion[],MATCH(Categorias_Configuracion[[#Headers],[% Amplitud]],Categorias_Configuracion[#Headers],0),TRUE)</f>
        <v>0.15</v>
      </c>
      <c r="H1614" s="15" t="str">
        <f ca="1">TEXT(Categorias_Registro[[#This Row],[Mínimo]],Formato_Rango_Categorias)&amp;" - "&amp;TEXT(Categorias_Registro[[#This Row],[Máximo]],Formato_Rango_Categorias)</f>
        <v>937 - 1.076</v>
      </c>
    </row>
    <row r="1615" spans="2:8">
      <c r="B1615" s="15">
        <f>Techo - ROW() + ROW(Categorias_Registro[])</f>
        <v>1014</v>
      </c>
      <c r="C1615" s="15">
        <f>IF(Categorias_Registro[[#This Row],[Puntos]]&lt;=ROUND(Piso,0),Piso,IF(Categorias_Registro[[#This Row],[Puntos]]&lt;D1616,C1616,D1616+1))</f>
        <v>937</v>
      </c>
      <c r="D1615" s="15">
        <f>IF(Categorias_Registro[[#This Row],[Puntos]]=ROUND(Piso,0),ROUND(Categorias_Registro[[#This Row],[Puntos]]*(1+Categorias_Registro[[#This Row],[Amplitud]]),0),IF(Categorias_Registro[[#This Row],[Puntos]]&lt;D1616,D1616,ROUND(D1616*(1+Categorias_Registro[[#This Row],[Amplitud]]),0)))</f>
        <v>1076</v>
      </c>
      <c r="E1615" s="15">
        <f>E1616+IF(D1616=Categorias_Registro[[#This Row],[Máximo]],0,1)</f>
        <v>18</v>
      </c>
      <c r="F1615" s="15">
        <f>ROUND(Categorias_Registro[[#This Row],[Mínimo]]+((Categorias_Registro[[#This Row],[Máximo]]-Categorias_Registro[[#This Row],[Mínimo]])/2),0)</f>
        <v>1007</v>
      </c>
      <c r="G1615" s="78">
        <f>VLOOKUP(Categorias_Registro[[#This Row],[Puntos]],Categorias_Configuracion[],MATCH(Categorias_Configuracion[[#Headers],[% Amplitud]],Categorias_Configuracion[#Headers],0),TRUE)</f>
        <v>0.15</v>
      </c>
      <c r="H1615" s="15" t="str">
        <f ca="1">TEXT(Categorias_Registro[[#This Row],[Mínimo]],Formato_Rango_Categorias)&amp;" - "&amp;TEXT(Categorias_Registro[[#This Row],[Máximo]],Formato_Rango_Categorias)</f>
        <v>937 - 1.076</v>
      </c>
    </row>
    <row r="1616" spans="2:8">
      <c r="B1616" s="15">
        <f>Techo - ROW() + ROW(Categorias_Registro[])</f>
        <v>1013</v>
      </c>
      <c r="C1616" s="15">
        <f>IF(Categorias_Registro[[#This Row],[Puntos]]&lt;=ROUND(Piso,0),Piso,IF(Categorias_Registro[[#This Row],[Puntos]]&lt;D1617,C1617,D1617+1))</f>
        <v>937</v>
      </c>
      <c r="D1616" s="15">
        <f>IF(Categorias_Registro[[#This Row],[Puntos]]=ROUND(Piso,0),ROUND(Categorias_Registro[[#This Row],[Puntos]]*(1+Categorias_Registro[[#This Row],[Amplitud]]),0),IF(Categorias_Registro[[#This Row],[Puntos]]&lt;D1617,D1617,ROUND(D1617*(1+Categorias_Registro[[#This Row],[Amplitud]]),0)))</f>
        <v>1076</v>
      </c>
      <c r="E1616" s="15">
        <f>E1617+IF(D1617=Categorias_Registro[[#This Row],[Máximo]],0,1)</f>
        <v>18</v>
      </c>
      <c r="F1616" s="15">
        <f>ROUND(Categorias_Registro[[#This Row],[Mínimo]]+((Categorias_Registro[[#This Row],[Máximo]]-Categorias_Registro[[#This Row],[Mínimo]])/2),0)</f>
        <v>1007</v>
      </c>
      <c r="G1616" s="78">
        <f>VLOOKUP(Categorias_Registro[[#This Row],[Puntos]],Categorias_Configuracion[],MATCH(Categorias_Configuracion[[#Headers],[% Amplitud]],Categorias_Configuracion[#Headers],0),TRUE)</f>
        <v>0.15</v>
      </c>
      <c r="H1616" s="15" t="str">
        <f ca="1">TEXT(Categorias_Registro[[#This Row],[Mínimo]],Formato_Rango_Categorias)&amp;" - "&amp;TEXT(Categorias_Registro[[#This Row],[Máximo]],Formato_Rango_Categorias)</f>
        <v>937 - 1.076</v>
      </c>
    </row>
    <row r="1617" spans="2:8">
      <c r="B1617" s="15">
        <f>Techo - ROW() + ROW(Categorias_Registro[])</f>
        <v>1012</v>
      </c>
      <c r="C1617" s="15">
        <f>IF(Categorias_Registro[[#This Row],[Puntos]]&lt;=ROUND(Piso,0),Piso,IF(Categorias_Registro[[#This Row],[Puntos]]&lt;D1618,C1618,D1618+1))</f>
        <v>937</v>
      </c>
      <c r="D1617" s="15">
        <f>IF(Categorias_Registro[[#This Row],[Puntos]]=ROUND(Piso,0),ROUND(Categorias_Registro[[#This Row],[Puntos]]*(1+Categorias_Registro[[#This Row],[Amplitud]]),0),IF(Categorias_Registro[[#This Row],[Puntos]]&lt;D1618,D1618,ROUND(D1618*(1+Categorias_Registro[[#This Row],[Amplitud]]),0)))</f>
        <v>1076</v>
      </c>
      <c r="E1617" s="15">
        <f>E1618+IF(D1618=Categorias_Registro[[#This Row],[Máximo]],0,1)</f>
        <v>18</v>
      </c>
      <c r="F1617" s="15">
        <f>ROUND(Categorias_Registro[[#This Row],[Mínimo]]+((Categorias_Registro[[#This Row],[Máximo]]-Categorias_Registro[[#This Row],[Mínimo]])/2),0)</f>
        <v>1007</v>
      </c>
      <c r="G1617" s="78">
        <f>VLOOKUP(Categorias_Registro[[#This Row],[Puntos]],Categorias_Configuracion[],MATCH(Categorias_Configuracion[[#Headers],[% Amplitud]],Categorias_Configuracion[#Headers],0),TRUE)</f>
        <v>0.15</v>
      </c>
      <c r="H1617" s="15" t="str">
        <f ca="1">TEXT(Categorias_Registro[[#This Row],[Mínimo]],Formato_Rango_Categorias)&amp;" - "&amp;TEXT(Categorias_Registro[[#This Row],[Máximo]],Formato_Rango_Categorias)</f>
        <v>937 - 1.076</v>
      </c>
    </row>
    <row r="1618" spans="2:8">
      <c r="B1618" s="15">
        <f>Techo - ROW() + ROW(Categorias_Registro[])</f>
        <v>1011</v>
      </c>
      <c r="C1618" s="15">
        <f>IF(Categorias_Registro[[#This Row],[Puntos]]&lt;=ROUND(Piso,0),Piso,IF(Categorias_Registro[[#This Row],[Puntos]]&lt;D1619,C1619,D1619+1))</f>
        <v>937</v>
      </c>
      <c r="D1618" s="15">
        <f>IF(Categorias_Registro[[#This Row],[Puntos]]=ROUND(Piso,0),ROUND(Categorias_Registro[[#This Row],[Puntos]]*(1+Categorias_Registro[[#This Row],[Amplitud]]),0),IF(Categorias_Registro[[#This Row],[Puntos]]&lt;D1619,D1619,ROUND(D1619*(1+Categorias_Registro[[#This Row],[Amplitud]]),0)))</f>
        <v>1076</v>
      </c>
      <c r="E1618" s="15">
        <f>E1619+IF(D1619=Categorias_Registro[[#This Row],[Máximo]],0,1)</f>
        <v>18</v>
      </c>
      <c r="F1618" s="15">
        <f>ROUND(Categorias_Registro[[#This Row],[Mínimo]]+((Categorias_Registro[[#This Row],[Máximo]]-Categorias_Registro[[#This Row],[Mínimo]])/2),0)</f>
        <v>1007</v>
      </c>
      <c r="G1618" s="78">
        <f>VLOOKUP(Categorias_Registro[[#This Row],[Puntos]],Categorias_Configuracion[],MATCH(Categorias_Configuracion[[#Headers],[% Amplitud]],Categorias_Configuracion[#Headers],0),TRUE)</f>
        <v>0.15</v>
      </c>
      <c r="H1618" s="15" t="str">
        <f ca="1">TEXT(Categorias_Registro[[#This Row],[Mínimo]],Formato_Rango_Categorias)&amp;" - "&amp;TEXT(Categorias_Registro[[#This Row],[Máximo]],Formato_Rango_Categorias)</f>
        <v>937 - 1.076</v>
      </c>
    </row>
    <row r="1619" spans="2:8">
      <c r="B1619" s="15">
        <f>Techo - ROW() + ROW(Categorias_Registro[])</f>
        <v>1010</v>
      </c>
      <c r="C1619" s="15">
        <f>IF(Categorias_Registro[[#This Row],[Puntos]]&lt;=ROUND(Piso,0),Piso,IF(Categorias_Registro[[#This Row],[Puntos]]&lt;D1620,C1620,D1620+1))</f>
        <v>937</v>
      </c>
      <c r="D1619" s="15">
        <f>IF(Categorias_Registro[[#This Row],[Puntos]]=ROUND(Piso,0),ROUND(Categorias_Registro[[#This Row],[Puntos]]*(1+Categorias_Registro[[#This Row],[Amplitud]]),0),IF(Categorias_Registro[[#This Row],[Puntos]]&lt;D1620,D1620,ROUND(D1620*(1+Categorias_Registro[[#This Row],[Amplitud]]),0)))</f>
        <v>1076</v>
      </c>
      <c r="E1619" s="15">
        <f>E1620+IF(D1620=Categorias_Registro[[#This Row],[Máximo]],0,1)</f>
        <v>18</v>
      </c>
      <c r="F1619" s="15">
        <f>ROUND(Categorias_Registro[[#This Row],[Mínimo]]+((Categorias_Registro[[#This Row],[Máximo]]-Categorias_Registro[[#This Row],[Mínimo]])/2),0)</f>
        <v>1007</v>
      </c>
      <c r="G1619" s="78">
        <f>VLOOKUP(Categorias_Registro[[#This Row],[Puntos]],Categorias_Configuracion[],MATCH(Categorias_Configuracion[[#Headers],[% Amplitud]],Categorias_Configuracion[#Headers],0),TRUE)</f>
        <v>0.15</v>
      </c>
      <c r="H1619" s="15" t="str">
        <f ca="1">TEXT(Categorias_Registro[[#This Row],[Mínimo]],Formato_Rango_Categorias)&amp;" - "&amp;TEXT(Categorias_Registro[[#This Row],[Máximo]],Formato_Rango_Categorias)</f>
        <v>937 - 1.076</v>
      </c>
    </row>
    <row r="1620" spans="2:8">
      <c r="B1620" s="15">
        <f>Techo - ROW() + ROW(Categorias_Registro[])</f>
        <v>1009</v>
      </c>
      <c r="C1620" s="15">
        <f>IF(Categorias_Registro[[#This Row],[Puntos]]&lt;=ROUND(Piso,0),Piso,IF(Categorias_Registro[[#This Row],[Puntos]]&lt;D1621,C1621,D1621+1))</f>
        <v>937</v>
      </c>
      <c r="D1620" s="15">
        <f>IF(Categorias_Registro[[#This Row],[Puntos]]=ROUND(Piso,0),ROUND(Categorias_Registro[[#This Row],[Puntos]]*(1+Categorias_Registro[[#This Row],[Amplitud]]),0),IF(Categorias_Registro[[#This Row],[Puntos]]&lt;D1621,D1621,ROUND(D1621*(1+Categorias_Registro[[#This Row],[Amplitud]]),0)))</f>
        <v>1076</v>
      </c>
      <c r="E1620" s="15">
        <f>E1621+IF(D1621=Categorias_Registro[[#This Row],[Máximo]],0,1)</f>
        <v>18</v>
      </c>
      <c r="F1620" s="15">
        <f>ROUND(Categorias_Registro[[#This Row],[Mínimo]]+((Categorias_Registro[[#This Row],[Máximo]]-Categorias_Registro[[#This Row],[Mínimo]])/2),0)</f>
        <v>1007</v>
      </c>
      <c r="G1620" s="78">
        <f>VLOOKUP(Categorias_Registro[[#This Row],[Puntos]],Categorias_Configuracion[],MATCH(Categorias_Configuracion[[#Headers],[% Amplitud]],Categorias_Configuracion[#Headers],0),TRUE)</f>
        <v>0.15</v>
      </c>
      <c r="H1620" s="15" t="str">
        <f ca="1">TEXT(Categorias_Registro[[#This Row],[Mínimo]],Formato_Rango_Categorias)&amp;" - "&amp;TEXT(Categorias_Registro[[#This Row],[Máximo]],Formato_Rango_Categorias)</f>
        <v>937 - 1.076</v>
      </c>
    </row>
    <row r="1621" spans="2:8">
      <c r="B1621" s="15">
        <f>Techo - ROW() + ROW(Categorias_Registro[])</f>
        <v>1008</v>
      </c>
      <c r="C1621" s="15">
        <f>IF(Categorias_Registro[[#This Row],[Puntos]]&lt;=ROUND(Piso,0),Piso,IF(Categorias_Registro[[#This Row],[Puntos]]&lt;D1622,C1622,D1622+1))</f>
        <v>937</v>
      </c>
      <c r="D1621" s="15">
        <f>IF(Categorias_Registro[[#This Row],[Puntos]]=ROUND(Piso,0),ROUND(Categorias_Registro[[#This Row],[Puntos]]*(1+Categorias_Registro[[#This Row],[Amplitud]]),0),IF(Categorias_Registro[[#This Row],[Puntos]]&lt;D1622,D1622,ROUND(D1622*(1+Categorias_Registro[[#This Row],[Amplitud]]),0)))</f>
        <v>1076</v>
      </c>
      <c r="E1621" s="15">
        <f>E1622+IF(D1622=Categorias_Registro[[#This Row],[Máximo]],0,1)</f>
        <v>18</v>
      </c>
      <c r="F1621" s="15">
        <f>ROUND(Categorias_Registro[[#This Row],[Mínimo]]+((Categorias_Registro[[#This Row],[Máximo]]-Categorias_Registro[[#This Row],[Mínimo]])/2),0)</f>
        <v>1007</v>
      </c>
      <c r="G1621" s="78">
        <f>VLOOKUP(Categorias_Registro[[#This Row],[Puntos]],Categorias_Configuracion[],MATCH(Categorias_Configuracion[[#Headers],[% Amplitud]],Categorias_Configuracion[#Headers],0),TRUE)</f>
        <v>0.15</v>
      </c>
      <c r="H1621" s="15" t="str">
        <f ca="1">TEXT(Categorias_Registro[[#This Row],[Mínimo]],Formato_Rango_Categorias)&amp;" - "&amp;TEXT(Categorias_Registro[[#This Row],[Máximo]],Formato_Rango_Categorias)</f>
        <v>937 - 1.076</v>
      </c>
    </row>
    <row r="1622" spans="2:8">
      <c r="B1622" s="15">
        <f>Techo - ROW() + ROW(Categorias_Registro[])</f>
        <v>1007</v>
      </c>
      <c r="C1622" s="15">
        <f>IF(Categorias_Registro[[#This Row],[Puntos]]&lt;=ROUND(Piso,0),Piso,IF(Categorias_Registro[[#This Row],[Puntos]]&lt;D1623,C1623,D1623+1))</f>
        <v>937</v>
      </c>
      <c r="D1622" s="15">
        <f>IF(Categorias_Registro[[#This Row],[Puntos]]=ROUND(Piso,0),ROUND(Categorias_Registro[[#This Row],[Puntos]]*(1+Categorias_Registro[[#This Row],[Amplitud]]),0),IF(Categorias_Registro[[#This Row],[Puntos]]&lt;D1623,D1623,ROUND(D1623*(1+Categorias_Registro[[#This Row],[Amplitud]]),0)))</f>
        <v>1076</v>
      </c>
      <c r="E1622" s="15">
        <f>E1623+IF(D1623=Categorias_Registro[[#This Row],[Máximo]],0,1)</f>
        <v>18</v>
      </c>
      <c r="F1622" s="15">
        <f>ROUND(Categorias_Registro[[#This Row],[Mínimo]]+((Categorias_Registro[[#This Row],[Máximo]]-Categorias_Registro[[#This Row],[Mínimo]])/2),0)</f>
        <v>1007</v>
      </c>
      <c r="G1622" s="78">
        <f>VLOOKUP(Categorias_Registro[[#This Row],[Puntos]],Categorias_Configuracion[],MATCH(Categorias_Configuracion[[#Headers],[% Amplitud]],Categorias_Configuracion[#Headers],0),TRUE)</f>
        <v>0.15</v>
      </c>
      <c r="H1622" s="15" t="str">
        <f ca="1">TEXT(Categorias_Registro[[#This Row],[Mínimo]],Formato_Rango_Categorias)&amp;" - "&amp;TEXT(Categorias_Registro[[#This Row],[Máximo]],Formato_Rango_Categorias)</f>
        <v>937 - 1.076</v>
      </c>
    </row>
    <row r="1623" spans="2:8">
      <c r="B1623" s="15">
        <f>Techo - ROW() + ROW(Categorias_Registro[])</f>
        <v>1006</v>
      </c>
      <c r="C1623" s="15">
        <f>IF(Categorias_Registro[[#This Row],[Puntos]]&lt;=ROUND(Piso,0),Piso,IF(Categorias_Registro[[#This Row],[Puntos]]&lt;D1624,C1624,D1624+1))</f>
        <v>937</v>
      </c>
      <c r="D1623" s="15">
        <f>IF(Categorias_Registro[[#This Row],[Puntos]]=ROUND(Piso,0),ROUND(Categorias_Registro[[#This Row],[Puntos]]*(1+Categorias_Registro[[#This Row],[Amplitud]]),0),IF(Categorias_Registro[[#This Row],[Puntos]]&lt;D1624,D1624,ROUND(D1624*(1+Categorias_Registro[[#This Row],[Amplitud]]),0)))</f>
        <v>1076</v>
      </c>
      <c r="E1623" s="15">
        <f>E1624+IF(D1624=Categorias_Registro[[#This Row],[Máximo]],0,1)</f>
        <v>18</v>
      </c>
      <c r="F1623" s="15">
        <f>ROUND(Categorias_Registro[[#This Row],[Mínimo]]+((Categorias_Registro[[#This Row],[Máximo]]-Categorias_Registro[[#This Row],[Mínimo]])/2),0)</f>
        <v>1007</v>
      </c>
      <c r="G1623" s="78">
        <f>VLOOKUP(Categorias_Registro[[#This Row],[Puntos]],Categorias_Configuracion[],MATCH(Categorias_Configuracion[[#Headers],[% Amplitud]],Categorias_Configuracion[#Headers],0),TRUE)</f>
        <v>0.15</v>
      </c>
      <c r="H1623" s="15" t="str">
        <f ca="1">TEXT(Categorias_Registro[[#This Row],[Mínimo]],Formato_Rango_Categorias)&amp;" - "&amp;TEXT(Categorias_Registro[[#This Row],[Máximo]],Formato_Rango_Categorias)</f>
        <v>937 - 1.076</v>
      </c>
    </row>
    <row r="1624" spans="2:8">
      <c r="B1624" s="15">
        <f>Techo - ROW() + ROW(Categorias_Registro[])</f>
        <v>1005</v>
      </c>
      <c r="C1624" s="15">
        <f>IF(Categorias_Registro[[#This Row],[Puntos]]&lt;=ROUND(Piso,0),Piso,IF(Categorias_Registro[[#This Row],[Puntos]]&lt;D1625,C1625,D1625+1))</f>
        <v>937</v>
      </c>
      <c r="D1624" s="15">
        <f>IF(Categorias_Registro[[#This Row],[Puntos]]=ROUND(Piso,0),ROUND(Categorias_Registro[[#This Row],[Puntos]]*(1+Categorias_Registro[[#This Row],[Amplitud]]),0),IF(Categorias_Registro[[#This Row],[Puntos]]&lt;D1625,D1625,ROUND(D1625*(1+Categorias_Registro[[#This Row],[Amplitud]]),0)))</f>
        <v>1076</v>
      </c>
      <c r="E1624" s="15">
        <f>E1625+IF(D1625=Categorias_Registro[[#This Row],[Máximo]],0,1)</f>
        <v>18</v>
      </c>
      <c r="F1624" s="15">
        <f>ROUND(Categorias_Registro[[#This Row],[Mínimo]]+((Categorias_Registro[[#This Row],[Máximo]]-Categorias_Registro[[#This Row],[Mínimo]])/2),0)</f>
        <v>1007</v>
      </c>
      <c r="G1624" s="78">
        <f>VLOOKUP(Categorias_Registro[[#This Row],[Puntos]],Categorias_Configuracion[],MATCH(Categorias_Configuracion[[#Headers],[% Amplitud]],Categorias_Configuracion[#Headers],0),TRUE)</f>
        <v>0.15</v>
      </c>
      <c r="H1624" s="15" t="str">
        <f ca="1">TEXT(Categorias_Registro[[#This Row],[Mínimo]],Formato_Rango_Categorias)&amp;" - "&amp;TEXT(Categorias_Registro[[#This Row],[Máximo]],Formato_Rango_Categorias)</f>
        <v>937 - 1.076</v>
      </c>
    </row>
    <row r="1625" spans="2:8">
      <c r="B1625" s="15">
        <f>Techo - ROW() + ROW(Categorias_Registro[])</f>
        <v>1004</v>
      </c>
      <c r="C1625" s="15">
        <f>IF(Categorias_Registro[[#This Row],[Puntos]]&lt;=ROUND(Piso,0),Piso,IF(Categorias_Registro[[#This Row],[Puntos]]&lt;D1626,C1626,D1626+1))</f>
        <v>937</v>
      </c>
      <c r="D1625" s="15">
        <f>IF(Categorias_Registro[[#This Row],[Puntos]]=ROUND(Piso,0),ROUND(Categorias_Registro[[#This Row],[Puntos]]*(1+Categorias_Registro[[#This Row],[Amplitud]]),0),IF(Categorias_Registro[[#This Row],[Puntos]]&lt;D1626,D1626,ROUND(D1626*(1+Categorias_Registro[[#This Row],[Amplitud]]),0)))</f>
        <v>1076</v>
      </c>
      <c r="E1625" s="15">
        <f>E1626+IF(D1626=Categorias_Registro[[#This Row],[Máximo]],0,1)</f>
        <v>18</v>
      </c>
      <c r="F1625" s="15">
        <f>ROUND(Categorias_Registro[[#This Row],[Mínimo]]+((Categorias_Registro[[#This Row],[Máximo]]-Categorias_Registro[[#This Row],[Mínimo]])/2),0)</f>
        <v>1007</v>
      </c>
      <c r="G1625" s="78">
        <f>VLOOKUP(Categorias_Registro[[#This Row],[Puntos]],Categorias_Configuracion[],MATCH(Categorias_Configuracion[[#Headers],[% Amplitud]],Categorias_Configuracion[#Headers],0),TRUE)</f>
        <v>0.15</v>
      </c>
      <c r="H1625" s="15" t="str">
        <f ca="1">TEXT(Categorias_Registro[[#This Row],[Mínimo]],Formato_Rango_Categorias)&amp;" - "&amp;TEXT(Categorias_Registro[[#This Row],[Máximo]],Formato_Rango_Categorias)</f>
        <v>937 - 1.076</v>
      </c>
    </row>
    <row r="1626" spans="2:8">
      <c r="B1626" s="15">
        <f>Techo - ROW() + ROW(Categorias_Registro[])</f>
        <v>1003</v>
      </c>
      <c r="C1626" s="15">
        <f>IF(Categorias_Registro[[#This Row],[Puntos]]&lt;=ROUND(Piso,0),Piso,IF(Categorias_Registro[[#This Row],[Puntos]]&lt;D1627,C1627,D1627+1))</f>
        <v>937</v>
      </c>
      <c r="D1626" s="15">
        <f>IF(Categorias_Registro[[#This Row],[Puntos]]=ROUND(Piso,0),ROUND(Categorias_Registro[[#This Row],[Puntos]]*(1+Categorias_Registro[[#This Row],[Amplitud]]),0),IF(Categorias_Registro[[#This Row],[Puntos]]&lt;D1627,D1627,ROUND(D1627*(1+Categorias_Registro[[#This Row],[Amplitud]]),0)))</f>
        <v>1076</v>
      </c>
      <c r="E1626" s="15">
        <f>E1627+IF(D1627=Categorias_Registro[[#This Row],[Máximo]],0,1)</f>
        <v>18</v>
      </c>
      <c r="F1626" s="15">
        <f>ROUND(Categorias_Registro[[#This Row],[Mínimo]]+((Categorias_Registro[[#This Row],[Máximo]]-Categorias_Registro[[#This Row],[Mínimo]])/2),0)</f>
        <v>1007</v>
      </c>
      <c r="G1626" s="78">
        <f>VLOOKUP(Categorias_Registro[[#This Row],[Puntos]],Categorias_Configuracion[],MATCH(Categorias_Configuracion[[#Headers],[% Amplitud]],Categorias_Configuracion[#Headers],0),TRUE)</f>
        <v>0.15</v>
      </c>
      <c r="H1626" s="15" t="str">
        <f ca="1">TEXT(Categorias_Registro[[#This Row],[Mínimo]],Formato_Rango_Categorias)&amp;" - "&amp;TEXT(Categorias_Registro[[#This Row],[Máximo]],Formato_Rango_Categorias)</f>
        <v>937 - 1.076</v>
      </c>
    </row>
    <row r="1627" spans="2:8">
      <c r="B1627" s="15">
        <f>Techo - ROW() + ROW(Categorias_Registro[])</f>
        <v>1002</v>
      </c>
      <c r="C1627" s="15">
        <f>IF(Categorias_Registro[[#This Row],[Puntos]]&lt;=ROUND(Piso,0),Piso,IF(Categorias_Registro[[#This Row],[Puntos]]&lt;D1628,C1628,D1628+1))</f>
        <v>937</v>
      </c>
      <c r="D1627" s="15">
        <f>IF(Categorias_Registro[[#This Row],[Puntos]]=ROUND(Piso,0),ROUND(Categorias_Registro[[#This Row],[Puntos]]*(1+Categorias_Registro[[#This Row],[Amplitud]]),0),IF(Categorias_Registro[[#This Row],[Puntos]]&lt;D1628,D1628,ROUND(D1628*(1+Categorias_Registro[[#This Row],[Amplitud]]),0)))</f>
        <v>1076</v>
      </c>
      <c r="E1627" s="15">
        <f>E1628+IF(D1628=Categorias_Registro[[#This Row],[Máximo]],0,1)</f>
        <v>18</v>
      </c>
      <c r="F1627" s="15">
        <f>ROUND(Categorias_Registro[[#This Row],[Mínimo]]+((Categorias_Registro[[#This Row],[Máximo]]-Categorias_Registro[[#This Row],[Mínimo]])/2),0)</f>
        <v>1007</v>
      </c>
      <c r="G1627" s="78">
        <f>VLOOKUP(Categorias_Registro[[#This Row],[Puntos]],Categorias_Configuracion[],MATCH(Categorias_Configuracion[[#Headers],[% Amplitud]],Categorias_Configuracion[#Headers],0),TRUE)</f>
        <v>0.15</v>
      </c>
      <c r="H1627" s="15" t="str">
        <f ca="1">TEXT(Categorias_Registro[[#This Row],[Mínimo]],Formato_Rango_Categorias)&amp;" - "&amp;TEXT(Categorias_Registro[[#This Row],[Máximo]],Formato_Rango_Categorias)</f>
        <v>937 - 1.076</v>
      </c>
    </row>
    <row r="1628" spans="2:8">
      <c r="B1628" s="15">
        <f>Techo - ROW() + ROW(Categorias_Registro[])</f>
        <v>1001</v>
      </c>
      <c r="C1628" s="15">
        <f>IF(Categorias_Registro[[#This Row],[Puntos]]&lt;=ROUND(Piso,0),Piso,IF(Categorias_Registro[[#This Row],[Puntos]]&lt;D1629,C1629,D1629+1))</f>
        <v>937</v>
      </c>
      <c r="D1628" s="15">
        <f>IF(Categorias_Registro[[#This Row],[Puntos]]=ROUND(Piso,0),ROUND(Categorias_Registro[[#This Row],[Puntos]]*(1+Categorias_Registro[[#This Row],[Amplitud]]),0),IF(Categorias_Registro[[#This Row],[Puntos]]&lt;D1629,D1629,ROUND(D1629*(1+Categorias_Registro[[#This Row],[Amplitud]]),0)))</f>
        <v>1076</v>
      </c>
      <c r="E1628" s="15">
        <f>E1629+IF(D1629=Categorias_Registro[[#This Row],[Máximo]],0,1)</f>
        <v>18</v>
      </c>
      <c r="F1628" s="15">
        <f>ROUND(Categorias_Registro[[#This Row],[Mínimo]]+((Categorias_Registro[[#This Row],[Máximo]]-Categorias_Registro[[#This Row],[Mínimo]])/2),0)</f>
        <v>1007</v>
      </c>
      <c r="G1628" s="78">
        <f>VLOOKUP(Categorias_Registro[[#This Row],[Puntos]],Categorias_Configuracion[],MATCH(Categorias_Configuracion[[#Headers],[% Amplitud]],Categorias_Configuracion[#Headers],0),TRUE)</f>
        <v>0.15</v>
      </c>
      <c r="H1628" s="15" t="str">
        <f ca="1">TEXT(Categorias_Registro[[#This Row],[Mínimo]],Formato_Rango_Categorias)&amp;" - "&amp;TEXT(Categorias_Registro[[#This Row],[Máximo]],Formato_Rango_Categorias)</f>
        <v>937 - 1.076</v>
      </c>
    </row>
    <row r="1629" spans="2:8">
      <c r="B1629" s="15">
        <f>Techo - ROW() + ROW(Categorias_Registro[])</f>
        <v>1000</v>
      </c>
      <c r="C1629" s="15">
        <f>IF(Categorias_Registro[[#This Row],[Puntos]]&lt;=ROUND(Piso,0),Piso,IF(Categorias_Registro[[#This Row],[Puntos]]&lt;D1630,C1630,D1630+1))</f>
        <v>937</v>
      </c>
      <c r="D1629" s="15">
        <f>IF(Categorias_Registro[[#This Row],[Puntos]]=ROUND(Piso,0),ROUND(Categorias_Registro[[#This Row],[Puntos]]*(1+Categorias_Registro[[#This Row],[Amplitud]]),0),IF(Categorias_Registro[[#This Row],[Puntos]]&lt;D1630,D1630,ROUND(D1630*(1+Categorias_Registro[[#This Row],[Amplitud]]),0)))</f>
        <v>1076</v>
      </c>
      <c r="E1629" s="15">
        <f>E1630+IF(D1630=Categorias_Registro[[#This Row],[Máximo]],0,1)</f>
        <v>18</v>
      </c>
      <c r="F1629" s="15">
        <f>ROUND(Categorias_Registro[[#This Row],[Mínimo]]+((Categorias_Registro[[#This Row],[Máximo]]-Categorias_Registro[[#This Row],[Mínimo]])/2),0)</f>
        <v>1007</v>
      </c>
      <c r="G1629" s="78">
        <f>VLOOKUP(Categorias_Registro[[#This Row],[Puntos]],Categorias_Configuracion[],MATCH(Categorias_Configuracion[[#Headers],[% Amplitud]],Categorias_Configuracion[#Headers],0),TRUE)</f>
        <v>0.15</v>
      </c>
      <c r="H1629" s="15" t="str">
        <f ca="1">TEXT(Categorias_Registro[[#This Row],[Mínimo]],Formato_Rango_Categorias)&amp;" - "&amp;TEXT(Categorias_Registro[[#This Row],[Máximo]],Formato_Rango_Categorias)</f>
        <v>937 - 1.076</v>
      </c>
    </row>
    <row r="1630" spans="2:8">
      <c r="B1630" s="15">
        <f>Techo - ROW() + ROW(Categorias_Registro[])</f>
        <v>999</v>
      </c>
      <c r="C1630" s="15">
        <f>IF(Categorias_Registro[[#This Row],[Puntos]]&lt;=ROUND(Piso,0),Piso,IF(Categorias_Registro[[#This Row],[Puntos]]&lt;D1631,C1631,D1631+1))</f>
        <v>937</v>
      </c>
      <c r="D1630" s="15">
        <f>IF(Categorias_Registro[[#This Row],[Puntos]]=ROUND(Piso,0),ROUND(Categorias_Registro[[#This Row],[Puntos]]*(1+Categorias_Registro[[#This Row],[Amplitud]]),0),IF(Categorias_Registro[[#This Row],[Puntos]]&lt;D1631,D1631,ROUND(D1631*(1+Categorias_Registro[[#This Row],[Amplitud]]),0)))</f>
        <v>1076</v>
      </c>
      <c r="E1630" s="15">
        <f>E1631+IF(D1631=Categorias_Registro[[#This Row],[Máximo]],0,1)</f>
        <v>18</v>
      </c>
      <c r="F1630" s="15">
        <f>ROUND(Categorias_Registro[[#This Row],[Mínimo]]+((Categorias_Registro[[#This Row],[Máximo]]-Categorias_Registro[[#This Row],[Mínimo]])/2),0)</f>
        <v>1007</v>
      </c>
      <c r="G1630" s="78">
        <f>VLOOKUP(Categorias_Registro[[#This Row],[Puntos]],Categorias_Configuracion[],MATCH(Categorias_Configuracion[[#Headers],[% Amplitud]],Categorias_Configuracion[#Headers],0),TRUE)</f>
        <v>0.15</v>
      </c>
      <c r="H1630" s="15" t="str">
        <f ca="1">TEXT(Categorias_Registro[[#This Row],[Mínimo]],Formato_Rango_Categorias)&amp;" - "&amp;TEXT(Categorias_Registro[[#This Row],[Máximo]],Formato_Rango_Categorias)</f>
        <v>937 - 1.076</v>
      </c>
    </row>
    <row r="1631" spans="2:8">
      <c r="B1631" s="15">
        <f>Techo - ROW() + ROW(Categorias_Registro[])</f>
        <v>998</v>
      </c>
      <c r="C1631" s="15">
        <f>IF(Categorias_Registro[[#This Row],[Puntos]]&lt;=ROUND(Piso,0),Piso,IF(Categorias_Registro[[#This Row],[Puntos]]&lt;D1632,C1632,D1632+1))</f>
        <v>937</v>
      </c>
      <c r="D1631" s="15">
        <f>IF(Categorias_Registro[[#This Row],[Puntos]]=ROUND(Piso,0),ROUND(Categorias_Registro[[#This Row],[Puntos]]*(1+Categorias_Registro[[#This Row],[Amplitud]]),0),IF(Categorias_Registro[[#This Row],[Puntos]]&lt;D1632,D1632,ROUND(D1632*(1+Categorias_Registro[[#This Row],[Amplitud]]),0)))</f>
        <v>1076</v>
      </c>
      <c r="E1631" s="15">
        <f>E1632+IF(D1632=Categorias_Registro[[#This Row],[Máximo]],0,1)</f>
        <v>18</v>
      </c>
      <c r="F1631" s="15">
        <f>ROUND(Categorias_Registro[[#This Row],[Mínimo]]+((Categorias_Registro[[#This Row],[Máximo]]-Categorias_Registro[[#This Row],[Mínimo]])/2),0)</f>
        <v>1007</v>
      </c>
      <c r="G1631" s="78">
        <f>VLOOKUP(Categorias_Registro[[#This Row],[Puntos]],Categorias_Configuracion[],MATCH(Categorias_Configuracion[[#Headers],[% Amplitud]],Categorias_Configuracion[#Headers],0),TRUE)</f>
        <v>0.15</v>
      </c>
      <c r="H1631" s="15" t="str">
        <f ca="1">TEXT(Categorias_Registro[[#This Row],[Mínimo]],Formato_Rango_Categorias)&amp;" - "&amp;TEXT(Categorias_Registro[[#This Row],[Máximo]],Formato_Rango_Categorias)</f>
        <v>937 - 1.076</v>
      </c>
    </row>
    <row r="1632" spans="2:8">
      <c r="B1632" s="15">
        <f>Techo - ROW() + ROW(Categorias_Registro[])</f>
        <v>997</v>
      </c>
      <c r="C1632" s="15">
        <f>IF(Categorias_Registro[[#This Row],[Puntos]]&lt;=ROUND(Piso,0),Piso,IF(Categorias_Registro[[#This Row],[Puntos]]&lt;D1633,C1633,D1633+1))</f>
        <v>937</v>
      </c>
      <c r="D1632" s="15">
        <f>IF(Categorias_Registro[[#This Row],[Puntos]]=ROUND(Piso,0),ROUND(Categorias_Registro[[#This Row],[Puntos]]*(1+Categorias_Registro[[#This Row],[Amplitud]]),0),IF(Categorias_Registro[[#This Row],[Puntos]]&lt;D1633,D1633,ROUND(D1633*(1+Categorias_Registro[[#This Row],[Amplitud]]),0)))</f>
        <v>1076</v>
      </c>
      <c r="E1632" s="15">
        <f>E1633+IF(D1633=Categorias_Registro[[#This Row],[Máximo]],0,1)</f>
        <v>18</v>
      </c>
      <c r="F1632" s="15">
        <f>ROUND(Categorias_Registro[[#This Row],[Mínimo]]+((Categorias_Registro[[#This Row],[Máximo]]-Categorias_Registro[[#This Row],[Mínimo]])/2),0)</f>
        <v>1007</v>
      </c>
      <c r="G1632" s="78">
        <f>VLOOKUP(Categorias_Registro[[#This Row],[Puntos]],Categorias_Configuracion[],MATCH(Categorias_Configuracion[[#Headers],[% Amplitud]],Categorias_Configuracion[#Headers],0),TRUE)</f>
        <v>0.15</v>
      </c>
      <c r="H1632" s="15" t="str">
        <f ca="1">TEXT(Categorias_Registro[[#This Row],[Mínimo]],Formato_Rango_Categorias)&amp;" - "&amp;TEXT(Categorias_Registro[[#This Row],[Máximo]],Formato_Rango_Categorias)</f>
        <v>937 - 1.076</v>
      </c>
    </row>
    <row r="1633" spans="2:8">
      <c r="B1633" s="15">
        <f>Techo - ROW() + ROW(Categorias_Registro[])</f>
        <v>996</v>
      </c>
      <c r="C1633" s="15">
        <f>IF(Categorias_Registro[[#This Row],[Puntos]]&lt;=ROUND(Piso,0),Piso,IF(Categorias_Registro[[#This Row],[Puntos]]&lt;D1634,C1634,D1634+1))</f>
        <v>937</v>
      </c>
      <c r="D1633" s="15">
        <f>IF(Categorias_Registro[[#This Row],[Puntos]]=ROUND(Piso,0),ROUND(Categorias_Registro[[#This Row],[Puntos]]*(1+Categorias_Registro[[#This Row],[Amplitud]]),0),IF(Categorias_Registro[[#This Row],[Puntos]]&lt;D1634,D1634,ROUND(D1634*(1+Categorias_Registro[[#This Row],[Amplitud]]),0)))</f>
        <v>1076</v>
      </c>
      <c r="E1633" s="15">
        <f>E1634+IF(D1634=Categorias_Registro[[#This Row],[Máximo]],0,1)</f>
        <v>18</v>
      </c>
      <c r="F1633" s="15">
        <f>ROUND(Categorias_Registro[[#This Row],[Mínimo]]+((Categorias_Registro[[#This Row],[Máximo]]-Categorias_Registro[[#This Row],[Mínimo]])/2),0)</f>
        <v>1007</v>
      </c>
      <c r="G1633" s="78">
        <f>VLOOKUP(Categorias_Registro[[#This Row],[Puntos]],Categorias_Configuracion[],MATCH(Categorias_Configuracion[[#Headers],[% Amplitud]],Categorias_Configuracion[#Headers],0),TRUE)</f>
        <v>0.15</v>
      </c>
      <c r="H1633" s="15" t="str">
        <f ca="1">TEXT(Categorias_Registro[[#This Row],[Mínimo]],Formato_Rango_Categorias)&amp;" - "&amp;TEXT(Categorias_Registro[[#This Row],[Máximo]],Formato_Rango_Categorias)</f>
        <v>937 - 1.076</v>
      </c>
    </row>
    <row r="1634" spans="2:8">
      <c r="B1634" s="15">
        <f>Techo - ROW() + ROW(Categorias_Registro[])</f>
        <v>995</v>
      </c>
      <c r="C1634" s="15">
        <f>IF(Categorias_Registro[[#This Row],[Puntos]]&lt;=ROUND(Piso,0),Piso,IF(Categorias_Registro[[#This Row],[Puntos]]&lt;D1635,C1635,D1635+1))</f>
        <v>937</v>
      </c>
      <c r="D1634" s="15">
        <f>IF(Categorias_Registro[[#This Row],[Puntos]]=ROUND(Piso,0),ROUND(Categorias_Registro[[#This Row],[Puntos]]*(1+Categorias_Registro[[#This Row],[Amplitud]]),0),IF(Categorias_Registro[[#This Row],[Puntos]]&lt;D1635,D1635,ROUND(D1635*(1+Categorias_Registro[[#This Row],[Amplitud]]),0)))</f>
        <v>1076</v>
      </c>
      <c r="E1634" s="15">
        <f>E1635+IF(D1635=Categorias_Registro[[#This Row],[Máximo]],0,1)</f>
        <v>18</v>
      </c>
      <c r="F1634" s="15">
        <f>ROUND(Categorias_Registro[[#This Row],[Mínimo]]+((Categorias_Registro[[#This Row],[Máximo]]-Categorias_Registro[[#This Row],[Mínimo]])/2),0)</f>
        <v>1007</v>
      </c>
      <c r="G1634" s="78">
        <f>VLOOKUP(Categorias_Registro[[#This Row],[Puntos]],Categorias_Configuracion[],MATCH(Categorias_Configuracion[[#Headers],[% Amplitud]],Categorias_Configuracion[#Headers],0),TRUE)</f>
        <v>0.15</v>
      </c>
      <c r="H1634" s="15" t="str">
        <f ca="1">TEXT(Categorias_Registro[[#This Row],[Mínimo]],Formato_Rango_Categorias)&amp;" - "&amp;TEXT(Categorias_Registro[[#This Row],[Máximo]],Formato_Rango_Categorias)</f>
        <v>937 - 1.076</v>
      </c>
    </row>
    <row r="1635" spans="2:8">
      <c r="B1635" s="15">
        <f>Techo - ROW() + ROW(Categorias_Registro[])</f>
        <v>994</v>
      </c>
      <c r="C1635" s="15">
        <f>IF(Categorias_Registro[[#This Row],[Puntos]]&lt;=ROUND(Piso,0),Piso,IF(Categorias_Registro[[#This Row],[Puntos]]&lt;D1636,C1636,D1636+1))</f>
        <v>937</v>
      </c>
      <c r="D1635" s="15">
        <f>IF(Categorias_Registro[[#This Row],[Puntos]]=ROUND(Piso,0),ROUND(Categorias_Registro[[#This Row],[Puntos]]*(1+Categorias_Registro[[#This Row],[Amplitud]]),0),IF(Categorias_Registro[[#This Row],[Puntos]]&lt;D1636,D1636,ROUND(D1636*(1+Categorias_Registro[[#This Row],[Amplitud]]),0)))</f>
        <v>1076</v>
      </c>
      <c r="E1635" s="15">
        <f>E1636+IF(D1636=Categorias_Registro[[#This Row],[Máximo]],0,1)</f>
        <v>18</v>
      </c>
      <c r="F1635" s="15">
        <f>ROUND(Categorias_Registro[[#This Row],[Mínimo]]+((Categorias_Registro[[#This Row],[Máximo]]-Categorias_Registro[[#This Row],[Mínimo]])/2),0)</f>
        <v>1007</v>
      </c>
      <c r="G1635" s="78">
        <f>VLOOKUP(Categorias_Registro[[#This Row],[Puntos]],Categorias_Configuracion[],MATCH(Categorias_Configuracion[[#Headers],[% Amplitud]],Categorias_Configuracion[#Headers],0),TRUE)</f>
        <v>0.15</v>
      </c>
      <c r="H1635" s="15" t="str">
        <f ca="1">TEXT(Categorias_Registro[[#This Row],[Mínimo]],Formato_Rango_Categorias)&amp;" - "&amp;TEXT(Categorias_Registro[[#This Row],[Máximo]],Formato_Rango_Categorias)</f>
        <v>937 - 1.076</v>
      </c>
    </row>
    <row r="1636" spans="2:8">
      <c r="B1636" s="15">
        <f>Techo - ROW() + ROW(Categorias_Registro[])</f>
        <v>993</v>
      </c>
      <c r="C1636" s="15">
        <f>IF(Categorias_Registro[[#This Row],[Puntos]]&lt;=ROUND(Piso,0),Piso,IF(Categorias_Registro[[#This Row],[Puntos]]&lt;D1637,C1637,D1637+1))</f>
        <v>937</v>
      </c>
      <c r="D1636" s="15">
        <f>IF(Categorias_Registro[[#This Row],[Puntos]]=ROUND(Piso,0),ROUND(Categorias_Registro[[#This Row],[Puntos]]*(1+Categorias_Registro[[#This Row],[Amplitud]]),0),IF(Categorias_Registro[[#This Row],[Puntos]]&lt;D1637,D1637,ROUND(D1637*(1+Categorias_Registro[[#This Row],[Amplitud]]),0)))</f>
        <v>1076</v>
      </c>
      <c r="E1636" s="15">
        <f>E1637+IF(D1637=Categorias_Registro[[#This Row],[Máximo]],0,1)</f>
        <v>18</v>
      </c>
      <c r="F1636" s="15">
        <f>ROUND(Categorias_Registro[[#This Row],[Mínimo]]+((Categorias_Registro[[#This Row],[Máximo]]-Categorias_Registro[[#This Row],[Mínimo]])/2),0)</f>
        <v>1007</v>
      </c>
      <c r="G1636" s="78">
        <f>VLOOKUP(Categorias_Registro[[#This Row],[Puntos]],Categorias_Configuracion[],MATCH(Categorias_Configuracion[[#Headers],[% Amplitud]],Categorias_Configuracion[#Headers],0),TRUE)</f>
        <v>0.15</v>
      </c>
      <c r="H1636" s="15" t="str">
        <f ca="1">TEXT(Categorias_Registro[[#This Row],[Mínimo]],Formato_Rango_Categorias)&amp;" - "&amp;TEXT(Categorias_Registro[[#This Row],[Máximo]],Formato_Rango_Categorias)</f>
        <v>937 - 1.076</v>
      </c>
    </row>
    <row r="1637" spans="2:8">
      <c r="B1637" s="15">
        <f>Techo - ROW() + ROW(Categorias_Registro[])</f>
        <v>992</v>
      </c>
      <c r="C1637" s="15">
        <f>IF(Categorias_Registro[[#This Row],[Puntos]]&lt;=ROUND(Piso,0),Piso,IF(Categorias_Registro[[#This Row],[Puntos]]&lt;D1638,C1638,D1638+1))</f>
        <v>937</v>
      </c>
      <c r="D1637" s="15">
        <f>IF(Categorias_Registro[[#This Row],[Puntos]]=ROUND(Piso,0),ROUND(Categorias_Registro[[#This Row],[Puntos]]*(1+Categorias_Registro[[#This Row],[Amplitud]]),0),IF(Categorias_Registro[[#This Row],[Puntos]]&lt;D1638,D1638,ROUND(D1638*(1+Categorias_Registro[[#This Row],[Amplitud]]),0)))</f>
        <v>1076</v>
      </c>
      <c r="E1637" s="15">
        <f>E1638+IF(D1638=Categorias_Registro[[#This Row],[Máximo]],0,1)</f>
        <v>18</v>
      </c>
      <c r="F1637" s="15">
        <f>ROUND(Categorias_Registro[[#This Row],[Mínimo]]+((Categorias_Registro[[#This Row],[Máximo]]-Categorias_Registro[[#This Row],[Mínimo]])/2),0)</f>
        <v>1007</v>
      </c>
      <c r="G1637" s="78">
        <f>VLOOKUP(Categorias_Registro[[#This Row],[Puntos]],Categorias_Configuracion[],MATCH(Categorias_Configuracion[[#Headers],[% Amplitud]],Categorias_Configuracion[#Headers],0),TRUE)</f>
        <v>0.15</v>
      </c>
      <c r="H1637" s="15" t="str">
        <f ca="1">TEXT(Categorias_Registro[[#This Row],[Mínimo]],Formato_Rango_Categorias)&amp;" - "&amp;TEXT(Categorias_Registro[[#This Row],[Máximo]],Formato_Rango_Categorias)</f>
        <v>937 - 1.076</v>
      </c>
    </row>
    <row r="1638" spans="2:8">
      <c r="B1638" s="15">
        <f>Techo - ROW() + ROW(Categorias_Registro[])</f>
        <v>991</v>
      </c>
      <c r="C1638" s="15">
        <f>IF(Categorias_Registro[[#This Row],[Puntos]]&lt;=ROUND(Piso,0),Piso,IF(Categorias_Registro[[#This Row],[Puntos]]&lt;D1639,C1639,D1639+1))</f>
        <v>937</v>
      </c>
      <c r="D1638" s="15">
        <f>IF(Categorias_Registro[[#This Row],[Puntos]]=ROUND(Piso,0),ROUND(Categorias_Registro[[#This Row],[Puntos]]*(1+Categorias_Registro[[#This Row],[Amplitud]]),0),IF(Categorias_Registro[[#This Row],[Puntos]]&lt;D1639,D1639,ROUND(D1639*(1+Categorias_Registro[[#This Row],[Amplitud]]),0)))</f>
        <v>1076</v>
      </c>
      <c r="E1638" s="15">
        <f>E1639+IF(D1639=Categorias_Registro[[#This Row],[Máximo]],0,1)</f>
        <v>18</v>
      </c>
      <c r="F1638" s="15">
        <f>ROUND(Categorias_Registro[[#This Row],[Mínimo]]+((Categorias_Registro[[#This Row],[Máximo]]-Categorias_Registro[[#This Row],[Mínimo]])/2),0)</f>
        <v>1007</v>
      </c>
      <c r="G1638" s="78">
        <f>VLOOKUP(Categorias_Registro[[#This Row],[Puntos]],Categorias_Configuracion[],MATCH(Categorias_Configuracion[[#Headers],[% Amplitud]],Categorias_Configuracion[#Headers],0),TRUE)</f>
        <v>0.15</v>
      </c>
      <c r="H1638" s="15" t="str">
        <f ca="1">TEXT(Categorias_Registro[[#This Row],[Mínimo]],Formato_Rango_Categorias)&amp;" - "&amp;TEXT(Categorias_Registro[[#This Row],[Máximo]],Formato_Rango_Categorias)</f>
        <v>937 - 1.076</v>
      </c>
    </row>
    <row r="1639" spans="2:8">
      <c r="B1639" s="15">
        <f>Techo - ROW() + ROW(Categorias_Registro[])</f>
        <v>990</v>
      </c>
      <c r="C1639" s="15">
        <f>IF(Categorias_Registro[[#This Row],[Puntos]]&lt;=ROUND(Piso,0),Piso,IF(Categorias_Registro[[#This Row],[Puntos]]&lt;D1640,C1640,D1640+1))</f>
        <v>937</v>
      </c>
      <c r="D1639" s="15">
        <f>IF(Categorias_Registro[[#This Row],[Puntos]]=ROUND(Piso,0),ROUND(Categorias_Registro[[#This Row],[Puntos]]*(1+Categorias_Registro[[#This Row],[Amplitud]]),0),IF(Categorias_Registro[[#This Row],[Puntos]]&lt;D1640,D1640,ROUND(D1640*(1+Categorias_Registro[[#This Row],[Amplitud]]),0)))</f>
        <v>1076</v>
      </c>
      <c r="E1639" s="15">
        <f>E1640+IF(D1640=Categorias_Registro[[#This Row],[Máximo]],0,1)</f>
        <v>18</v>
      </c>
      <c r="F1639" s="15">
        <f>ROUND(Categorias_Registro[[#This Row],[Mínimo]]+((Categorias_Registro[[#This Row],[Máximo]]-Categorias_Registro[[#This Row],[Mínimo]])/2),0)</f>
        <v>1007</v>
      </c>
      <c r="G1639" s="78">
        <f>VLOOKUP(Categorias_Registro[[#This Row],[Puntos]],Categorias_Configuracion[],MATCH(Categorias_Configuracion[[#Headers],[% Amplitud]],Categorias_Configuracion[#Headers],0),TRUE)</f>
        <v>0.15</v>
      </c>
      <c r="H1639" s="15" t="str">
        <f ca="1">TEXT(Categorias_Registro[[#This Row],[Mínimo]],Formato_Rango_Categorias)&amp;" - "&amp;TEXT(Categorias_Registro[[#This Row],[Máximo]],Formato_Rango_Categorias)</f>
        <v>937 - 1.076</v>
      </c>
    </row>
    <row r="1640" spans="2:8">
      <c r="B1640" s="15">
        <f>Techo - ROW() + ROW(Categorias_Registro[])</f>
        <v>989</v>
      </c>
      <c r="C1640" s="15">
        <f>IF(Categorias_Registro[[#This Row],[Puntos]]&lt;=ROUND(Piso,0),Piso,IF(Categorias_Registro[[#This Row],[Puntos]]&lt;D1641,C1641,D1641+1))</f>
        <v>937</v>
      </c>
      <c r="D1640" s="15">
        <f>IF(Categorias_Registro[[#This Row],[Puntos]]=ROUND(Piso,0),ROUND(Categorias_Registro[[#This Row],[Puntos]]*(1+Categorias_Registro[[#This Row],[Amplitud]]),0),IF(Categorias_Registro[[#This Row],[Puntos]]&lt;D1641,D1641,ROUND(D1641*(1+Categorias_Registro[[#This Row],[Amplitud]]),0)))</f>
        <v>1076</v>
      </c>
      <c r="E1640" s="15">
        <f>E1641+IF(D1641=Categorias_Registro[[#This Row],[Máximo]],0,1)</f>
        <v>18</v>
      </c>
      <c r="F1640" s="15">
        <f>ROUND(Categorias_Registro[[#This Row],[Mínimo]]+((Categorias_Registro[[#This Row],[Máximo]]-Categorias_Registro[[#This Row],[Mínimo]])/2),0)</f>
        <v>1007</v>
      </c>
      <c r="G1640" s="78">
        <f>VLOOKUP(Categorias_Registro[[#This Row],[Puntos]],Categorias_Configuracion[],MATCH(Categorias_Configuracion[[#Headers],[% Amplitud]],Categorias_Configuracion[#Headers],0),TRUE)</f>
        <v>0.15</v>
      </c>
      <c r="H1640" s="15" t="str">
        <f ca="1">TEXT(Categorias_Registro[[#This Row],[Mínimo]],Formato_Rango_Categorias)&amp;" - "&amp;TEXT(Categorias_Registro[[#This Row],[Máximo]],Formato_Rango_Categorias)</f>
        <v>937 - 1.076</v>
      </c>
    </row>
    <row r="1641" spans="2:8">
      <c r="B1641" s="15">
        <f>Techo - ROW() + ROW(Categorias_Registro[])</f>
        <v>988</v>
      </c>
      <c r="C1641" s="15">
        <f>IF(Categorias_Registro[[#This Row],[Puntos]]&lt;=ROUND(Piso,0),Piso,IF(Categorias_Registro[[#This Row],[Puntos]]&lt;D1642,C1642,D1642+1))</f>
        <v>937</v>
      </c>
      <c r="D1641" s="15">
        <f>IF(Categorias_Registro[[#This Row],[Puntos]]=ROUND(Piso,0),ROUND(Categorias_Registro[[#This Row],[Puntos]]*(1+Categorias_Registro[[#This Row],[Amplitud]]),0),IF(Categorias_Registro[[#This Row],[Puntos]]&lt;D1642,D1642,ROUND(D1642*(1+Categorias_Registro[[#This Row],[Amplitud]]),0)))</f>
        <v>1076</v>
      </c>
      <c r="E1641" s="15">
        <f>E1642+IF(D1642=Categorias_Registro[[#This Row],[Máximo]],0,1)</f>
        <v>18</v>
      </c>
      <c r="F1641" s="15">
        <f>ROUND(Categorias_Registro[[#This Row],[Mínimo]]+((Categorias_Registro[[#This Row],[Máximo]]-Categorias_Registro[[#This Row],[Mínimo]])/2),0)</f>
        <v>1007</v>
      </c>
      <c r="G1641" s="78">
        <f>VLOOKUP(Categorias_Registro[[#This Row],[Puntos]],Categorias_Configuracion[],MATCH(Categorias_Configuracion[[#Headers],[% Amplitud]],Categorias_Configuracion[#Headers],0),TRUE)</f>
        <v>0.15</v>
      </c>
      <c r="H1641" s="15" t="str">
        <f ca="1">TEXT(Categorias_Registro[[#This Row],[Mínimo]],Formato_Rango_Categorias)&amp;" - "&amp;TEXT(Categorias_Registro[[#This Row],[Máximo]],Formato_Rango_Categorias)</f>
        <v>937 - 1.076</v>
      </c>
    </row>
    <row r="1642" spans="2:8">
      <c r="B1642" s="15">
        <f>Techo - ROW() + ROW(Categorias_Registro[])</f>
        <v>987</v>
      </c>
      <c r="C1642" s="15">
        <f>IF(Categorias_Registro[[#This Row],[Puntos]]&lt;=ROUND(Piso,0),Piso,IF(Categorias_Registro[[#This Row],[Puntos]]&lt;D1643,C1643,D1643+1))</f>
        <v>937</v>
      </c>
      <c r="D1642" s="15">
        <f>IF(Categorias_Registro[[#This Row],[Puntos]]=ROUND(Piso,0),ROUND(Categorias_Registro[[#This Row],[Puntos]]*(1+Categorias_Registro[[#This Row],[Amplitud]]),0),IF(Categorias_Registro[[#This Row],[Puntos]]&lt;D1643,D1643,ROUND(D1643*(1+Categorias_Registro[[#This Row],[Amplitud]]),0)))</f>
        <v>1076</v>
      </c>
      <c r="E1642" s="15">
        <f>E1643+IF(D1643=Categorias_Registro[[#This Row],[Máximo]],0,1)</f>
        <v>18</v>
      </c>
      <c r="F1642" s="15">
        <f>ROUND(Categorias_Registro[[#This Row],[Mínimo]]+((Categorias_Registro[[#This Row],[Máximo]]-Categorias_Registro[[#This Row],[Mínimo]])/2),0)</f>
        <v>1007</v>
      </c>
      <c r="G1642" s="78">
        <f>VLOOKUP(Categorias_Registro[[#This Row],[Puntos]],Categorias_Configuracion[],MATCH(Categorias_Configuracion[[#Headers],[% Amplitud]],Categorias_Configuracion[#Headers],0),TRUE)</f>
        <v>0.15</v>
      </c>
      <c r="H1642" s="15" t="str">
        <f ca="1">TEXT(Categorias_Registro[[#This Row],[Mínimo]],Formato_Rango_Categorias)&amp;" - "&amp;TEXT(Categorias_Registro[[#This Row],[Máximo]],Formato_Rango_Categorias)</f>
        <v>937 - 1.076</v>
      </c>
    </row>
    <row r="1643" spans="2:8">
      <c r="B1643" s="15">
        <f>Techo - ROW() + ROW(Categorias_Registro[])</f>
        <v>986</v>
      </c>
      <c r="C1643" s="15">
        <f>IF(Categorias_Registro[[#This Row],[Puntos]]&lt;=ROUND(Piso,0),Piso,IF(Categorias_Registro[[#This Row],[Puntos]]&lt;D1644,C1644,D1644+1))</f>
        <v>937</v>
      </c>
      <c r="D1643" s="15">
        <f>IF(Categorias_Registro[[#This Row],[Puntos]]=ROUND(Piso,0),ROUND(Categorias_Registro[[#This Row],[Puntos]]*(1+Categorias_Registro[[#This Row],[Amplitud]]),0),IF(Categorias_Registro[[#This Row],[Puntos]]&lt;D1644,D1644,ROUND(D1644*(1+Categorias_Registro[[#This Row],[Amplitud]]),0)))</f>
        <v>1076</v>
      </c>
      <c r="E1643" s="15">
        <f>E1644+IF(D1644=Categorias_Registro[[#This Row],[Máximo]],0,1)</f>
        <v>18</v>
      </c>
      <c r="F1643" s="15">
        <f>ROUND(Categorias_Registro[[#This Row],[Mínimo]]+((Categorias_Registro[[#This Row],[Máximo]]-Categorias_Registro[[#This Row],[Mínimo]])/2),0)</f>
        <v>1007</v>
      </c>
      <c r="G1643" s="78">
        <f>VLOOKUP(Categorias_Registro[[#This Row],[Puntos]],Categorias_Configuracion[],MATCH(Categorias_Configuracion[[#Headers],[% Amplitud]],Categorias_Configuracion[#Headers],0),TRUE)</f>
        <v>0.15</v>
      </c>
      <c r="H1643" s="15" t="str">
        <f ca="1">TEXT(Categorias_Registro[[#This Row],[Mínimo]],Formato_Rango_Categorias)&amp;" - "&amp;TEXT(Categorias_Registro[[#This Row],[Máximo]],Formato_Rango_Categorias)</f>
        <v>937 - 1.076</v>
      </c>
    </row>
    <row r="1644" spans="2:8">
      <c r="B1644" s="15">
        <f>Techo - ROW() + ROW(Categorias_Registro[])</f>
        <v>985</v>
      </c>
      <c r="C1644" s="15">
        <f>IF(Categorias_Registro[[#This Row],[Puntos]]&lt;=ROUND(Piso,0),Piso,IF(Categorias_Registro[[#This Row],[Puntos]]&lt;D1645,C1645,D1645+1))</f>
        <v>937</v>
      </c>
      <c r="D1644" s="15">
        <f>IF(Categorias_Registro[[#This Row],[Puntos]]=ROUND(Piso,0),ROUND(Categorias_Registro[[#This Row],[Puntos]]*(1+Categorias_Registro[[#This Row],[Amplitud]]),0),IF(Categorias_Registro[[#This Row],[Puntos]]&lt;D1645,D1645,ROUND(D1645*(1+Categorias_Registro[[#This Row],[Amplitud]]),0)))</f>
        <v>1076</v>
      </c>
      <c r="E1644" s="15">
        <f>E1645+IF(D1645=Categorias_Registro[[#This Row],[Máximo]],0,1)</f>
        <v>18</v>
      </c>
      <c r="F1644" s="15">
        <f>ROUND(Categorias_Registro[[#This Row],[Mínimo]]+((Categorias_Registro[[#This Row],[Máximo]]-Categorias_Registro[[#This Row],[Mínimo]])/2),0)</f>
        <v>1007</v>
      </c>
      <c r="G1644" s="78">
        <f>VLOOKUP(Categorias_Registro[[#This Row],[Puntos]],Categorias_Configuracion[],MATCH(Categorias_Configuracion[[#Headers],[% Amplitud]],Categorias_Configuracion[#Headers],0),TRUE)</f>
        <v>0.15</v>
      </c>
      <c r="H1644" s="15" t="str">
        <f ca="1">TEXT(Categorias_Registro[[#This Row],[Mínimo]],Formato_Rango_Categorias)&amp;" - "&amp;TEXT(Categorias_Registro[[#This Row],[Máximo]],Formato_Rango_Categorias)</f>
        <v>937 - 1.076</v>
      </c>
    </row>
    <row r="1645" spans="2:8">
      <c r="B1645" s="15">
        <f>Techo - ROW() + ROW(Categorias_Registro[])</f>
        <v>984</v>
      </c>
      <c r="C1645" s="15">
        <f>IF(Categorias_Registro[[#This Row],[Puntos]]&lt;=ROUND(Piso,0),Piso,IF(Categorias_Registro[[#This Row],[Puntos]]&lt;D1646,C1646,D1646+1))</f>
        <v>937</v>
      </c>
      <c r="D1645" s="15">
        <f>IF(Categorias_Registro[[#This Row],[Puntos]]=ROUND(Piso,0),ROUND(Categorias_Registro[[#This Row],[Puntos]]*(1+Categorias_Registro[[#This Row],[Amplitud]]),0),IF(Categorias_Registro[[#This Row],[Puntos]]&lt;D1646,D1646,ROUND(D1646*(1+Categorias_Registro[[#This Row],[Amplitud]]),0)))</f>
        <v>1076</v>
      </c>
      <c r="E1645" s="15">
        <f>E1646+IF(D1646=Categorias_Registro[[#This Row],[Máximo]],0,1)</f>
        <v>18</v>
      </c>
      <c r="F1645" s="15">
        <f>ROUND(Categorias_Registro[[#This Row],[Mínimo]]+((Categorias_Registro[[#This Row],[Máximo]]-Categorias_Registro[[#This Row],[Mínimo]])/2),0)</f>
        <v>1007</v>
      </c>
      <c r="G1645" s="78">
        <f>VLOOKUP(Categorias_Registro[[#This Row],[Puntos]],Categorias_Configuracion[],MATCH(Categorias_Configuracion[[#Headers],[% Amplitud]],Categorias_Configuracion[#Headers],0),TRUE)</f>
        <v>0.15</v>
      </c>
      <c r="H1645" s="15" t="str">
        <f ca="1">TEXT(Categorias_Registro[[#This Row],[Mínimo]],Formato_Rango_Categorias)&amp;" - "&amp;TEXT(Categorias_Registro[[#This Row],[Máximo]],Formato_Rango_Categorias)</f>
        <v>937 - 1.076</v>
      </c>
    </row>
    <row r="1646" spans="2:8">
      <c r="B1646" s="15">
        <f>Techo - ROW() + ROW(Categorias_Registro[])</f>
        <v>983</v>
      </c>
      <c r="C1646" s="15">
        <f>IF(Categorias_Registro[[#This Row],[Puntos]]&lt;=ROUND(Piso,0),Piso,IF(Categorias_Registro[[#This Row],[Puntos]]&lt;D1647,C1647,D1647+1))</f>
        <v>937</v>
      </c>
      <c r="D1646" s="15">
        <f>IF(Categorias_Registro[[#This Row],[Puntos]]=ROUND(Piso,0),ROUND(Categorias_Registro[[#This Row],[Puntos]]*(1+Categorias_Registro[[#This Row],[Amplitud]]),0),IF(Categorias_Registro[[#This Row],[Puntos]]&lt;D1647,D1647,ROUND(D1647*(1+Categorias_Registro[[#This Row],[Amplitud]]),0)))</f>
        <v>1076</v>
      </c>
      <c r="E1646" s="15">
        <f>E1647+IF(D1647=Categorias_Registro[[#This Row],[Máximo]],0,1)</f>
        <v>18</v>
      </c>
      <c r="F1646" s="15">
        <f>ROUND(Categorias_Registro[[#This Row],[Mínimo]]+((Categorias_Registro[[#This Row],[Máximo]]-Categorias_Registro[[#This Row],[Mínimo]])/2),0)</f>
        <v>1007</v>
      </c>
      <c r="G1646" s="78">
        <f>VLOOKUP(Categorias_Registro[[#This Row],[Puntos]],Categorias_Configuracion[],MATCH(Categorias_Configuracion[[#Headers],[% Amplitud]],Categorias_Configuracion[#Headers],0),TRUE)</f>
        <v>0.15</v>
      </c>
      <c r="H1646" s="15" t="str">
        <f ca="1">TEXT(Categorias_Registro[[#This Row],[Mínimo]],Formato_Rango_Categorias)&amp;" - "&amp;TEXT(Categorias_Registro[[#This Row],[Máximo]],Formato_Rango_Categorias)</f>
        <v>937 - 1.076</v>
      </c>
    </row>
    <row r="1647" spans="2:8">
      <c r="B1647" s="15">
        <f>Techo - ROW() + ROW(Categorias_Registro[])</f>
        <v>982</v>
      </c>
      <c r="C1647" s="15">
        <f>IF(Categorias_Registro[[#This Row],[Puntos]]&lt;=ROUND(Piso,0),Piso,IF(Categorias_Registro[[#This Row],[Puntos]]&lt;D1648,C1648,D1648+1))</f>
        <v>937</v>
      </c>
      <c r="D1647" s="15">
        <f>IF(Categorias_Registro[[#This Row],[Puntos]]=ROUND(Piso,0),ROUND(Categorias_Registro[[#This Row],[Puntos]]*(1+Categorias_Registro[[#This Row],[Amplitud]]),0),IF(Categorias_Registro[[#This Row],[Puntos]]&lt;D1648,D1648,ROUND(D1648*(1+Categorias_Registro[[#This Row],[Amplitud]]),0)))</f>
        <v>1076</v>
      </c>
      <c r="E1647" s="15">
        <f>E1648+IF(D1648=Categorias_Registro[[#This Row],[Máximo]],0,1)</f>
        <v>18</v>
      </c>
      <c r="F1647" s="15">
        <f>ROUND(Categorias_Registro[[#This Row],[Mínimo]]+((Categorias_Registro[[#This Row],[Máximo]]-Categorias_Registro[[#This Row],[Mínimo]])/2),0)</f>
        <v>1007</v>
      </c>
      <c r="G1647" s="78">
        <f>VLOOKUP(Categorias_Registro[[#This Row],[Puntos]],Categorias_Configuracion[],MATCH(Categorias_Configuracion[[#Headers],[% Amplitud]],Categorias_Configuracion[#Headers],0),TRUE)</f>
        <v>0.15</v>
      </c>
      <c r="H1647" s="15" t="str">
        <f ca="1">TEXT(Categorias_Registro[[#This Row],[Mínimo]],Formato_Rango_Categorias)&amp;" - "&amp;TEXT(Categorias_Registro[[#This Row],[Máximo]],Formato_Rango_Categorias)</f>
        <v>937 - 1.076</v>
      </c>
    </row>
    <row r="1648" spans="2:8">
      <c r="B1648" s="15">
        <f>Techo - ROW() + ROW(Categorias_Registro[])</f>
        <v>981</v>
      </c>
      <c r="C1648" s="15">
        <f>IF(Categorias_Registro[[#This Row],[Puntos]]&lt;=ROUND(Piso,0),Piso,IF(Categorias_Registro[[#This Row],[Puntos]]&lt;D1649,C1649,D1649+1))</f>
        <v>937</v>
      </c>
      <c r="D1648" s="15">
        <f>IF(Categorias_Registro[[#This Row],[Puntos]]=ROUND(Piso,0),ROUND(Categorias_Registro[[#This Row],[Puntos]]*(1+Categorias_Registro[[#This Row],[Amplitud]]),0),IF(Categorias_Registro[[#This Row],[Puntos]]&lt;D1649,D1649,ROUND(D1649*(1+Categorias_Registro[[#This Row],[Amplitud]]),0)))</f>
        <v>1076</v>
      </c>
      <c r="E1648" s="15">
        <f>E1649+IF(D1649=Categorias_Registro[[#This Row],[Máximo]],0,1)</f>
        <v>18</v>
      </c>
      <c r="F1648" s="15">
        <f>ROUND(Categorias_Registro[[#This Row],[Mínimo]]+((Categorias_Registro[[#This Row],[Máximo]]-Categorias_Registro[[#This Row],[Mínimo]])/2),0)</f>
        <v>1007</v>
      </c>
      <c r="G1648" s="78">
        <f>VLOOKUP(Categorias_Registro[[#This Row],[Puntos]],Categorias_Configuracion[],MATCH(Categorias_Configuracion[[#Headers],[% Amplitud]],Categorias_Configuracion[#Headers],0),TRUE)</f>
        <v>0.15</v>
      </c>
      <c r="H1648" s="15" t="str">
        <f ca="1">TEXT(Categorias_Registro[[#This Row],[Mínimo]],Formato_Rango_Categorias)&amp;" - "&amp;TEXT(Categorias_Registro[[#This Row],[Máximo]],Formato_Rango_Categorias)</f>
        <v>937 - 1.076</v>
      </c>
    </row>
    <row r="1649" spans="2:8">
      <c r="B1649" s="15">
        <f>Techo - ROW() + ROW(Categorias_Registro[])</f>
        <v>980</v>
      </c>
      <c r="C1649" s="15">
        <f>IF(Categorias_Registro[[#This Row],[Puntos]]&lt;=ROUND(Piso,0),Piso,IF(Categorias_Registro[[#This Row],[Puntos]]&lt;D1650,C1650,D1650+1))</f>
        <v>937</v>
      </c>
      <c r="D1649" s="15">
        <f>IF(Categorias_Registro[[#This Row],[Puntos]]=ROUND(Piso,0),ROUND(Categorias_Registro[[#This Row],[Puntos]]*(1+Categorias_Registro[[#This Row],[Amplitud]]),0),IF(Categorias_Registro[[#This Row],[Puntos]]&lt;D1650,D1650,ROUND(D1650*(1+Categorias_Registro[[#This Row],[Amplitud]]),0)))</f>
        <v>1076</v>
      </c>
      <c r="E1649" s="15">
        <f>E1650+IF(D1650=Categorias_Registro[[#This Row],[Máximo]],0,1)</f>
        <v>18</v>
      </c>
      <c r="F1649" s="15">
        <f>ROUND(Categorias_Registro[[#This Row],[Mínimo]]+((Categorias_Registro[[#This Row],[Máximo]]-Categorias_Registro[[#This Row],[Mínimo]])/2),0)</f>
        <v>1007</v>
      </c>
      <c r="G1649" s="78">
        <f>VLOOKUP(Categorias_Registro[[#This Row],[Puntos]],Categorias_Configuracion[],MATCH(Categorias_Configuracion[[#Headers],[% Amplitud]],Categorias_Configuracion[#Headers],0),TRUE)</f>
        <v>0.15</v>
      </c>
      <c r="H1649" s="15" t="str">
        <f ca="1">TEXT(Categorias_Registro[[#This Row],[Mínimo]],Formato_Rango_Categorias)&amp;" - "&amp;TEXT(Categorias_Registro[[#This Row],[Máximo]],Formato_Rango_Categorias)</f>
        <v>937 - 1.076</v>
      </c>
    </row>
    <row r="1650" spans="2:8">
      <c r="B1650" s="15">
        <f>Techo - ROW() + ROW(Categorias_Registro[])</f>
        <v>979</v>
      </c>
      <c r="C1650" s="15">
        <f>IF(Categorias_Registro[[#This Row],[Puntos]]&lt;=ROUND(Piso,0),Piso,IF(Categorias_Registro[[#This Row],[Puntos]]&lt;D1651,C1651,D1651+1))</f>
        <v>937</v>
      </c>
      <c r="D1650" s="15">
        <f>IF(Categorias_Registro[[#This Row],[Puntos]]=ROUND(Piso,0),ROUND(Categorias_Registro[[#This Row],[Puntos]]*(1+Categorias_Registro[[#This Row],[Amplitud]]),0),IF(Categorias_Registro[[#This Row],[Puntos]]&lt;D1651,D1651,ROUND(D1651*(1+Categorias_Registro[[#This Row],[Amplitud]]),0)))</f>
        <v>1076</v>
      </c>
      <c r="E1650" s="15">
        <f>E1651+IF(D1651=Categorias_Registro[[#This Row],[Máximo]],0,1)</f>
        <v>18</v>
      </c>
      <c r="F1650" s="15">
        <f>ROUND(Categorias_Registro[[#This Row],[Mínimo]]+((Categorias_Registro[[#This Row],[Máximo]]-Categorias_Registro[[#This Row],[Mínimo]])/2),0)</f>
        <v>1007</v>
      </c>
      <c r="G1650" s="78">
        <f>VLOOKUP(Categorias_Registro[[#This Row],[Puntos]],Categorias_Configuracion[],MATCH(Categorias_Configuracion[[#Headers],[% Amplitud]],Categorias_Configuracion[#Headers],0),TRUE)</f>
        <v>0.15</v>
      </c>
      <c r="H1650" s="15" t="str">
        <f ca="1">TEXT(Categorias_Registro[[#This Row],[Mínimo]],Formato_Rango_Categorias)&amp;" - "&amp;TEXT(Categorias_Registro[[#This Row],[Máximo]],Formato_Rango_Categorias)</f>
        <v>937 - 1.076</v>
      </c>
    </row>
    <row r="1651" spans="2:8">
      <c r="B1651" s="15">
        <f>Techo - ROW() + ROW(Categorias_Registro[])</f>
        <v>978</v>
      </c>
      <c r="C1651" s="15">
        <f>IF(Categorias_Registro[[#This Row],[Puntos]]&lt;=ROUND(Piso,0),Piso,IF(Categorias_Registro[[#This Row],[Puntos]]&lt;D1652,C1652,D1652+1))</f>
        <v>937</v>
      </c>
      <c r="D1651" s="15">
        <f>IF(Categorias_Registro[[#This Row],[Puntos]]=ROUND(Piso,0),ROUND(Categorias_Registro[[#This Row],[Puntos]]*(1+Categorias_Registro[[#This Row],[Amplitud]]),0),IF(Categorias_Registro[[#This Row],[Puntos]]&lt;D1652,D1652,ROUND(D1652*(1+Categorias_Registro[[#This Row],[Amplitud]]),0)))</f>
        <v>1076</v>
      </c>
      <c r="E1651" s="15">
        <f>E1652+IF(D1652=Categorias_Registro[[#This Row],[Máximo]],0,1)</f>
        <v>18</v>
      </c>
      <c r="F1651" s="15">
        <f>ROUND(Categorias_Registro[[#This Row],[Mínimo]]+((Categorias_Registro[[#This Row],[Máximo]]-Categorias_Registro[[#This Row],[Mínimo]])/2),0)</f>
        <v>1007</v>
      </c>
      <c r="G1651" s="78">
        <f>VLOOKUP(Categorias_Registro[[#This Row],[Puntos]],Categorias_Configuracion[],MATCH(Categorias_Configuracion[[#Headers],[% Amplitud]],Categorias_Configuracion[#Headers],0),TRUE)</f>
        <v>0.15</v>
      </c>
      <c r="H1651" s="15" t="str">
        <f ca="1">TEXT(Categorias_Registro[[#This Row],[Mínimo]],Formato_Rango_Categorias)&amp;" - "&amp;TEXT(Categorias_Registro[[#This Row],[Máximo]],Formato_Rango_Categorias)</f>
        <v>937 - 1.076</v>
      </c>
    </row>
    <row r="1652" spans="2:8">
      <c r="B1652" s="15">
        <f>Techo - ROW() + ROW(Categorias_Registro[])</f>
        <v>977</v>
      </c>
      <c r="C1652" s="15">
        <f>IF(Categorias_Registro[[#This Row],[Puntos]]&lt;=ROUND(Piso,0),Piso,IF(Categorias_Registro[[#This Row],[Puntos]]&lt;D1653,C1653,D1653+1))</f>
        <v>937</v>
      </c>
      <c r="D1652" s="15">
        <f>IF(Categorias_Registro[[#This Row],[Puntos]]=ROUND(Piso,0),ROUND(Categorias_Registro[[#This Row],[Puntos]]*(1+Categorias_Registro[[#This Row],[Amplitud]]),0),IF(Categorias_Registro[[#This Row],[Puntos]]&lt;D1653,D1653,ROUND(D1653*(1+Categorias_Registro[[#This Row],[Amplitud]]),0)))</f>
        <v>1076</v>
      </c>
      <c r="E1652" s="15">
        <f>E1653+IF(D1653=Categorias_Registro[[#This Row],[Máximo]],0,1)</f>
        <v>18</v>
      </c>
      <c r="F1652" s="15">
        <f>ROUND(Categorias_Registro[[#This Row],[Mínimo]]+((Categorias_Registro[[#This Row],[Máximo]]-Categorias_Registro[[#This Row],[Mínimo]])/2),0)</f>
        <v>1007</v>
      </c>
      <c r="G1652" s="78">
        <f>VLOOKUP(Categorias_Registro[[#This Row],[Puntos]],Categorias_Configuracion[],MATCH(Categorias_Configuracion[[#Headers],[% Amplitud]],Categorias_Configuracion[#Headers],0),TRUE)</f>
        <v>0.15</v>
      </c>
      <c r="H1652" s="15" t="str">
        <f ca="1">TEXT(Categorias_Registro[[#This Row],[Mínimo]],Formato_Rango_Categorias)&amp;" - "&amp;TEXT(Categorias_Registro[[#This Row],[Máximo]],Formato_Rango_Categorias)</f>
        <v>937 - 1.076</v>
      </c>
    </row>
    <row r="1653" spans="2:8">
      <c r="B1653" s="15">
        <f>Techo - ROW() + ROW(Categorias_Registro[])</f>
        <v>976</v>
      </c>
      <c r="C1653" s="15">
        <f>IF(Categorias_Registro[[#This Row],[Puntos]]&lt;=ROUND(Piso,0),Piso,IF(Categorias_Registro[[#This Row],[Puntos]]&lt;D1654,C1654,D1654+1))</f>
        <v>937</v>
      </c>
      <c r="D1653" s="15">
        <f>IF(Categorias_Registro[[#This Row],[Puntos]]=ROUND(Piso,0),ROUND(Categorias_Registro[[#This Row],[Puntos]]*(1+Categorias_Registro[[#This Row],[Amplitud]]),0),IF(Categorias_Registro[[#This Row],[Puntos]]&lt;D1654,D1654,ROUND(D1654*(1+Categorias_Registro[[#This Row],[Amplitud]]),0)))</f>
        <v>1076</v>
      </c>
      <c r="E1653" s="15">
        <f>E1654+IF(D1654=Categorias_Registro[[#This Row],[Máximo]],0,1)</f>
        <v>18</v>
      </c>
      <c r="F1653" s="15">
        <f>ROUND(Categorias_Registro[[#This Row],[Mínimo]]+((Categorias_Registro[[#This Row],[Máximo]]-Categorias_Registro[[#This Row],[Mínimo]])/2),0)</f>
        <v>1007</v>
      </c>
      <c r="G1653" s="78">
        <f>VLOOKUP(Categorias_Registro[[#This Row],[Puntos]],Categorias_Configuracion[],MATCH(Categorias_Configuracion[[#Headers],[% Amplitud]],Categorias_Configuracion[#Headers],0),TRUE)</f>
        <v>0.15</v>
      </c>
      <c r="H1653" s="15" t="str">
        <f ca="1">TEXT(Categorias_Registro[[#This Row],[Mínimo]],Formato_Rango_Categorias)&amp;" - "&amp;TEXT(Categorias_Registro[[#This Row],[Máximo]],Formato_Rango_Categorias)</f>
        <v>937 - 1.076</v>
      </c>
    </row>
    <row r="1654" spans="2:8">
      <c r="B1654" s="15">
        <f>Techo - ROW() + ROW(Categorias_Registro[])</f>
        <v>975</v>
      </c>
      <c r="C1654" s="15">
        <f>IF(Categorias_Registro[[#This Row],[Puntos]]&lt;=ROUND(Piso,0),Piso,IF(Categorias_Registro[[#This Row],[Puntos]]&lt;D1655,C1655,D1655+1))</f>
        <v>937</v>
      </c>
      <c r="D1654" s="15">
        <f>IF(Categorias_Registro[[#This Row],[Puntos]]=ROUND(Piso,0),ROUND(Categorias_Registro[[#This Row],[Puntos]]*(1+Categorias_Registro[[#This Row],[Amplitud]]),0),IF(Categorias_Registro[[#This Row],[Puntos]]&lt;D1655,D1655,ROUND(D1655*(1+Categorias_Registro[[#This Row],[Amplitud]]),0)))</f>
        <v>1076</v>
      </c>
      <c r="E1654" s="15">
        <f>E1655+IF(D1655=Categorias_Registro[[#This Row],[Máximo]],0,1)</f>
        <v>18</v>
      </c>
      <c r="F1654" s="15">
        <f>ROUND(Categorias_Registro[[#This Row],[Mínimo]]+((Categorias_Registro[[#This Row],[Máximo]]-Categorias_Registro[[#This Row],[Mínimo]])/2),0)</f>
        <v>1007</v>
      </c>
      <c r="G1654" s="78">
        <f>VLOOKUP(Categorias_Registro[[#This Row],[Puntos]],Categorias_Configuracion[],MATCH(Categorias_Configuracion[[#Headers],[% Amplitud]],Categorias_Configuracion[#Headers],0),TRUE)</f>
        <v>0.15</v>
      </c>
      <c r="H1654" s="15" t="str">
        <f ca="1">TEXT(Categorias_Registro[[#This Row],[Mínimo]],Formato_Rango_Categorias)&amp;" - "&amp;TEXT(Categorias_Registro[[#This Row],[Máximo]],Formato_Rango_Categorias)</f>
        <v>937 - 1.076</v>
      </c>
    </row>
    <row r="1655" spans="2:8">
      <c r="B1655" s="15">
        <f>Techo - ROW() + ROW(Categorias_Registro[])</f>
        <v>974</v>
      </c>
      <c r="C1655" s="15">
        <f>IF(Categorias_Registro[[#This Row],[Puntos]]&lt;=ROUND(Piso,0),Piso,IF(Categorias_Registro[[#This Row],[Puntos]]&lt;D1656,C1656,D1656+1))</f>
        <v>937</v>
      </c>
      <c r="D1655" s="15">
        <f>IF(Categorias_Registro[[#This Row],[Puntos]]=ROUND(Piso,0),ROUND(Categorias_Registro[[#This Row],[Puntos]]*(1+Categorias_Registro[[#This Row],[Amplitud]]),0),IF(Categorias_Registro[[#This Row],[Puntos]]&lt;D1656,D1656,ROUND(D1656*(1+Categorias_Registro[[#This Row],[Amplitud]]),0)))</f>
        <v>1076</v>
      </c>
      <c r="E1655" s="15">
        <f>E1656+IF(D1656=Categorias_Registro[[#This Row],[Máximo]],0,1)</f>
        <v>18</v>
      </c>
      <c r="F1655" s="15">
        <f>ROUND(Categorias_Registro[[#This Row],[Mínimo]]+((Categorias_Registro[[#This Row],[Máximo]]-Categorias_Registro[[#This Row],[Mínimo]])/2),0)</f>
        <v>1007</v>
      </c>
      <c r="G1655" s="78">
        <f>VLOOKUP(Categorias_Registro[[#This Row],[Puntos]],Categorias_Configuracion[],MATCH(Categorias_Configuracion[[#Headers],[% Amplitud]],Categorias_Configuracion[#Headers],0),TRUE)</f>
        <v>0.15</v>
      </c>
      <c r="H1655" s="15" t="str">
        <f ca="1">TEXT(Categorias_Registro[[#This Row],[Mínimo]],Formato_Rango_Categorias)&amp;" - "&amp;TEXT(Categorias_Registro[[#This Row],[Máximo]],Formato_Rango_Categorias)</f>
        <v>937 - 1.076</v>
      </c>
    </row>
    <row r="1656" spans="2:8">
      <c r="B1656" s="15">
        <f>Techo - ROW() + ROW(Categorias_Registro[])</f>
        <v>973</v>
      </c>
      <c r="C1656" s="15">
        <f>IF(Categorias_Registro[[#This Row],[Puntos]]&lt;=ROUND(Piso,0),Piso,IF(Categorias_Registro[[#This Row],[Puntos]]&lt;D1657,C1657,D1657+1))</f>
        <v>937</v>
      </c>
      <c r="D1656" s="15">
        <f>IF(Categorias_Registro[[#This Row],[Puntos]]=ROUND(Piso,0),ROUND(Categorias_Registro[[#This Row],[Puntos]]*(1+Categorias_Registro[[#This Row],[Amplitud]]),0),IF(Categorias_Registro[[#This Row],[Puntos]]&lt;D1657,D1657,ROUND(D1657*(1+Categorias_Registro[[#This Row],[Amplitud]]),0)))</f>
        <v>1076</v>
      </c>
      <c r="E1656" s="15">
        <f>E1657+IF(D1657=Categorias_Registro[[#This Row],[Máximo]],0,1)</f>
        <v>18</v>
      </c>
      <c r="F1656" s="15">
        <f>ROUND(Categorias_Registro[[#This Row],[Mínimo]]+((Categorias_Registro[[#This Row],[Máximo]]-Categorias_Registro[[#This Row],[Mínimo]])/2),0)</f>
        <v>1007</v>
      </c>
      <c r="G1656" s="78">
        <f>VLOOKUP(Categorias_Registro[[#This Row],[Puntos]],Categorias_Configuracion[],MATCH(Categorias_Configuracion[[#Headers],[% Amplitud]],Categorias_Configuracion[#Headers],0),TRUE)</f>
        <v>0.15</v>
      </c>
      <c r="H1656" s="15" t="str">
        <f ca="1">TEXT(Categorias_Registro[[#This Row],[Mínimo]],Formato_Rango_Categorias)&amp;" - "&amp;TEXT(Categorias_Registro[[#This Row],[Máximo]],Formato_Rango_Categorias)</f>
        <v>937 - 1.076</v>
      </c>
    </row>
    <row r="1657" spans="2:8">
      <c r="B1657" s="15">
        <f>Techo - ROW() + ROW(Categorias_Registro[])</f>
        <v>972</v>
      </c>
      <c r="C1657" s="15">
        <f>IF(Categorias_Registro[[#This Row],[Puntos]]&lt;=ROUND(Piso,0),Piso,IF(Categorias_Registro[[#This Row],[Puntos]]&lt;D1658,C1658,D1658+1))</f>
        <v>937</v>
      </c>
      <c r="D1657" s="15">
        <f>IF(Categorias_Registro[[#This Row],[Puntos]]=ROUND(Piso,0),ROUND(Categorias_Registro[[#This Row],[Puntos]]*(1+Categorias_Registro[[#This Row],[Amplitud]]),0),IF(Categorias_Registro[[#This Row],[Puntos]]&lt;D1658,D1658,ROUND(D1658*(1+Categorias_Registro[[#This Row],[Amplitud]]),0)))</f>
        <v>1076</v>
      </c>
      <c r="E1657" s="15">
        <f>E1658+IF(D1658=Categorias_Registro[[#This Row],[Máximo]],0,1)</f>
        <v>18</v>
      </c>
      <c r="F1657" s="15">
        <f>ROUND(Categorias_Registro[[#This Row],[Mínimo]]+((Categorias_Registro[[#This Row],[Máximo]]-Categorias_Registro[[#This Row],[Mínimo]])/2),0)</f>
        <v>1007</v>
      </c>
      <c r="G1657" s="78">
        <f>VLOOKUP(Categorias_Registro[[#This Row],[Puntos]],Categorias_Configuracion[],MATCH(Categorias_Configuracion[[#Headers],[% Amplitud]],Categorias_Configuracion[#Headers],0),TRUE)</f>
        <v>0.15</v>
      </c>
      <c r="H1657" s="15" t="str">
        <f ca="1">TEXT(Categorias_Registro[[#This Row],[Mínimo]],Formato_Rango_Categorias)&amp;" - "&amp;TEXT(Categorias_Registro[[#This Row],[Máximo]],Formato_Rango_Categorias)</f>
        <v>937 - 1.076</v>
      </c>
    </row>
    <row r="1658" spans="2:8">
      <c r="B1658" s="15">
        <f>Techo - ROW() + ROW(Categorias_Registro[])</f>
        <v>971</v>
      </c>
      <c r="C1658" s="15">
        <f>IF(Categorias_Registro[[#This Row],[Puntos]]&lt;=ROUND(Piso,0),Piso,IF(Categorias_Registro[[#This Row],[Puntos]]&lt;D1659,C1659,D1659+1))</f>
        <v>937</v>
      </c>
      <c r="D1658" s="15">
        <f>IF(Categorias_Registro[[#This Row],[Puntos]]=ROUND(Piso,0),ROUND(Categorias_Registro[[#This Row],[Puntos]]*(1+Categorias_Registro[[#This Row],[Amplitud]]),0),IF(Categorias_Registro[[#This Row],[Puntos]]&lt;D1659,D1659,ROUND(D1659*(1+Categorias_Registro[[#This Row],[Amplitud]]),0)))</f>
        <v>1076</v>
      </c>
      <c r="E1658" s="15">
        <f>E1659+IF(D1659=Categorias_Registro[[#This Row],[Máximo]],0,1)</f>
        <v>18</v>
      </c>
      <c r="F1658" s="15">
        <f>ROUND(Categorias_Registro[[#This Row],[Mínimo]]+((Categorias_Registro[[#This Row],[Máximo]]-Categorias_Registro[[#This Row],[Mínimo]])/2),0)</f>
        <v>1007</v>
      </c>
      <c r="G1658" s="78">
        <f>VLOOKUP(Categorias_Registro[[#This Row],[Puntos]],Categorias_Configuracion[],MATCH(Categorias_Configuracion[[#Headers],[% Amplitud]],Categorias_Configuracion[#Headers],0),TRUE)</f>
        <v>0.15</v>
      </c>
      <c r="H1658" s="15" t="str">
        <f ca="1">TEXT(Categorias_Registro[[#This Row],[Mínimo]],Formato_Rango_Categorias)&amp;" - "&amp;TEXT(Categorias_Registro[[#This Row],[Máximo]],Formato_Rango_Categorias)</f>
        <v>937 - 1.076</v>
      </c>
    </row>
    <row r="1659" spans="2:8">
      <c r="B1659" s="15">
        <f>Techo - ROW() + ROW(Categorias_Registro[])</f>
        <v>970</v>
      </c>
      <c r="C1659" s="15">
        <f>IF(Categorias_Registro[[#This Row],[Puntos]]&lt;=ROUND(Piso,0),Piso,IF(Categorias_Registro[[#This Row],[Puntos]]&lt;D1660,C1660,D1660+1))</f>
        <v>937</v>
      </c>
      <c r="D1659" s="15">
        <f>IF(Categorias_Registro[[#This Row],[Puntos]]=ROUND(Piso,0),ROUND(Categorias_Registro[[#This Row],[Puntos]]*(1+Categorias_Registro[[#This Row],[Amplitud]]),0),IF(Categorias_Registro[[#This Row],[Puntos]]&lt;D1660,D1660,ROUND(D1660*(1+Categorias_Registro[[#This Row],[Amplitud]]),0)))</f>
        <v>1076</v>
      </c>
      <c r="E1659" s="15">
        <f>E1660+IF(D1660=Categorias_Registro[[#This Row],[Máximo]],0,1)</f>
        <v>18</v>
      </c>
      <c r="F1659" s="15">
        <f>ROUND(Categorias_Registro[[#This Row],[Mínimo]]+((Categorias_Registro[[#This Row],[Máximo]]-Categorias_Registro[[#This Row],[Mínimo]])/2),0)</f>
        <v>1007</v>
      </c>
      <c r="G1659" s="78">
        <f>VLOOKUP(Categorias_Registro[[#This Row],[Puntos]],Categorias_Configuracion[],MATCH(Categorias_Configuracion[[#Headers],[% Amplitud]],Categorias_Configuracion[#Headers],0),TRUE)</f>
        <v>0.15</v>
      </c>
      <c r="H1659" s="15" t="str">
        <f ca="1">TEXT(Categorias_Registro[[#This Row],[Mínimo]],Formato_Rango_Categorias)&amp;" - "&amp;TEXT(Categorias_Registro[[#This Row],[Máximo]],Formato_Rango_Categorias)</f>
        <v>937 - 1.076</v>
      </c>
    </row>
    <row r="1660" spans="2:8">
      <c r="B1660" s="15">
        <f>Techo - ROW() + ROW(Categorias_Registro[])</f>
        <v>969</v>
      </c>
      <c r="C1660" s="15">
        <f>IF(Categorias_Registro[[#This Row],[Puntos]]&lt;=ROUND(Piso,0),Piso,IF(Categorias_Registro[[#This Row],[Puntos]]&lt;D1661,C1661,D1661+1))</f>
        <v>937</v>
      </c>
      <c r="D1660" s="15">
        <f>IF(Categorias_Registro[[#This Row],[Puntos]]=ROUND(Piso,0),ROUND(Categorias_Registro[[#This Row],[Puntos]]*(1+Categorias_Registro[[#This Row],[Amplitud]]),0),IF(Categorias_Registro[[#This Row],[Puntos]]&lt;D1661,D1661,ROUND(D1661*(1+Categorias_Registro[[#This Row],[Amplitud]]),0)))</f>
        <v>1076</v>
      </c>
      <c r="E1660" s="15">
        <f>E1661+IF(D1661=Categorias_Registro[[#This Row],[Máximo]],0,1)</f>
        <v>18</v>
      </c>
      <c r="F1660" s="15">
        <f>ROUND(Categorias_Registro[[#This Row],[Mínimo]]+((Categorias_Registro[[#This Row],[Máximo]]-Categorias_Registro[[#This Row],[Mínimo]])/2),0)</f>
        <v>1007</v>
      </c>
      <c r="G1660" s="78">
        <f>VLOOKUP(Categorias_Registro[[#This Row],[Puntos]],Categorias_Configuracion[],MATCH(Categorias_Configuracion[[#Headers],[% Amplitud]],Categorias_Configuracion[#Headers],0),TRUE)</f>
        <v>0.15</v>
      </c>
      <c r="H1660" s="15" t="str">
        <f ca="1">TEXT(Categorias_Registro[[#This Row],[Mínimo]],Formato_Rango_Categorias)&amp;" - "&amp;TEXT(Categorias_Registro[[#This Row],[Máximo]],Formato_Rango_Categorias)</f>
        <v>937 - 1.076</v>
      </c>
    </row>
    <row r="1661" spans="2:8">
      <c r="B1661" s="15">
        <f>Techo - ROW() + ROW(Categorias_Registro[])</f>
        <v>968</v>
      </c>
      <c r="C1661" s="15">
        <f>IF(Categorias_Registro[[#This Row],[Puntos]]&lt;=ROUND(Piso,0),Piso,IF(Categorias_Registro[[#This Row],[Puntos]]&lt;D1662,C1662,D1662+1))</f>
        <v>937</v>
      </c>
      <c r="D1661" s="15">
        <f>IF(Categorias_Registro[[#This Row],[Puntos]]=ROUND(Piso,0),ROUND(Categorias_Registro[[#This Row],[Puntos]]*(1+Categorias_Registro[[#This Row],[Amplitud]]),0),IF(Categorias_Registro[[#This Row],[Puntos]]&lt;D1662,D1662,ROUND(D1662*(1+Categorias_Registro[[#This Row],[Amplitud]]),0)))</f>
        <v>1076</v>
      </c>
      <c r="E1661" s="15">
        <f>E1662+IF(D1662=Categorias_Registro[[#This Row],[Máximo]],0,1)</f>
        <v>18</v>
      </c>
      <c r="F1661" s="15">
        <f>ROUND(Categorias_Registro[[#This Row],[Mínimo]]+((Categorias_Registro[[#This Row],[Máximo]]-Categorias_Registro[[#This Row],[Mínimo]])/2),0)</f>
        <v>1007</v>
      </c>
      <c r="G1661" s="78">
        <f>VLOOKUP(Categorias_Registro[[#This Row],[Puntos]],Categorias_Configuracion[],MATCH(Categorias_Configuracion[[#Headers],[% Amplitud]],Categorias_Configuracion[#Headers],0),TRUE)</f>
        <v>0.15</v>
      </c>
      <c r="H1661" s="15" t="str">
        <f ca="1">TEXT(Categorias_Registro[[#This Row],[Mínimo]],Formato_Rango_Categorias)&amp;" - "&amp;TEXT(Categorias_Registro[[#This Row],[Máximo]],Formato_Rango_Categorias)</f>
        <v>937 - 1.076</v>
      </c>
    </row>
    <row r="1662" spans="2:8">
      <c r="B1662" s="15">
        <f>Techo - ROW() + ROW(Categorias_Registro[])</f>
        <v>967</v>
      </c>
      <c r="C1662" s="15">
        <f>IF(Categorias_Registro[[#This Row],[Puntos]]&lt;=ROUND(Piso,0),Piso,IF(Categorias_Registro[[#This Row],[Puntos]]&lt;D1663,C1663,D1663+1))</f>
        <v>937</v>
      </c>
      <c r="D1662" s="15">
        <f>IF(Categorias_Registro[[#This Row],[Puntos]]=ROUND(Piso,0),ROUND(Categorias_Registro[[#This Row],[Puntos]]*(1+Categorias_Registro[[#This Row],[Amplitud]]),0),IF(Categorias_Registro[[#This Row],[Puntos]]&lt;D1663,D1663,ROUND(D1663*(1+Categorias_Registro[[#This Row],[Amplitud]]),0)))</f>
        <v>1076</v>
      </c>
      <c r="E1662" s="15">
        <f>E1663+IF(D1663=Categorias_Registro[[#This Row],[Máximo]],0,1)</f>
        <v>18</v>
      </c>
      <c r="F1662" s="15">
        <f>ROUND(Categorias_Registro[[#This Row],[Mínimo]]+((Categorias_Registro[[#This Row],[Máximo]]-Categorias_Registro[[#This Row],[Mínimo]])/2),0)</f>
        <v>1007</v>
      </c>
      <c r="G1662" s="78">
        <f>VLOOKUP(Categorias_Registro[[#This Row],[Puntos]],Categorias_Configuracion[],MATCH(Categorias_Configuracion[[#Headers],[% Amplitud]],Categorias_Configuracion[#Headers],0),TRUE)</f>
        <v>0.15</v>
      </c>
      <c r="H1662" s="15" t="str">
        <f ca="1">TEXT(Categorias_Registro[[#This Row],[Mínimo]],Formato_Rango_Categorias)&amp;" - "&amp;TEXT(Categorias_Registro[[#This Row],[Máximo]],Formato_Rango_Categorias)</f>
        <v>937 - 1.076</v>
      </c>
    </row>
    <row r="1663" spans="2:8">
      <c r="B1663" s="15">
        <f>Techo - ROW() + ROW(Categorias_Registro[])</f>
        <v>966</v>
      </c>
      <c r="C1663" s="15">
        <f>IF(Categorias_Registro[[#This Row],[Puntos]]&lt;=ROUND(Piso,0),Piso,IF(Categorias_Registro[[#This Row],[Puntos]]&lt;D1664,C1664,D1664+1))</f>
        <v>937</v>
      </c>
      <c r="D1663" s="15">
        <f>IF(Categorias_Registro[[#This Row],[Puntos]]=ROUND(Piso,0),ROUND(Categorias_Registro[[#This Row],[Puntos]]*(1+Categorias_Registro[[#This Row],[Amplitud]]),0),IF(Categorias_Registro[[#This Row],[Puntos]]&lt;D1664,D1664,ROUND(D1664*(1+Categorias_Registro[[#This Row],[Amplitud]]),0)))</f>
        <v>1076</v>
      </c>
      <c r="E1663" s="15">
        <f>E1664+IF(D1664=Categorias_Registro[[#This Row],[Máximo]],0,1)</f>
        <v>18</v>
      </c>
      <c r="F1663" s="15">
        <f>ROUND(Categorias_Registro[[#This Row],[Mínimo]]+((Categorias_Registro[[#This Row],[Máximo]]-Categorias_Registro[[#This Row],[Mínimo]])/2),0)</f>
        <v>1007</v>
      </c>
      <c r="G1663" s="78">
        <f>VLOOKUP(Categorias_Registro[[#This Row],[Puntos]],Categorias_Configuracion[],MATCH(Categorias_Configuracion[[#Headers],[% Amplitud]],Categorias_Configuracion[#Headers],0),TRUE)</f>
        <v>0.15</v>
      </c>
      <c r="H1663" s="15" t="str">
        <f ca="1">TEXT(Categorias_Registro[[#This Row],[Mínimo]],Formato_Rango_Categorias)&amp;" - "&amp;TEXT(Categorias_Registro[[#This Row],[Máximo]],Formato_Rango_Categorias)</f>
        <v>937 - 1.076</v>
      </c>
    </row>
    <row r="1664" spans="2:8">
      <c r="B1664" s="15">
        <f>Techo - ROW() + ROW(Categorias_Registro[])</f>
        <v>965</v>
      </c>
      <c r="C1664" s="15">
        <f>IF(Categorias_Registro[[#This Row],[Puntos]]&lt;=ROUND(Piso,0),Piso,IF(Categorias_Registro[[#This Row],[Puntos]]&lt;D1665,C1665,D1665+1))</f>
        <v>937</v>
      </c>
      <c r="D1664" s="15">
        <f>IF(Categorias_Registro[[#This Row],[Puntos]]=ROUND(Piso,0),ROUND(Categorias_Registro[[#This Row],[Puntos]]*(1+Categorias_Registro[[#This Row],[Amplitud]]),0),IF(Categorias_Registro[[#This Row],[Puntos]]&lt;D1665,D1665,ROUND(D1665*(1+Categorias_Registro[[#This Row],[Amplitud]]),0)))</f>
        <v>1076</v>
      </c>
      <c r="E1664" s="15">
        <f>E1665+IF(D1665=Categorias_Registro[[#This Row],[Máximo]],0,1)</f>
        <v>18</v>
      </c>
      <c r="F1664" s="15">
        <f>ROUND(Categorias_Registro[[#This Row],[Mínimo]]+((Categorias_Registro[[#This Row],[Máximo]]-Categorias_Registro[[#This Row],[Mínimo]])/2),0)</f>
        <v>1007</v>
      </c>
      <c r="G1664" s="78">
        <f>VLOOKUP(Categorias_Registro[[#This Row],[Puntos]],Categorias_Configuracion[],MATCH(Categorias_Configuracion[[#Headers],[% Amplitud]],Categorias_Configuracion[#Headers],0),TRUE)</f>
        <v>0.15</v>
      </c>
      <c r="H1664" s="15" t="str">
        <f ca="1">TEXT(Categorias_Registro[[#This Row],[Mínimo]],Formato_Rango_Categorias)&amp;" - "&amp;TEXT(Categorias_Registro[[#This Row],[Máximo]],Formato_Rango_Categorias)</f>
        <v>937 - 1.076</v>
      </c>
    </row>
    <row r="1665" spans="2:8">
      <c r="B1665" s="15">
        <f>Techo - ROW() + ROW(Categorias_Registro[])</f>
        <v>964</v>
      </c>
      <c r="C1665" s="15">
        <f>IF(Categorias_Registro[[#This Row],[Puntos]]&lt;=ROUND(Piso,0),Piso,IF(Categorias_Registro[[#This Row],[Puntos]]&lt;D1666,C1666,D1666+1))</f>
        <v>937</v>
      </c>
      <c r="D1665" s="15">
        <f>IF(Categorias_Registro[[#This Row],[Puntos]]=ROUND(Piso,0),ROUND(Categorias_Registro[[#This Row],[Puntos]]*(1+Categorias_Registro[[#This Row],[Amplitud]]),0),IF(Categorias_Registro[[#This Row],[Puntos]]&lt;D1666,D1666,ROUND(D1666*(1+Categorias_Registro[[#This Row],[Amplitud]]),0)))</f>
        <v>1076</v>
      </c>
      <c r="E1665" s="15">
        <f>E1666+IF(D1666=Categorias_Registro[[#This Row],[Máximo]],0,1)</f>
        <v>18</v>
      </c>
      <c r="F1665" s="15">
        <f>ROUND(Categorias_Registro[[#This Row],[Mínimo]]+((Categorias_Registro[[#This Row],[Máximo]]-Categorias_Registro[[#This Row],[Mínimo]])/2),0)</f>
        <v>1007</v>
      </c>
      <c r="G1665" s="78">
        <f>VLOOKUP(Categorias_Registro[[#This Row],[Puntos]],Categorias_Configuracion[],MATCH(Categorias_Configuracion[[#Headers],[% Amplitud]],Categorias_Configuracion[#Headers],0),TRUE)</f>
        <v>0.15</v>
      </c>
      <c r="H1665" s="15" t="str">
        <f ca="1">TEXT(Categorias_Registro[[#This Row],[Mínimo]],Formato_Rango_Categorias)&amp;" - "&amp;TEXT(Categorias_Registro[[#This Row],[Máximo]],Formato_Rango_Categorias)</f>
        <v>937 - 1.076</v>
      </c>
    </row>
    <row r="1666" spans="2:8">
      <c r="B1666" s="15">
        <f>Techo - ROW() + ROW(Categorias_Registro[])</f>
        <v>963</v>
      </c>
      <c r="C1666" s="15">
        <f>IF(Categorias_Registro[[#This Row],[Puntos]]&lt;=ROUND(Piso,0),Piso,IF(Categorias_Registro[[#This Row],[Puntos]]&lt;D1667,C1667,D1667+1))</f>
        <v>937</v>
      </c>
      <c r="D1666" s="15">
        <f>IF(Categorias_Registro[[#This Row],[Puntos]]=ROUND(Piso,0),ROUND(Categorias_Registro[[#This Row],[Puntos]]*(1+Categorias_Registro[[#This Row],[Amplitud]]),0),IF(Categorias_Registro[[#This Row],[Puntos]]&lt;D1667,D1667,ROUND(D1667*(1+Categorias_Registro[[#This Row],[Amplitud]]),0)))</f>
        <v>1076</v>
      </c>
      <c r="E1666" s="15">
        <f>E1667+IF(D1667=Categorias_Registro[[#This Row],[Máximo]],0,1)</f>
        <v>18</v>
      </c>
      <c r="F1666" s="15">
        <f>ROUND(Categorias_Registro[[#This Row],[Mínimo]]+((Categorias_Registro[[#This Row],[Máximo]]-Categorias_Registro[[#This Row],[Mínimo]])/2),0)</f>
        <v>1007</v>
      </c>
      <c r="G1666" s="78">
        <f>VLOOKUP(Categorias_Registro[[#This Row],[Puntos]],Categorias_Configuracion[],MATCH(Categorias_Configuracion[[#Headers],[% Amplitud]],Categorias_Configuracion[#Headers],0),TRUE)</f>
        <v>0.15</v>
      </c>
      <c r="H1666" s="15" t="str">
        <f ca="1">TEXT(Categorias_Registro[[#This Row],[Mínimo]],Formato_Rango_Categorias)&amp;" - "&amp;TEXT(Categorias_Registro[[#This Row],[Máximo]],Formato_Rango_Categorias)</f>
        <v>937 - 1.076</v>
      </c>
    </row>
    <row r="1667" spans="2:8">
      <c r="B1667" s="15">
        <f>Techo - ROW() + ROW(Categorias_Registro[])</f>
        <v>962</v>
      </c>
      <c r="C1667" s="15">
        <f>IF(Categorias_Registro[[#This Row],[Puntos]]&lt;=ROUND(Piso,0),Piso,IF(Categorias_Registro[[#This Row],[Puntos]]&lt;D1668,C1668,D1668+1))</f>
        <v>937</v>
      </c>
      <c r="D1667" s="15">
        <f>IF(Categorias_Registro[[#This Row],[Puntos]]=ROUND(Piso,0),ROUND(Categorias_Registro[[#This Row],[Puntos]]*(1+Categorias_Registro[[#This Row],[Amplitud]]),0),IF(Categorias_Registro[[#This Row],[Puntos]]&lt;D1668,D1668,ROUND(D1668*(1+Categorias_Registro[[#This Row],[Amplitud]]),0)))</f>
        <v>1076</v>
      </c>
      <c r="E1667" s="15">
        <f>E1668+IF(D1668=Categorias_Registro[[#This Row],[Máximo]],0,1)</f>
        <v>18</v>
      </c>
      <c r="F1667" s="15">
        <f>ROUND(Categorias_Registro[[#This Row],[Mínimo]]+((Categorias_Registro[[#This Row],[Máximo]]-Categorias_Registro[[#This Row],[Mínimo]])/2),0)</f>
        <v>1007</v>
      </c>
      <c r="G1667" s="78">
        <f>VLOOKUP(Categorias_Registro[[#This Row],[Puntos]],Categorias_Configuracion[],MATCH(Categorias_Configuracion[[#Headers],[% Amplitud]],Categorias_Configuracion[#Headers],0),TRUE)</f>
        <v>0.15</v>
      </c>
      <c r="H1667" s="15" t="str">
        <f ca="1">TEXT(Categorias_Registro[[#This Row],[Mínimo]],Formato_Rango_Categorias)&amp;" - "&amp;TEXT(Categorias_Registro[[#This Row],[Máximo]],Formato_Rango_Categorias)</f>
        <v>937 - 1.076</v>
      </c>
    </row>
    <row r="1668" spans="2:8">
      <c r="B1668" s="15">
        <f>Techo - ROW() + ROW(Categorias_Registro[])</f>
        <v>961</v>
      </c>
      <c r="C1668" s="15">
        <f>IF(Categorias_Registro[[#This Row],[Puntos]]&lt;=ROUND(Piso,0),Piso,IF(Categorias_Registro[[#This Row],[Puntos]]&lt;D1669,C1669,D1669+1))</f>
        <v>937</v>
      </c>
      <c r="D1668" s="15">
        <f>IF(Categorias_Registro[[#This Row],[Puntos]]=ROUND(Piso,0),ROUND(Categorias_Registro[[#This Row],[Puntos]]*(1+Categorias_Registro[[#This Row],[Amplitud]]),0),IF(Categorias_Registro[[#This Row],[Puntos]]&lt;D1669,D1669,ROUND(D1669*(1+Categorias_Registro[[#This Row],[Amplitud]]),0)))</f>
        <v>1076</v>
      </c>
      <c r="E1668" s="15">
        <f>E1669+IF(D1669=Categorias_Registro[[#This Row],[Máximo]],0,1)</f>
        <v>18</v>
      </c>
      <c r="F1668" s="15">
        <f>ROUND(Categorias_Registro[[#This Row],[Mínimo]]+((Categorias_Registro[[#This Row],[Máximo]]-Categorias_Registro[[#This Row],[Mínimo]])/2),0)</f>
        <v>1007</v>
      </c>
      <c r="G1668" s="78">
        <f>VLOOKUP(Categorias_Registro[[#This Row],[Puntos]],Categorias_Configuracion[],MATCH(Categorias_Configuracion[[#Headers],[% Amplitud]],Categorias_Configuracion[#Headers],0),TRUE)</f>
        <v>0.15</v>
      </c>
      <c r="H1668" s="15" t="str">
        <f ca="1">TEXT(Categorias_Registro[[#This Row],[Mínimo]],Formato_Rango_Categorias)&amp;" - "&amp;TEXT(Categorias_Registro[[#This Row],[Máximo]],Formato_Rango_Categorias)</f>
        <v>937 - 1.076</v>
      </c>
    </row>
    <row r="1669" spans="2:8">
      <c r="B1669" s="15">
        <f>Techo - ROW() + ROW(Categorias_Registro[])</f>
        <v>960</v>
      </c>
      <c r="C1669" s="15">
        <f>IF(Categorias_Registro[[#This Row],[Puntos]]&lt;=ROUND(Piso,0),Piso,IF(Categorias_Registro[[#This Row],[Puntos]]&lt;D1670,C1670,D1670+1))</f>
        <v>937</v>
      </c>
      <c r="D1669" s="15">
        <f>IF(Categorias_Registro[[#This Row],[Puntos]]=ROUND(Piso,0),ROUND(Categorias_Registro[[#This Row],[Puntos]]*(1+Categorias_Registro[[#This Row],[Amplitud]]),0),IF(Categorias_Registro[[#This Row],[Puntos]]&lt;D1670,D1670,ROUND(D1670*(1+Categorias_Registro[[#This Row],[Amplitud]]),0)))</f>
        <v>1076</v>
      </c>
      <c r="E1669" s="15">
        <f>E1670+IF(D1670=Categorias_Registro[[#This Row],[Máximo]],0,1)</f>
        <v>18</v>
      </c>
      <c r="F1669" s="15">
        <f>ROUND(Categorias_Registro[[#This Row],[Mínimo]]+((Categorias_Registro[[#This Row],[Máximo]]-Categorias_Registro[[#This Row],[Mínimo]])/2),0)</f>
        <v>1007</v>
      </c>
      <c r="G1669" s="78">
        <f>VLOOKUP(Categorias_Registro[[#This Row],[Puntos]],Categorias_Configuracion[],MATCH(Categorias_Configuracion[[#Headers],[% Amplitud]],Categorias_Configuracion[#Headers],0),TRUE)</f>
        <v>0.15</v>
      </c>
      <c r="H1669" s="15" t="str">
        <f ca="1">TEXT(Categorias_Registro[[#This Row],[Mínimo]],Formato_Rango_Categorias)&amp;" - "&amp;TEXT(Categorias_Registro[[#This Row],[Máximo]],Formato_Rango_Categorias)</f>
        <v>937 - 1.076</v>
      </c>
    </row>
    <row r="1670" spans="2:8">
      <c r="B1670" s="15">
        <f>Techo - ROW() + ROW(Categorias_Registro[])</f>
        <v>959</v>
      </c>
      <c r="C1670" s="15">
        <f>IF(Categorias_Registro[[#This Row],[Puntos]]&lt;=ROUND(Piso,0),Piso,IF(Categorias_Registro[[#This Row],[Puntos]]&lt;D1671,C1671,D1671+1))</f>
        <v>937</v>
      </c>
      <c r="D1670" s="15">
        <f>IF(Categorias_Registro[[#This Row],[Puntos]]=ROUND(Piso,0),ROUND(Categorias_Registro[[#This Row],[Puntos]]*(1+Categorias_Registro[[#This Row],[Amplitud]]),0),IF(Categorias_Registro[[#This Row],[Puntos]]&lt;D1671,D1671,ROUND(D1671*(1+Categorias_Registro[[#This Row],[Amplitud]]),0)))</f>
        <v>1076</v>
      </c>
      <c r="E1670" s="15">
        <f>E1671+IF(D1671=Categorias_Registro[[#This Row],[Máximo]],0,1)</f>
        <v>18</v>
      </c>
      <c r="F1670" s="15">
        <f>ROUND(Categorias_Registro[[#This Row],[Mínimo]]+((Categorias_Registro[[#This Row],[Máximo]]-Categorias_Registro[[#This Row],[Mínimo]])/2),0)</f>
        <v>1007</v>
      </c>
      <c r="G1670" s="78">
        <f>VLOOKUP(Categorias_Registro[[#This Row],[Puntos]],Categorias_Configuracion[],MATCH(Categorias_Configuracion[[#Headers],[% Amplitud]],Categorias_Configuracion[#Headers],0),TRUE)</f>
        <v>0.15</v>
      </c>
      <c r="H1670" s="15" t="str">
        <f ca="1">TEXT(Categorias_Registro[[#This Row],[Mínimo]],Formato_Rango_Categorias)&amp;" - "&amp;TEXT(Categorias_Registro[[#This Row],[Máximo]],Formato_Rango_Categorias)</f>
        <v>937 - 1.076</v>
      </c>
    </row>
    <row r="1671" spans="2:8">
      <c r="B1671" s="15">
        <f>Techo - ROW() + ROW(Categorias_Registro[])</f>
        <v>958</v>
      </c>
      <c r="C1671" s="15">
        <f>IF(Categorias_Registro[[#This Row],[Puntos]]&lt;=ROUND(Piso,0),Piso,IF(Categorias_Registro[[#This Row],[Puntos]]&lt;D1672,C1672,D1672+1))</f>
        <v>937</v>
      </c>
      <c r="D1671" s="15">
        <f>IF(Categorias_Registro[[#This Row],[Puntos]]=ROUND(Piso,0),ROUND(Categorias_Registro[[#This Row],[Puntos]]*(1+Categorias_Registro[[#This Row],[Amplitud]]),0),IF(Categorias_Registro[[#This Row],[Puntos]]&lt;D1672,D1672,ROUND(D1672*(1+Categorias_Registro[[#This Row],[Amplitud]]),0)))</f>
        <v>1076</v>
      </c>
      <c r="E1671" s="15">
        <f>E1672+IF(D1672=Categorias_Registro[[#This Row],[Máximo]],0,1)</f>
        <v>18</v>
      </c>
      <c r="F1671" s="15">
        <f>ROUND(Categorias_Registro[[#This Row],[Mínimo]]+((Categorias_Registro[[#This Row],[Máximo]]-Categorias_Registro[[#This Row],[Mínimo]])/2),0)</f>
        <v>1007</v>
      </c>
      <c r="G1671" s="78">
        <f>VLOOKUP(Categorias_Registro[[#This Row],[Puntos]],Categorias_Configuracion[],MATCH(Categorias_Configuracion[[#Headers],[% Amplitud]],Categorias_Configuracion[#Headers],0),TRUE)</f>
        <v>0.15</v>
      </c>
      <c r="H1671" s="15" t="str">
        <f ca="1">TEXT(Categorias_Registro[[#This Row],[Mínimo]],Formato_Rango_Categorias)&amp;" - "&amp;TEXT(Categorias_Registro[[#This Row],[Máximo]],Formato_Rango_Categorias)</f>
        <v>937 - 1.076</v>
      </c>
    </row>
    <row r="1672" spans="2:8">
      <c r="B1672" s="15">
        <f>Techo - ROW() + ROW(Categorias_Registro[])</f>
        <v>957</v>
      </c>
      <c r="C1672" s="15">
        <f>IF(Categorias_Registro[[#This Row],[Puntos]]&lt;=ROUND(Piso,0),Piso,IF(Categorias_Registro[[#This Row],[Puntos]]&lt;D1673,C1673,D1673+1))</f>
        <v>937</v>
      </c>
      <c r="D1672" s="15">
        <f>IF(Categorias_Registro[[#This Row],[Puntos]]=ROUND(Piso,0),ROUND(Categorias_Registro[[#This Row],[Puntos]]*(1+Categorias_Registro[[#This Row],[Amplitud]]),0),IF(Categorias_Registro[[#This Row],[Puntos]]&lt;D1673,D1673,ROUND(D1673*(1+Categorias_Registro[[#This Row],[Amplitud]]),0)))</f>
        <v>1076</v>
      </c>
      <c r="E1672" s="15">
        <f>E1673+IF(D1673=Categorias_Registro[[#This Row],[Máximo]],0,1)</f>
        <v>18</v>
      </c>
      <c r="F1672" s="15">
        <f>ROUND(Categorias_Registro[[#This Row],[Mínimo]]+((Categorias_Registro[[#This Row],[Máximo]]-Categorias_Registro[[#This Row],[Mínimo]])/2),0)</f>
        <v>1007</v>
      </c>
      <c r="G1672" s="78">
        <f>VLOOKUP(Categorias_Registro[[#This Row],[Puntos]],Categorias_Configuracion[],MATCH(Categorias_Configuracion[[#Headers],[% Amplitud]],Categorias_Configuracion[#Headers],0),TRUE)</f>
        <v>0.15</v>
      </c>
      <c r="H1672" s="15" t="str">
        <f ca="1">TEXT(Categorias_Registro[[#This Row],[Mínimo]],Formato_Rango_Categorias)&amp;" - "&amp;TEXT(Categorias_Registro[[#This Row],[Máximo]],Formato_Rango_Categorias)</f>
        <v>937 - 1.076</v>
      </c>
    </row>
    <row r="1673" spans="2:8">
      <c r="B1673" s="15">
        <f>Techo - ROW() + ROW(Categorias_Registro[])</f>
        <v>956</v>
      </c>
      <c r="C1673" s="15">
        <f>IF(Categorias_Registro[[#This Row],[Puntos]]&lt;=ROUND(Piso,0),Piso,IF(Categorias_Registro[[#This Row],[Puntos]]&lt;D1674,C1674,D1674+1))</f>
        <v>937</v>
      </c>
      <c r="D1673" s="15">
        <f>IF(Categorias_Registro[[#This Row],[Puntos]]=ROUND(Piso,0),ROUND(Categorias_Registro[[#This Row],[Puntos]]*(1+Categorias_Registro[[#This Row],[Amplitud]]),0),IF(Categorias_Registro[[#This Row],[Puntos]]&lt;D1674,D1674,ROUND(D1674*(1+Categorias_Registro[[#This Row],[Amplitud]]),0)))</f>
        <v>1076</v>
      </c>
      <c r="E1673" s="15">
        <f>E1674+IF(D1674=Categorias_Registro[[#This Row],[Máximo]],0,1)</f>
        <v>18</v>
      </c>
      <c r="F1673" s="15">
        <f>ROUND(Categorias_Registro[[#This Row],[Mínimo]]+((Categorias_Registro[[#This Row],[Máximo]]-Categorias_Registro[[#This Row],[Mínimo]])/2),0)</f>
        <v>1007</v>
      </c>
      <c r="G1673" s="78">
        <f>VLOOKUP(Categorias_Registro[[#This Row],[Puntos]],Categorias_Configuracion[],MATCH(Categorias_Configuracion[[#Headers],[% Amplitud]],Categorias_Configuracion[#Headers],0),TRUE)</f>
        <v>0.15</v>
      </c>
      <c r="H1673" s="15" t="str">
        <f ca="1">TEXT(Categorias_Registro[[#This Row],[Mínimo]],Formato_Rango_Categorias)&amp;" - "&amp;TEXT(Categorias_Registro[[#This Row],[Máximo]],Formato_Rango_Categorias)</f>
        <v>937 - 1.076</v>
      </c>
    </row>
    <row r="1674" spans="2:8">
      <c r="B1674" s="15">
        <f>Techo - ROW() + ROW(Categorias_Registro[])</f>
        <v>955</v>
      </c>
      <c r="C1674" s="15">
        <f>IF(Categorias_Registro[[#This Row],[Puntos]]&lt;=ROUND(Piso,0),Piso,IF(Categorias_Registro[[#This Row],[Puntos]]&lt;D1675,C1675,D1675+1))</f>
        <v>937</v>
      </c>
      <c r="D1674" s="15">
        <f>IF(Categorias_Registro[[#This Row],[Puntos]]=ROUND(Piso,0),ROUND(Categorias_Registro[[#This Row],[Puntos]]*(1+Categorias_Registro[[#This Row],[Amplitud]]),0),IF(Categorias_Registro[[#This Row],[Puntos]]&lt;D1675,D1675,ROUND(D1675*(1+Categorias_Registro[[#This Row],[Amplitud]]),0)))</f>
        <v>1076</v>
      </c>
      <c r="E1674" s="15">
        <f>E1675+IF(D1675=Categorias_Registro[[#This Row],[Máximo]],0,1)</f>
        <v>18</v>
      </c>
      <c r="F1674" s="15">
        <f>ROUND(Categorias_Registro[[#This Row],[Mínimo]]+((Categorias_Registro[[#This Row],[Máximo]]-Categorias_Registro[[#This Row],[Mínimo]])/2),0)</f>
        <v>1007</v>
      </c>
      <c r="G1674" s="78">
        <f>VLOOKUP(Categorias_Registro[[#This Row],[Puntos]],Categorias_Configuracion[],MATCH(Categorias_Configuracion[[#Headers],[% Amplitud]],Categorias_Configuracion[#Headers],0),TRUE)</f>
        <v>0.15</v>
      </c>
      <c r="H1674" s="15" t="str">
        <f ca="1">TEXT(Categorias_Registro[[#This Row],[Mínimo]],Formato_Rango_Categorias)&amp;" - "&amp;TEXT(Categorias_Registro[[#This Row],[Máximo]],Formato_Rango_Categorias)</f>
        <v>937 - 1.076</v>
      </c>
    </row>
    <row r="1675" spans="2:8">
      <c r="B1675" s="15">
        <f>Techo - ROW() + ROW(Categorias_Registro[])</f>
        <v>954</v>
      </c>
      <c r="C1675" s="15">
        <f>IF(Categorias_Registro[[#This Row],[Puntos]]&lt;=ROUND(Piso,0),Piso,IF(Categorias_Registro[[#This Row],[Puntos]]&lt;D1676,C1676,D1676+1))</f>
        <v>937</v>
      </c>
      <c r="D1675" s="15">
        <f>IF(Categorias_Registro[[#This Row],[Puntos]]=ROUND(Piso,0),ROUND(Categorias_Registro[[#This Row],[Puntos]]*(1+Categorias_Registro[[#This Row],[Amplitud]]),0),IF(Categorias_Registro[[#This Row],[Puntos]]&lt;D1676,D1676,ROUND(D1676*(1+Categorias_Registro[[#This Row],[Amplitud]]),0)))</f>
        <v>1076</v>
      </c>
      <c r="E1675" s="15">
        <f>E1676+IF(D1676=Categorias_Registro[[#This Row],[Máximo]],0,1)</f>
        <v>18</v>
      </c>
      <c r="F1675" s="15">
        <f>ROUND(Categorias_Registro[[#This Row],[Mínimo]]+((Categorias_Registro[[#This Row],[Máximo]]-Categorias_Registro[[#This Row],[Mínimo]])/2),0)</f>
        <v>1007</v>
      </c>
      <c r="G1675" s="78">
        <f>VLOOKUP(Categorias_Registro[[#This Row],[Puntos]],Categorias_Configuracion[],MATCH(Categorias_Configuracion[[#Headers],[% Amplitud]],Categorias_Configuracion[#Headers],0),TRUE)</f>
        <v>0.15</v>
      </c>
      <c r="H1675" s="15" t="str">
        <f ca="1">TEXT(Categorias_Registro[[#This Row],[Mínimo]],Formato_Rango_Categorias)&amp;" - "&amp;TEXT(Categorias_Registro[[#This Row],[Máximo]],Formato_Rango_Categorias)</f>
        <v>937 - 1.076</v>
      </c>
    </row>
    <row r="1676" spans="2:8">
      <c r="B1676" s="15">
        <f>Techo - ROW() + ROW(Categorias_Registro[])</f>
        <v>953</v>
      </c>
      <c r="C1676" s="15">
        <f>IF(Categorias_Registro[[#This Row],[Puntos]]&lt;=ROUND(Piso,0),Piso,IF(Categorias_Registro[[#This Row],[Puntos]]&lt;D1677,C1677,D1677+1))</f>
        <v>937</v>
      </c>
      <c r="D1676" s="15">
        <f>IF(Categorias_Registro[[#This Row],[Puntos]]=ROUND(Piso,0),ROUND(Categorias_Registro[[#This Row],[Puntos]]*(1+Categorias_Registro[[#This Row],[Amplitud]]),0),IF(Categorias_Registro[[#This Row],[Puntos]]&lt;D1677,D1677,ROUND(D1677*(1+Categorias_Registro[[#This Row],[Amplitud]]),0)))</f>
        <v>1076</v>
      </c>
      <c r="E1676" s="15">
        <f>E1677+IF(D1677=Categorias_Registro[[#This Row],[Máximo]],0,1)</f>
        <v>18</v>
      </c>
      <c r="F1676" s="15">
        <f>ROUND(Categorias_Registro[[#This Row],[Mínimo]]+((Categorias_Registro[[#This Row],[Máximo]]-Categorias_Registro[[#This Row],[Mínimo]])/2),0)</f>
        <v>1007</v>
      </c>
      <c r="G1676" s="78">
        <f>VLOOKUP(Categorias_Registro[[#This Row],[Puntos]],Categorias_Configuracion[],MATCH(Categorias_Configuracion[[#Headers],[% Amplitud]],Categorias_Configuracion[#Headers],0),TRUE)</f>
        <v>0.15</v>
      </c>
      <c r="H1676" s="15" t="str">
        <f ca="1">TEXT(Categorias_Registro[[#This Row],[Mínimo]],Formato_Rango_Categorias)&amp;" - "&amp;TEXT(Categorias_Registro[[#This Row],[Máximo]],Formato_Rango_Categorias)</f>
        <v>937 - 1.076</v>
      </c>
    </row>
    <row r="1677" spans="2:8">
      <c r="B1677" s="15">
        <f>Techo - ROW() + ROW(Categorias_Registro[])</f>
        <v>952</v>
      </c>
      <c r="C1677" s="15">
        <f>IF(Categorias_Registro[[#This Row],[Puntos]]&lt;=ROUND(Piso,0),Piso,IF(Categorias_Registro[[#This Row],[Puntos]]&lt;D1678,C1678,D1678+1))</f>
        <v>937</v>
      </c>
      <c r="D1677" s="15">
        <f>IF(Categorias_Registro[[#This Row],[Puntos]]=ROUND(Piso,0),ROUND(Categorias_Registro[[#This Row],[Puntos]]*(1+Categorias_Registro[[#This Row],[Amplitud]]),0),IF(Categorias_Registro[[#This Row],[Puntos]]&lt;D1678,D1678,ROUND(D1678*(1+Categorias_Registro[[#This Row],[Amplitud]]),0)))</f>
        <v>1076</v>
      </c>
      <c r="E1677" s="15">
        <f>E1678+IF(D1678=Categorias_Registro[[#This Row],[Máximo]],0,1)</f>
        <v>18</v>
      </c>
      <c r="F1677" s="15">
        <f>ROUND(Categorias_Registro[[#This Row],[Mínimo]]+((Categorias_Registro[[#This Row],[Máximo]]-Categorias_Registro[[#This Row],[Mínimo]])/2),0)</f>
        <v>1007</v>
      </c>
      <c r="G1677" s="78">
        <f>VLOOKUP(Categorias_Registro[[#This Row],[Puntos]],Categorias_Configuracion[],MATCH(Categorias_Configuracion[[#Headers],[% Amplitud]],Categorias_Configuracion[#Headers],0),TRUE)</f>
        <v>0.15</v>
      </c>
      <c r="H1677" s="15" t="str">
        <f ca="1">TEXT(Categorias_Registro[[#This Row],[Mínimo]],Formato_Rango_Categorias)&amp;" - "&amp;TEXT(Categorias_Registro[[#This Row],[Máximo]],Formato_Rango_Categorias)</f>
        <v>937 - 1.076</v>
      </c>
    </row>
    <row r="1678" spans="2:8">
      <c r="B1678" s="15">
        <f>Techo - ROW() + ROW(Categorias_Registro[])</f>
        <v>951</v>
      </c>
      <c r="C1678" s="15">
        <f>IF(Categorias_Registro[[#This Row],[Puntos]]&lt;=ROUND(Piso,0),Piso,IF(Categorias_Registro[[#This Row],[Puntos]]&lt;D1679,C1679,D1679+1))</f>
        <v>937</v>
      </c>
      <c r="D1678" s="15">
        <f>IF(Categorias_Registro[[#This Row],[Puntos]]=ROUND(Piso,0),ROUND(Categorias_Registro[[#This Row],[Puntos]]*(1+Categorias_Registro[[#This Row],[Amplitud]]),0),IF(Categorias_Registro[[#This Row],[Puntos]]&lt;D1679,D1679,ROUND(D1679*(1+Categorias_Registro[[#This Row],[Amplitud]]),0)))</f>
        <v>1076</v>
      </c>
      <c r="E1678" s="15">
        <f>E1679+IF(D1679=Categorias_Registro[[#This Row],[Máximo]],0,1)</f>
        <v>18</v>
      </c>
      <c r="F1678" s="15">
        <f>ROUND(Categorias_Registro[[#This Row],[Mínimo]]+((Categorias_Registro[[#This Row],[Máximo]]-Categorias_Registro[[#This Row],[Mínimo]])/2),0)</f>
        <v>1007</v>
      </c>
      <c r="G1678" s="78">
        <f>VLOOKUP(Categorias_Registro[[#This Row],[Puntos]],Categorias_Configuracion[],MATCH(Categorias_Configuracion[[#Headers],[% Amplitud]],Categorias_Configuracion[#Headers],0),TRUE)</f>
        <v>0.15</v>
      </c>
      <c r="H1678" s="15" t="str">
        <f ca="1">TEXT(Categorias_Registro[[#This Row],[Mínimo]],Formato_Rango_Categorias)&amp;" - "&amp;TEXT(Categorias_Registro[[#This Row],[Máximo]],Formato_Rango_Categorias)</f>
        <v>937 - 1.076</v>
      </c>
    </row>
    <row r="1679" spans="2:8">
      <c r="B1679" s="15">
        <f>Techo - ROW() + ROW(Categorias_Registro[])</f>
        <v>950</v>
      </c>
      <c r="C1679" s="15">
        <f>IF(Categorias_Registro[[#This Row],[Puntos]]&lt;=ROUND(Piso,0),Piso,IF(Categorias_Registro[[#This Row],[Puntos]]&lt;D1680,C1680,D1680+1))</f>
        <v>937</v>
      </c>
      <c r="D1679" s="15">
        <f>IF(Categorias_Registro[[#This Row],[Puntos]]=ROUND(Piso,0),ROUND(Categorias_Registro[[#This Row],[Puntos]]*(1+Categorias_Registro[[#This Row],[Amplitud]]),0),IF(Categorias_Registro[[#This Row],[Puntos]]&lt;D1680,D1680,ROUND(D1680*(1+Categorias_Registro[[#This Row],[Amplitud]]),0)))</f>
        <v>1076</v>
      </c>
      <c r="E1679" s="15">
        <f>E1680+IF(D1680=Categorias_Registro[[#This Row],[Máximo]],0,1)</f>
        <v>18</v>
      </c>
      <c r="F1679" s="15">
        <f>ROUND(Categorias_Registro[[#This Row],[Mínimo]]+((Categorias_Registro[[#This Row],[Máximo]]-Categorias_Registro[[#This Row],[Mínimo]])/2),0)</f>
        <v>1007</v>
      </c>
      <c r="G1679" s="78">
        <f>VLOOKUP(Categorias_Registro[[#This Row],[Puntos]],Categorias_Configuracion[],MATCH(Categorias_Configuracion[[#Headers],[% Amplitud]],Categorias_Configuracion[#Headers],0),TRUE)</f>
        <v>0.15</v>
      </c>
      <c r="H1679" s="15" t="str">
        <f ca="1">TEXT(Categorias_Registro[[#This Row],[Mínimo]],Formato_Rango_Categorias)&amp;" - "&amp;TEXT(Categorias_Registro[[#This Row],[Máximo]],Formato_Rango_Categorias)</f>
        <v>937 - 1.076</v>
      </c>
    </row>
    <row r="1680" spans="2:8">
      <c r="B1680" s="15">
        <f>Techo - ROW() + ROW(Categorias_Registro[])</f>
        <v>949</v>
      </c>
      <c r="C1680" s="15">
        <f>IF(Categorias_Registro[[#This Row],[Puntos]]&lt;=ROUND(Piso,0),Piso,IF(Categorias_Registro[[#This Row],[Puntos]]&lt;D1681,C1681,D1681+1))</f>
        <v>937</v>
      </c>
      <c r="D1680" s="15">
        <f>IF(Categorias_Registro[[#This Row],[Puntos]]=ROUND(Piso,0),ROUND(Categorias_Registro[[#This Row],[Puntos]]*(1+Categorias_Registro[[#This Row],[Amplitud]]),0),IF(Categorias_Registro[[#This Row],[Puntos]]&lt;D1681,D1681,ROUND(D1681*(1+Categorias_Registro[[#This Row],[Amplitud]]),0)))</f>
        <v>1076</v>
      </c>
      <c r="E1680" s="15">
        <f>E1681+IF(D1681=Categorias_Registro[[#This Row],[Máximo]],0,1)</f>
        <v>18</v>
      </c>
      <c r="F1680" s="15">
        <f>ROUND(Categorias_Registro[[#This Row],[Mínimo]]+((Categorias_Registro[[#This Row],[Máximo]]-Categorias_Registro[[#This Row],[Mínimo]])/2),0)</f>
        <v>1007</v>
      </c>
      <c r="G1680" s="78">
        <f>VLOOKUP(Categorias_Registro[[#This Row],[Puntos]],Categorias_Configuracion[],MATCH(Categorias_Configuracion[[#Headers],[% Amplitud]],Categorias_Configuracion[#Headers],0),TRUE)</f>
        <v>0.15</v>
      </c>
      <c r="H1680" s="15" t="str">
        <f ca="1">TEXT(Categorias_Registro[[#This Row],[Mínimo]],Formato_Rango_Categorias)&amp;" - "&amp;TEXT(Categorias_Registro[[#This Row],[Máximo]],Formato_Rango_Categorias)</f>
        <v>937 - 1.076</v>
      </c>
    </row>
    <row r="1681" spans="2:8">
      <c r="B1681" s="15">
        <f>Techo - ROW() + ROW(Categorias_Registro[])</f>
        <v>948</v>
      </c>
      <c r="C1681" s="15">
        <f>IF(Categorias_Registro[[#This Row],[Puntos]]&lt;=ROUND(Piso,0),Piso,IF(Categorias_Registro[[#This Row],[Puntos]]&lt;D1682,C1682,D1682+1))</f>
        <v>937</v>
      </c>
      <c r="D1681" s="15">
        <f>IF(Categorias_Registro[[#This Row],[Puntos]]=ROUND(Piso,0),ROUND(Categorias_Registro[[#This Row],[Puntos]]*(1+Categorias_Registro[[#This Row],[Amplitud]]),0),IF(Categorias_Registro[[#This Row],[Puntos]]&lt;D1682,D1682,ROUND(D1682*(1+Categorias_Registro[[#This Row],[Amplitud]]),0)))</f>
        <v>1076</v>
      </c>
      <c r="E1681" s="15">
        <f>E1682+IF(D1682=Categorias_Registro[[#This Row],[Máximo]],0,1)</f>
        <v>18</v>
      </c>
      <c r="F1681" s="15">
        <f>ROUND(Categorias_Registro[[#This Row],[Mínimo]]+((Categorias_Registro[[#This Row],[Máximo]]-Categorias_Registro[[#This Row],[Mínimo]])/2),0)</f>
        <v>1007</v>
      </c>
      <c r="G1681" s="78">
        <f>VLOOKUP(Categorias_Registro[[#This Row],[Puntos]],Categorias_Configuracion[],MATCH(Categorias_Configuracion[[#Headers],[% Amplitud]],Categorias_Configuracion[#Headers],0),TRUE)</f>
        <v>0.15</v>
      </c>
      <c r="H1681" s="15" t="str">
        <f ca="1">TEXT(Categorias_Registro[[#This Row],[Mínimo]],Formato_Rango_Categorias)&amp;" - "&amp;TEXT(Categorias_Registro[[#This Row],[Máximo]],Formato_Rango_Categorias)</f>
        <v>937 - 1.076</v>
      </c>
    </row>
    <row r="1682" spans="2:8">
      <c r="B1682" s="15">
        <f>Techo - ROW() + ROW(Categorias_Registro[])</f>
        <v>947</v>
      </c>
      <c r="C1682" s="15">
        <f>IF(Categorias_Registro[[#This Row],[Puntos]]&lt;=ROUND(Piso,0),Piso,IF(Categorias_Registro[[#This Row],[Puntos]]&lt;D1683,C1683,D1683+1))</f>
        <v>937</v>
      </c>
      <c r="D1682" s="15">
        <f>IF(Categorias_Registro[[#This Row],[Puntos]]=ROUND(Piso,0),ROUND(Categorias_Registro[[#This Row],[Puntos]]*(1+Categorias_Registro[[#This Row],[Amplitud]]),0),IF(Categorias_Registro[[#This Row],[Puntos]]&lt;D1683,D1683,ROUND(D1683*(1+Categorias_Registro[[#This Row],[Amplitud]]),0)))</f>
        <v>1076</v>
      </c>
      <c r="E1682" s="15">
        <f>E1683+IF(D1683=Categorias_Registro[[#This Row],[Máximo]],0,1)</f>
        <v>18</v>
      </c>
      <c r="F1682" s="15">
        <f>ROUND(Categorias_Registro[[#This Row],[Mínimo]]+((Categorias_Registro[[#This Row],[Máximo]]-Categorias_Registro[[#This Row],[Mínimo]])/2),0)</f>
        <v>1007</v>
      </c>
      <c r="G1682" s="78">
        <f>VLOOKUP(Categorias_Registro[[#This Row],[Puntos]],Categorias_Configuracion[],MATCH(Categorias_Configuracion[[#Headers],[% Amplitud]],Categorias_Configuracion[#Headers],0),TRUE)</f>
        <v>0.15</v>
      </c>
      <c r="H1682" s="15" t="str">
        <f ca="1">TEXT(Categorias_Registro[[#This Row],[Mínimo]],Formato_Rango_Categorias)&amp;" - "&amp;TEXT(Categorias_Registro[[#This Row],[Máximo]],Formato_Rango_Categorias)</f>
        <v>937 - 1.076</v>
      </c>
    </row>
    <row r="1683" spans="2:8">
      <c r="B1683" s="15">
        <f>Techo - ROW() + ROW(Categorias_Registro[])</f>
        <v>946</v>
      </c>
      <c r="C1683" s="15">
        <f>IF(Categorias_Registro[[#This Row],[Puntos]]&lt;=ROUND(Piso,0),Piso,IF(Categorias_Registro[[#This Row],[Puntos]]&lt;D1684,C1684,D1684+1))</f>
        <v>937</v>
      </c>
      <c r="D1683" s="15">
        <f>IF(Categorias_Registro[[#This Row],[Puntos]]=ROUND(Piso,0),ROUND(Categorias_Registro[[#This Row],[Puntos]]*(1+Categorias_Registro[[#This Row],[Amplitud]]),0),IF(Categorias_Registro[[#This Row],[Puntos]]&lt;D1684,D1684,ROUND(D1684*(1+Categorias_Registro[[#This Row],[Amplitud]]),0)))</f>
        <v>1076</v>
      </c>
      <c r="E1683" s="15">
        <f>E1684+IF(D1684=Categorias_Registro[[#This Row],[Máximo]],0,1)</f>
        <v>18</v>
      </c>
      <c r="F1683" s="15">
        <f>ROUND(Categorias_Registro[[#This Row],[Mínimo]]+((Categorias_Registro[[#This Row],[Máximo]]-Categorias_Registro[[#This Row],[Mínimo]])/2),0)</f>
        <v>1007</v>
      </c>
      <c r="G1683" s="78">
        <f>VLOOKUP(Categorias_Registro[[#This Row],[Puntos]],Categorias_Configuracion[],MATCH(Categorias_Configuracion[[#Headers],[% Amplitud]],Categorias_Configuracion[#Headers],0),TRUE)</f>
        <v>0.15</v>
      </c>
      <c r="H1683" s="15" t="str">
        <f ca="1">TEXT(Categorias_Registro[[#This Row],[Mínimo]],Formato_Rango_Categorias)&amp;" - "&amp;TEXT(Categorias_Registro[[#This Row],[Máximo]],Formato_Rango_Categorias)</f>
        <v>937 - 1.076</v>
      </c>
    </row>
    <row r="1684" spans="2:8">
      <c r="B1684" s="15">
        <f>Techo - ROW() + ROW(Categorias_Registro[])</f>
        <v>945</v>
      </c>
      <c r="C1684" s="15">
        <f>IF(Categorias_Registro[[#This Row],[Puntos]]&lt;=ROUND(Piso,0),Piso,IF(Categorias_Registro[[#This Row],[Puntos]]&lt;D1685,C1685,D1685+1))</f>
        <v>937</v>
      </c>
      <c r="D1684" s="15">
        <f>IF(Categorias_Registro[[#This Row],[Puntos]]=ROUND(Piso,0),ROUND(Categorias_Registro[[#This Row],[Puntos]]*(1+Categorias_Registro[[#This Row],[Amplitud]]),0),IF(Categorias_Registro[[#This Row],[Puntos]]&lt;D1685,D1685,ROUND(D1685*(1+Categorias_Registro[[#This Row],[Amplitud]]),0)))</f>
        <v>1076</v>
      </c>
      <c r="E1684" s="15">
        <f>E1685+IF(D1685=Categorias_Registro[[#This Row],[Máximo]],0,1)</f>
        <v>18</v>
      </c>
      <c r="F1684" s="15">
        <f>ROUND(Categorias_Registro[[#This Row],[Mínimo]]+((Categorias_Registro[[#This Row],[Máximo]]-Categorias_Registro[[#This Row],[Mínimo]])/2),0)</f>
        <v>1007</v>
      </c>
      <c r="G1684" s="78">
        <f>VLOOKUP(Categorias_Registro[[#This Row],[Puntos]],Categorias_Configuracion[],MATCH(Categorias_Configuracion[[#Headers],[% Amplitud]],Categorias_Configuracion[#Headers],0),TRUE)</f>
        <v>0.15</v>
      </c>
      <c r="H1684" s="15" t="str">
        <f ca="1">TEXT(Categorias_Registro[[#This Row],[Mínimo]],Formato_Rango_Categorias)&amp;" - "&amp;TEXT(Categorias_Registro[[#This Row],[Máximo]],Formato_Rango_Categorias)</f>
        <v>937 - 1.076</v>
      </c>
    </row>
    <row r="1685" spans="2:8">
      <c r="B1685" s="15">
        <f>Techo - ROW() + ROW(Categorias_Registro[])</f>
        <v>944</v>
      </c>
      <c r="C1685" s="15">
        <f>IF(Categorias_Registro[[#This Row],[Puntos]]&lt;=ROUND(Piso,0),Piso,IF(Categorias_Registro[[#This Row],[Puntos]]&lt;D1686,C1686,D1686+1))</f>
        <v>937</v>
      </c>
      <c r="D1685" s="15">
        <f>IF(Categorias_Registro[[#This Row],[Puntos]]=ROUND(Piso,0),ROUND(Categorias_Registro[[#This Row],[Puntos]]*(1+Categorias_Registro[[#This Row],[Amplitud]]),0),IF(Categorias_Registro[[#This Row],[Puntos]]&lt;D1686,D1686,ROUND(D1686*(1+Categorias_Registro[[#This Row],[Amplitud]]),0)))</f>
        <v>1076</v>
      </c>
      <c r="E1685" s="15">
        <f>E1686+IF(D1686=Categorias_Registro[[#This Row],[Máximo]],0,1)</f>
        <v>18</v>
      </c>
      <c r="F1685" s="15">
        <f>ROUND(Categorias_Registro[[#This Row],[Mínimo]]+((Categorias_Registro[[#This Row],[Máximo]]-Categorias_Registro[[#This Row],[Mínimo]])/2),0)</f>
        <v>1007</v>
      </c>
      <c r="G1685" s="78">
        <f>VLOOKUP(Categorias_Registro[[#This Row],[Puntos]],Categorias_Configuracion[],MATCH(Categorias_Configuracion[[#Headers],[% Amplitud]],Categorias_Configuracion[#Headers],0),TRUE)</f>
        <v>0.15</v>
      </c>
      <c r="H1685" s="15" t="str">
        <f ca="1">TEXT(Categorias_Registro[[#This Row],[Mínimo]],Formato_Rango_Categorias)&amp;" - "&amp;TEXT(Categorias_Registro[[#This Row],[Máximo]],Formato_Rango_Categorias)</f>
        <v>937 - 1.076</v>
      </c>
    </row>
    <row r="1686" spans="2:8">
      <c r="B1686" s="15">
        <f>Techo - ROW() + ROW(Categorias_Registro[])</f>
        <v>943</v>
      </c>
      <c r="C1686" s="15">
        <f>IF(Categorias_Registro[[#This Row],[Puntos]]&lt;=ROUND(Piso,0),Piso,IF(Categorias_Registro[[#This Row],[Puntos]]&lt;D1687,C1687,D1687+1))</f>
        <v>937</v>
      </c>
      <c r="D1686" s="15">
        <f>IF(Categorias_Registro[[#This Row],[Puntos]]=ROUND(Piso,0),ROUND(Categorias_Registro[[#This Row],[Puntos]]*(1+Categorias_Registro[[#This Row],[Amplitud]]),0),IF(Categorias_Registro[[#This Row],[Puntos]]&lt;D1687,D1687,ROUND(D1687*(1+Categorias_Registro[[#This Row],[Amplitud]]),0)))</f>
        <v>1076</v>
      </c>
      <c r="E1686" s="15">
        <f>E1687+IF(D1687=Categorias_Registro[[#This Row],[Máximo]],0,1)</f>
        <v>18</v>
      </c>
      <c r="F1686" s="15">
        <f>ROUND(Categorias_Registro[[#This Row],[Mínimo]]+((Categorias_Registro[[#This Row],[Máximo]]-Categorias_Registro[[#This Row],[Mínimo]])/2),0)</f>
        <v>1007</v>
      </c>
      <c r="G1686" s="78">
        <f>VLOOKUP(Categorias_Registro[[#This Row],[Puntos]],Categorias_Configuracion[],MATCH(Categorias_Configuracion[[#Headers],[% Amplitud]],Categorias_Configuracion[#Headers],0),TRUE)</f>
        <v>0.15</v>
      </c>
      <c r="H1686" s="15" t="str">
        <f ca="1">TEXT(Categorias_Registro[[#This Row],[Mínimo]],Formato_Rango_Categorias)&amp;" - "&amp;TEXT(Categorias_Registro[[#This Row],[Máximo]],Formato_Rango_Categorias)</f>
        <v>937 - 1.076</v>
      </c>
    </row>
    <row r="1687" spans="2:8">
      <c r="B1687" s="15">
        <f>Techo - ROW() + ROW(Categorias_Registro[])</f>
        <v>942</v>
      </c>
      <c r="C1687" s="15">
        <f>IF(Categorias_Registro[[#This Row],[Puntos]]&lt;=ROUND(Piso,0),Piso,IF(Categorias_Registro[[#This Row],[Puntos]]&lt;D1688,C1688,D1688+1))</f>
        <v>937</v>
      </c>
      <c r="D1687" s="15">
        <f>IF(Categorias_Registro[[#This Row],[Puntos]]=ROUND(Piso,0),ROUND(Categorias_Registro[[#This Row],[Puntos]]*(1+Categorias_Registro[[#This Row],[Amplitud]]),0),IF(Categorias_Registro[[#This Row],[Puntos]]&lt;D1688,D1688,ROUND(D1688*(1+Categorias_Registro[[#This Row],[Amplitud]]),0)))</f>
        <v>1076</v>
      </c>
      <c r="E1687" s="15">
        <f>E1688+IF(D1688=Categorias_Registro[[#This Row],[Máximo]],0,1)</f>
        <v>18</v>
      </c>
      <c r="F1687" s="15">
        <f>ROUND(Categorias_Registro[[#This Row],[Mínimo]]+((Categorias_Registro[[#This Row],[Máximo]]-Categorias_Registro[[#This Row],[Mínimo]])/2),0)</f>
        <v>1007</v>
      </c>
      <c r="G1687" s="78">
        <f>VLOOKUP(Categorias_Registro[[#This Row],[Puntos]],Categorias_Configuracion[],MATCH(Categorias_Configuracion[[#Headers],[% Amplitud]],Categorias_Configuracion[#Headers],0),TRUE)</f>
        <v>0.15</v>
      </c>
      <c r="H1687" s="15" t="str">
        <f ca="1">TEXT(Categorias_Registro[[#This Row],[Mínimo]],Formato_Rango_Categorias)&amp;" - "&amp;TEXT(Categorias_Registro[[#This Row],[Máximo]],Formato_Rango_Categorias)</f>
        <v>937 - 1.076</v>
      </c>
    </row>
    <row r="1688" spans="2:8">
      <c r="B1688" s="15">
        <f>Techo - ROW() + ROW(Categorias_Registro[])</f>
        <v>941</v>
      </c>
      <c r="C1688" s="15">
        <f>IF(Categorias_Registro[[#This Row],[Puntos]]&lt;=ROUND(Piso,0),Piso,IF(Categorias_Registro[[#This Row],[Puntos]]&lt;D1689,C1689,D1689+1))</f>
        <v>937</v>
      </c>
      <c r="D1688" s="15">
        <f>IF(Categorias_Registro[[#This Row],[Puntos]]=ROUND(Piso,0),ROUND(Categorias_Registro[[#This Row],[Puntos]]*(1+Categorias_Registro[[#This Row],[Amplitud]]),0),IF(Categorias_Registro[[#This Row],[Puntos]]&lt;D1689,D1689,ROUND(D1689*(1+Categorias_Registro[[#This Row],[Amplitud]]),0)))</f>
        <v>1076</v>
      </c>
      <c r="E1688" s="15">
        <f>E1689+IF(D1689=Categorias_Registro[[#This Row],[Máximo]],0,1)</f>
        <v>18</v>
      </c>
      <c r="F1688" s="15">
        <f>ROUND(Categorias_Registro[[#This Row],[Mínimo]]+((Categorias_Registro[[#This Row],[Máximo]]-Categorias_Registro[[#This Row],[Mínimo]])/2),0)</f>
        <v>1007</v>
      </c>
      <c r="G1688" s="78">
        <f>VLOOKUP(Categorias_Registro[[#This Row],[Puntos]],Categorias_Configuracion[],MATCH(Categorias_Configuracion[[#Headers],[% Amplitud]],Categorias_Configuracion[#Headers],0),TRUE)</f>
        <v>0.15</v>
      </c>
      <c r="H1688" s="15" t="str">
        <f ca="1">TEXT(Categorias_Registro[[#This Row],[Mínimo]],Formato_Rango_Categorias)&amp;" - "&amp;TEXT(Categorias_Registro[[#This Row],[Máximo]],Formato_Rango_Categorias)</f>
        <v>937 - 1.076</v>
      </c>
    </row>
    <row r="1689" spans="2:8">
      <c r="B1689" s="15">
        <f>Techo - ROW() + ROW(Categorias_Registro[])</f>
        <v>940</v>
      </c>
      <c r="C1689" s="15">
        <f>IF(Categorias_Registro[[#This Row],[Puntos]]&lt;=ROUND(Piso,0),Piso,IF(Categorias_Registro[[#This Row],[Puntos]]&lt;D1690,C1690,D1690+1))</f>
        <v>937</v>
      </c>
      <c r="D1689" s="15">
        <f>IF(Categorias_Registro[[#This Row],[Puntos]]=ROUND(Piso,0),ROUND(Categorias_Registro[[#This Row],[Puntos]]*(1+Categorias_Registro[[#This Row],[Amplitud]]),0),IF(Categorias_Registro[[#This Row],[Puntos]]&lt;D1690,D1690,ROUND(D1690*(1+Categorias_Registro[[#This Row],[Amplitud]]),0)))</f>
        <v>1076</v>
      </c>
      <c r="E1689" s="15">
        <f>E1690+IF(D1690=Categorias_Registro[[#This Row],[Máximo]],0,1)</f>
        <v>18</v>
      </c>
      <c r="F1689" s="15">
        <f>ROUND(Categorias_Registro[[#This Row],[Mínimo]]+((Categorias_Registro[[#This Row],[Máximo]]-Categorias_Registro[[#This Row],[Mínimo]])/2),0)</f>
        <v>1007</v>
      </c>
      <c r="G1689" s="78">
        <f>VLOOKUP(Categorias_Registro[[#This Row],[Puntos]],Categorias_Configuracion[],MATCH(Categorias_Configuracion[[#Headers],[% Amplitud]],Categorias_Configuracion[#Headers],0),TRUE)</f>
        <v>0.15</v>
      </c>
      <c r="H1689" s="15" t="str">
        <f ca="1">TEXT(Categorias_Registro[[#This Row],[Mínimo]],Formato_Rango_Categorias)&amp;" - "&amp;TEXT(Categorias_Registro[[#This Row],[Máximo]],Formato_Rango_Categorias)</f>
        <v>937 - 1.076</v>
      </c>
    </row>
    <row r="1690" spans="2:8">
      <c r="B1690" s="15">
        <f>Techo - ROW() + ROW(Categorias_Registro[])</f>
        <v>939</v>
      </c>
      <c r="C1690" s="15">
        <f>IF(Categorias_Registro[[#This Row],[Puntos]]&lt;=ROUND(Piso,0),Piso,IF(Categorias_Registro[[#This Row],[Puntos]]&lt;D1691,C1691,D1691+1))</f>
        <v>937</v>
      </c>
      <c r="D1690" s="15">
        <f>IF(Categorias_Registro[[#This Row],[Puntos]]=ROUND(Piso,0),ROUND(Categorias_Registro[[#This Row],[Puntos]]*(1+Categorias_Registro[[#This Row],[Amplitud]]),0),IF(Categorias_Registro[[#This Row],[Puntos]]&lt;D1691,D1691,ROUND(D1691*(1+Categorias_Registro[[#This Row],[Amplitud]]),0)))</f>
        <v>1076</v>
      </c>
      <c r="E1690" s="15">
        <f>E1691+IF(D1691=Categorias_Registro[[#This Row],[Máximo]],0,1)</f>
        <v>18</v>
      </c>
      <c r="F1690" s="15">
        <f>ROUND(Categorias_Registro[[#This Row],[Mínimo]]+((Categorias_Registro[[#This Row],[Máximo]]-Categorias_Registro[[#This Row],[Mínimo]])/2),0)</f>
        <v>1007</v>
      </c>
      <c r="G1690" s="78">
        <f>VLOOKUP(Categorias_Registro[[#This Row],[Puntos]],Categorias_Configuracion[],MATCH(Categorias_Configuracion[[#Headers],[% Amplitud]],Categorias_Configuracion[#Headers],0),TRUE)</f>
        <v>0.15</v>
      </c>
      <c r="H1690" s="15" t="str">
        <f ca="1">TEXT(Categorias_Registro[[#This Row],[Mínimo]],Formato_Rango_Categorias)&amp;" - "&amp;TEXT(Categorias_Registro[[#This Row],[Máximo]],Formato_Rango_Categorias)</f>
        <v>937 - 1.076</v>
      </c>
    </row>
    <row r="1691" spans="2:8">
      <c r="B1691" s="15">
        <f>Techo - ROW() + ROW(Categorias_Registro[])</f>
        <v>938</v>
      </c>
      <c r="C1691" s="15">
        <f>IF(Categorias_Registro[[#This Row],[Puntos]]&lt;=ROUND(Piso,0),Piso,IF(Categorias_Registro[[#This Row],[Puntos]]&lt;D1692,C1692,D1692+1))</f>
        <v>937</v>
      </c>
      <c r="D1691" s="15">
        <f>IF(Categorias_Registro[[#This Row],[Puntos]]=ROUND(Piso,0),ROUND(Categorias_Registro[[#This Row],[Puntos]]*(1+Categorias_Registro[[#This Row],[Amplitud]]),0),IF(Categorias_Registro[[#This Row],[Puntos]]&lt;D1692,D1692,ROUND(D1692*(1+Categorias_Registro[[#This Row],[Amplitud]]),0)))</f>
        <v>1076</v>
      </c>
      <c r="E1691" s="15">
        <f>E1692+IF(D1692=Categorias_Registro[[#This Row],[Máximo]],0,1)</f>
        <v>18</v>
      </c>
      <c r="F1691" s="15">
        <f>ROUND(Categorias_Registro[[#This Row],[Mínimo]]+((Categorias_Registro[[#This Row],[Máximo]]-Categorias_Registro[[#This Row],[Mínimo]])/2),0)</f>
        <v>1007</v>
      </c>
      <c r="G1691" s="78">
        <f>VLOOKUP(Categorias_Registro[[#This Row],[Puntos]],Categorias_Configuracion[],MATCH(Categorias_Configuracion[[#Headers],[% Amplitud]],Categorias_Configuracion[#Headers],0),TRUE)</f>
        <v>0.15</v>
      </c>
      <c r="H1691" s="15" t="str">
        <f ca="1">TEXT(Categorias_Registro[[#This Row],[Mínimo]],Formato_Rango_Categorias)&amp;" - "&amp;TEXT(Categorias_Registro[[#This Row],[Máximo]],Formato_Rango_Categorias)</f>
        <v>937 - 1.076</v>
      </c>
    </row>
    <row r="1692" spans="2:8">
      <c r="B1692" s="15">
        <f>Techo - ROW() + ROW(Categorias_Registro[])</f>
        <v>937</v>
      </c>
      <c r="C1692" s="15">
        <f>IF(Categorias_Registro[[#This Row],[Puntos]]&lt;=ROUND(Piso,0),Piso,IF(Categorias_Registro[[#This Row],[Puntos]]&lt;D1693,C1693,D1693+1))</f>
        <v>937</v>
      </c>
      <c r="D1692" s="15">
        <f>IF(Categorias_Registro[[#This Row],[Puntos]]=ROUND(Piso,0),ROUND(Categorias_Registro[[#This Row],[Puntos]]*(1+Categorias_Registro[[#This Row],[Amplitud]]),0),IF(Categorias_Registro[[#This Row],[Puntos]]&lt;D1693,D1693,ROUND(D1693*(1+Categorias_Registro[[#This Row],[Amplitud]]),0)))</f>
        <v>1076</v>
      </c>
      <c r="E1692" s="15">
        <f>E1693+IF(D1693=Categorias_Registro[[#This Row],[Máximo]],0,1)</f>
        <v>18</v>
      </c>
      <c r="F1692" s="15">
        <f>ROUND(Categorias_Registro[[#This Row],[Mínimo]]+((Categorias_Registro[[#This Row],[Máximo]]-Categorias_Registro[[#This Row],[Mínimo]])/2),0)</f>
        <v>1007</v>
      </c>
      <c r="G1692" s="78">
        <f>VLOOKUP(Categorias_Registro[[#This Row],[Puntos]],Categorias_Configuracion[],MATCH(Categorias_Configuracion[[#Headers],[% Amplitud]],Categorias_Configuracion[#Headers],0),TRUE)</f>
        <v>0.15</v>
      </c>
      <c r="H1692" s="15" t="str">
        <f ca="1">TEXT(Categorias_Registro[[#This Row],[Mínimo]],Formato_Rango_Categorias)&amp;" - "&amp;TEXT(Categorias_Registro[[#This Row],[Máximo]],Formato_Rango_Categorias)</f>
        <v>937 - 1.076</v>
      </c>
    </row>
    <row r="1693" spans="2:8">
      <c r="B1693" s="15">
        <f>Techo - ROW() + ROW(Categorias_Registro[])</f>
        <v>936</v>
      </c>
      <c r="C1693" s="15">
        <f>IF(Categorias_Registro[[#This Row],[Puntos]]&lt;=ROUND(Piso,0),Piso,IF(Categorias_Registro[[#This Row],[Puntos]]&lt;D1694,C1694,D1694+1))</f>
        <v>937</v>
      </c>
      <c r="D1693" s="15">
        <f>IF(Categorias_Registro[[#This Row],[Puntos]]=ROUND(Piso,0),ROUND(Categorias_Registro[[#This Row],[Puntos]]*(1+Categorias_Registro[[#This Row],[Amplitud]]),0),IF(Categorias_Registro[[#This Row],[Puntos]]&lt;D1694,D1694,ROUND(D1694*(1+Categorias_Registro[[#This Row],[Amplitud]]),0)))</f>
        <v>1076</v>
      </c>
      <c r="E1693" s="15">
        <f>E1694+IF(D1694=Categorias_Registro[[#This Row],[Máximo]],0,1)</f>
        <v>18</v>
      </c>
      <c r="F1693" s="15">
        <f>ROUND(Categorias_Registro[[#This Row],[Mínimo]]+((Categorias_Registro[[#This Row],[Máximo]]-Categorias_Registro[[#This Row],[Mínimo]])/2),0)</f>
        <v>1007</v>
      </c>
      <c r="G1693" s="78">
        <f>VLOOKUP(Categorias_Registro[[#This Row],[Puntos]],Categorias_Configuracion[],MATCH(Categorias_Configuracion[[#Headers],[% Amplitud]],Categorias_Configuracion[#Headers],0),TRUE)</f>
        <v>0.15</v>
      </c>
      <c r="H1693" s="15" t="str">
        <f ca="1">TEXT(Categorias_Registro[[#This Row],[Mínimo]],Formato_Rango_Categorias)&amp;" - "&amp;TEXT(Categorias_Registro[[#This Row],[Máximo]],Formato_Rango_Categorias)</f>
        <v>937 - 1.076</v>
      </c>
    </row>
    <row r="1694" spans="2:8">
      <c r="B1694" s="15">
        <f>Techo - ROW() + ROW(Categorias_Registro[])</f>
        <v>935</v>
      </c>
      <c r="C1694" s="15">
        <f>IF(Categorias_Registro[[#This Row],[Puntos]]&lt;=ROUND(Piso,0),Piso,IF(Categorias_Registro[[#This Row],[Puntos]]&lt;D1695,C1695,D1695+1))</f>
        <v>815</v>
      </c>
      <c r="D1694" s="15">
        <f>IF(Categorias_Registro[[#This Row],[Puntos]]=ROUND(Piso,0),ROUND(Categorias_Registro[[#This Row],[Puntos]]*(1+Categorias_Registro[[#This Row],[Amplitud]]),0),IF(Categorias_Registro[[#This Row],[Puntos]]&lt;D1695,D1695,ROUND(D1695*(1+Categorias_Registro[[#This Row],[Amplitud]]),0)))</f>
        <v>936</v>
      </c>
      <c r="E1694" s="15">
        <f>E1695+IF(D1695=Categorias_Registro[[#This Row],[Máximo]],0,1)</f>
        <v>17</v>
      </c>
      <c r="F1694" s="15">
        <f>ROUND(Categorias_Registro[[#This Row],[Mínimo]]+((Categorias_Registro[[#This Row],[Máximo]]-Categorias_Registro[[#This Row],[Mínimo]])/2),0)</f>
        <v>876</v>
      </c>
      <c r="G1694" s="78">
        <f>VLOOKUP(Categorias_Registro[[#This Row],[Puntos]],Categorias_Configuracion[],MATCH(Categorias_Configuracion[[#Headers],[% Amplitud]],Categorias_Configuracion[#Headers],0),TRUE)</f>
        <v>0.15</v>
      </c>
      <c r="H1694" s="15" t="str">
        <f ca="1">TEXT(Categorias_Registro[[#This Row],[Mínimo]],Formato_Rango_Categorias)&amp;" - "&amp;TEXT(Categorias_Registro[[#This Row],[Máximo]],Formato_Rango_Categorias)</f>
        <v>815 - 936</v>
      </c>
    </row>
    <row r="1695" spans="2:8">
      <c r="B1695" s="15">
        <f>Techo - ROW() + ROW(Categorias_Registro[])</f>
        <v>934</v>
      </c>
      <c r="C1695" s="15">
        <f>IF(Categorias_Registro[[#This Row],[Puntos]]&lt;=ROUND(Piso,0),Piso,IF(Categorias_Registro[[#This Row],[Puntos]]&lt;D1696,C1696,D1696+1))</f>
        <v>815</v>
      </c>
      <c r="D1695" s="15">
        <f>IF(Categorias_Registro[[#This Row],[Puntos]]=ROUND(Piso,0),ROUND(Categorias_Registro[[#This Row],[Puntos]]*(1+Categorias_Registro[[#This Row],[Amplitud]]),0),IF(Categorias_Registro[[#This Row],[Puntos]]&lt;D1696,D1696,ROUND(D1696*(1+Categorias_Registro[[#This Row],[Amplitud]]),0)))</f>
        <v>936</v>
      </c>
      <c r="E1695" s="15">
        <f>E1696+IF(D1696=Categorias_Registro[[#This Row],[Máximo]],0,1)</f>
        <v>17</v>
      </c>
      <c r="F1695" s="15">
        <f>ROUND(Categorias_Registro[[#This Row],[Mínimo]]+((Categorias_Registro[[#This Row],[Máximo]]-Categorias_Registro[[#This Row],[Mínimo]])/2),0)</f>
        <v>876</v>
      </c>
      <c r="G1695" s="78">
        <f>VLOOKUP(Categorias_Registro[[#This Row],[Puntos]],Categorias_Configuracion[],MATCH(Categorias_Configuracion[[#Headers],[% Amplitud]],Categorias_Configuracion[#Headers],0),TRUE)</f>
        <v>0.15</v>
      </c>
      <c r="H1695" s="15" t="str">
        <f ca="1">TEXT(Categorias_Registro[[#This Row],[Mínimo]],Formato_Rango_Categorias)&amp;" - "&amp;TEXT(Categorias_Registro[[#This Row],[Máximo]],Formato_Rango_Categorias)</f>
        <v>815 - 936</v>
      </c>
    </row>
    <row r="1696" spans="2:8">
      <c r="B1696" s="15">
        <f>Techo - ROW() + ROW(Categorias_Registro[])</f>
        <v>933</v>
      </c>
      <c r="C1696" s="15">
        <f>IF(Categorias_Registro[[#This Row],[Puntos]]&lt;=ROUND(Piso,0),Piso,IF(Categorias_Registro[[#This Row],[Puntos]]&lt;D1697,C1697,D1697+1))</f>
        <v>815</v>
      </c>
      <c r="D1696" s="15">
        <f>IF(Categorias_Registro[[#This Row],[Puntos]]=ROUND(Piso,0),ROUND(Categorias_Registro[[#This Row],[Puntos]]*(1+Categorias_Registro[[#This Row],[Amplitud]]),0),IF(Categorias_Registro[[#This Row],[Puntos]]&lt;D1697,D1697,ROUND(D1697*(1+Categorias_Registro[[#This Row],[Amplitud]]),0)))</f>
        <v>936</v>
      </c>
      <c r="E1696" s="15">
        <f>E1697+IF(D1697=Categorias_Registro[[#This Row],[Máximo]],0,1)</f>
        <v>17</v>
      </c>
      <c r="F1696" s="15">
        <f>ROUND(Categorias_Registro[[#This Row],[Mínimo]]+((Categorias_Registro[[#This Row],[Máximo]]-Categorias_Registro[[#This Row],[Mínimo]])/2),0)</f>
        <v>876</v>
      </c>
      <c r="G1696" s="78">
        <f>VLOOKUP(Categorias_Registro[[#This Row],[Puntos]],Categorias_Configuracion[],MATCH(Categorias_Configuracion[[#Headers],[% Amplitud]],Categorias_Configuracion[#Headers],0),TRUE)</f>
        <v>0.15</v>
      </c>
      <c r="H1696" s="15" t="str">
        <f ca="1">TEXT(Categorias_Registro[[#This Row],[Mínimo]],Formato_Rango_Categorias)&amp;" - "&amp;TEXT(Categorias_Registro[[#This Row],[Máximo]],Formato_Rango_Categorias)</f>
        <v>815 - 936</v>
      </c>
    </row>
    <row r="1697" spans="2:8">
      <c r="B1697" s="15">
        <f>Techo - ROW() + ROW(Categorias_Registro[])</f>
        <v>932</v>
      </c>
      <c r="C1697" s="15">
        <f>IF(Categorias_Registro[[#This Row],[Puntos]]&lt;=ROUND(Piso,0),Piso,IF(Categorias_Registro[[#This Row],[Puntos]]&lt;D1698,C1698,D1698+1))</f>
        <v>815</v>
      </c>
      <c r="D1697" s="15">
        <f>IF(Categorias_Registro[[#This Row],[Puntos]]=ROUND(Piso,0),ROUND(Categorias_Registro[[#This Row],[Puntos]]*(1+Categorias_Registro[[#This Row],[Amplitud]]),0),IF(Categorias_Registro[[#This Row],[Puntos]]&lt;D1698,D1698,ROUND(D1698*(1+Categorias_Registro[[#This Row],[Amplitud]]),0)))</f>
        <v>936</v>
      </c>
      <c r="E1697" s="15">
        <f>E1698+IF(D1698=Categorias_Registro[[#This Row],[Máximo]],0,1)</f>
        <v>17</v>
      </c>
      <c r="F1697" s="15">
        <f>ROUND(Categorias_Registro[[#This Row],[Mínimo]]+((Categorias_Registro[[#This Row],[Máximo]]-Categorias_Registro[[#This Row],[Mínimo]])/2),0)</f>
        <v>876</v>
      </c>
      <c r="G1697" s="78">
        <f>VLOOKUP(Categorias_Registro[[#This Row],[Puntos]],Categorias_Configuracion[],MATCH(Categorias_Configuracion[[#Headers],[% Amplitud]],Categorias_Configuracion[#Headers],0),TRUE)</f>
        <v>0.15</v>
      </c>
      <c r="H1697" s="15" t="str">
        <f ca="1">TEXT(Categorias_Registro[[#This Row],[Mínimo]],Formato_Rango_Categorias)&amp;" - "&amp;TEXT(Categorias_Registro[[#This Row],[Máximo]],Formato_Rango_Categorias)</f>
        <v>815 - 936</v>
      </c>
    </row>
    <row r="1698" spans="2:8">
      <c r="B1698" s="15">
        <f>Techo - ROW() + ROW(Categorias_Registro[])</f>
        <v>931</v>
      </c>
      <c r="C1698" s="15">
        <f>IF(Categorias_Registro[[#This Row],[Puntos]]&lt;=ROUND(Piso,0),Piso,IF(Categorias_Registro[[#This Row],[Puntos]]&lt;D1699,C1699,D1699+1))</f>
        <v>815</v>
      </c>
      <c r="D1698" s="15">
        <f>IF(Categorias_Registro[[#This Row],[Puntos]]=ROUND(Piso,0),ROUND(Categorias_Registro[[#This Row],[Puntos]]*(1+Categorias_Registro[[#This Row],[Amplitud]]),0),IF(Categorias_Registro[[#This Row],[Puntos]]&lt;D1699,D1699,ROUND(D1699*(1+Categorias_Registro[[#This Row],[Amplitud]]),0)))</f>
        <v>936</v>
      </c>
      <c r="E1698" s="15">
        <f>E1699+IF(D1699=Categorias_Registro[[#This Row],[Máximo]],0,1)</f>
        <v>17</v>
      </c>
      <c r="F1698" s="15">
        <f>ROUND(Categorias_Registro[[#This Row],[Mínimo]]+((Categorias_Registro[[#This Row],[Máximo]]-Categorias_Registro[[#This Row],[Mínimo]])/2),0)</f>
        <v>876</v>
      </c>
      <c r="G1698" s="78">
        <f>VLOOKUP(Categorias_Registro[[#This Row],[Puntos]],Categorias_Configuracion[],MATCH(Categorias_Configuracion[[#Headers],[% Amplitud]],Categorias_Configuracion[#Headers],0),TRUE)</f>
        <v>0.15</v>
      </c>
      <c r="H1698" s="15" t="str">
        <f ca="1">TEXT(Categorias_Registro[[#This Row],[Mínimo]],Formato_Rango_Categorias)&amp;" - "&amp;TEXT(Categorias_Registro[[#This Row],[Máximo]],Formato_Rango_Categorias)</f>
        <v>815 - 936</v>
      </c>
    </row>
    <row r="1699" spans="2:8">
      <c r="B1699" s="15">
        <f>Techo - ROW() + ROW(Categorias_Registro[])</f>
        <v>930</v>
      </c>
      <c r="C1699" s="15">
        <f>IF(Categorias_Registro[[#This Row],[Puntos]]&lt;=ROUND(Piso,0),Piso,IF(Categorias_Registro[[#This Row],[Puntos]]&lt;D1700,C1700,D1700+1))</f>
        <v>815</v>
      </c>
      <c r="D1699" s="15">
        <f>IF(Categorias_Registro[[#This Row],[Puntos]]=ROUND(Piso,0),ROUND(Categorias_Registro[[#This Row],[Puntos]]*(1+Categorias_Registro[[#This Row],[Amplitud]]),0),IF(Categorias_Registro[[#This Row],[Puntos]]&lt;D1700,D1700,ROUND(D1700*(1+Categorias_Registro[[#This Row],[Amplitud]]),0)))</f>
        <v>936</v>
      </c>
      <c r="E1699" s="15">
        <f>E1700+IF(D1700=Categorias_Registro[[#This Row],[Máximo]],0,1)</f>
        <v>17</v>
      </c>
      <c r="F1699" s="15">
        <f>ROUND(Categorias_Registro[[#This Row],[Mínimo]]+((Categorias_Registro[[#This Row],[Máximo]]-Categorias_Registro[[#This Row],[Mínimo]])/2),0)</f>
        <v>876</v>
      </c>
      <c r="G1699" s="78">
        <f>VLOOKUP(Categorias_Registro[[#This Row],[Puntos]],Categorias_Configuracion[],MATCH(Categorias_Configuracion[[#Headers],[% Amplitud]],Categorias_Configuracion[#Headers],0),TRUE)</f>
        <v>0.15</v>
      </c>
      <c r="H1699" s="15" t="str">
        <f ca="1">TEXT(Categorias_Registro[[#This Row],[Mínimo]],Formato_Rango_Categorias)&amp;" - "&amp;TEXT(Categorias_Registro[[#This Row],[Máximo]],Formato_Rango_Categorias)</f>
        <v>815 - 936</v>
      </c>
    </row>
    <row r="1700" spans="2:8">
      <c r="B1700" s="15">
        <f>Techo - ROW() + ROW(Categorias_Registro[])</f>
        <v>929</v>
      </c>
      <c r="C1700" s="15">
        <f>IF(Categorias_Registro[[#This Row],[Puntos]]&lt;=ROUND(Piso,0),Piso,IF(Categorias_Registro[[#This Row],[Puntos]]&lt;D1701,C1701,D1701+1))</f>
        <v>815</v>
      </c>
      <c r="D1700" s="15">
        <f>IF(Categorias_Registro[[#This Row],[Puntos]]=ROUND(Piso,0),ROUND(Categorias_Registro[[#This Row],[Puntos]]*(1+Categorias_Registro[[#This Row],[Amplitud]]),0),IF(Categorias_Registro[[#This Row],[Puntos]]&lt;D1701,D1701,ROUND(D1701*(1+Categorias_Registro[[#This Row],[Amplitud]]),0)))</f>
        <v>936</v>
      </c>
      <c r="E1700" s="15">
        <f>E1701+IF(D1701=Categorias_Registro[[#This Row],[Máximo]],0,1)</f>
        <v>17</v>
      </c>
      <c r="F1700" s="15">
        <f>ROUND(Categorias_Registro[[#This Row],[Mínimo]]+((Categorias_Registro[[#This Row],[Máximo]]-Categorias_Registro[[#This Row],[Mínimo]])/2),0)</f>
        <v>876</v>
      </c>
      <c r="G1700" s="78">
        <f>VLOOKUP(Categorias_Registro[[#This Row],[Puntos]],Categorias_Configuracion[],MATCH(Categorias_Configuracion[[#Headers],[% Amplitud]],Categorias_Configuracion[#Headers],0),TRUE)</f>
        <v>0.15</v>
      </c>
      <c r="H1700" s="15" t="str">
        <f ca="1">TEXT(Categorias_Registro[[#This Row],[Mínimo]],Formato_Rango_Categorias)&amp;" - "&amp;TEXT(Categorias_Registro[[#This Row],[Máximo]],Formato_Rango_Categorias)</f>
        <v>815 - 936</v>
      </c>
    </row>
    <row r="1701" spans="2:8">
      <c r="B1701" s="15">
        <f>Techo - ROW() + ROW(Categorias_Registro[])</f>
        <v>928</v>
      </c>
      <c r="C1701" s="15">
        <f>IF(Categorias_Registro[[#This Row],[Puntos]]&lt;=ROUND(Piso,0),Piso,IF(Categorias_Registro[[#This Row],[Puntos]]&lt;D1702,C1702,D1702+1))</f>
        <v>815</v>
      </c>
      <c r="D1701" s="15">
        <f>IF(Categorias_Registro[[#This Row],[Puntos]]=ROUND(Piso,0),ROUND(Categorias_Registro[[#This Row],[Puntos]]*(1+Categorias_Registro[[#This Row],[Amplitud]]),0),IF(Categorias_Registro[[#This Row],[Puntos]]&lt;D1702,D1702,ROUND(D1702*(1+Categorias_Registro[[#This Row],[Amplitud]]),0)))</f>
        <v>936</v>
      </c>
      <c r="E1701" s="15">
        <f>E1702+IF(D1702=Categorias_Registro[[#This Row],[Máximo]],0,1)</f>
        <v>17</v>
      </c>
      <c r="F1701" s="15">
        <f>ROUND(Categorias_Registro[[#This Row],[Mínimo]]+((Categorias_Registro[[#This Row],[Máximo]]-Categorias_Registro[[#This Row],[Mínimo]])/2),0)</f>
        <v>876</v>
      </c>
      <c r="G1701" s="78">
        <f>VLOOKUP(Categorias_Registro[[#This Row],[Puntos]],Categorias_Configuracion[],MATCH(Categorias_Configuracion[[#Headers],[% Amplitud]],Categorias_Configuracion[#Headers],0),TRUE)</f>
        <v>0.15</v>
      </c>
      <c r="H1701" s="15" t="str">
        <f ca="1">TEXT(Categorias_Registro[[#This Row],[Mínimo]],Formato_Rango_Categorias)&amp;" - "&amp;TEXT(Categorias_Registro[[#This Row],[Máximo]],Formato_Rango_Categorias)</f>
        <v>815 - 936</v>
      </c>
    </row>
    <row r="1702" spans="2:8">
      <c r="B1702" s="15">
        <f>Techo - ROW() + ROW(Categorias_Registro[])</f>
        <v>927</v>
      </c>
      <c r="C1702" s="15">
        <f>IF(Categorias_Registro[[#This Row],[Puntos]]&lt;=ROUND(Piso,0),Piso,IF(Categorias_Registro[[#This Row],[Puntos]]&lt;D1703,C1703,D1703+1))</f>
        <v>815</v>
      </c>
      <c r="D1702" s="15">
        <f>IF(Categorias_Registro[[#This Row],[Puntos]]=ROUND(Piso,0),ROUND(Categorias_Registro[[#This Row],[Puntos]]*(1+Categorias_Registro[[#This Row],[Amplitud]]),0),IF(Categorias_Registro[[#This Row],[Puntos]]&lt;D1703,D1703,ROUND(D1703*(1+Categorias_Registro[[#This Row],[Amplitud]]),0)))</f>
        <v>936</v>
      </c>
      <c r="E1702" s="15">
        <f>E1703+IF(D1703=Categorias_Registro[[#This Row],[Máximo]],0,1)</f>
        <v>17</v>
      </c>
      <c r="F1702" s="15">
        <f>ROUND(Categorias_Registro[[#This Row],[Mínimo]]+((Categorias_Registro[[#This Row],[Máximo]]-Categorias_Registro[[#This Row],[Mínimo]])/2),0)</f>
        <v>876</v>
      </c>
      <c r="G1702" s="78">
        <f>VLOOKUP(Categorias_Registro[[#This Row],[Puntos]],Categorias_Configuracion[],MATCH(Categorias_Configuracion[[#Headers],[% Amplitud]],Categorias_Configuracion[#Headers],0),TRUE)</f>
        <v>0.15</v>
      </c>
      <c r="H1702" s="15" t="str">
        <f ca="1">TEXT(Categorias_Registro[[#This Row],[Mínimo]],Formato_Rango_Categorias)&amp;" - "&amp;TEXT(Categorias_Registro[[#This Row],[Máximo]],Formato_Rango_Categorias)</f>
        <v>815 - 936</v>
      </c>
    </row>
    <row r="1703" spans="2:8">
      <c r="B1703" s="15">
        <f>Techo - ROW() + ROW(Categorias_Registro[])</f>
        <v>926</v>
      </c>
      <c r="C1703" s="15">
        <f>IF(Categorias_Registro[[#This Row],[Puntos]]&lt;=ROUND(Piso,0),Piso,IF(Categorias_Registro[[#This Row],[Puntos]]&lt;D1704,C1704,D1704+1))</f>
        <v>815</v>
      </c>
      <c r="D1703" s="15">
        <f>IF(Categorias_Registro[[#This Row],[Puntos]]=ROUND(Piso,0),ROUND(Categorias_Registro[[#This Row],[Puntos]]*(1+Categorias_Registro[[#This Row],[Amplitud]]),0),IF(Categorias_Registro[[#This Row],[Puntos]]&lt;D1704,D1704,ROUND(D1704*(1+Categorias_Registro[[#This Row],[Amplitud]]),0)))</f>
        <v>936</v>
      </c>
      <c r="E1703" s="15">
        <f>E1704+IF(D1704=Categorias_Registro[[#This Row],[Máximo]],0,1)</f>
        <v>17</v>
      </c>
      <c r="F1703" s="15">
        <f>ROUND(Categorias_Registro[[#This Row],[Mínimo]]+((Categorias_Registro[[#This Row],[Máximo]]-Categorias_Registro[[#This Row],[Mínimo]])/2),0)</f>
        <v>876</v>
      </c>
      <c r="G1703" s="78">
        <f>VLOOKUP(Categorias_Registro[[#This Row],[Puntos]],Categorias_Configuracion[],MATCH(Categorias_Configuracion[[#Headers],[% Amplitud]],Categorias_Configuracion[#Headers],0),TRUE)</f>
        <v>0.15</v>
      </c>
      <c r="H1703" s="15" t="str">
        <f ca="1">TEXT(Categorias_Registro[[#This Row],[Mínimo]],Formato_Rango_Categorias)&amp;" - "&amp;TEXT(Categorias_Registro[[#This Row],[Máximo]],Formato_Rango_Categorias)</f>
        <v>815 - 936</v>
      </c>
    </row>
    <row r="1704" spans="2:8">
      <c r="B1704" s="15">
        <f>Techo - ROW() + ROW(Categorias_Registro[])</f>
        <v>925</v>
      </c>
      <c r="C1704" s="15">
        <f>IF(Categorias_Registro[[#This Row],[Puntos]]&lt;=ROUND(Piso,0),Piso,IF(Categorias_Registro[[#This Row],[Puntos]]&lt;D1705,C1705,D1705+1))</f>
        <v>815</v>
      </c>
      <c r="D1704" s="15">
        <f>IF(Categorias_Registro[[#This Row],[Puntos]]=ROUND(Piso,0),ROUND(Categorias_Registro[[#This Row],[Puntos]]*(1+Categorias_Registro[[#This Row],[Amplitud]]),0),IF(Categorias_Registro[[#This Row],[Puntos]]&lt;D1705,D1705,ROUND(D1705*(1+Categorias_Registro[[#This Row],[Amplitud]]),0)))</f>
        <v>936</v>
      </c>
      <c r="E1704" s="15">
        <f>E1705+IF(D1705=Categorias_Registro[[#This Row],[Máximo]],0,1)</f>
        <v>17</v>
      </c>
      <c r="F1704" s="15">
        <f>ROUND(Categorias_Registro[[#This Row],[Mínimo]]+((Categorias_Registro[[#This Row],[Máximo]]-Categorias_Registro[[#This Row],[Mínimo]])/2),0)</f>
        <v>876</v>
      </c>
      <c r="G1704" s="78">
        <f>VLOOKUP(Categorias_Registro[[#This Row],[Puntos]],Categorias_Configuracion[],MATCH(Categorias_Configuracion[[#Headers],[% Amplitud]],Categorias_Configuracion[#Headers],0),TRUE)</f>
        <v>0.15</v>
      </c>
      <c r="H1704" s="15" t="str">
        <f ca="1">TEXT(Categorias_Registro[[#This Row],[Mínimo]],Formato_Rango_Categorias)&amp;" - "&amp;TEXT(Categorias_Registro[[#This Row],[Máximo]],Formato_Rango_Categorias)</f>
        <v>815 - 936</v>
      </c>
    </row>
    <row r="1705" spans="2:8">
      <c r="B1705" s="15">
        <f>Techo - ROW() + ROW(Categorias_Registro[])</f>
        <v>924</v>
      </c>
      <c r="C1705" s="15">
        <f>IF(Categorias_Registro[[#This Row],[Puntos]]&lt;=ROUND(Piso,0),Piso,IF(Categorias_Registro[[#This Row],[Puntos]]&lt;D1706,C1706,D1706+1))</f>
        <v>815</v>
      </c>
      <c r="D1705" s="15">
        <f>IF(Categorias_Registro[[#This Row],[Puntos]]=ROUND(Piso,0),ROUND(Categorias_Registro[[#This Row],[Puntos]]*(1+Categorias_Registro[[#This Row],[Amplitud]]),0),IF(Categorias_Registro[[#This Row],[Puntos]]&lt;D1706,D1706,ROUND(D1706*(1+Categorias_Registro[[#This Row],[Amplitud]]),0)))</f>
        <v>936</v>
      </c>
      <c r="E1705" s="15">
        <f>E1706+IF(D1706=Categorias_Registro[[#This Row],[Máximo]],0,1)</f>
        <v>17</v>
      </c>
      <c r="F1705" s="15">
        <f>ROUND(Categorias_Registro[[#This Row],[Mínimo]]+((Categorias_Registro[[#This Row],[Máximo]]-Categorias_Registro[[#This Row],[Mínimo]])/2),0)</f>
        <v>876</v>
      </c>
      <c r="G1705" s="78">
        <f>VLOOKUP(Categorias_Registro[[#This Row],[Puntos]],Categorias_Configuracion[],MATCH(Categorias_Configuracion[[#Headers],[% Amplitud]],Categorias_Configuracion[#Headers],0),TRUE)</f>
        <v>0.15</v>
      </c>
      <c r="H1705" s="15" t="str">
        <f ca="1">TEXT(Categorias_Registro[[#This Row],[Mínimo]],Formato_Rango_Categorias)&amp;" - "&amp;TEXT(Categorias_Registro[[#This Row],[Máximo]],Formato_Rango_Categorias)</f>
        <v>815 - 936</v>
      </c>
    </row>
    <row r="1706" spans="2:8">
      <c r="B1706" s="15">
        <f>Techo - ROW() + ROW(Categorias_Registro[])</f>
        <v>923</v>
      </c>
      <c r="C1706" s="15">
        <f>IF(Categorias_Registro[[#This Row],[Puntos]]&lt;=ROUND(Piso,0),Piso,IF(Categorias_Registro[[#This Row],[Puntos]]&lt;D1707,C1707,D1707+1))</f>
        <v>815</v>
      </c>
      <c r="D1706" s="15">
        <f>IF(Categorias_Registro[[#This Row],[Puntos]]=ROUND(Piso,0),ROUND(Categorias_Registro[[#This Row],[Puntos]]*(1+Categorias_Registro[[#This Row],[Amplitud]]),0),IF(Categorias_Registro[[#This Row],[Puntos]]&lt;D1707,D1707,ROUND(D1707*(1+Categorias_Registro[[#This Row],[Amplitud]]),0)))</f>
        <v>936</v>
      </c>
      <c r="E1706" s="15">
        <f>E1707+IF(D1707=Categorias_Registro[[#This Row],[Máximo]],0,1)</f>
        <v>17</v>
      </c>
      <c r="F1706" s="15">
        <f>ROUND(Categorias_Registro[[#This Row],[Mínimo]]+((Categorias_Registro[[#This Row],[Máximo]]-Categorias_Registro[[#This Row],[Mínimo]])/2),0)</f>
        <v>876</v>
      </c>
      <c r="G1706" s="78">
        <f>VLOOKUP(Categorias_Registro[[#This Row],[Puntos]],Categorias_Configuracion[],MATCH(Categorias_Configuracion[[#Headers],[% Amplitud]],Categorias_Configuracion[#Headers],0),TRUE)</f>
        <v>0.15</v>
      </c>
      <c r="H1706" s="15" t="str">
        <f ca="1">TEXT(Categorias_Registro[[#This Row],[Mínimo]],Formato_Rango_Categorias)&amp;" - "&amp;TEXT(Categorias_Registro[[#This Row],[Máximo]],Formato_Rango_Categorias)</f>
        <v>815 - 936</v>
      </c>
    </row>
    <row r="1707" spans="2:8">
      <c r="B1707" s="15">
        <f>Techo - ROW() + ROW(Categorias_Registro[])</f>
        <v>922</v>
      </c>
      <c r="C1707" s="15">
        <f>IF(Categorias_Registro[[#This Row],[Puntos]]&lt;=ROUND(Piso,0),Piso,IF(Categorias_Registro[[#This Row],[Puntos]]&lt;D1708,C1708,D1708+1))</f>
        <v>815</v>
      </c>
      <c r="D1707" s="15">
        <f>IF(Categorias_Registro[[#This Row],[Puntos]]=ROUND(Piso,0),ROUND(Categorias_Registro[[#This Row],[Puntos]]*(1+Categorias_Registro[[#This Row],[Amplitud]]),0),IF(Categorias_Registro[[#This Row],[Puntos]]&lt;D1708,D1708,ROUND(D1708*(1+Categorias_Registro[[#This Row],[Amplitud]]),0)))</f>
        <v>936</v>
      </c>
      <c r="E1707" s="15">
        <f>E1708+IF(D1708=Categorias_Registro[[#This Row],[Máximo]],0,1)</f>
        <v>17</v>
      </c>
      <c r="F1707" s="15">
        <f>ROUND(Categorias_Registro[[#This Row],[Mínimo]]+((Categorias_Registro[[#This Row],[Máximo]]-Categorias_Registro[[#This Row],[Mínimo]])/2),0)</f>
        <v>876</v>
      </c>
      <c r="G1707" s="78">
        <f>VLOOKUP(Categorias_Registro[[#This Row],[Puntos]],Categorias_Configuracion[],MATCH(Categorias_Configuracion[[#Headers],[% Amplitud]],Categorias_Configuracion[#Headers],0),TRUE)</f>
        <v>0.15</v>
      </c>
      <c r="H1707" s="15" t="str">
        <f ca="1">TEXT(Categorias_Registro[[#This Row],[Mínimo]],Formato_Rango_Categorias)&amp;" - "&amp;TEXT(Categorias_Registro[[#This Row],[Máximo]],Formato_Rango_Categorias)</f>
        <v>815 - 936</v>
      </c>
    </row>
    <row r="1708" spans="2:8">
      <c r="B1708" s="15">
        <f>Techo - ROW() + ROW(Categorias_Registro[])</f>
        <v>921</v>
      </c>
      <c r="C1708" s="15">
        <f>IF(Categorias_Registro[[#This Row],[Puntos]]&lt;=ROUND(Piso,0),Piso,IF(Categorias_Registro[[#This Row],[Puntos]]&lt;D1709,C1709,D1709+1))</f>
        <v>815</v>
      </c>
      <c r="D1708" s="15">
        <f>IF(Categorias_Registro[[#This Row],[Puntos]]=ROUND(Piso,0),ROUND(Categorias_Registro[[#This Row],[Puntos]]*(1+Categorias_Registro[[#This Row],[Amplitud]]),0),IF(Categorias_Registro[[#This Row],[Puntos]]&lt;D1709,D1709,ROUND(D1709*(1+Categorias_Registro[[#This Row],[Amplitud]]),0)))</f>
        <v>936</v>
      </c>
      <c r="E1708" s="15">
        <f>E1709+IF(D1709=Categorias_Registro[[#This Row],[Máximo]],0,1)</f>
        <v>17</v>
      </c>
      <c r="F1708" s="15">
        <f>ROUND(Categorias_Registro[[#This Row],[Mínimo]]+((Categorias_Registro[[#This Row],[Máximo]]-Categorias_Registro[[#This Row],[Mínimo]])/2),0)</f>
        <v>876</v>
      </c>
      <c r="G1708" s="78">
        <f>VLOOKUP(Categorias_Registro[[#This Row],[Puntos]],Categorias_Configuracion[],MATCH(Categorias_Configuracion[[#Headers],[% Amplitud]],Categorias_Configuracion[#Headers],0),TRUE)</f>
        <v>0.15</v>
      </c>
      <c r="H1708" s="15" t="str">
        <f ca="1">TEXT(Categorias_Registro[[#This Row],[Mínimo]],Formato_Rango_Categorias)&amp;" - "&amp;TEXT(Categorias_Registro[[#This Row],[Máximo]],Formato_Rango_Categorias)</f>
        <v>815 - 936</v>
      </c>
    </row>
    <row r="1709" spans="2:8">
      <c r="B1709" s="15">
        <f>Techo - ROW() + ROW(Categorias_Registro[])</f>
        <v>920</v>
      </c>
      <c r="C1709" s="15">
        <f>IF(Categorias_Registro[[#This Row],[Puntos]]&lt;=ROUND(Piso,0),Piso,IF(Categorias_Registro[[#This Row],[Puntos]]&lt;D1710,C1710,D1710+1))</f>
        <v>815</v>
      </c>
      <c r="D1709" s="15">
        <f>IF(Categorias_Registro[[#This Row],[Puntos]]=ROUND(Piso,0),ROUND(Categorias_Registro[[#This Row],[Puntos]]*(1+Categorias_Registro[[#This Row],[Amplitud]]),0),IF(Categorias_Registro[[#This Row],[Puntos]]&lt;D1710,D1710,ROUND(D1710*(1+Categorias_Registro[[#This Row],[Amplitud]]),0)))</f>
        <v>936</v>
      </c>
      <c r="E1709" s="15">
        <f>E1710+IF(D1710=Categorias_Registro[[#This Row],[Máximo]],0,1)</f>
        <v>17</v>
      </c>
      <c r="F1709" s="15">
        <f>ROUND(Categorias_Registro[[#This Row],[Mínimo]]+((Categorias_Registro[[#This Row],[Máximo]]-Categorias_Registro[[#This Row],[Mínimo]])/2),0)</f>
        <v>876</v>
      </c>
      <c r="G1709" s="78">
        <f>VLOOKUP(Categorias_Registro[[#This Row],[Puntos]],Categorias_Configuracion[],MATCH(Categorias_Configuracion[[#Headers],[% Amplitud]],Categorias_Configuracion[#Headers],0),TRUE)</f>
        <v>0.15</v>
      </c>
      <c r="H1709" s="15" t="str">
        <f ca="1">TEXT(Categorias_Registro[[#This Row],[Mínimo]],Formato_Rango_Categorias)&amp;" - "&amp;TEXT(Categorias_Registro[[#This Row],[Máximo]],Formato_Rango_Categorias)</f>
        <v>815 - 936</v>
      </c>
    </row>
    <row r="1710" spans="2:8">
      <c r="B1710" s="15">
        <f>Techo - ROW() + ROW(Categorias_Registro[])</f>
        <v>919</v>
      </c>
      <c r="C1710" s="15">
        <f>IF(Categorias_Registro[[#This Row],[Puntos]]&lt;=ROUND(Piso,0),Piso,IF(Categorias_Registro[[#This Row],[Puntos]]&lt;D1711,C1711,D1711+1))</f>
        <v>815</v>
      </c>
      <c r="D1710" s="15">
        <f>IF(Categorias_Registro[[#This Row],[Puntos]]=ROUND(Piso,0),ROUND(Categorias_Registro[[#This Row],[Puntos]]*(1+Categorias_Registro[[#This Row],[Amplitud]]),0),IF(Categorias_Registro[[#This Row],[Puntos]]&lt;D1711,D1711,ROUND(D1711*(1+Categorias_Registro[[#This Row],[Amplitud]]),0)))</f>
        <v>936</v>
      </c>
      <c r="E1710" s="15">
        <f>E1711+IF(D1711=Categorias_Registro[[#This Row],[Máximo]],0,1)</f>
        <v>17</v>
      </c>
      <c r="F1710" s="15">
        <f>ROUND(Categorias_Registro[[#This Row],[Mínimo]]+((Categorias_Registro[[#This Row],[Máximo]]-Categorias_Registro[[#This Row],[Mínimo]])/2),0)</f>
        <v>876</v>
      </c>
      <c r="G1710" s="78">
        <f>VLOOKUP(Categorias_Registro[[#This Row],[Puntos]],Categorias_Configuracion[],MATCH(Categorias_Configuracion[[#Headers],[% Amplitud]],Categorias_Configuracion[#Headers],0),TRUE)</f>
        <v>0.15</v>
      </c>
      <c r="H1710" s="15" t="str">
        <f ca="1">TEXT(Categorias_Registro[[#This Row],[Mínimo]],Formato_Rango_Categorias)&amp;" - "&amp;TEXT(Categorias_Registro[[#This Row],[Máximo]],Formato_Rango_Categorias)</f>
        <v>815 - 936</v>
      </c>
    </row>
    <row r="1711" spans="2:8">
      <c r="B1711" s="15">
        <f>Techo - ROW() + ROW(Categorias_Registro[])</f>
        <v>918</v>
      </c>
      <c r="C1711" s="15">
        <f>IF(Categorias_Registro[[#This Row],[Puntos]]&lt;=ROUND(Piso,0),Piso,IF(Categorias_Registro[[#This Row],[Puntos]]&lt;D1712,C1712,D1712+1))</f>
        <v>815</v>
      </c>
      <c r="D1711" s="15">
        <f>IF(Categorias_Registro[[#This Row],[Puntos]]=ROUND(Piso,0),ROUND(Categorias_Registro[[#This Row],[Puntos]]*(1+Categorias_Registro[[#This Row],[Amplitud]]),0),IF(Categorias_Registro[[#This Row],[Puntos]]&lt;D1712,D1712,ROUND(D1712*(1+Categorias_Registro[[#This Row],[Amplitud]]),0)))</f>
        <v>936</v>
      </c>
      <c r="E1711" s="15">
        <f>E1712+IF(D1712=Categorias_Registro[[#This Row],[Máximo]],0,1)</f>
        <v>17</v>
      </c>
      <c r="F1711" s="15">
        <f>ROUND(Categorias_Registro[[#This Row],[Mínimo]]+((Categorias_Registro[[#This Row],[Máximo]]-Categorias_Registro[[#This Row],[Mínimo]])/2),0)</f>
        <v>876</v>
      </c>
      <c r="G1711" s="78">
        <f>VLOOKUP(Categorias_Registro[[#This Row],[Puntos]],Categorias_Configuracion[],MATCH(Categorias_Configuracion[[#Headers],[% Amplitud]],Categorias_Configuracion[#Headers],0),TRUE)</f>
        <v>0.15</v>
      </c>
      <c r="H1711" s="15" t="str">
        <f ca="1">TEXT(Categorias_Registro[[#This Row],[Mínimo]],Formato_Rango_Categorias)&amp;" - "&amp;TEXT(Categorias_Registro[[#This Row],[Máximo]],Formato_Rango_Categorias)</f>
        <v>815 - 936</v>
      </c>
    </row>
    <row r="1712" spans="2:8">
      <c r="B1712" s="15">
        <f>Techo - ROW() + ROW(Categorias_Registro[])</f>
        <v>917</v>
      </c>
      <c r="C1712" s="15">
        <f>IF(Categorias_Registro[[#This Row],[Puntos]]&lt;=ROUND(Piso,0),Piso,IF(Categorias_Registro[[#This Row],[Puntos]]&lt;D1713,C1713,D1713+1))</f>
        <v>815</v>
      </c>
      <c r="D1712" s="15">
        <f>IF(Categorias_Registro[[#This Row],[Puntos]]=ROUND(Piso,0),ROUND(Categorias_Registro[[#This Row],[Puntos]]*(1+Categorias_Registro[[#This Row],[Amplitud]]),0),IF(Categorias_Registro[[#This Row],[Puntos]]&lt;D1713,D1713,ROUND(D1713*(1+Categorias_Registro[[#This Row],[Amplitud]]),0)))</f>
        <v>936</v>
      </c>
      <c r="E1712" s="15">
        <f>E1713+IF(D1713=Categorias_Registro[[#This Row],[Máximo]],0,1)</f>
        <v>17</v>
      </c>
      <c r="F1712" s="15">
        <f>ROUND(Categorias_Registro[[#This Row],[Mínimo]]+((Categorias_Registro[[#This Row],[Máximo]]-Categorias_Registro[[#This Row],[Mínimo]])/2),0)</f>
        <v>876</v>
      </c>
      <c r="G1712" s="78">
        <f>VLOOKUP(Categorias_Registro[[#This Row],[Puntos]],Categorias_Configuracion[],MATCH(Categorias_Configuracion[[#Headers],[% Amplitud]],Categorias_Configuracion[#Headers],0),TRUE)</f>
        <v>0.15</v>
      </c>
      <c r="H1712" s="15" t="str">
        <f ca="1">TEXT(Categorias_Registro[[#This Row],[Mínimo]],Formato_Rango_Categorias)&amp;" - "&amp;TEXT(Categorias_Registro[[#This Row],[Máximo]],Formato_Rango_Categorias)</f>
        <v>815 - 936</v>
      </c>
    </row>
    <row r="1713" spans="2:8">
      <c r="B1713" s="15">
        <f>Techo - ROW() + ROW(Categorias_Registro[])</f>
        <v>916</v>
      </c>
      <c r="C1713" s="15">
        <f>IF(Categorias_Registro[[#This Row],[Puntos]]&lt;=ROUND(Piso,0),Piso,IF(Categorias_Registro[[#This Row],[Puntos]]&lt;D1714,C1714,D1714+1))</f>
        <v>815</v>
      </c>
      <c r="D1713" s="15">
        <f>IF(Categorias_Registro[[#This Row],[Puntos]]=ROUND(Piso,0),ROUND(Categorias_Registro[[#This Row],[Puntos]]*(1+Categorias_Registro[[#This Row],[Amplitud]]),0),IF(Categorias_Registro[[#This Row],[Puntos]]&lt;D1714,D1714,ROUND(D1714*(1+Categorias_Registro[[#This Row],[Amplitud]]),0)))</f>
        <v>936</v>
      </c>
      <c r="E1713" s="15">
        <f>E1714+IF(D1714=Categorias_Registro[[#This Row],[Máximo]],0,1)</f>
        <v>17</v>
      </c>
      <c r="F1713" s="15">
        <f>ROUND(Categorias_Registro[[#This Row],[Mínimo]]+((Categorias_Registro[[#This Row],[Máximo]]-Categorias_Registro[[#This Row],[Mínimo]])/2),0)</f>
        <v>876</v>
      </c>
      <c r="G1713" s="78">
        <f>VLOOKUP(Categorias_Registro[[#This Row],[Puntos]],Categorias_Configuracion[],MATCH(Categorias_Configuracion[[#Headers],[% Amplitud]],Categorias_Configuracion[#Headers],0),TRUE)</f>
        <v>0.15</v>
      </c>
      <c r="H1713" s="15" t="str">
        <f ca="1">TEXT(Categorias_Registro[[#This Row],[Mínimo]],Formato_Rango_Categorias)&amp;" - "&amp;TEXT(Categorias_Registro[[#This Row],[Máximo]],Formato_Rango_Categorias)</f>
        <v>815 - 936</v>
      </c>
    </row>
    <row r="1714" spans="2:8">
      <c r="B1714" s="15">
        <f>Techo - ROW() + ROW(Categorias_Registro[])</f>
        <v>915</v>
      </c>
      <c r="C1714" s="15">
        <f>IF(Categorias_Registro[[#This Row],[Puntos]]&lt;=ROUND(Piso,0),Piso,IF(Categorias_Registro[[#This Row],[Puntos]]&lt;D1715,C1715,D1715+1))</f>
        <v>815</v>
      </c>
      <c r="D1714" s="15">
        <f>IF(Categorias_Registro[[#This Row],[Puntos]]=ROUND(Piso,0),ROUND(Categorias_Registro[[#This Row],[Puntos]]*(1+Categorias_Registro[[#This Row],[Amplitud]]),0),IF(Categorias_Registro[[#This Row],[Puntos]]&lt;D1715,D1715,ROUND(D1715*(1+Categorias_Registro[[#This Row],[Amplitud]]),0)))</f>
        <v>936</v>
      </c>
      <c r="E1714" s="15">
        <f>E1715+IF(D1715=Categorias_Registro[[#This Row],[Máximo]],0,1)</f>
        <v>17</v>
      </c>
      <c r="F1714" s="15">
        <f>ROUND(Categorias_Registro[[#This Row],[Mínimo]]+((Categorias_Registro[[#This Row],[Máximo]]-Categorias_Registro[[#This Row],[Mínimo]])/2),0)</f>
        <v>876</v>
      </c>
      <c r="G1714" s="78">
        <f>VLOOKUP(Categorias_Registro[[#This Row],[Puntos]],Categorias_Configuracion[],MATCH(Categorias_Configuracion[[#Headers],[% Amplitud]],Categorias_Configuracion[#Headers],0),TRUE)</f>
        <v>0.15</v>
      </c>
      <c r="H1714" s="15" t="str">
        <f ca="1">TEXT(Categorias_Registro[[#This Row],[Mínimo]],Formato_Rango_Categorias)&amp;" - "&amp;TEXT(Categorias_Registro[[#This Row],[Máximo]],Formato_Rango_Categorias)</f>
        <v>815 - 936</v>
      </c>
    </row>
    <row r="1715" spans="2:8">
      <c r="B1715" s="15">
        <f>Techo - ROW() + ROW(Categorias_Registro[])</f>
        <v>914</v>
      </c>
      <c r="C1715" s="15">
        <f>IF(Categorias_Registro[[#This Row],[Puntos]]&lt;=ROUND(Piso,0),Piso,IF(Categorias_Registro[[#This Row],[Puntos]]&lt;D1716,C1716,D1716+1))</f>
        <v>815</v>
      </c>
      <c r="D1715" s="15">
        <f>IF(Categorias_Registro[[#This Row],[Puntos]]=ROUND(Piso,0),ROUND(Categorias_Registro[[#This Row],[Puntos]]*(1+Categorias_Registro[[#This Row],[Amplitud]]),0),IF(Categorias_Registro[[#This Row],[Puntos]]&lt;D1716,D1716,ROUND(D1716*(1+Categorias_Registro[[#This Row],[Amplitud]]),0)))</f>
        <v>936</v>
      </c>
      <c r="E1715" s="15">
        <f>E1716+IF(D1716=Categorias_Registro[[#This Row],[Máximo]],0,1)</f>
        <v>17</v>
      </c>
      <c r="F1715" s="15">
        <f>ROUND(Categorias_Registro[[#This Row],[Mínimo]]+((Categorias_Registro[[#This Row],[Máximo]]-Categorias_Registro[[#This Row],[Mínimo]])/2),0)</f>
        <v>876</v>
      </c>
      <c r="G1715" s="78">
        <f>VLOOKUP(Categorias_Registro[[#This Row],[Puntos]],Categorias_Configuracion[],MATCH(Categorias_Configuracion[[#Headers],[% Amplitud]],Categorias_Configuracion[#Headers],0),TRUE)</f>
        <v>0.15</v>
      </c>
      <c r="H1715" s="15" t="str">
        <f ca="1">TEXT(Categorias_Registro[[#This Row],[Mínimo]],Formato_Rango_Categorias)&amp;" - "&amp;TEXT(Categorias_Registro[[#This Row],[Máximo]],Formato_Rango_Categorias)</f>
        <v>815 - 936</v>
      </c>
    </row>
    <row r="1716" spans="2:8">
      <c r="B1716" s="15">
        <f>Techo - ROW() + ROW(Categorias_Registro[])</f>
        <v>913</v>
      </c>
      <c r="C1716" s="15">
        <f>IF(Categorias_Registro[[#This Row],[Puntos]]&lt;=ROUND(Piso,0),Piso,IF(Categorias_Registro[[#This Row],[Puntos]]&lt;D1717,C1717,D1717+1))</f>
        <v>815</v>
      </c>
      <c r="D1716" s="15">
        <f>IF(Categorias_Registro[[#This Row],[Puntos]]=ROUND(Piso,0),ROUND(Categorias_Registro[[#This Row],[Puntos]]*(1+Categorias_Registro[[#This Row],[Amplitud]]),0),IF(Categorias_Registro[[#This Row],[Puntos]]&lt;D1717,D1717,ROUND(D1717*(1+Categorias_Registro[[#This Row],[Amplitud]]),0)))</f>
        <v>936</v>
      </c>
      <c r="E1716" s="15">
        <f>E1717+IF(D1717=Categorias_Registro[[#This Row],[Máximo]],0,1)</f>
        <v>17</v>
      </c>
      <c r="F1716" s="15">
        <f>ROUND(Categorias_Registro[[#This Row],[Mínimo]]+((Categorias_Registro[[#This Row],[Máximo]]-Categorias_Registro[[#This Row],[Mínimo]])/2),0)</f>
        <v>876</v>
      </c>
      <c r="G1716" s="78">
        <f>VLOOKUP(Categorias_Registro[[#This Row],[Puntos]],Categorias_Configuracion[],MATCH(Categorias_Configuracion[[#Headers],[% Amplitud]],Categorias_Configuracion[#Headers],0),TRUE)</f>
        <v>0.15</v>
      </c>
      <c r="H1716" s="15" t="str">
        <f ca="1">TEXT(Categorias_Registro[[#This Row],[Mínimo]],Formato_Rango_Categorias)&amp;" - "&amp;TEXT(Categorias_Registro[[#This Row],[Máximo]],Formato_Rango_Categorias)</f>
        <v>815 - 936</v>
      </c>
    </row>
    <row r="1717" spans="2:8">
      <c r="B1717" s="15">
        <f>Techo - ROW() + ROW(Categorias_Registro[])</f>
        <v>912</v>
      </c>
      <c r="C1717" s="15">
        <f>IF(Categorias_Registro[[#This Row],[Puntos]]&lt;=ROUND(Piso,0),Piso,IF(Categorias_Registro[[#This Row],[Puntos]]&lt;D1718,C1718,D1718+1))</f>
        <v>815</v>
      </c>
      <c r="D1717" s="15">
        <f>IF(Categorias_Registro[[#This Row],[Puntos]]=ROUND(Piso,0),ROUND(Categorias_Registro[[#This Row],[Puntos]]*(1+Categorias_Registro[[#This Row],[Amplitud]]),0),IF(Categorias_Registro[[#This Row],[Puntos]]&lt;D1718,D1718,ROUND(D1718*(1+Categorias_Registro[[#This Row],[Amplitud]]),0)))</f>
        <v>936</v>
      </c>
      <c r="E1717" s="15">
        <f>E1718+IF(D1718=Categorias_Registro[[#This Row],[Máximo]],0,1)</f>
        <v>17</v>
      </c>
      <c r="F1717" s="15">
        <f>ROUND(Categorias_Registro[[#This Row],[Mínimo]]+((Categorias_Registro[[#This Row],[Máximo]]-Categorias_Registro[[#This Row],[Mínimo]])/2),0)</f>
        <v>876</v>
      </c>
      <c r="G1717" s="78">
        <f>VLOOKUP(Categorias_Registro[[#This Row],[Puntos]],Categorias_Configuracion[],MATCH(Categorias_Configuracion[[#Headers],[% Amplitud]],Categorias_Configuracion[#Headers],0),TRUE)</f>
        <v>0.15</v>
      </c>
      <c r="H1717" s="15" t="str">
        <f ca="1">TEXT(Categorias_Registro[[#This Row],[Mínimo]],Formato_Rango_Categorias)&amp;" - "&amp;TEXT(Categorias_Registro[[#This Row],[Máximo]],Formato_Rango_Categorias)</f>
        <v>815 - 936</v>
      </c>
    </row>
    <row r="1718" spans="2:8">
      <c r="B1718" s="15">
        <f>Techo - ROW() + ROW(Categorias_Registro[])</f>
        <v>911</v>
      </c>
      <c r="C1718" s="15">
        <f>IF(Categorias_Registro[[#This Row],[Puntos]]&lt;=ROUND(Piso,0),Piso,IF(Categorias_Registro[[#This Row],[Puntos]]&lt;D1719,C1719,D1719+1))</f>
        <v>815</v>
      </c>
      <c r="D1718" s="15">
        <f>IF(Categorias_Registro[[#This Row],[Puntos]]=ROUND(Piso,0),ROUND(Categorias_Registro[[#This Row],[Puntos]]*(1+Categorias_Registro[[#This Row],[Amplitud]]),0),IF(Categorias_Registro[[#This Row],[Puntos]]&lt;D1719,D1719,ROUND(D1719*(1+Categorias_Registro[[#This Row],[Amplitud]]),0)))</f>
        <v>936</v>
      </c>
      <c r="E1718" s="15">
        <f>E1719+IF(D1719=Categorias_Registro[[#This Row],[Máximo]],0,1)</f>
        <v>17</v>
      </c>
      <c r="F1718" s="15">
        <f>ROUND(Categorias_Registro[[#This Row],[Mínimo]]+((Categorias_Registro[[#This Row],[Máximo]]-Categorias_Registro[[#This Row],[Mínimo]])/2),0)</f>
        <v>876</v>
      </c>
      <c r="G1718" s="78">
        <f>VLOOKUP(Categorias_Registro[[#This Row],[Puntos]],Categorias_Configuracion[],MATCH(Categorias_Configuracion[[#Headers],[% Amplitud]],Categorias_Configuracion[#Headers],0),TRUE)</f>
        <v>0.15</v>
      </c>
      <c r="H1718" s="15" t="str">
        <f ca="1">TEXT(Categorias_Registro[[#This Row],[Mínimo]],Formato_Rango_Categorias)&amp;" - "&amp;TEXT(Categorias_Registro[[#This Row],[Máximo]],Formato_Rango_Categorias)</f>
        <v>815 - 936</v>
      </c>
    </row>
    <row r="1719" spans="2:8">
      <c r="B1719" s="15">
        <f>Techo - ROW() + ROW(Categorias_Registro[])</f>
        <v>910</v>
      </c>
      <c r="C1719" s="15">
        <f>IF(Categorias_Registro[[#This Row],[Puntos]]&lt;=ROUND(Piso,0),Piso,IF(Categorias_Registro[[#This Row],[Puntos]]&lt;D1720,C1720,D1720+1))</f>
        <v>815</v>
      </c>
      <c r="D1719" s="15">
        <f>IF(Categorias_Registro[[#This Row],[Puntos]]=ROUND(Piso,0),ROUND(Categorias_Registro[[#This Row],[Puntos]]*(1+Categorias_Registro[[#This Row],[Amplitud]]),0),IF(Categorias_Registro[[#This Row],[Puntos]]&lt;D1720,D1720,ROUND(D1720*(1+Categorias_Registro[[#This Row],[Amplitud]]),0)))</f>
        <v>936</v>
      </c>
      <c r="E1719" s="15">
        <f>E1720+IF(D1720=Categorias_Registro[[#This Row],[Máximo]],0,1)</f>
        <v>17</v>
      </c>
      <c r="F1719" s="15">
        <f>ROUND(Categorias_Registro[[#This Row],[Mínimo]]+((Categorias_Registro[[#This Row],[Máximo]]-Categorias_Registro[[#This Row],[Mínimo]])/2),0)</f>
        <v>876</v>
      </c>
      <c r="G1719" s="78">
        <f>VLOOKUP(Categorias_Registro[[#This Row],[Puntos]],Categorias_Configuracion[],MATCH(Categorias_Configuracion[[#Headers],[% Amplitud]],Categorias_Configuracion[#Headers],0),TRUE)</f>
        <v>0.15</v>
      </c>
      <c r="H1719" s="15" t="str">
        <f ca="1">TEXT(Categorias_Registro[[#This Row],[Mínimo]],Formato_Rango_Categorias)&amp;" - "&amp;TEXT(Categorias_Registro[[#This Row],[Máximo]],Formato_Rango_Categorias)</f>
        <v>815 - 936</v>
      </c>
    </row>
    <row r="1720" spans="2:8">
      <c r="B1720" s="15">
        <f>Techo - ROW() + ROW(Categorias_Registro[])</f>
        <v>909</v>
      </c>
      <c r="C1720" s="15">
        <f>IF(Categorias_Registro[[#This Row],[Puntos]]&lt;=ROUND(Piso,0),Piso,IF(Categorias_Registro[[#This Row],[Puntos]]&lt;D1721,C1721,D1721+1))</f>
        <v>815</v>
      </c>
      <c r="D1720" s="15">
        <f>IF(Categorias_Registro[[#This Row],[Puntos]]=ROUND(Piso,0),ROUND(Categorias_Registro[[#This Row],[Puntos]]*(1+Categorias_Registro[[#This Row],[Amplitud]]),0),IF(Categorias_Registro[[#This Row],[Puntos]]&lt;D1721,D1721,ROUND(D1721*(1+Categorias_Registro[[#This Row],[Amplitud]]),0)))</f>
        <v>936</v>
      </c>
      <c r="E1720" s="15">
        <f>E1721+IF(D1721=Categorias_Registro[[#This Row],[Máximo]],0,1)</f>
        <v>17</v>
      </c>
      <c r="F1720" s="15">
        <f>ROUND(Categorias_Registro[[#This Row],[Mínimo]]+((Categorias_Registro[[#This Row],[Máximo]]-Categorias_Registro[[#This Row],[Mínimo]])/2),0)</f>
        <v>876</v>
      </c>
      <c r="G1720" s="78">
        <f>VLOOKUP(Categorias_Registro[[#This Row],[Puntos]],Categorias_Configuracion[],MATCH(Categorias_Configuracion[[#Headers],[% Amplitud]],Categorias_Configuracion[#Headers],0),TRUE)</f>
        <v>0.15</v>
      </c>
      <c r="H1720" s="15" t="str">
        <f ca="1">TEXT(Categorias_Registro[[#This Row],[Mínimo]],Formato_Rango_Categorias)&amp;" - "&amp;TEXT(Categorias_Registro[[#This Row],[Máximo]],Formato_Rango_Categorias)</f>
        <v>815 - 936</v>
      </c>
    </row>
    <row r="1721" spans="2:8">
      <c r="B1721" s="15">
        <f>Techo - ROW() + ROW(Categorias_Registro[])</f>
        <v>908</v>
      </c>
      <c r="C1721" s="15">
        <f>IF(Categorias_Registro[[#This Row],[Puntos]]&lt;=ROUND(Piso,0),Piso,IF(Categorias_Registro[[#This Row],[Puntos]]&lt;D1722,C1722,D1722+1))</f>
        <v>815</v>
      </c>
      <c r="D1721" s="15">
        <f>IF(Categorias_Registro[[#This Row],[Puntos]]=ROUND(Piso,0),ROUND(Categorias_Registro[[#This Row],[Puntos]]*(1+Categorias_Registro[[#This Row],[Amplitud]]),0),IF(Categorias_Registro[[#This Row],[Puntos]]&lt;D1722,D1722,ROUND(D1722*(1+Categorias_Registro[[#This Row],[Amplitud]]),0)))</f>
        <v>936</v>
      </c>
      <c r="E1721" s="15">
        <f>E1722+IF(D1722=Categorias_Registro[[#This Row],[Máximo]],0,1)</f>
        <v>17</v>
      </c>
      <c r="F1721" s="15">
        <f>ROUND(Categorias_Registro[[#This Row],[Mínimo]]+((Categorias_Registro[[#This Row],[Máximo]]-Categorias_Registro[[#This Row],[Mínimo]])/2),0)</f>
        <v>876</v>
      </c>
      <c r="G1721" s="78">
        <f>VLOOKUP(Categorias_Registro[[#This Row],[Puntos]],Categorias_Configuracion[],MATCH(Categorias_Configuracion[[#Headers],[% Amplitud]],Categorias_Configuracion[#Headers],0),TRUE)</f>
        <v>0.15</v>
      </c>
      <c r="H1721" s="15" t="str">
        <f ca="1">TEXT(Categorias_Registro[[#This Row],[Mínimo]],Formato_Rango_Categorias)&amp;" - "&amp;TEXT(Categorias_Registro[[#This Row],[Máximo]],Formato_Rango_Categorias)</f>
        <v>815 - 936</v>
      </c>
    </row>
    <row r="1722" spans="2:8">
      <c r="B1722" s="15">
        <f>Techo - ROW() + ROW(Categorias_Registro[])</f>
        <v>907</v>
      </c>
      <c r="C1722" s="15">
        <f>IF(Categorias_Registro[[#This Row],[Puntos]]&lt;=ROUND(Piso,0),Piso,IF(Categorias_Registro[[#This Row],[Puntos]]&lt;D1723,C1723,D1723+1))</f>
        <v>815</v>
      </c>
      <c r="D1722" s="15">
        <f>IF(Categorias_Registro[[#This Row],[Puntos]]=ROUND(Piso,0),ROUND(Categorias_Registro[[#This Row],[Puntos]]*(1+Categorias_Registro[[#This Row],[Amplitud]]),0),IF(Categorias_Registro[[#This Row],[Puntos]]&lt;D1723,D1723,ROUND(D1723*(1+Categorias_Registro[[#This Row],[Amplitud]]),0)))</f>
        <v>936</v>
      </c>
      <c r="E1722" s="15">
        <f>E1723+IF(D1723=Categorias_Registro[[#This Row],[Máximo]],0,1)</f>
        <v>17</v>
      </c>
      <c r="F1722" s="15">
        <f>ROUND(Categorias_Registro[[#This Row],[Mínimo]]+((Categorias_Registro[[#This Row],[Máximo]]-Categorias_Registro[[#This Row],[Mínimo]])/2),0)</f>
        <v>876</v>
      </c>
      <c r="G1722" s="78">
        <f>VLOOKUP(Categorias_Registro[[#This Row],[Puntos]],Categorias_Configuracion[],MATCH(Categorias_Configuracion[[#Headers],[% Amplitud]],Categorias_Configuracion[#Headers],0),TRUE)</f>
        <v>0.15</v>
      </c>
      <c r="H1722" s="15" t="str">
        <f ca="1">TEXT(Categorias_Registro[[#This Row],[Mínimo]],Formato_Rango_Categorias)&amp;" - "&amp;TEXT(Categorias_Registro[[#This Row],[Máximo]],Formato_Rango_Categorias)</f>
        <v>815 - 936</v>
      </c>
    </row>
    <row r="1723" spans="2:8">
      <c r="B1723" s="15">
        <f>Techo - ROW() + ROW(Categorias_Registro[])</f>
        <v>906</v>
      </c>
      <c r="C1723" s="15">
        <f>IF(Categorias_Registro[[#This Row],[Puntos]]&lt;=ROUND(Piso,0),Piso,IF(Categorias_Registro[[#This Row],[Puntos]]&lt;D1724,C1724,D1724+1))</f>
        <v>815</v>
      </c>
      <c r="D1723" s="15">
        <f>IF(Categorias_Registro[[#This Row],[Puntos]]=ROUND(Piso,0),ROUND(Categorias_Registro[[#This Row],[Puntos]]*(1+Categorias_Registro[[#This Row],[Amplitud]]),0),IF(Categorias_Registro[[#This Row],[Puntos]]&lt;D1724,D1724,ROUND(D1724*(1+Categorias_Registro[[#This Row],[Amplitud]]),0)))</f>
        <v>936</v>
      </c>
      <c r="E1723" s="15">
        <f>E1724+IF(D1724=Categorias_Registro[[#This Row],[Máximo]],0,1)</f>
        <v>17</v>
      </c>
      <c r="F1723" s="15">
        <f>ROUND(Categorias_Registro[[#This Row],[Mínimo]]+((Categorias_Registro[[#This Row],[Máximo]]-Categorias_Registro[[#This Row],[Mínimo]])/2),0)</f>
        <v>876</v>
      </c>
      <c r="G1723" s="78">
        <f>VLOOKUP(Categorias_Registro[[#This Row],[Puntos]],Categorias_Configuracion[],MATCH(Categorias_Configuracion[[#Headers],[% Amplitud]],Categorias_Configuracion[#Headers],0),TRUE)</f>
        <v>0.15</v>
      </c>
      <c r="H1723" s="15" t="str">
        <f ca="1">TEXT(Categorias_Registro[[#This Row],[Mínimo]],Formato_Rango_Categorias)&amp;" - "&amp;TEXT(Categorias_Registro[[#This Row],[Máximo]],Formato_Rango_Categorias)</f>
        <v>815 - 936</v>
      </c>
    </row>
    <row r="1724" spans="2:8">
      <c r="B1724" s="15">
        <f>Techo - ROW() + ROW(Categorias_Registro[])</f>
        <v>905</v>
      </c>
      <c r="C1724" s="15">
        <f>IF(Categorias_Registro[[#This Row],[Puntos]]&lt;=ROUND(Piso,0),Piso,IF(Categorias_Registro[[#This Row],[Puntos]]&lt;D1725,C1725,D1725+1))</f>
        <v>815</v>
      </c>
      <c r="D1724" s="15">
        <f>IF(Categorias_Registro[[#This Row],[Puntos]]=ROUND(Piso,0),ROUND(Categorias_Registro[[#This Row],[Puntos]]*(1+Categorias_Registro[[#This Row],[Amplitud]]),0),IF(Categorias_Registro[[#This Row],[Puntos]]&lt;D1725,D1725,ROUND(D1725*(1+Categorias_Registro[[#This Row],[Amplitud]]),0)))</f>
        <v>936</v>
      </c>
      <c r="E1724" s="15">
        <f>E1725+IF(D1725=Categorias_Registro[[#This Row],[Máximo]],0,1)</f>
        <v>17</v>
      </c>
      <c r="F1724" s="15">
        <f>ROUND(Categorias_Registro[[#This Row],[Mínimo]]+((Categorias_Registro[[#This Row],[Máximo]]-Categorias_Registro[[#This Row],[Mínimo]])/2),0)</f>
        <v>876</v>
      </c>
      <c r="G1724" s="78">
        <f>VLOOKUP(Categorias_Registro[[#This Row],[Puntos]],Categorias_Configuracion[],MATCH(Categorias_Configuracion[[#Headers],[% Amplitud]],Categorias_Configuracion[#Headers],0),TRUE)</f>
        <v>0.15</v>
      </c>
      <c r="H1724" s="15" t="str">
        <f ca="1">TEXT(Categorias_Registro[[#This Row],[Mínimo]],Formato_Rango_Categorias)&amp;" - "&amp;TEXT(Categorias_Registro[[#This Row],[Máximo]],Formato_Rango_Categorias)</f>
        <v>815 - 936</v>
      </c>
    </row>
    <row r="1725" spans="2:8">
      <c r="B1725" s="15">
        <f>Techo - ROW() + ROW(Categorias_Registro[])</f>
        <v>904</v>
      </c>
      <c r="C1725" s="15">
        <f>IF(Categorias_Registro[[#This Row],[Puntos]]&lt;=ROUND(Piso,0),Piso,IF(Categorias_Registro[[#This Row],[Puntos]]&lt;D1726,C1726,D1726+1))</f>
        <v>815</v>
      </c>
      <c r="D1725" s="15">
        <f>IF(Categorias_Registro[[#This Row],[Puntos]]=ROUND(Piso,0),ROUND(Categorias_Registro[[#This Row],[Puntos]]*(1+Categorias_Registro[[#This Row],[Amplitud]]),0),IF(Categorias_Registro[[#This Row],[Puntos]]&lt;D1726,D1726,ROUND(D1726*(1+Categorias_Registro[[#This Row],[Amplitud]]),0)))</f>
        <v>936</v>
      </c>
      <c r="E1725" s="15">
        <f>E1726+IF(D1726=Categorias_Registro[[#This Row],[Máximo]],0,1)</f>
        <v>17</v>
      </c>
      <c r="F1725" s="15">
        <f>ROUND(Categorias_Registro[[#This Row],[Mínimo]]+((Categorias_Registro[[#This Row],[Máximo]]-Categorias_Registro[[#This Row],[Mínimo]])/2),0)</f>
        <v>876</v>
      </c>
      <c r="G1725" s="78">
        <f>VLOOKUP(Categorias_Registro[[#This Row],[Puntos]],Categorias_Configuracion[],MATCH(Categorias_Configuracion[[#Headers],[% Amplitud]],Categorias_Configuracion[#Headers],0),TRUE)</f>
        <v>0.15</v>
      </c>
      <c r="H1725" s="15" t="str">
        <f ca="1">TEXT(Categorias_Registro[[#This Row],[Mínimo]],Formato_Rango_Categorias)&amp;" - "&amp;TEXT(Categorias_Registro[[#This Row],[Máximo]],Formato_Rango_Categorias)</f>
        <v>815 - 936</v>
      </c>
    </row>
    <row r="1726" spans="2:8">
      <c r="B1726" s="15">
        <f>Techo - ROW() + ROW(Categorias_Registro[])</f>
        <v>903</v>
      </c>
      <c r="C1726" s="15">
        <f>IF(Categorias_Registro[[#This Row],[Puntos]]&lt;=ROUND(Piso,0),Piso,IF(Categorias_Registro[[#This Row],[Puntos]]&lt;D1727,C1727,D1727+1))</f>
        <v>815</v>
      </c>
      <c r="D1726" s="15">
        <f>IF(Categorias_Registro[[#This Row],[Puntos]]=ROUND(Piso,0),ROUND(Categorias_Registro[[#This Row],[Puntos]]*(1+Categorias_Registro[[#This Row],[Amplitud]]),0),IF(Categorias_Registro[[#This Row],[Puntos]]&lt;D1727,D1727,ROUND(D1727*(1+Categorias_Registro[[#This Row],[Amplitud]]),0)))</f>
        <v>936</v>
      </c>
      <c r="E1726" s="15">
        <f>E1727+IF(D1727=Categorias_Registro[[#This Row],[Máximo]],0,1)</f>
        <v>17</v>
      </c>
      <c r="F1726" s="15">
        <f>ROUND(Categorias_Registro[[#This Row],[Mínimo]]+((Categorias_Registro[[#This Row],[Máximo]]-Categorias_Registro[[#This Row],[Mínimo]])/2),0)</f>
        <v>876</v>
      </c>
      <c r="G1726" s="78">
        <f>VLOOKUP(Categorias_Registro[[#This Row],[Puntos]],Categorias_Configuracion[],MATCH(Categorias_Configuracion[[#Headers],[% Amplitud]],Categorias_Configuracion[#Headers],0),TRUE)</f>
        <v>0.15</v>
      </c>
      <c r="H1726" s="15" t="str">
        <f ca="1">TEXT(Categorias_Registro[[#This Row],[Mínimo]],Formato_Rango_Categorias)&amp;" - "&amp;TEXT(Categorias_Registro[[#This Row],[Máximo]],Formato_Rango_Categorias)</f>
        <v>815 - 936</v>
      </c>
    </row>
    <row r="1727" spans="2:8">
      <c r="B1727" s="15">
        <f>Techo - ROW() + ROW(Categorias_Registro[])</f>
        <v>902</v>
      </c>
      <c r="C1727" s="15">
        <f>IF(Categorias_Registro[[#This Row],[Puntos]]&lt;=ROUND(Piso,0),Piso,IF(Categorias_Registro[[#This Row],[Puntos]]&lt;D1728,C1728,D1728+1))</f>
        <v>815</v>
      </c>
      <c r="D1727" s="15">
        <f>IF(Categorias_Registro[[#This Row],[Puntos]]=ROUND(Piso,0),ROUND(Categorias_Registro[[#This Row],[Puntos]]*(1+Categorias_Registro[[#This Row],[Amplitud]]),0),IF(Categorias_Registro[[#This Row],[Puntos]]&lt;D1728,D1728,ROUND(D1728*(1+Categorias_Registro[[#This Row],[Amplitud]]),0)))</f>
        <v>936</v>
      </c>
      <c r="E1727" s="15">
        <f>E1728+IF(D1728=Categorias_Registro[[#This Row],[Máximo]],0,1)</f>
        <v>17</v>
      </c>
      <c r="F1727" s="15">
        <f>ROUND(Categorias_Registro[[#This Row],[Mínimo]]+((Categorias_Registro[[#This Row],[Máximo]]-Categorias_Registro[[#This Row],[Mínimo]])/2),0)</f>
        <v>876</v>
      </c>
      <c r="G1727" s="78">
        <f>VLOOKUP(Categorias_Registro[[#This Row],[Puntos]],Categorias_Configuracion[],MATCH(Categorias_Configuracion[[#Headers],[% Amplitud]],Categorias_Configuracion[#Headers],0),TRUE)</f>
        <v>0.15</v>
      </c>
      <c r="H1727" s="15" t="str">
        <f ca="1">TEXT(Categorias_Registro[[#This Row],[Mínimo]],Formato_Rango_Categorias)&amp;" - "&amp;TEXT(Categorias_Registro[[#This Row],[Máximo]],Formato_Rango_Categorias)</f>
        <v>815 - 936</v>
      </c>
    </row>
    <row r="1728" spans="2:8">
      <c r="B1728" s="15">
        <f>Techo - ROW() + ROW(Categorias_Registro[])</f>
        <v>901</v>
      </c>
      <c r="C1728" s="15">
        <f>IF(Categorias_Registro[[#This Row],[Puntos]]&lt;=ROUND(Piso,0),Piso,IF(Categorias_Registro[[#This Row],[Puntos]]&lt;D1729,C1729,D1729+1))</f>
        <v>815</v>
      </c>
      <c r="D1728" s="15">
        <f>IF(Categorias_Registro[[#This Row],[Puntos]]=ROUND(Piso,0),ROUND(Categorias_Registro[[#This Row],[Puntos]]*(1+Categorias_Registro[[#This Row],[Amplitud]]),0),IF(Categorias_Registro[[#This Row],[Puntos]]&lt;D1729,D1729,ROUND(D1729*(1+Categorias_Registro[[#This Row],[Amplitud]]),0)))</f>
        <v>936</v>
      </c>
      <c r="E1728" s="15">
        <f>E1729+IF(D1729=Categorias_Registro[[#This Row],[Máximo]],0,1)</f>
        <v>17</v>
      </c>
      <c r="F1728" s="15">
        <f>ROUND(Categorias_Registro[[#This Row],[Mínimo]]+((Categorias_Registro[[#This Row],[Máximo]]-Categorias_Registro[[#This Row],[Mínimo]])/2),0)</f>
        <v>876</v>
      </c>
      <c r="G1728" s="78">
        <f>VLOOKUP(Categorias_Registro[[#This Row],[Puntos]],Categorias_Configuracion[],MATCH(Categorias_Configuracion[[#Headers],[% Amplitud]],Categorias_Configuracion[#Headers],0),TRUE)</f>
        <v>0.15</v>
      </c>
      <c r="H1728" s="15" t="str">
        <f ca="1">TEXT(Categorias_Registro[[#This Row],[Mínimo]],Formato_Rango_Categorias)&amp;" - "&amp;TEXT(Categorias_Registro[[#This Row],[Máximo]],Formato_Rango_Categorias)</f>
        <v>815 - 936</v>
      </c>
    </row>
    <row r="1729" spans="2:8">
      <c r="B1729" s="15">
        <f>Techo - ROW() + ROW(Categorias_Registro[])</f>
        <v>900</v>
      </c>
      <c r="C1729" s="15">
        <f>IF(Categorias_Registro[[#This Row],[Puntos]]&lt;=ROUND(Piso,0),Piso,IF(Categorias_Registro[[#This Row],[Puntos]]&lt;D1730,C1730,D1730+1))</f>
        <v>815</v>
      </c>
      <c r="D1729" s="15">
        <f>IF(Categorias_Registro[[#This Row],[Puntos]]=ROUND(Piso,0),ROUND(Categorias_Registro[[#This Row],[Puntos]]*(1+Categorias_Registro[[#This Row],[Amplitud]]),0),IF(Categorias_Registro[[#This Row],[Puntos]]&lt;D1730,D1730,ROUND(D1730*(1+Categorias_Registro[[#This Row],[Amplitud]]),0)))</f>
        <v>936</v>
      </c>
      <c r="E1729" s="15">
        <f>E1730+IF(D1730=Categorias_Registro[[#This Row],[Máximo]],0,1)</f>
        <v>17</v>
      </c>
      <c r="F1729" s="15">
        <f>ROUND(Categorias_Registro[[#This Row],[Mínimo]]+((Categorias_Registro[[#This Row],[Máximo]]-Categorias_Registro[[#This Row],[Mínimo]])/2),0)</f>
        <v>876</v>
      </c>
      <c r="G1729" s="78">
        <f>VLOOKUP(Categorias_Registro[[#This Row],[Puntos]],Categorias_Configuracion[],MATCH(Categorias_Configuracion[[#Headers],[% Amplitud]],Categorias_Configuracion[#Headers],0),TRUE)</f>
        <v>0.15</v>
      </c>
      <c r="H1729" s="15" t="str">
        <f ca="1">TEXT(Categorias_Registro[[#This Row],[Mínimo]],Formato_Rango_Categorias)&amp;" - "&amp;TEXT(Categorias_Registro[[#This Row],[Máximo]],Formato_Rango_Categorias)</f>
        <v>815 - 936</v>
      </c>
    </row>
    <row r="1730" spans="2:8">
      <c r="B1730" s="15">
        <f>Techo - ROW() + ROW(Categorias_Registro[])</f>
        <v>899</v>
      </c>
      <c r="C1730" s="15">
        <f>IF(Categorias_Registro[[#This Row],[Puntos]]&lt;=ROUND(Piso,0),Piso,IF(Categorias_Registro[[#This Row],[Puntos]]&lt;D1731,C1731,D1731+1))</f>
        <v>815</v>
      </c>
      <c r="D1730" s="15">
        <f>IF(Categorias_Registro[[#This Row],[Puntos]]=ROUND(Piso,0),ROUND(Categorias_Registro[[#This Row],[Puntos]]*(1+Categorias_Registro[[#This Row],[Amplitud]]),0),IF(Categorias_Registro[[#This Row],[Puntos]]&lt;D1731,D1731,ROUND(D1731*(1+Categorias_Registro[[#This Row],[Amplitud]]),0)))</f>
        <v>936</v>
      </c>
      <c r="E1730" s="15">
        <f>E1731+IF(D1731=Categorias_Registro[[#This Row],[Máximo]],0,1)</f>
        <v>17</v>
      </c>
      <c r="F1730" s="15">
        <f>ROUND(Categorias_Registro[[#This Row],[Mínimo]]+((Categorias_Registro[[#This Row],[Máximo]]-Categorias_Registro[[#This Row],[Mínimo]])/2),0)</f>
        <v>876</v>
      </c>
      <c r="G1730" s="78">
        <f>VLOOKUP(Categorias_Registro[[#This Row],[Puntos]],Categorias_Configuracion[],MATCH(Categorias_Configuracion[[#Headers],[% Amplitud]],Categorias_Configuracion[#Headers],0),TRUE)</f>
        <v>0.15</v>
      </c>
      <c r="H1730" s="15" t="str">
        <f ca="1">TEXT(Categorias_Registro[[#This Row],[Mínimo]],Formato_Rango_Categorias)&amp;" - "&amp;TEXT(Categorias_Registro[[#This Row],[Máximo]],Formato_Rango_Categorias)</f>
        <v>815 - 936</v>
      </c>
    </row>
    <row r="1731" spans="2:8">
      <c r="B1731" s="15">
        <f>Techo - ROW() + ROW(Categorias_Registro[])</f>
        <v>898</v>
      </c>
      <c r="C1731" s="15">
        <f>IF(Categorias_Registro[[#This Row],[Puntos]]&lt;=ROUND(Piso,0),Piso,IF(Categorias_Registro[[#This Row],[Puntos]]&lt;D1732,C1732,D1732+1))</f>
        <v>815</v>
      </c>
      <c r="D1731" s="15">
        <f>IF(Categorias_Registro[[#This Row],[Puntos]]=ROUND(Piso,0),ROUND(Categorias_Registro[[#This Row],[Puntos]]*(1+Categorias_Registro[[#This Row],[Amplitud]]),0),IF(Categorias_Registro[[#This Row],[Puntos]]&lt;D1732,D1732,ROUND(D1732*(1+Categorias_Registro[[#This Row],[Amplitud]]),0)))</f>
        <v>936</v>
      </c>
      <c r="E1731" s="15">
        <f>E1732+IF(D1732=Categorias_Registro[[#This Row],[Máximo]],0,1)</f>
        <v>17</v>
      </c>
      <c r="F1731" s="15">
        <f>ROUND(Categorias_Registro[[#This Row],[Mínimo]]+((Categorias_Registro[[#This Row],[Máximo]]-Categorias_Registro[[#This Row],[Mínimo]])/2),0)</f>
        <v>876</v>
      </c>
      <c r="G1731" s="78">
        <f>VLOOKUP(Categorias_Registro[[#This Row],[Puntos]],Categorias_Configuracion[],MATCH(Categorias_Configuracion[[#Headers],[% Amplitud]],Categorias_Configuracion[#Headers],0),TRUE)</f>
        <v>0.15</v>
      </c>
      <c r="H1731" s="15" t="str">
        <f ca="1">TEXT(Categorias_Registro[[#This Row],[Mínimo]],Formato_Rango_Categorias)&amp;" - "&amp;TEXT(Categorias_Registro[[#This Row],[Máximo]],Formato_Rango_Categorias)</f>
        <v>815 - 936</v>
      </c>
    </row>
    <row r="1732" spans="2:8">
      <c r="B1732" s="15">
        <f>Techo - ROW() + ROW(Categorias_Registro[])</f>
        <v>897</v>
      </c>
      <c r="C1732" s="15">
        <f>IF(Categorias_Registro[[#This Row],[Puntos]]&lt;=ROUND(Piso,0),Piso,IF(Categorias_Registro[[#This Row],[Puntos]]&lt;D1733,C1733,D1733+1))</f>
        <v>815</v>
      </c>
      <c r="D1732" s="15">
        <f>IF(Categorias_Registro[[#This Row],[Puntos]]=ROUND(Piso,0),ROUND(Categorias_Registro[[#This Row],[Puntos]]*(1+Categorias_Registro[[#This Row],[Amplitud]]),0),IF(Categorias_Registro[[#This Row],[Puntos]]&lt;D1733,D1733,ROUND(D1733*(1+Categorias_Registro[[#This Row],[Amplitud]]),0)))</f>
        <v>936</v>
      </c>
      <c r="E1732" s="15">
        <f>E1733+IF(D1733=Categorias_Registro[[#This Row],[Máximo]],0,1)</f>
        <v>17</v>
      </c>
      <c r="F1732" s="15">
        <f>ROUND(Categorias_Registro[[#This Row],[Mínimo]]+((Categorias_Registro[[#This Row],[Máximo]]-Categorias_Registro[[#This Row],[Mínimo]])/2),0)</f>
        <v>876</v>
      </c>
      <c r="G1732" s="78">
        <f>VLOOKUP(Categorias_Registro[[#This Row],[Puntos]],Categorias_Configuracion[],MATCH(Categorias_Configuracion[[#Headers],[% Amplitud]],Categorias_Configuracion[#Headers],0),TRUE)</f>
        <v>0.15</v>
      </c>
      <c r="H1732" s="15" t="str">
        <f ca="1">TEXT(Categorias_Registro[[#This Row],[Mínimo]],Formato_Rango_Categorias)&amp;" - "&amp;TEXT(Categorias_Registro[[#This Row],[Máximo]],Formato_Rango_Categorias)</f>
        <v>815 - 936</v>
      </c>
    </row>
    <row r="1733" spans="2:8">
      <c r="B1733" s="15">
        <f>Techo - ROW() + ROW(Categorias_Registro[])</f>
        <v>896</v>
      </c>
      <c r="C1733" s="15">
        <f>IF(Categorias_Registro[[#This Row],[Puntos]]&lt;=ROUND(Piso,0),Piso,IF(Categorias_Registro[[#This Row],[Puntos]]&lt;D1734,C1734,D1734+1))</f>
        <v>815</v>
      </c>
      <c r="D1733" s="15">
        <f>IF(Categorias_Registro[[#This Row],[Puntos]]=ROUND(Piso,0),ROUND(Categorias_Registro[[#This Row],[Puntos]]*(1+Categorias_Registro[[#This Row],[Amplitud]]),0),IF(Categorias_Registro[[#This Row],[Puntos]]&lt;D1734,D1734,ROUND(D1734*(1+Categorias_Registro[[#This Row],[Amplitud]]),0)))</f>
        <v>936</v>
      </c>
      <c r="E1733" s="15">
        <f>E1734+IF(D1734=Categorias_Registro[[#This Row],[Máximo]],0,1)</f>
        <v>17</v>
      </c>
      <c r="F1733" s="15">
        <f>ROUND(Categorias_Registro[[#This Row],[Mínimo]]+((Categorias_Registro[[#This Row],[Máximo]]-Categorias_Registro[[#This Row],[Mínimo]])/2),0)</f>
        <v>876</v>
      </c>
      <c r="G1733" s="78">
        <f>VLOOKUP(Categorias_Registro[[#This Row],[Puntos]],Categorias_Configuracion[],MATCH(Categorias_Configuracion[[#Headers],[% Amplitud]],Categorias_Configuracion[#Headers],0),TRUE)</f>
        <v>0.15</v>
      </c>
      <c r="H1733" s="15" t="str">
        <f ca="1">TEXT(Categorias_Registro[[#This Row],[Mínimo]],Formato_Rango_Categorias)&amp;" - "&amp;TEXT(Categorias_Registro[[#This Row],[Máximo]],Formato_Rango_Categorias)</f>
        <v>815 - 936</v>
      </c>
    </row>
    <row r="1734" spans="2:8">
      <c r="B1734" s="15">
        <f>Techo - ROW() + ROW(Categorias_Registro[])</f>
        <v>895</v>
      </c>
      <c r="C1734" s="15">
        <f>IF(Categorias_Registro[[#This Row],[Puntos]]&lt;=ROUND(Piso,0),Piso,IF(Categorias_Registro[[#This Row],[Puntos]]&lt;D1735,C1735,D1735+1))</f>
        <v>815</v>
      </c>
      <c r="D1734" s="15">
        <f>IF(Categorias_Registro[[#This Row],[Puntos]]=ROUND(Piso,0),ROUND(Categorias_Registro[[#This Row],[Puntos]]*(1+Categorias_Registro[[#This Row],[Amplitud]]),0),IF(Categorias_Registro[[#This Row],[Puntos]]&lt;D1735,D1735,ROUND(D1735*(1+Categorias_Registro[[#This Row],[Amplitud]]),0)))</f>
        <v>936</v>
      </c>
      <c r="E1734" s="15">
        <f>E1735+IF(D1735=Categorias_Registro[[#This Row],[Máximo]],0,1)</f>
        <v>17</v>
      </c>
      <c r="F1734" s="15">
        <f>ROUND(Categorias_Registro[[#This Row],[Mínimo]]+((Categorias_Registro[[#This Row],[Máximo]]-Categorias_Registro[[#This Row],[Mínimo]])/2),0)</f>
        <v>876</v>
      </c>
      <c r="G1734" s="78">
        <f>VLOOKUP(Categorias_Registro[[#This Row],[Puntos]],Categorias_Configuracion[],MATCH(Categorias_Configuracion[[#Headers],[% Amplitud]],Categorias_Configuracion[#Headers],0),TRUE)</f>
        <v>0.15</v>
      </c>
      <c r="H1734" s="15" t="str">
        <f ca="1">TEXT(Categorias_Registro[[#This Row],[Mínimo]],Formato_Rango_Categorias)&amp;" - "&amp;TEXT(Categorias_Registro[[#This Row],[Máximo]],Formato_Rango_Categorias)</f>
        <v>815 - 936</v>
      </c>
    </row>
    <row r="1735" spans="2:8">
      <c r="B1735" s="15">
        <f>Techo - ROW() + ROW(Categorias_Registro[])</f>
        <v>894</v>
      </c>
      <c r="C1735" s="15">
        <f>IF(Categorias_Registro[[#This Row],[Puntos]]&lt;=ROUND(Piso,0),Piso,IF(Categorias_Registro[[#This Row],[Puntos]]&lt;D1736,C1736,D1736+1))</f>
        <v>815</v>
      </c>
      <c r="D1735" s="15">
        <f>IF(Categorias_Registro[[#This Row],[Puntos]]=ROUND(Piso,0),ROUND(Categorias_Registro[[#This Row],[Puntos]]*(1+Categorias_Registro[[#This Row],[Amplitud]]),0),IF(Categorias_Registro[[#This Row],[Puntos]]&lt;D1736,D1736,ROUND(D1736*(1+Categorias_Registro[[#This Row],[Amplitud]]),0)))</f>
        <v>936</v>
      </c>
      <c r="E1735" s="15">
        <f>E1736+IF(D1736=Categorias_Registro[[#This Row],[Máximo]],0,1)</f>
        <v>17</v>
      </c>
      <c r="F1735" s="15">
        <f>ROUND(Categorias_Registro[[#This Row],[Mínimo]]+((Categorias_Registro[[#This Row],[Máximo]]-Categorias_Registro[[#This Row],[Mínimo]])/2),0)</f>
        <v>876</v>
      </c>
      <c r="G1735" s="78">
        <f>VLOOKUP(Categorias_Registro[[#This Row],[Puntos]],Categorias_Configuracion[],MATCH(Categorias_Configuracion[[#Headers],[% Amplitud]],Categorias_Configuracion[#Headers],0),TRUE)</f>
        <v>0.15</v>
      </c>
      <c r="H1735" s="15" t="str">
        <f ca="1">TEXT(Categorias_Registro[[#This Row],[Mínimo]],Formato_Rango_Categorias)&amp;" - "&amp;TEXT(Categorias_Registro[[#This Row],[Máximo]],Formato_Rango_Categorias)</f>
        <v>815 - 936</v>
      </c>
    </row>
    <row r="1736" spans="2:8">
      <c r="B1736" s="15">
        <f>Techo - ROW() + ROW(Categorias_Registro[])</f>
        <v>893</v>
      </c>
      <c r="C1736" s="15">
        <f>IF(Categorias_Registro[[#This Row],[Puntos]]&lt;=ROUND(Piso,0),Piso,IF(Categorias_Registro[[#This Row],[Puntos]]&lt;D1737,C1737,D1737+1))</f>
        <v>815</v>
      </c>
      <c r="D1736" s="15">
        <f>IF(Categorias_Registro[[#This Row],[Puntos]]=ROUND(Piso,0),ROUND(Categorias_Registro[[#This Row],[Puntos]]*(1+Categorias_Registro[[#This Row],[Amplitud]]),0),IF(Categorias_Registro[[#This Row],[Puntos]]&lt;D1737,D1737,ROUND(D1737*(1+Categorias_Registro[[#This Row],[Amplitud]]),0)))</f>
        <v>936</v>
      </c>
      <c r="E1736" s="15">
        <f>E1737+IF(D1737=Categorias_Registro[[#This Row],[Máximo]],0,1)</f>
        <v>17</v>
      </c>
      <c r="F1736" s="15">
        <f>ROUND(Categorias_Registro[[#This Row],[Mínimo]]+((Categorias_Registro[[#This Row],[Máximo]]-Categorias_Registro[[#This Row],[Mínimo]])/2),0)</f>
        <v>876</v>
      </c>
      <c r="G1736" s="78">
        <f>VLOOKUP(Categorias_Registro[[#This Row],[Puntos]],Categorias_Configuracion[],MATCH(Categorias_Configuracion[[#Headers],[% Amplitud]],Categorias_Configuracion[#Headers],0),TRUE)</f>
        <v>0.15</v>
      </c>
      <c r="H1736" s="15" t="str">
        <f ca="1">TEXT(Categorias_Registro[[#This Row],[Mínimo]],Formato_Rango_Categorias)&amp;" - "&amp;TEXT(Categorias_Registro[[#This Row],[Máximo]],Formato_Rango_Categorias)</f>
        <v>815 - 936</v>
      </c>
    </row>
    <row r="1737" spans="2:8">
      <c r="B1737" s="15">
        <f>Techo - ROW() + ROW(Categorias_Registro[])</f>
        <v>892</v>
      </c>
      <c r="C1737" s="15">
        <f>IF(Categorias_Registro[[#This Row],[Puntos]]&lt;=ROUND(Piso,0),Piso,IF(Categorias_Registro[[#This Row],[Puntos]]&lt;D1738,C1738,D1738+1))</f>
        <v>815</v>
      </c>
      <c r="D1737" s="15">
        <f>IF(Categorias_Registro[[#This Row],[Puntos]]=ROUND(Piso,0),ROUND(Categorias_Registro[[#This Row],[Puntos]]*(1+Categorias_Registro[[#This Row],[Amplitud]]),0),IF(Categorias_Registro[[#This Row],[Puntos]]&lt;D1738,D1738,ROUND(D1738*(1+Categorias_Registro[[#This Row],[Amplitud]]),0)))</f>
        <v>936</v>
      </c>
      <c r="E1737" s="15">
        <f>E1738+IF(D1738=Categorias_Registro[[#This Row],[Máximo]],0,1)</f>
        <v>17</v>
      </c>
      <c r="F1737" s="15">
        <f>ROUND(Categorias_Registro[[#This Row],[Mínimo]]+((Categorias_Registro[[#This Row],[Máximo]]-Categorias_Registro[[#This Row],[Mínimo]])/2),0)</f>
        <v>876</v>
      </c>
      <c r="G1737" s="78">
        <f>VLOOKUP(Categorias_Registro[[#This Row],[Puntos]],Categorias_Configuracion[],MATCH(Categorias_Configuracion[[#Headers],[% Amplitud]],Categorias_Configuracion[#Headers],0),TRUE)</f>
        <v>0.15</v>
      </c>
      <c r="H1737" s="15" t="str">
        <f ca="1">TEXT(Categorias_Registro[[#This Row],[Mínimo]],Formato_Rango_Categorias)&amp;" - "&amp;TEXT(Categorias_Registro[[#This Row],[Máximo]],Formato_Rango_Categorias)</f>
        <v>815 - 936</v>
      </c>
    </row>
    <row r="1738" spans="2:8">
      <c r="B1738" s="15">
        <f>Techo - ROW() + ROW(Categorias_Registro[])</f>
        <v>891</v>
      </c>
      <c r="C1738" s="15">
        <f>IF(Categorias_Registro[[#This Row],[Puntos]]&lt;=ROUND(Piso,0),Piso,IF(Categorias_Registro[[#This Row],[Puntos]]&lt;D1739,C1739,D1739+1))</f>
        <v>815</v>
      </c>
      <c r="D1738" s="15">
        <f>IF(Categorias_Registro[[#This Row],[Puntos]]=ROUND(Piso,0),ROUND(Categorias_Registro[[#This Row],[Puntos]]*(1+Categorias_Registro[[#This Row],[Amplitud]]),0),IF(Categorias_Registro[[#This Row],[Puntos]]&lt;D1739,D1739,ROUND(D1739*(1+Categorias_Registro[[#This Row],[Amplitud]]),0)))</f>
        <v>936</v>
      </c>
      <c r="E1738" s="15">
        <f>E1739+IF(D1739=Categorias_Registro[[#This Row],[Máximo]],0,1)</f>
        <v>17</v>
      </c>
      <c r="F1738" s="15">
        <f>ROUND(Categorias_Registro[[#This Row],[Mínimo]]+((Categorias_Registro[[#This Row],[Máximo]]-Categorias_Registro[[#This Row],[Mínimo]])/2),0)</f>
        <v>876</v>
      </c>
      <c r="G1738" s="78">
        <f>VLOOKUP(Categorias_Registro[[#This Row],[Puntos]],Categorias_Configuracion[],MATCH(Categorias_Configuracion[[#Headers],[% Amplitud]],Categorias_Configuracion[#Headers],0),TRUE)</f>
        <v>0.15</v>
      </c>
      <c r="H1738" s="15" t="str">
        <f ca="1">TEXT(Categorias_Registro[[#This Row],[Mínimo]],Formato_Rango_Categorias)&amp;" - "&amp;TEXT(Categorias_Registro[[#This Row],[Máximo]],Formato_Rango_Categorias)</f>
        <v>815 - 936</v>
      </c>
    </row>
    <row r="1739" spans="2:8">
      <c r="B1739" s="15">
        <f>Techo - ROW() + ROW(Categorias_Registro[])</f>
        <v>890</v>
      </c>
      <c r="C1739" s="15">
        <f>IF(Categorias_Registro[[#This Row],[Puntos]]&lt;=ROUND(Piso,0),Piso,IF(Categorias_Registro[[#This Row],[Puntos]]&lt;D1740,C1740,D1740+1))</f>
        <v>815</v>
      </c>
      <c r="D1739" s="15">
        <f>IF(Categorias_Registro[[#This Row],[Puntos]]=ROUND(Piso,0),ROUND(Categorias_Registro[[#This Row],[Puntos]]*(1+Categorias_Registro[[#This Row],[Amplitud]]),0),IF(Categorias_Registro[[#This Row],[Puntos]]&lt;D1740,D1740,ROUND(D1740*(1+Categorias_Registro[[#This Row],[Amplitud]]),0)))</f>
        <v>936</v>
      </c>
      <c r="E1739" s="15">
        <f>E1740+IF(D1740=Categorias_Registro[[#This Row],[Máximo]],0,1)</f>
        <v>17</v>
      </c>
      <c r="F1739" s="15">
        <f>ROUND(Categorias_Registro[[#This Row],[Mínimo]]+((Categorias_Registro[[#This Row],[Máximo]]-Categorias_Registro[[#This Row],[Mínimo]])/2),0)</f>
        <v>876</v>
      </c>
      <c r="G1739" s="78">
        <f>VLOOKUP(Categorias_Registro[[#This Row],[Puntos]],Categorias_Configuracion[],MATCH(Categorias_Configuracion[[#Headers],[% Amplitud]],Categorias_Configuracion[#Headers],0),TRUE)</f>
        <v>0.15</v>
      </c>
      <c r="H1739" s="15" t="str">
        <f ca="1">TEXT(Categorias_Registro[[#This Row],[Mínimo]],Formato_Rango_Categorias)&amp;" - "&amp;TEXT(Categorias_Registro[[#This Row],[Máximo]],Formato_Rango_Categorias)</f>
        <v>815 - 936</v>
      </c>
    </row>
    <row r="1740" spans="2:8">
      <c r="B1740" s="15">
        <f>Techo - ROW() + ROW(Categorias_Registro[])</f>
        <v>889</v>
      </c>
      <c r="C1740" s="15">
        <f>IF(Categorias_Registro[[#This Row],[Puntos]]&lt;=ROUND(Piso,0),Piso,IF(Categorias_Registro[[#This Row],[Puntos]]&lt;D1741,C1741,D1741+1))</f>
        <v>815</v>
      </c>
      <c r="D1740" s="15">
        <f>IF(Categorias_Registro[[#This Row],[Puntos]]=ROUND(Piso,0),ROUND(Categorias_Registro[[#This Row],[Puntos]]*(1+Categorias_Registro[[#This Row],[Amplitud]]),0),IF(Categorias_Registro[[#This Row],[Puntos]]&lt;D1741,D1741,ROUND(D1741*(1+Categorias_Registro[[#This Row],[Amplitud]]),0)))</f>
        <v>936</v>
      </c>
      <c r="E1740" s="15">
        <f>E1741+IF(D1741=Categorias_Registro[[#This Row],[Máximo]],0,1)</f>
        <v>17</v>
      </c>
      <c r="F1740" s="15">
        <f>ROUND(Categorias_Registro[[#This Row],[Mínimo]]+((Categorias_Registro[[#This Row],[Máximo]]-Categorias_Registro[[#This Row],[Mínimo]])/2),0)</f>
        <v>876</v>
      </c>
      <c r="G1740" s="78">
        <f>VLOOKUP(Categorias_Registro[[#This Row],[Puntos]],Categorias_Configuracion[],MATCH(Categorias_Configuracion[[#Headers],[% Amplitud]],Categorias_Configuracion[#Headers],0),TRUE)</f>
        <v>0.15</v>
      </c>
      <c r="H1740" s="15" t="str">
        <f ca="1">TEXT(Categorias_Registro[[#This Row],[Mínimo]],Formato_Rango_Categorias)&amp;" - "&amp;TEXT(Categorias_Registro[[#This Row],[Máximo]],Formato_Rango_Categorias)</f>
        <v>815 - 936</v>
      </c>
    </row>
    <row r="1741" spans="2:8">
      <c r="B1741" s="15">
        <f>Techo - ROW() + ROW(Categorias_Registro[])</f>
        <v>888</v>
      </c>
      <c r="C1741" s="15">
        <f>IF(Categorias_Registro[[#This Row],[Puntos]]&lt;=ROUND(Piso,0),Piso,IF(Categorias_Registro[[#This Row],[Puntos]]&lt;D1742,C1742,D1742+1))</f>
        <v>815</v>
      </c>
      <c r="D1741" s="15">
        <f>IF(Categorias_Registro[[#This Row],[Puntos]]=ROUND(Piso,0),ROUND(Categorias_Registro[[#This Row],[Puntos]]*(1+Categorias_Registro[[#This Row],[Amplitud]]),0),IF(Categorias_Registro[[#This Row],[Puntos]]&lt;D1742,D1742,ROUND(D1742*(1+Categorias_Registro[[#This Row],[Amplitud]]),0)))</f>
        <v>936</v>
      </c>
      <c r="E1741" s="15">
        <f>E1742+IF(D1742=Categorias_Registro[[#This Row],[Máximo]],0,1)</f>
        <v>17</v>
      </c>
      <c r="F1741" s="15">
        <f>ROUND(Categorias_Registro[[#This Row],[Mínimo]]+((Categorias_Registro[[#This Row],[Máximo]]-Categorias_Registro[[#This Row],[Mínimo]])/2),0)</f>
        <v>876</v>
      </c>
      <c r="G1741" s="78">
        <f>VLOOKUP(Categorias_Registro[[#This Row],[Puntos]],Categorias_Configuracion[],MATCH(Categorias_Configuracion[[#Headers],[% Amplitud]],Categorias_Configuracion[#Headers],0),TRUE)</f>
        <v>0.15</v>
      </c>
      <c r="H1741" s="15" t="str">
        <f ca="1">TEXT(Categorias_Registro[[#This Row],[Mínimo]],Formato_Rango_Categorias)&amp;" - "&amp;TEXT(Categorias_Registro[[#This Row],[Máximo]],Formato_Rango_Categorias)</f>
        <v>815 - 936</v>
      </c>
    </row>
    <row r="1742" spans="2:8">
      <c r="B1742" s="15">
        <f>Techo - ROW() + ROW(Categorias_Registro[])</f>
        <v>887</v>
      </c>
      <c r="C1742" s="15">
        <f>IF(Categorias_Registro[[#This Row],[Puntos]]&lt;=ROUND(Piso,0),Piso,IF(Categorias_Registro[[#This Row],[Puntos]]&lt;D1743,C1743,D1743+1))</f>
        <v>815</v>
      </c>
      <c r="D1742" s="15">
        <f>IF(Categorias_Registro[[#This Row],[Puntos]]=ROUND(Piso,0),ROUND(Categorias_Registro[[#This Row],[Puntos]]*(1+Categorias_Registro[[#This Row],[Amplitud]]),0),IF(Categorias_Registro[[#This Row],[Puntos]]&lt;D1743,D1743,ROUND(D1743*(1+Categorias_Registro[[#This Row],[Amplitud]]),0)))</f>
        <v>936</v>
      </c>
      <c r="E1742" s="15">
        <f>E1743+IF(D1743=Categorias_Registro[[#This Row],[Máximo]],0,1)</f>
        <v>17</v>
      </c>
      <c r="F1742" s="15">
        <f>ROUND(Categorias_Registro[[#This Row],[Mínimo]]+((Categorias_Registro[[#This Row],[Máximo]]-Categorias_Registro[[#This Row],[Mínimo]])/2),0)</f>
        <v>876</v>
      </c>
      <c r="G1742" s="78">
        <f>VLOOKUP(Categorias_Registro[[#This Row],[Puntos]],Categorias_Configuracion[],MATCH(Categorias_Configuracion[[#Headers],[% Amplitud]],Categorias_Configuracion[#Headers],0),TRUE)</f>
        <v>0.15</v>
      </c>
      <c r="H1742" s="15" t="str">
        <f ca="1">TEXT(Categorias_Registro[[#This Row],[Mínimo]],Formato_Rango_Categorias)&amp;" - "&amp;TEXT(Categorias_Registro[[#This Row],[Máximo]],Formato_Rango_Categorias)</f>
        <v>815 - 936</v>
      </c>
    </row>
    <row r="1743" spans="2:8">
      <c r="B1743" s="15">
        <f>Techo - ROW() + ROW(Categorias_Registro[])</f>
        <v>886</v>
      </c>
      <c r="C1743" s="15">
        <f>IF(Categorias_Registro[[#This Row],[Puntos]]&lt;=ROUND(Piso,0),Piso,IF(Categorias_Registro[[#This Row],[Puntos]]&lt;D1744,C1744,D1744+1))</f>
        <v>815</v>
      </c>
      <c r="D1743" s="15">
        <f>IF(Categorias_Registro[[#This Row],[Puntos]]=ROUND(Piso,0),ROUND(Categorias_Registro[[#This Row],[Puntos]]*(1+Categorias_Registro[[#This Row],[Amplitud]]),0),IF(Categorias_Registro[[#This Row],[Puntos]]&lt;D1744,D1744,ROUND(D1744*(1+Categorias_Registro[[#This Row],[Amplitud]]),0)))</f>
        <v>936</v>
      </c>
      <c r="E1743" s="15">
        <f>E1744+IF(D1744=Categorias_Registro[[#This Row],[Máximo]],0,1)</f>
        <v>17</v>
      </c>
      <c r="F1743" s="15">
        <f>ROUND(Categorias_Registro[[#This Row],[Mínimo]]+((Categorias_Registro[[#This Row],[Máximo]]-Categorias_Registro[[#This Row],[Mínimo]])/2),0)</f>
        <v>876</v>
      </c>
      <c r="G1743" s="78">
        <f>VLOOKUP(Categorias_Registro[[#This Row],[Puntos]],Categorias_Configuracion[],MATCH(Categorias_Configuracion[[#Headers],[% Amplitud]],Categorias_Configuracion[#Headers],0),TRUE)</f>
        <v>0.15</v>
      </c>
      <c r="H1743" s="15" t="str">
        <f ca="1">TEXT(Categorias_Registro[[#This Row],[Mínimo]],Formato_Rango_Categorias)&amp;" - "&amp;TEXT(Categorias_Registro[[#This Row],[Máximo]],Formato_Rango_Categorias)</f>
        <v>815 - 936</v>
      </c>
    </row>
    <row r="1744" spans="2:8">
      <c r="B1744" s="15">
        <f>Techo - ROW() + ROW(Categorias_Registro[])</f>
        <v>885</v>
      </c>
      <c r="C1744" s="15">
        <f>IF(Categorias_Registro[[#This Row],[Puntos]]&lt;=ROUND(Piso,0),Piso,IF(Categorias_Registro[[#This Row],[Puntos]]&lt;D1745,C1745,D1745+1))</f>
        <v>815</v>
      </c>
      <c r="D1744" s="15">
        <f>IF(Categorias_Registro[[#This Row],[Puntos]]=ROUND(Piso,0),ROUND(Categorias_Registro[[#This Row],[Puntos]]*(1+Categorias_Registro[[#This Row],[Amplitud]]),0),IF(Categorias_Registro[[#This Row],[Puntos]]&lt;D1745,D1745,ROUND(D1745*(1+Categorias_Registro[[#This Row],[Amplitud]]),0)))</f>
        <v>936</v>
      </c>
      <c r="E1744" s="15">
        <f>E1745+IF(D1745=Categorias_Registro[[#This Row],[Máximo]],0,1)</f>
        <v>17</v>
      </c>
      <c r="F1744" s="15">
        <f>ROUND(Categorias_Registro[[#This Row],[Mínimo]]+((Categorias_Registro[[#This Row],[Máximo]]-Categorias_Registro[[#This Row],[Mínimo]])/2),0)</f>
        <v>876</v>
      </c>
      <c r="G1744" s="78">
        <f>VLOOKUP(Categorias_Registro[[#This Row],[Puntos]],Categorias_Configuracion[],MATCH(Categorias_Configuracion[[#Headers],[% Amplitud]],Categorias_Configuracion[#Headers],0),TRUE)</f>
        <v>0.15</v>
      </c>
      <c r="H1744" s="15" t="str">
        <f ca="1">TEXT(Categorias_Registro[[#This Row],[Mínimo]],Formato_Rango_Categorias)&amp;" - "&amp;TEXT(Categorias_Registro[[#This Row],[Máximo]],Formato_Rango_Categorias)</f>
        <v>815 - 936</v>
      </c>
    </row>
    <row r="1745" spans="2:8">
      <c r="B1745" s="15">
        <f>Techo - ROW() + ROW(Categorias_Registro[])</f>
        <v>884</v>
      </c>
      <c r="C1745" s="15">
        <f>IF(Categorias_Registro[[#This Row],[Puntos]]&lt;=ROUND(Piso,0),Piso,IF(Categorias_Registro[[#This Row],[Puntos]]&lt;D1746,C1746,D1746+1))</f>
        <v>815</v>
      </c>
      <c r="D1745" s="15">
        <f>IF(Categorias_Registro[[#This Row],[Puntos]]=ROUND(Piso,0),ROUND(Categorias_Registro[[#This Row],[Puntos]]*(1+Categorias_Registro[[#This Row],[Amplitud]]),0),IF(Categorias_Registro[[#This Row],[Puntos]]&lt;D1746,D1746,ROUND(D1746*(1+Categorias_Registro[[#This Row],[Amplitud]]),0)))</f>
        <v>936</v>
      </c>
      <c r="E1745" s="15">
        <f>E1746+IF(D1746=Categorias_Registro[[#This Row],[Máximo]],0,1)</f>
        <v>17</v>
      </c>
      <c r="F1745" s="15">
        <f>ROUND(Categorias_Registro[[#This Row],[Mínimo]]+((Categorias_Registro[[#This Row],[Máximo]]-Categorias_Registro[[#This Row],[Mínimo]])/2),0)</f>
        <v>876</v>
      </c>
      <c r="G1745" s="78">
        <f>VLOOKUP(Categorias_Registro[[#This Row],[Puntos]],Categorias_Configuracion[],MATCH(Categorias_Configuracion[[#Headers],[% Amplitud]],Categorias_Configuracion[#Headers],0),TRUE)</f>
        <v>0.15</v>
      </c>
      <c r="H1745" s="15" t="str">
        <f ca="1">TEXT(Categorias_Registro[[#This Row],[Mínimo]],Formato_Rango_Categorias)&amp;" - "&amp;TEXT(Categorias_Registro[[#This Row],[Máximo]],Formato_Rango_Categorias)</f>
        <v>815 - 936</v>
      </c>
    </row>
    <row r="1746" spans="2:8">
      <c r="B1746" s="15">
        <f>Techo - ROW() + ROW(Categorias_Registro[])</f>
        <v>883</v>
      </c>
      <c r="C1746" s="15">
        <f>IF(Categorias_Registro[[#This Row],[Puntos]]&lt;=ROUND(Piso,0),Piso,IF(Categorias_Registro[[#This Row],[Puntos]]&lt;D1747,C1747,D1747+1))</f>
        <v>815</v>
      </c>
      <c r="D1746" s="15">
        <f>IF(Categorias_Registro[[#This Row],[Puntos]]=ROUND(Piso,0),ROUND(Categorias_Registro[[#This Row],[Puntos]]*(1+Categorias_Registro[[#This Row],[Amplitud]]),0),IF(Categorias_Registro[[#This Row],[Puntos]]&lt;D1747,D1747,ROUND(D1747*(1+Categorias_Registro[[#This Row],[Amplitud]]),0)))</f>
        <v>936</v>
      </c>
      <c r="E1746" s="15">
        <f>E1747+IF(D1747=Categorias_Registro[[#This Row],[Máximo]],0,1)</f>
        <v>17</v>
      </c>
      <c r="F1746" s="15">
        <f>ROUND(Categorias_Registro[[#This Row],[Mínimo]]+((Categorias_Registro[[#This Row],[Máximo]]-Categorias_Registro[[#This Row],[Mínimo]])/2),0)</f>
        <v>876</v>
      </c>
      <c r="G1746" s="78">
        <f>VLOOKUP(Categorias_Registro[[#This Row],[Puntos]],Categorias_Configuracion[],MATCH(Categorias_Configuracion[[#Headers],[% Amplitud]],Categorias_Configuracion[#Headers],0),TRUE)</f>
        <v>0.15</v>
      </c>
      <c r="H1746" s="15" t="str">
        <f ca="1">TEXT(Categorias_Registro[[#This Row],[Mínimo]],Formato_Rango_Categorias)&amp;" - "&amp;TEXT(Categorias_Registro[[#This Row],[Máximo]],Formato_Rango_Categorias)</f>
        <v>815 - 936</v>
      </c>
    </row>
    <row r="1747" spans="2:8">
      <c r="B1747" s="15">
        <f>Techo - ROW() + ROW(Categorias_Registro[])</f>
        <v>882</v>
      </c>
      <c r="C1747" s="15">
        <f>IF(Categorias_Registro[[#This Row],[Puntos]]&lt;=ROUND(Piso,0),Piso,IF(Categorias_Registro[[#This Row],[Puntos]]&lt;D1748,C1748,D1748+1))</f>
        <v>815</v>
      </c>
      <c r="D1747" s="15">
        <f>IF(Categorias_Registro[[#This Row],[Puntos]]=ROUND(Piso,0),ROUND(Categorias_Registro[[#This Row],[Puntos]]*(1+Categorias_Registro[[#This Row],[Amplitud]]),0),IF(Categorias_Registro[[#This Row],[Puntos]]&lt;D1748,D1748,ROUND(D1748*(1+Categorias_Registro[[#This Row],[Amplitud]]),0)))</f>
        <v>936</v>
      </c>
      <c r="E1747" s="15">
        <f>E1748+IF(D1748=Categorias_Registro[[#This Row],[Máximo]],0,1)</f>
        <v>17</v>
      </c>
      <c r="F1747" s="15">
        <f>ROUND(Categorias_Registro[[#This Row],[Mínimo]]+((Categorias_Registro[[#This Row],[Máximo]]-Categorias_Registro[[#This Row],[Mínimo]])/2),0)</f>
        <v>876</v>
      </c>
      <c r="G1747" s="78">
        <f>VLOOKUP(Categorias_Registro[[#This Row],[Puntos]],Categorias_Configuracion[],MATCH(Categorias_Configuracion[[#Headers],[% Amplitud]],Categorias_Configuracion[#Headers],0),TRUE)</f>
        <v>0.15</v>
      </c>
      <c r="H1747" s="15" t="str">
        <f ca="1">TEXT(Categorias_Registro[[#This Row],[Mínimo]],Formato_Rango_Categorias)&amp;" - "&amp;TEXT(Categorias_Registro[[#This Row],[Máximo]],Formato_Rango_Categorias)</f>
        <v>815 - 936</v>
      </c>
    </row>
    <row r="1748" spans="2:8">
      <c r="B1748" s="15">
        <f>Techo - ROW() + ROW(Categorias_Registro[])</f>
        <v>881</v>
      </c>
      <c r="C1748" s="15">
        <f>IF(Categorias_Registro[[#This Row],[Puntos]]&lt;=ROUND(Piso,0),Piso,IF(Categorias_Registro[[#This Row],[Puntos]]&lt;D1749,C1749,D1749+1))</f>
        <v>815</v>
      </c>
      <c r="D1748" s="15">
        <f>IF(Categorias_Registro[[#This Row],[Puntos]]=ROUND(Piso,0),ROUND(Categorias_Registro[[#This Row],[Puntos]]*(1+Categorias_Registro[[#This Row],[Amplitud]]),0),IF(Categorias_Registro[[#This Row],[Puntos]]&lt;D1749,D1749,ROUND(D1749*(1+Categorias_Registro[[#This Row],[Amplitud]]),0)))</f>
        <v>936</v>
      </c>
      <c r="E1748" s="15">
        <f>E1749+IF(D1749=Categorias_Registro[[#This Row],[Máximo]],0,1)</f>
        <v>17</v>
      </c>
      <c r="F1748" s="15">
        <f>ROUND(Categorias_Registro[[#This Row],[Mínimo]]+((Categorias_Registro[[#This Row],[Máximo]]-Categorias_Registro[[#This Row],[Mínimo]])/2),0)</f>
        <v>876</v>
      </c>
      <c r="G1748" s="78">
        <f>VLOOKUP(Categorias_Registro[[#This Row],[Puntos]],Categorias_Configuracion[],MATCH(Categorias_Configuracion[[#Headers],[% Amplitud]],Categorias_Configuracion[#Headers],0),TRUE)</f>
        <v>0.15</v>
      </c>
      <c r="H1748" s="15" t="str">
        <f ca="1">TEXT(Categorias_Registro[[#This Row],[Mínimo]],Formato_Rango_Categorias)&amp;" - "&amp;TEXT(Categorias_Registro[[#This Row],[Máximo]],Formato_Rango_Categorias)</f>
        <v>815 - 936</v>
      </c>
    </row>
    <row r="1749" spans="2:8">
      <c r="B1749" s="15">
        <f>Techo - ROW() + ROW(Categorias_Registro[])</f>
        <v>880</v>
      </c>
      <c r="C1749" s="15">
        <f>IF(Categorias_Registro[[#This Row],[Puntos]]&lt;=ROUND(Piso,0),Piso,IF(Categorias_Registro[[#This Row],[Puntos]]&lt;D1750,C1750,D1750+1))</f>
        <v>815</v>
      </c>
      <c r="D1749" s="15">
        <f>IF(Categorias_Registro[[#This Row],[Puntos]]=ROUND(Piso,0),ROUND(Categorias_Registro[[#This Row],[Puntos]]*(1+Categorias_Registro[[#This Row],[Amplitud]]),0),IF(Categorias_Registro[[#This Row],[Puntos]]&lt;D1750,D1750,ROUND(D1750*(1+Categorias_Registro[[#This Row],[Amplitud]]),0)))</f>
        <v>936</v>
      </c>
      <c r="E1749" s="15">
        <f>E1750+IF(D1750=Categorias_Registro[[#This Row],[Máximo]],0,1)</f>
        <v>17</v>
      </c>
      <c r="F1749" s="15">
        <f>ROUND(Categorias_Registro[[#This Row],[Mínimo]]+((Categorias_Registro[[#This Row],[Máximo]]-Categorias_Registro[[#This Row],[Mínimo]])/2),0)</f>
        <v>876</v>
      </c>
      <c r="G1749" s="78">
        <f>VLOOKUP(Categorias_Registro[[#This Row],[Puntos]],Categorias_Configuracion[],MATCH(Categorias_Configuracion[[#Headers],[% Amplitud]],Categorias_Configuracion[#Headers],0),TRUE)</f>
        <v>0.15</v>
      </c>
      <c r="H1749" s="15" t="str">
        <f ca="1">TEXT(Categorias_Registro[[#This Row],[Mínimo]],Formato_Rango_Categorias)&amp;" - "&amp;TEXT(Categorias_Registro[[#This Row],[Máximo]],Formato_Rango_Categorias)</f>
        <v>815 - 936</v>
      </c>
    </row>
    <row r="1750" spans="2:8">
      <c r="B1750" s="15">
        <f>Techo - ROW() + ROW(Categorias_Registro[])</f>
        <v>879</v>
      </c>
      <c r="C1750" s="15">
        <f>IF(Categorias_Registro[[#This Row],[Puntos]]&lt;=ROUND(Piso,0),Piso,IF(Categorias_Registro[[#This Row],[Puntos]]&lt;D1751,C1751,D1751+1))</f>
        <v>815</v>
      </c>
      <c r="D1750" s="15">
        <f>IF(Categorias_Registro[[#This Row],[Puntos]]=ROUND(Piso,0),ROUND(Categorias_Registro[[#This Row],[Puntos]]*(1+Categorias_Registro[[#This Row],[Amplitud]]),0),IF(Categorias_Registro[[#This Row],[Puntos]]&lt;D1751,D1751,ROUND(D1751*(1+Categorias_Registro[[#This Row],[Amplitud]]),0)))</f>
        <v>936</v>
      </c>
      <c r="E1750" s="15">
        <f>E1751+IF(D1751=Categorias_Registro[[#This Row],[Máximo]],0,1)</f>
        <v>17</v>
      </c>
      <c r="F1750" s="15">
        <f>ROUND(Categorias_Registro[[#This Row],[Mínimo]]+((Categorias_Registro[[#This Row],[Máximo]]-Categorias_Registro[[#This Row],[Mínimo]])/2),0)</f>
        <v>876</v>
      </c>
      <c r="G1750" s="78">
        <f>VLOOKUP(Categorias_Registro[[#This Row],[Puntos]],Categorias_Configuracion[],MATCH(Categorias_Configuracion[[#Headers],[% Amplitud]],Categorias_Configuracion[#Headers],0),TRUE)</f>
        <v>0.15</v>
      </c>
      <c r="H1750" s="15" t="str">
        <f ca="1">TEXT(Categorias_Registro[[#This Row],[Mínimo]],Formato_Rango_Categorias)&amp;" - "&amp;TEXT(Categorias_Registro[[#This Row],[Máximo]],Formato_Rango_Categorias)</f>
        <v>815 - 936</v>
      </c>
    </row>
    <row r="1751" spans="2:8">
      <c r="B1751" s="15">
        <f>Techo - ROW() + ROW(Categorias_Registro[])</f>
        <v>878</v>
      </c>
      <c r="C1751" s="15">
        <f>IF(Categorias_Registro[[#This Row],[Puntos]]&lt;=ROUND(Piso,0),Piso,IF(Categorias_Registro[[#This Row],[Puntos]]&lt;D1752,C1752,D1752+1))</f>
        <v>815</v>
      </c>
      <c r="D1751" s="15">
        <f>IF(Categorias_Registro[[#This Row],[Puntos]]=ROUND(Piso,0),ROUND(Categorias_Registro[[#This Row],[Puntos]]*(1+Categorias_Registro[[#This Row],[Amplitud]]),0),IF(Categorias_Registro[[#This Row],[Puntos]]&lt;D1752,D1752,ROUND(D1752*(1+Categorias_Registro[[#This Row],[Amplitud]]),0)))</f>
        <v>936</v>
      </c>
      <c r="E1751" s="15">
        <f>E1752+IF(D1752=Categorias_Registro[[#This Row],[Máximo]],0,1)</f>
        <v>17</v>
      </c>
      <c r="F1751" s="15">
        <f>ROUND(Categorias_Registro[[#This Row],[Mínimo]]+((Categorias_Registro[[#This Row],[Máximo]]-Categorias_Registro[[#This Row],[Mínimo]])/2),0)</f>
        <v>876</v>
      </c>
      <c r="G1751" s="78">
        <f>VLOOKUP(Categorias_Registro[[#This Row],[Puntos]],Categorias_Configuracion[],MATCH(Categorias_Configuracion[[#Headers],[% Amplitud]],Categorias_Configuracion[#Headers],0),TRUE)</f>
        <v>0.15</v>
      </c>
      <c r="H1751" s="15" t="str">
        <f ca="1">TEXT(Categorias_Registro[[#This Row],[Mínimo]],Formato_Rango_Categorias)&amp;" - "&amp;TEXT(Categorias_Registro[[#This Row],[Máximo]],Formato_Rango_Categorias)</f>
        <v>815 - 936</v>
      </c>
    </row>
    <row r="1752" spans="2:8">
      <c r="B1752" s="15">
        <f>Techo - ROW() + ROW(Categorias_Registro[])</f>
        <v>877</v>
      </c>
      <c r="C1752" s="15">
        <f>IF(Categorias_Registro[[#This Row],[Puntos]]&lt;=ROUND(Piso,0),Piso,IF(Categorias_Registro[[#This Row],[Puntos]]&lt;D1753,C1753,D1753+1))</f>
        <v>815</v>
      </c>
      <c r="D1752" s="15">
        <f>IF(Categorias_Registro[[#This Row],[Puntos]]=ROUND(Piso,0),ROUND(Categorias_Registro[[#This Row],[Puntos]]*(1+Categorias_Registro[[#This Row],[Amplitud]]),0),IF(Categorias_Registro[[#This Row],[Puntos]]&lt;D1753,D1753,ROUND(D1753*(1+Categorias_Registro[[#This Row],[Amplitud]]),0)))</f>
        <v>936</v>
      </c>
      <c r="E1752" s="15">
        <f>E1753+IF(D1753=Categorias_Registro[[#This Row],[Máximo]],0,1)</f>
        <v>17</v>
      </c>
      <c r="F1752" s="15">
        <f>ROUND(Categorias_Registro[[#This Row],[Mínimo]]+((Categorias_Registro[[#This Row],[Máximo]]-Categorias_Registro[[#This Row],[Mínimo]])/2),0)</f>
        <v>876</v>
      </c>
      <c r="G1752" s="78">
        <f>VLOOKUP(Categorias_Registro[[#This Row],[Puntos]],Categorias_Configuracion[],MATCH(Categorias_Configuracion[[#Headers],[% Amplitud]],Categorias_Configuracion[#Headers],0),TRUE)</f>
        <v>0.15</v>
      </c>
      <c r="H1752" s="15" t="str">
        <f ca="1">TEXT(Categorias_Registro[[#This Row],[Mínimo]],Formato_Rango_Categorias)&amp;" - "&amp;TEXT(Categorias_Registro[[#This Row],[Máximo]],Formato_Rango_Categorias)</f>
        <v>815 - 936</v>
      </c>
    </row>
    <row r="1753" spans="2:8">
      <c r="B1753" s="15">
        <f>Techo - ROW() + ROW(Categorias_Registro[])</f>
        <v>876</v>
      </c>
      <c r="C1753" s="15">
        <f>IF(Categorias_Registro[[#This Row],[Puntos]]&lt;=ROUND(Piso,0),Piso,IF(Categorias_Registro[[#This Row],[Puntos]]&lt;D1754,C1754,D1754+1))</f>
        <v>815</v>
      </c>
      <c r="D1753" s="15">
        <f>IF(Categorias_Registro[[#This Row],[Puntos]]=ROUND(Piso,0),ROUND(Categorias_Registro[[#This Row],[Puntos]]*(1+Categorias_Registro[[#This Row],[Amplitud]]),0),IF(Categorias_Registro[[#This Row],[Puntos]]&lt;D1754,D1754,ROUND(D1754*(1+Categorias_Registro[[#This Row],[Amplitud]]),0)))</f>
        <v>936</v>
      </c>
      <c r="E1753" s="15">
        <f>E1754+IF(D1754=Categorias_Registro[[#This Row],[Máximo]],0,1)</f>
        <v>17</v>
      </c>
      <c r="F1753" s="15">
        <f>ROUND(Categorias_Registro[[#This Row],[Mínimo]]+((Categorias_Registro[[#This Row],[Máximo]]-Categorias_Registro[[#This Row],[Mínimo]])/2),0)</f>
        <v>876</v>
      </c>
      <c r="G1753" s="78">
        <f>VLOOKUP(Categorias_Registro[[#This Row],[Puntos]],Categorias_Configuracion[],MATCH(Categorias_Configuracion[[#Headers],[% Amplitud]],Categorias_Configuracion[#Headers],0),TRUE)</f>
        <v>0.15</v>
      </c>
      <c r="H1753" s="15" t="str">
        <f ca="1">TEXT(Categorias_Registro[[#This Row],[Mínimo]],Formato_Rango_Categorias)&amp;" - "&amp;TEXT(Categorias_Registro[[#This Row],[Máximo]],Formato_Rango_Categorias)</f>
        <v>815 - 936</v>
      </c>
    </row>
    <row r="1754" spans="2:8">
      <c r="B1754" s="15">
        <f>Techo - ROW() + ROW(Categorias_Registro[])</f>
        <v>875</v>
      </c>
      <c r="C1754" s="15">
        <f>IF(Categorias_Registro[[#This Row],[Puntos]]&lt;=ROUND(Piso,0),Piso,IF(Categorias_Registro[[#This Row],[Puntos]]&lt;D1755,C1755,D1755+1))</f>
        <v>815</v>
      </c>
      <c r="D1754" s="15">
        <f>IF(Categorias_Registro[[#This Row],[Puntos]]=ROUND(Piso,0),ROUND(Categorias_Registro[[#This Row],[Puntos]]*(1+Categorias_Registro[[#This Row],[Amplitud]]),0),IF(Categorias_Registro[[#This Row],[Puntos]]&lt;D1755,D1755,ROUND(D1755*(1+Categorias_Registro[[#This Row],[Amplitud]]),0)))</f>
        <v>936</v>
      </c>
      <c r="E1754" s="15">
        <f>E1755+IF(D1755=Categorias_Registro[[#This Row],[Máximo]],0,1)</f>
        <v>17</v>
      </c>
      <c r="F1754" s="15">
        <f>ROUND(Categorias_Registro[[#This Row],[Mínimo]]+((Categorias_Registro[[#This Row],[Máximo]]-Categorias_Registro[[#This Row],[Mínimo]])/2),0)</f>
        <v>876</v>
      </c>
      <c r="G1754" s="78">
        <f>VLOOKUP(Categorias_Registro[[#This Row],[Puntos]],Categorias_Configuracion[],MATCH(Categorias_Configuracion[[#Headers],[% Amplitud]],Categorias_Configuracion[#Headers],0),TRUE)</f>
        <v>0.15</v>
      </c>
      <c r="H1754" s="15" t="str">
        <f ca="1">TEXT(Categorias_Registro[[#This Row],[Mínimo]],Formato_Rango_Categorias)&amp;" - "&amp;TEXT(Categorias_Registro[[#This Row],[Máximo]],Formato_Rango_Categorias)</f>
        <v>815 - 936</v>
      </c>
    </row>
    <row r="1755" spans="2:8">
      <c r="B1755" s="15">
        <f>Techo - ROW() + ROW(Categorias_Registro[])</f>
        <v>874</v>
      </c>
      <c r="C1755" s="15">
        <f>IF(Categorias_Registro[[#This Row],[Puntos]]&lt;=ROUND(Piso,0),Piso,IF(Categorias_Registro[[#This Row],[Puntos]]&lt;D1756,C1756,D1756+1))</f>
        <v>815</v>
      </c>
      <c r="D1755" s="15">
        <f>IF(Categorias_Registro[[#This Row],[Puntos]]=ROUND(Piso,0),ROUND(Categorias_Registro[[#This Row],[Puntos]]*(1+Categorias_Registro[[#This Row],[Amplitud]]),0),IF(Categorias_Registro[[#This Row],[Puntos]]&lt;D1756,D1756,ROUND(D1756*(1+Categorias_Registro[[#This Row],[Amplitud]]),0)))</f>
        <v>936</v>
      </c>
      <c r="E1755" s="15">
        <f>E1756+IF(D1756=Categorias_Registro[[#This Row],[Máximo]],0,1)</f>
        <v>17</v>
      </c>
      <c r="F1755" s="15">
        <f>ROUND(Categorias_Registro[[#This Row],[Mínimo]]+((Categorias_Registro[[#This Row],[Máximo]]-Categorias_Registro[[#This Row],[Mínimo]])/2),0)</f>
        <v>876</v>
      </c>
      <c r="G1755" s="78">
        <f>VLOOKUP(Categorias_Registro[[#This Row],[Puntos]],Categorias_Configuracion[],MATCH(Categorias_Configuracion[[#Headers],[% Amplitud]],Categorias_Configuracion[#Headers],0),TRUE)</f>
        <v>0.15</v>
      </c>
      <c r="H1755" s="15" t="str">
        <f ca="1">TEXT(Categorias_Registro[[#This Row],[Mínimo]],Formato_Rango_Categorias)&amp;" - "&amp;TEXT(Categorias_Registro[[#This Row],[Máximo]],Formato_Rango_Categorias)</f>
        <v>815 - 936</v>
      </c>
    </row>
    <row r="1756" spans="2:8">
      <c r="B1756" s="15">
        <f>Techo - ROW() + ROW(Categorias_Registro[])</f>
        <v>873</v>
      </c>
      <c r="C1756" s="15">
        <f>IF(Categorias_Registro[[#This Row],[Puntos]]&lt;=ROUND(Piso,0),Piso,IF(Categorias_Registro[[#This Row],[Puntos]]&lt;D1757,C1757,D1757+1))</f>
        <v>815</v>
      </c>
      <c r="D1756" s="15">
        <f>IF(Categorias_Registro[[#This Row],[Puntos]]=ROUND(Piso,0),ROUND(Categorias_Registro[[#This Row],[Puntos]]*(1+Categorias_Registro[[#This Row],[Amplitud]]),0),IF(Categorias_Registro[[#This Row],[Puntos]]&lt;D1757,D1757,ROUND(D1757*(1+Categorias_Registro[[#This Row],[Amplitud]]),0)))</f>
        <v>936</v>
      </c>
      <c r="E1756" s="15">
        <f>E1757+IF(D1757=Categorias_Registro[[#This Row],[Máximo]],0,1)</f>
        <v>17</v>
      </c>
      <c r="F1756" s="15">
        <f>ROUND(Categorias_Registro[[#This Row],[Mínimo]]+((Categorias_Registro[[#This Row],[Máximo]]-Categorias_Registro[[#This Row],[Mínimo]])/2),0)</f>
        <v>876</v>
      </c>
      <c r="G1756" s="78">
        <f>VLOOKUP(Categorias_Registro[[#This Row],[Puntos]],Categorias_Configuracion[],MATCH(Categorias_Configuracion[[#Headers],[% Amplitud]],Categorias_Configuracion[#Headers],0),TRUE)</f>
        <v>0.15</v>
      </c>
      <c r="H1756" s="15" t="str">
        <f ca="1">TEXT(Categorias_Registro[[#This Row],[Mínimo]],Formato_Rango_Categorias)&amp;" - "&amp;TEXT(Categorias_Registro[[#This Row],[Máximo]],Formato_Rango_Categorias)</f>
        <v>815 - 936</v>
      </c>
    </row>
    <row r="1757" spans="2:8">
      <c r="B1757" s="15">
        <f>Techo - ROW() + ROW(Categorias_Registro[])</f>
        <v>872</v>
      </c>
      <c r="C1757" s="15">
        <f>IF(Categorias_Registro[[#This Row],[Puntos]]&lt;=ROUND(Piso,0),Piso,IF(Categorias_Registro[[#This Row],[Puntos]]&lt;D1758,C1758,D1758+1))</f>
        <v>815</v>
      </c>
      <c r="D1757" s="15">
        <f>IF(Categorias_Registro[[#This Row],[Puntos]]=ROUND(Piso,0),ROUND(Categorias_Registro[[#This Row],[Puntos]]*(1+Categorias_Registro[[#This Row],[Amplitud]]),0),IF(Categorias_Registro[[#This Row],[Puntos]]&lt;D1758,D1758,ROUND(D1758*(1+Categorias_Registro[[#This Row],[Amplitud]]),0)))</f>
        <v>936</v>
      </c>
      <c r="E1757" s="15">
        <f>E1758+IF(D1758=Categorias_Registro[[#This Row],[Máximo]],0,1)</f>
        <v>17</v>
      </c>
      <c r="F1757" s="15">
        <f>ROUND(Categorias_Registro[[#This Row],[Mínimo]]+((Categorias_Registro[[#This Row],[Máximo]]-Categorias_Registro[[#This Row],[Mínimo]])/2),0)</f>
        <v>876</v>
      </c>
      <c r="G1757" s="78">
        <f>VLOOKUP(Categorias_Registro[[#This Row],[Puntos]],Categorias_Configuracion[],MATCH(Categorias_Configuracion[[#Headers],[% Amplitud]],Categorias_Configuracion[#Headers],0),TRUE)</f>
        <v>0.15</v>
      </c>
      <c r="H1757" s="15" t="str">
        <f ca="1">TEXT(Categorias_Registro[[#This Row],[Mínimo]],Formato_Rango_Categorias)&amp;" - "&amp;TEXT(Categorias_Registro[[#This Row],[Máximo]],Formato_Rango_Categorias)</f>
        <v>815 - 936</v>
      </c>
    </row>
    <row r="1758" spans="2:8">
      <c r="B1758" s="15">
        <f>Techo - ROW() + ROW(Categorias_Registro[])</f>
        <v>871</v>
      </c>
      <c r="C1758" s="15">
        <f>IF(Categorias_Registro[[#This Row],[Puntos]]&lt;=ROUND(Piso,0),Piso,IF(Categorias_Registro[[#This Row],[Puntos]]&lt;D1759,C1759,D1759+1))</f>
        <v>815</v>
      </c>
      <c r="D1758" s="15">
        <f>IF(Categorias_Registro[[#This Row],[Puntos]]=ROUND(Piso,0),ROUND(Categorias_Registro[[#This Row],[Puntos]]*(1+Categorias_Registro[[#This Row],[Amplitud]]),0),IF(Categorias_Registro[[#This Row],[Puntos]]&lt;D1759,D1759,ROUND(D1759*(1+Categorias_Registro[[#This Row],[Amplitud]]),0)))</f>
        <v>936</v>
      </c>
      <c r="E1758" s="15">
        <f>E1759+IF(D1759=Categorias_Registro[[#This Row],[Máximo]],0,1)</f>
        <v>17</v>
      </c>
      <c r="F1758" s="15">
        <f>ROUND(Categorias_Registro[[#This Row],[Mínimo]]+((Categorias_Registro[[#This Row],[Máximo]]-Categorias_Registro[[#This Row],[Mínimo]])/2),0)</f>
        <v>876</v>
      </c>
      <c r="G1758" s="78">
        <f>VLOOKUP(Categorias_Registro[[#This Row],[Puntos]],Categorias_Configuracion[],MATCH(Categorias_Configuracion[[#Headers],[% Amplitud]],Categorias_Configuracion[#Headers],0),TRUE)</f>
        <v>0.15</v>
      </c>
      <c r="H1758" s="15" t="str">
        <f ca="1">TEXT(Categorias_Registro[[#This Row],[Mínimo]],Formato_Rango_Categorias)&amp;" - "&amp;TEXT(Categorias_Registro[[#This Row],[Máximo]],Formato_Rango_Categorias)</f>
        <v>815 - 936</v>
      </c>
    </row>
    <row r="1759" spans="2:8">
      <c r="B1759" s="15">
        <f>Techo - ROW() + ROW(Categorias_Registro[])</f>
        <v>870</v>
      </c>
      <c r="C1759" s="15">
        <f>IF(Categorias_Registro[[#This Row],[Puntos]]&lt;=ROUND(Piso,0),Piso,IF(Categorias_Registro[[#This Row],[Puntos]]&lt;D1760,C1760,D1760+1))</f>
        <v>815</v>
      </c>
      <c r="D1759" s="15">
        <f>IF(Categorias_Registro[[#This Row],[Puntos]]=ROUND(Piso,0),ROUND(Categorias_Registro[[#This Row],[Puntos]]*(1+Categorias_Registro[[#This Row],[Amplitud]]),0),IF(Categorias_Registro[[#This Row],[Puntos]]&lt;D1760,D1760,ROUND(D1760*(1+Categorias_Registro[[#This Row],[Amplitud]]),0)))</f>
        <v>936</v>
      </c>
      <c r="E1759" s="15">
        <f>E1760+IF(D1760=Categorias_Registro[[#This Row],[Máximo]],0,1)</f>
        <v>17</v>
      </c>
      <c r="F1759" s="15">
        <f>ROUND(Categorias_Registro[[#This Row],[Mínimo]]+((Categorias_Registro[[#This Row],[Máximo]]-Categorias_Registro[[#This Row],[Mínimo]])/2),0)</f>
        <v>876</v>
      </c>
      <c r="G1759" s="78">
        <f>VLOOKUP(Categorias_Registro[[#This Row],[Puntos]],Categorias_Configuracion[],MATCH(Categorias_Configuracion[[#Headers],[% Amplitud]],Categorias_Configuracion[#Headers],0),TRUE)</f>
        <v>0.15</v>
      </c>
      <c r="H1759" s="15" t="str">
        <f ca="1">TEXT(Categorias_Registro[[#This Row],[Mínimo]],Formato_Rango_Categorias)&amp;" - "&amp;TEXT(Categorias_Registro[[#This Row],[Máximo]],Formato_Rango_Categorias)</f>
        <v>815 - 936</v>
      </c>
    </row>
    <row r="1760" spans="2:8">
      <c r="B1760" s="15">
        <f>Techo - ROW() + ROW(Categorias_Registro[])</f>
        <v>869</v>
      </c>
      <c r="C1760" s="15">
        <f>IF(Categorias_Registro[[#This Row],[Puntos]]&lt;=ROUND(Piso,0),Piso,IF(Categorias_Registro[[#This Row],[Puntos]]&lt;D1761,C1761,D1761+1))</f>
        <v>815</v>
      </c>
      <c r="D1760" s="15">
        <f>IF(Categorias_Registro[[#This Row],[Puntos]]=ROUND(Piso,0),ROUND(Categorias_Registro[[#This Row],[Puntos]]*(1+Categorias_Registro[[#This Row],[Amplitud]]),0),IF(Categorias_Registro[[#This Row],[Puntos]]&lt;D1761,D1761,ROUND(D1761*(1+Categorias_Registro[[#This Row],[Amplitud]]),0)))</f>
        <v>936</v>
      </c>
      <c r="E1760" s="15">
        <f>E1761+IF(D1761=Categorias_Registro[[#This Row],[Máximo]],0,1)</f>
        <v>17</v>
      </c>
      <c r="F1760" s="15">
        <f>ROUND(Categorias_Registro[[#This Row],[Mínimo]]+((Categorias_Registro[[#This Row],[Máximo]]-Categorias_Registro[[#This Row],[Mínimo]])/2),0)</f>
        <v>876</v>
      </c>
      <c r="G1760" s="78">
        <f>VLOOKUP(Categorias_Registro[[#This Row],[Puntos]],Categorias_Configuracion[],MATCH(Categorias_Configuracion[[#Headers],[% Amplitud]],Categorias_Configuracion[#Headers],0),TRUE)</f>
        <v>0.15</v>
      </c>
      <c r="H1760" s="15" t="str">
        <f ca="1">TEXT(Categorias_Registro[[#This Row],[Mínimo]],Formato_Rango_Categorias)&amp;" - "&amp;TEXT(Categorias_Registro[[#This Row],[Máximo]],Formato_Rango_Categorias)</f>
        <v>815 - 936</v>
      </c>
    </row>
    <row r="1761" spans="2:8">
      <c r="B1761" s="15">
        <f>Techo - ROW() + ROW(Categorias_Registro[])</f>
        <v>868</v>
      </c>
      <c r="C1761" s="15">
        <f>IF(Categorias_Registro[[#This Row],[Puntos]]&lt;=ROUND(Piso,0),Piso,IF(Categorias_Registro[[#This Row],[Puntos]]&lt;D1762,C1762,D1762+1))</f>
        <v>815</v>
      </c>
      <c r="D1761" s="15">
        <f>IF(Categorias_Registro[[#This Row],[Puntos]]=ROUND(Piso,0),ROUND(Categorias_Registro[[#This Row],[Puntos]]*(1+Categorias_Registro[[#This Row],[Amplitud]]),0),IF(Categorias_Registro[[#This Row],[Puntos]]&lt;D1762,D1762,ROUND(D1762*(1+Categorias_Registro[[#This Row],[Amplitud]]),0)))</f>
        <v>936</v>
      </c>
      <c r="E1761" s="15">
        <f>E1762+IF(D1762=Categorias_Registro[[#This Row],[Máximo]],0,1)</f>
        <v>17</v>
      </c>
      <c r="F1761" s="15">
        <f>ROUND(Categorias_Registro[[#This Row],[Mínimo]]+((Categorias_Registro[[#This Row],[Máximo]]-Categorias_Registro[[#This Row],[Mínimo]])/2),0)</f>
        <v>876</v>
      </c>
      <c r="G1761" s="78">
        <f>VLOOKUP(Categorias_Registro[[#This Row],[Puntos]],Categorias_Configuracion[],MATCH(Categorias_Configuracion[[#Headers],[% Amplitud]],Categorias_Configuracion[#Headers],0),TRUE)</f>
        <v>0.15</v>
      </c>
      <c r="H1761" s="15" t="str">
        <f ca="1">TEXT(Categorias_Registro[[#This Row],[Mínimo]],Formato_Rango_Categorias)&amp;" - "&amp;TEXT(Categorias_Registro[[#This Row],[Máximo]],Formato_Rango_Categorias)</f>
        <v>815 - 936</v>
      </c>
    </row>
    <row r="1762" spans="2:8">
      <c r="B1762" s="15">
        <f>Techo - ROW() + ROW(Categorias_Registro[])</f>
        <v>867</v>
      </c>
      <c r="C1762" s="15">
        <f>IF(Categorias_Registro[[#This Row],[Puntos]]&lt;=ROUND(Piso,0),Piso,IF(Categorias_Registro[[#This Row],[Puntos]]&lt;D1763,C1763,D1763+1))</f>
        <v>815</v>
      </c>
      <c r="D1762" s="15">
        <f>IF(Categorias_Registro[[#This Row],[Puntos]]=ROUND(Piso,0),ROUND(Categorias_Registro[[#This Row],[Puntos]]*(1+Categorias_Registro[[#This Row],[Amplitud]]),0),IF(Categorias_Registro[[#This Row],[Puntos]]&lt;D1763,D1763,ROUND(D1763*(1+Categorias_Registro[[#This Row],[Amplitud]]),0)))</f>
        <v>936</v>
      </c>
      <c r="E1762" s="15">
        <f>E1763+IF(D1763=Categorias_Registro[[#This Row],[Máximo]],0,1)</f>
        <v>17</v>
      </c>
      <c r="F1762" s="15">
        <f>ROUND(Categorias_Registro[[#This Row],[Mínimo]]+((Categorias_Registro[[#This Row],[Máximo]]-Categorias_Registro[[#This Row],[Mínimo]])/2),0)</f>
        <v>876</v>
      </c>
      <c r="G1762" s="78">
        <f>VLOOKUP(Categorias_Registro[[#This Row],[Puntos]],Categorias_Configuracion[],MATCH(Categorias_Configuracion[[#Headers],[% Amplitud]],Categorias_Configuracion[#Headers],0),TRUE)</f>
        <v>0.15</v>
      </c>
      <c r="H1762" s="15" t="str">
        <f ca="1">TEXT(Categorias_Registro[[#This Row],[Mínimo]],Formato_Rango_Categorias)&amp;" - "&amp;TEXT(Categorias_Registro[[#This Row],[Máximo]],Formato_Rango_Categorias)</f>
        <v>815 - 936</v>
      </c>
    </row>
    <row r="1763" spans="2:8">
      <c r="B1763" s="15">
        <f>Techo - ROW() + ROW(Categorias_Registro[])</f>
        <v>866</v>
      </c>
      <c r="C1763" s="15">
        <f>IF(Categorias_Registro[[#This Row],[Puntos]]&lt;=ROUND(Piso,0),Piso,IF(Categorias_Registro[[#This Row],[Puntos]]&lt;D1764,C1764,D1764+1))</f>
        <v>815</v>
      </c>
      <c r="D1763" s="15">
        <f>IF(Categorias_Registro[[#This Row],[Puntos]]=ROUND(Piso,0),ROUND(Categorias_Registro[[#This Row],[Puntos]]*(1+Categorias_Registro[[#This Row],[Amplitud]]),0),IF(Categorias_Registro[[#This Row],[Puntos]]&lt;D1764,D1764,ROUND(D1764*(1+Categorias_Registro[[#This Row],[Amplitud]]),0)))</f>
        <v>936</v>
      </c>
      <c r="E1763" s="15">
        <f>E1764+IF(D1764=Categorias_Registro[[#This Row],[Máximo]],0,1)</f>
        <v>17</v>
      </c>
      <c r="F1763" s="15">
        <f>ROUND(Categorias_Registro[[#This Row],[Mínimo]]+((Categorias_Registro[[#This Row],[Máximo]]-Categorias_Registro[[#This Row],[Mínimo]])/2),0)</f>
        <v>876</v>
      </c>
      <c r="G1763" s="78">
        <f>VLOOKUP(Categorias_Registro[[#This Row],[Puntos]],Categorias_Configuracion[],MATCH(Categorias_Configuracion[[#Headers],[% Amplitud]],Categorias_Configuracion[#Headers],0),TRUE)</f>
        <v>0.15</v>
      </c>
      <c r="H1763" s="15" t="str">
        <f ca="1">TEXT(Categorias_Registro[[#This Row],[Mínimo]],Formato_Rango_Categorias)&amp;" - "&amp;TEXT(Categorias_Registro[[#This Row],[Máximo]],Formato_Rango_Categorias)</f>
        <v>815 - 936</v>
      </c>
    </row>
    <row r="1764" spans="2:8">
      <c r="B1764" s="15">
        <f>Techo - ROW() + ROW(Categorias_Registro[])</f>
        <v>865</v>
      </c>
      <c r="C1764" s="15">
        <f>IF(Categorias_Registro[[#This Row],[Puntos]]&lt;=ROUND(Piso,0),Piso,IF(Categorias_Registro[[#This Row],[Puntos]]&lt;D1765,C1765,D1765+1))</f>
        <v>815</v>
      </c>
      <c r="D1764" s="15">
        <f>IF(Categorias_Registro[[#This Row],[Puntos]]=ROUND(Piso,0),ROUND(Categorias_Registro[[#This Row],[Puntos]]*(1+Categorias_Registro[[#This Row],[Amplitud]]),0),IF(Categorias_Registro[[#This Row],[Puntos]]&lt;D1765,D1765,ROUND(D1765*(1+Categorias_Registro[[#This Row],[Amplitud]]),0)))</f>
        <v>936</v>
      </c>
      <c r="E1764" s="15">
        <f>E1765+IF(D1765=Categorias_Registro[[#This Row],[Máximo]],0,1)</f>
        <v>17</v>
      </c>
      <c r="F1764" s="15">
        <f>ROUND(Categorias_Registro[[#This Row],[Mínimo]]+((Categorias_Registro[[#This Row],[Máximo]]-Categorias_Registro[[#This Row],[Mínimo]])/2),0)</f>
        <v>876</v>
      </c>
      <c r="G1764" s="78">
        <f>VLOOKUP(Categorias_Registro[[#This Row],[Puntos]],Categorias_Configuracion[],MATCH(Categorias_Configuracion[[#Headers],[% Amplitud]],Categorias_Configuracion[#Headers],0),TRUE)</f>
        <v>0.15</v>
      </c>
      <c r="H1764" s="15" t="str">
        <f ca="1">TEXT(Categorias_Registro[[#This Row],[Mínimo]],Formato_Rango_Categorias)&amp;" - "&amp;TEXT(Categorias_Registro[[#This Row],[Máximo]],Formato_Rango_Categorias)</f>
        <v>815 - 936</v>
      </c>
    </row>
    <row r="1765" spans="2:8">
      <c r="B1765" s="15">
        <f>Techo - ROW() + ROW(Categorias_Registro[])</f>
        <v>864</v>
      </c>
      <c r="C1765" s="15">
        <f>IF(Categorias_Registro[[#This Row],[Puntos]]&lt;=ROUND(Piso,0),Piso,IF(Categorias_Registro[[#This Row],[Puntos]]&lt;D1766,C1766,D1766+1))</f>
        <v>815</v>
      </c>
      <c r="D1765" s="15">
        <f>IF(Categorias_Registro[[#This Row],[Puntos]]=ROUND(Piso,0),ROUND(Categorias_Registro[[#This Row],[Puntos]]*(1+Categorias_Registro[[#This Row],[Amplitud]]),0),IF(Categorias_Registro[[#This Row],[Puntos]]&lt;D1766,D1766,ROUND(D1766*(1+Categorias_Registro[[#This Row],[Amplitud]]),0)))</f>
        <v>936</v>
      </c>
      <c r="E1765" s="15">
        <f>E1766+IF(D1766=Categorias_Registro[[#This Row],[Máximo]],0,1)</f>
        <v>17</v>
      </c>
      <c r="F1765" s="15">
        <f>ROUND(Categorias_Registro[[#This Row],[Mínimo]]+((Categorias_Registro[[#This Row],[Máximo]]-Categorias_Registro[[#This Row],[Mínimo]])/2),0)</f>
        <v>876</v>
      </c>
      <c r="G1765" s="78">
        <f>VLOOKUP(Categorias_Registro[[#This Row],[Puntos]],Categorias_Configuracion[],MATCH(Categorias_Configuracion[[#Headers],[% Amplitud]],Categorias_Configuracion[#Headers],0),TRUE)</f>
        <v>0.15</v>
      </c>
      <c r="H1765" s="15" t="str">
        <f ca="1">TEXT(Categorias_Registro[[#This Row],[Mínimo]],Formato_Rango_Categorias)&amp;" - "&amp;TEXT(Categorias_Registro[[#This Row],[Máximo]],Formato_Rango_Categorias)</f>
        <v>815 - 936</v>
      </c>
    </row>
    <row r="1766" spans="2:8">
      <c r="B1766" s="15">
        <f>Techo - ROW() + ROW(Categorias_Registro[])</f>
        <v>863</v>
      </c>
      <c r="C1766" s="15">
        <f>IF(Categorias_Registro[[#This Row],[Puntos]]&lt;=ROUND(Piso,0),Piso,IF(Categorias_Registro[[#This Row],[Puntos]]&lt;D1767,C1767,D1767+1))</f>
        <v>815</v>
      </c>
      <c r="D1766" s="15">
        <f>IF(Categorias_Registro[[#This Row],[Puntos]]=ROUND(Piso,0),ROUND(Categorias_Registro[[#This Row],[Puntos]]*(1+Categorias_Registro[[#This Row],[Amplitud]]),0),IF(Categorias_Registro[[#This Row],[Puntos]]&lt;D1767,D1767,ROUND(D1767*(1+Categorias_Registro[[#This Row],[Amplitud]]),0)))</f>
        <v>936</v>
      </c>
      <c r="E1766" s="15">
        <f>E1767+IF(D1767=Categorias_Registro[[#This Row],[Máximo]],0,1)</f>
        <v>17</v>
      </c>
      <c r="F1766" s="15">
        <f>ROUND(Categorias_Registro[[#This Row],[Mínimo]]+((Categorias_Registro[[#This Row],[Máximo]]-Categorias_Registro[[#This Row],[Mínimo]])/2),0)</f>
        <v>876</v>
      </c>
      <c r="G1766" s="78">
        <f>VLOOKUP(Categorias_Registro[[#This Row],[Puntos]],Categorias_Configuracion[],MATCH(Categorias_Configuracion[[#Headers],[% Amplitud]],Categorias_Configuracion[#Headers],0),TRUE)</f>
        <v>0.15</v>
      </c>
      <c r="H1766" s="15" t="str">
        <f ca="1">TEXT(Categorias_Registro[[#This Row],[Mínimo]],Formato_Rango_Categorias)&amp;" - "&amp;TEXT(Categorias_Registro[[#This Row],[Máximo]],Formato_Rango_Categorias)</f>
        <v>815 - 936</v>
      </c>
    </row>
    <row r="1767" spans="2:8">
      <c r="B1767" s="15">
        <f>Techo - ROW() + ROW(Categorias_Registro[])</f>
        <v>862</v>
      </c>
      <c r="C1767" s="15">
        <f>IF(Categorias_Registro[[#This Row],[Puntos]]&lt;=ROUND(Piso,0),Piso,IF(Categorias_Registro[[#This Row],[Puntos]]&lt;D1768,C1768,D1768+1))</f>
        <v>815</v>
      </c>
      <c r="D1767" s="15">
        <f>IF(Categorias_Registro[[#This Row],[Puntos]]=ROUND(Piso,0),ROUND(Categorias_Registro[[#This Row],[Puntos]]*(1+Categorias_Registro[[#This Row],[Amplitud]]),0),IF(Categorias_Registro[[#This Row],[Puntos]]&lt;D1768,D1768,ROUND(D1768*(1+Categorias_Registro[[#This Row],[Amplitud]]),0)))</f>
        <v>936</v>
      </c>
      <c r="E1767" s="15">
        <f>E1768+IF(D1768=Categorias_Registro[[#This Row],[Máximo]],0,1)</f>
        <v>17</v>
      </c>
      <c r="F1767" s="15">
        <f>ROUND(Categorias_Registro[[#This Row],[Mínimo]]+((Categorias_Registro[[#This Row],[Máximo]]-Categorias_Registro[[#This Row],[Mínimo]])/2),0)</f>
        <v>876</v>
      </c>
      <c r="G1767" s="78">
        <f>VLOOKUP(Categorias_Registro[[#This Row],[Puntos]],Categorias_Configuracion[],MATCH(Categorias_Configuracion[[#Headers],[% Amplitud]],Categorias_Configuracion[#Headers],0),TRUE)</f>
        <v>0.15</v>
      </c>
      <c r="H1767" s="15" t="str">
        <f ca="1">TEXT(Categorias_Registro[[#This Row],[Mínimo]],Formato_Rango_Categorias)&amp;" - "&amp;TEXT(Categorias_Registro[[#This Row],[Máximo]],Formato_Rango_Categorias)</f>
        <v>815 - 936</v>
      </c>
    </row>
    <row r="1768" spans="2:8">
      <c r="B1768" s="15">
        <f>Techo - ROW() + ROW(Categorias_Registro[])</f>
        <v>861</v>
      </c>
      <c r="C1768" s="15">
        <f>IF(Categorias_Registro[[#This Row],[Puntos]]&lt;=ROUND(Piso,0),Piso,IF(Categorias_Registro[[#This Row],[Puntos]]&lt;D1769,C1769,D1769+1))</f>
        <v>815</v>
      </c>
      <c r="D1768" s="15">
        <f>IF(Categorias_Registro[[#This Row],[Puntos]]=ROUND(Piso,0),ROUND(Categorias_Registro[[#This Row],[Puntos]]*(1+Categorias_Registro[[#This Row],[Amplitud]]),0),IF(Categorias_Registro[[#This Row],[Puntos]]&lt;D1769,D1769,ROUND(D1769*(1+Categorias_Registro[[#This Row],[Amplitud]]),0)))</f>
        <v>936</v>
      </c>
      <c r="E1768" s="15">
        <f>E1769+IF(D1769=Categorias_Registro[[#This Row],[Máximo]],0,1)</f>
        <v>17</v>
      </c>
      <c r="F1768" s="15">
        <f>ROUND(Categorias_Registro[[#This Row],[Mínimo]]+((Categorias_Registro[[#This Row],[Máximo]]-Categorias_Registro[[#This Row],[Mínimo]])/2),0)</f>
        <v>876</v>
      </c>
      <c r="G1768" s="78">
        <f>VLOOKUP(Categorias_Registro[[#This Row],[Puntos]],Categorias_Configuracion[],MATCH(Categorias_Configuracion[[#Headers],[% Amplitud]],Categorias_Configuracion[#Headers],0),TRUE)</f>
        <v>0.15</v>
      </c>
      <c r="H1768" s="15" t="str">
        <f ca="1">TEXT(Categorias_Registro[[#This Row],[Mínimo]],Formato_Rango_Categorias)&amp;" - "&amp;TEXT(Categorias_Registro[[#This Row],[Máximo]],Formato_Rango_Categorias)</f>
        <v>815 - 936</v>
      </c>
    </row>
    <row r="1769" spans="2:8">
      <c r="B1769" s="15">
        <f>Techo - ROW() + ROW(Categorias_Registro[])</f>
        <v>860</v>
      </c>
      <c r="C1769" s="15">
        <f>IF(Categorias_Registro[[#This Row],[Puntos]]&lt;=ROUND(Piso,0),Piso,IF(Categorias_Registro[[#This Row],[Puntos]]&lt;D1770,C1770,D1770+1))</f>
        <v>815</v>
      </c>
      <c r="D1769" s="15">
        <f>IF(Categorias_Registro[[#This Row],[Puntos]]=ROUND(Piso,0),ROUND(Categorias_Registro[[#This Row],[Puntos]]*(1+Categorias_Registro[[#This Row],[Amplitud]]),0),IF(Categorias_Registro[[#This Row],[Puntos]]&lt;D1770,D1770,ROUND(D1770*(1+Categorias_Registro[[#This Row],[Amplitud]]),0)))</f>
        <v>936</v>
      </c>
      <c r="E1769" s="15">
        <f>E1770+IF(D1770=Categorias_Registro[[#This Row],[Máximo]],0,1)</f>
        <v>17</v>
      </c>
      <c r="F1769" s="15">
        <f>ROUND(Categorias_Registro[[#This Row],[Mínimo]]+((Categorias_Registro[[#This Row],[Máximo]]-Categorias_Registro[[#This Row],[Mínimo]])/2),0)</f>
        <v>876</v>
      </c>
      <c r="G1769" s="78">
        <f>VLOOKUP(Categorias_Registro[[#This Row],[Puntos]],Categorias_Configuracion[],MATCH(Categorias_Configuracion[[#Headers],[% Amplitud]],Categorias_Configuracion[#Headers],0),TRUE)</f>
        <v>0.15</v>
      </c>
      <c r="H1769" s="15" t="str">
        <f ca="1">TEXT(Categorias_Registro[[#This Row],[Mínimo]],Formato_Rango_Categorias)&amp;" - "&amp;TEXT(Categorias_Registro[[#This Row],[Máximo]],Formato_Rango_Categorias)</f>
        <v>815 - 936</v>
      </c>
    </row>
    <row r="1770" spans="2:8">
      <c r="B1770" s="15">
        <f>Techo - ROW() + ROW(Categorias_Registro[])</f>
        <v>859</v>
      </c>
      <c r="C1770" s="15">
        <f>IF(Categorias_Registro[[#This Row],[Puntos]]&lt;=ROUND(Piso,0),Piso,IF(Categorias_Registro[[#This Row],[Puntos]]&lt;D1771,C1771,D1771+1))</f>
        <v>815</v>
      </c>
      <c r="D1770" s="15">
        <f>IF(Categorias_Registro[[#This Row],[Puntos]]=ROUND(Piso,0),ROUND(Categorias_Registro[[#This Row],[Puntos]]*(1+Categorias_Registro[[#This Row],[Amplitud]]),0),IF(Categorias_Registro[[#This Row],[Puntos]]&lt;D1771,D1771,ROUND(D1771*(1+Categorias_Registro[[#This Row],[Amplitud]]),0)))</f>
        <v>936</v>
      </c>
      <c r="E1770" s="15">
        <f>E1771+IF(D1771=Categorias_Registro[[#This Row],[Máximo]],0,1)</f>
        <v>17</v>
      </c>
      <c r="F1770" s="15">
        <f>ROUND(Categorias_Registro[[#This Row],[Mínimo]]+((Categorias_Registro[[#This Row],[Máximo]]-Categorias_Registro[[#This Row],[Mínimo]])/2),0)</f>
        <v>876</v>
      </c>
      <c r="G1770" s="78">
        <f>VLOOKUP(Categorias_Registro[[#This Row],[Puntos]],Categorias_Configuracion[],MATCH(Categorias_Configuracion[[#Headers],[% Amplitud]],Categorias_Configuracion[#Headers],0),TRUE)</f>
        <v>0.15</v>
      </c>
      <c r="H1770" s="15" t="str">
        <f ca="1">TEXT(Categorias_Registro[[#This Row],[Mínimo]],Formato_Rango_Categorias)&amp;" - "&amp;TEXT(Categorias_Registro[[#This Row],[Máximo]],Formato_Rango_Categorias)</f>
        <v>815 - 936</v>
      </c>
    </row>
    <row r="1771" spans="2:8">
      <c r="B1771" s="15">
        <f>Techo - ROW() + ROW(Categorias_Registro[])</f>
        <v>858</v>
      </c>
      <c r="C1771" s="15">
        <f>IF(Categorias_Registro[[#This Row],[Puntos]]&lt;=ROUND(Piso,0),Piso,IF(Categorias_Registro[[#This Row],[Puntos]]&lt;D1772,C1772,D1772+1))</f>
        <v>815</v>
      </c>
      <c r="D1771" s="15">
        <f>IF(Categorias_Registro[[#This Row],[Puntos]]=ROUND(Piso,0),ROUND(Categorias_Registro[[#This Row],[Puntos]]*(1+Categorias_Registro[[#This Row],[Amplitud]]),0),IF(Categorias_Registro[[#This Row],[Puntos]]&lt;D1772,D1772,ROUND(D1772*(1+Categorias_Registro[[#This Row],[Amplitud]]),0)))</f>
        <v>936</v>
      </c>
      <c r="E1771" s="15">
        <f>E1772+IF(D1772=Categorias_Registro[[#This Row],[Máximo]],0,1)</f>
        <v>17</v>
      </c>
      <c r="F1771" s="15">
        <f>ROUND(Categorias_Registro[[#This Row],[Mínimo]]+((Categorias_Registro[[#This Row],[Máximo]]-Categorias_Registro[[#This Row],[Mínimo]])/2),0)</f>
        <v>876</v>
      </c>
      <c r="G1771" s="78">
        <f>VLOOKUP(Categorias_Registro[[#This Row],[Puntos]],Categorias_Configuracion[],MATCH(Categorias_Configuracion[[#Headers],[% Amplitud]],Categorias_Configuracion[#Headers],0),TRUE)</f>
        <v>0.15</v>
      </c>
      <c r="H1771" s="15" t="str">
        <f ca="1">TEXT(Categorias_Registro[[#This Row],[Mínimo]],Formato_Rango_Categorias)&amp;" - "&amp;TEXT(Categorias_Registro[[#This Row],[Máximo]],Formato_Rango_Categorias)</f>
        <v>815 - 936</v>
      </c>
    </row>
    <row r="1772" spans="2:8">
      <c r="B1772" s="15">
        <f>Techo - ROW() + ROW(Categorias_Registro[])</f>
        <v>857</v>
      </c>
      <c r="C1772" s="15">
        <f>IF(Categorias_Registro[[#This Row],[Puntos]]&lt;=ROUND(Piso,0),Piso,IF(Categorias_Registro[[#This Row],[Puntos]]&lt;D1773,C1773,D1773+1))</f>
        <v>815</v>
      </c>
      <c r="D1772" s="15">
        <f>IF(Categorias_Registro[[#This Row],[Puntos]]=ROUND(Piso,0),ROUND(Categorias_Registro[[#This Row],[Puntos]]*(1+Categorias_Registro[[#This Row],[Amplitud]]),0),IF(Categorias_Registro[[#This Row],[Puntos]]&lt;D1773,D1773,ROUND(D1773*(1+Categorias_Registro[[#This Row],[Amplitud]]),0)))</f>
        <v>936</v>
      </c>
      <c r="E1772" s="15">
        <f>E1773+IF(D1773=Categorias_Registro[[#This Row],[Máximo]],0,1)</f>
        <v>17</v>
      </c>
      <c r="F1772" s="15">
        <f>ROUND(Categorias_Registro[[#This Row],[Mínimo]]+((Categorias_Registro[[#This Row],[Máximo]]-Categorias_Registro[[#This Row],[Mínimo]])/2),0)</f>
        <v>876</v>
      </c>
      <c r="G1772" s="78">
        <f>VLOOKUP(Categorias_Registro[[#This Row],[Puntos]],Categorias_Configuracion[],MATCH(Categorias_Configuracion[[#Headers],[% Amplitud]],Categorias_Configuracion[#Headers],0),TRUE)</f>
        <v>0.15</v>
      </c>
      <c r="H1772" s="15" t="str">
        <f ca="1">TEXT(Categorias_Registro[[#This Row],[Mínimo]],Formato_Rango_Categorias)&amp;" - "&amp;TEXT(Categorias_Registro[[#This Row],[Máximo]],Formato_Rango_Categorias)</f>
        <v>815 - 936</v>
      </c>
    </row>
    <row r="1773" spans="2:8">
      <c r="B1773" s="15">
        <f>Techo - ROW() + ROW(Categorias_Registro[])</f>
        <v>856</v>
      </c>
      <c r="C1773" s="15">
        <f>IF(Categorias_Registro[[#This Row],[Puntos]]&lt;=ROUND(Piso,0),Piso,IF(Categorias_Registro[[#This Row],[Puntos]]&lt;D1774,C1774,D1774+1))</f>
        <v>815</v>
      </c>
      <c r="D1773" s="15">
        <f>IF(Categorias_Registro[[#This Row],[Puntos]]=ROUND(Piso,0),ROUND(Categorias_Registro[[#This Row],[Puntos]]*(1+Categorias_Registro[[#This Row],[Amplitud]]),0),IF(Categorias_Registro[[#This Row],[Puntos]]&lt;D1774,D1774,ROUND(D1774*(1+Categorias_Registro[[#This Row],[Amplitud]]),0)))</f>
        <v>936</v>
      </c>
      <c r="E1773" s="15">
        <f>E1774+IF(D1774=Categorias_Registro[[#This Row],[Máximo]],0,1)</f>
        <v>17</v>
      </c>
      <c r="F1773" s="15">
        <f>ROUND(Categorias_Registro[[#This Row],[Mínimo]]+((Categorias_Registro[[#This Row],[Máximo]]-Categorias_Registro[[#This Row],[Mínimo]])/2),0)</f>
        <v>876</v>
      </c>
      <c r="G1773" s="78">
        <f>VLOOKUP(Categorias_Registro[[#This Row],[Puntos]],Categorias_Configuracion[],MATCH(Categorias_Configuracion[[#Headers],[% Amplitud]],Categorias_Configuracion[#Headers],0),TRUE)</f>
        <v>0.15</v>
      </c>
      <c r="H1773" s="15" t="str">
        <f ca="1">TEXT(Categorias_Registro[[#This Row],[Mínimo]],Formato_Rango_Categorias)&amp;" - "&amp;TEXT(Categorias_Registro[[#This Row],[Máximo]],Formato_Rango_Categorias)</f>
        <v>815 - 936</v>
      </c>
    </row>
    <row r="1774" spans="2:8">
      <c r="B1774" s="15">
        <f>Techo - ROW() + ROW(Categorias_Registro[])</f>
        <v>855</v>
      </c>
      <c r="C1774" s="15">
        <f>IF(Categorias_Registro[[#This Row],[Puntos]]&lt;=ROUND(Piso,0),Piso,IF(Categorias_Registro[[#This Row],[Puntos]]&lt;D1775,C1775,D1775+1))</f>
        <v>815</v>
      </c>
      <c r="D1774" s="15">
        <f>IF(Categorias_Registro[[#This Row],[Puntos]]=ROUND(Piso,0),ROUND(Categorias_Registro[[#This Row],[Puntos]]*(1+Categorias_Registro[[#This Row],[Amplitud]]),0),IF(Categorias_Registro[[#This Row],[Puntos]]&lt;D1775,D1775,ROUND(D1775*(1+Categorias_Registro[[#This Row],[Amplitud]]),0)))</f>
        <v>936</v>
      </c>
      <c r="E1774" s="15">
        <f>E1775+IF(D1775=Categorias_Registro[[#This Row],[Máximo]],0,1)</f>
        <v>17</v>
      </c>
      <c r="F1774" s="15">
        <f>ROUND(Categorias_Registro[[#This Row],[Mínimo]]+((Categorias_Registro[[#This Row],[Máximo]]-Categorias_Registro[[#This Row],[Mínimo]])/2),0)</f>
        <v>876</v>
      </c>
      <c r="G1774" s="78">
        <f>VLOOKUP(Categorias_Registro[[#This Row],[Puntos]],Categorias_Configuracion[],MATCH(Categorias_Configuracion[[#Headers],[% Amplitud]],Categorias_Configuracion[#Headers],0),TRUE)</f>
        <v>0.15</v>
      </c>
      <c r="H1774" s="15" t="str">
        <f ca="1">TEXT(Categorias_Registro[[#This Row],[Mínimo]],Formato_Rango_Categorias)&amp;" - "&amp;TEXT(Categorias_Registro[[#This Row],[Máximo]],Formato_Rango_Categorias)</f>
        <v>815 - 936</v>
      </c>
    </row>
    <row r="1775" spans="2:8">
      <c r="B1775" s="15">
        <f>Techo - ROW() + ROW(Categorias_Registro[])</f>
        <v>854</v>
      </c>
      <c r="C1775" s="15">
        <f>IF(Categorias_Registro[[#This Row],[Puntos]]&lt;=ROUND(Piso,0),Piso,IF(Categorias_Registro[[#This Row],[Puntos]]&lt;D1776,C1776,D1776+1))</f>
        <v>815</v>
      </c>
      <c r="D1775" s="15">
        <f>IF(Categorias_Registro[[#This Row],[Puntos]]=ROUND(Piso,0),ROUND(Categorias_Registro[[#This Row],[Puntos]]*(1+Categorias_Registro[[#This Row],[Amplitud]]),0),IF(Categorias_Registro[[#This Row],[Puntos]]&lt;D1776,D1776,ROUND(D1776*(1+Categorias_Registro[[#This Row],[Amplitud]]),0)))</f>
        <v>936</v>
      </c>
      <c r="E1775" s="15">
        <f>E1776+IF(D1776=Categorias_Registro[[#This Row],[Máximo]],0,1)</f>
        <v>17</v>
      </c>
      <c r="F1775" s="15">
        <f>ROUND(Categorias_Registro[[#This Row],[Mínimo]]+((Categorias_Registro[[#This Row],[Máximo]]-Categorias_Registro[[#This Row],[Mínimo]])/2),0)</f>
        <v>876</v>
      </c>
      <c r="G1775" s="78">
        <f>VLOOKUP(Categorias_Registro[[#This Row],[Puntos]],Categorias_Configuracion[],MATCH(Categorias_Configuracion[[#Headers],[% Amplitud]],Categorias_Configuracion[#Headers],0),TRUE)</f>
        <v>0.15</v>
      </c>
      <c r="H1775" s="15" t="str">
        <f ca="1">TEXT(Categorias_Registro[[#This Row],[Mínimo]],Formato_Rango_Categorias)&amp;" - "&amp;TEXT(Categorias_Registro[[#This Row],[Máximo]],Formato_Rango_Categorias)</f>
        <v>815 - 936</v>
      </c>
    </row>
    <row r="1776" spans="2:8">
      <c r="B1776" s="15">
        <f>Techo - ROW() + ROW(Categorias_Registro[])</f>
        <v>853</v>
      </c>
      <c r="C1776" s="15">
        <f>IF(Categorias_Registro[[#This Row],[Puntos]]&lt;=ROUND(Piso,0),Piso,IF(Categorias_Registro[[#This Row],[Puntos]]&lt;D1777,C1777,D1777+1))</f>
        <v>815</v>
      </c>
      <c r="D1776" s="15">
        <f>IF(Categorias_Registro[[#This Row],[Puntos]]=ROUND(Piso,0),ROUND(Categorias_Registro[[#This Row],[Puntos]]*(1+Categorias_Registro[[#This Row],[Amplitud]]),0),IF(Categorias_Registro[[#This Row],[Puntos]]&lt;D1777,D1777,ROUND(D1777*(1+Categorias_Registro[[#This Row],[Amplitud]]),0)))</f>
        <v>936</v>
      </c>
      <c r="E1776" s="15">
        <f>E1777+IF(D1777=Categorias_Registro[[#This Row],[Máximo]],0,1)</f>
        <v>17</v>
      </c>
      <c r="F1776" s="15">
        <f>ROUND(Categorias_Registro[[#This Row],[Mínimo]]+((Categorias_Registro[[#This Row],[Máximo]]-Categorias_Registro[[#This Row],[Mínimo]])/2),0)</f>
        <v>876</v>
      </c>
      <c r="G1776" s="78">
        <f>VLOOKUP(Categorias_Registro[[#This Row],[Puntos]],Categorias_Configuracion[],MATCH(Categorias_Configuracion[[#Headers],[% Amplitud]],Categorias_Configuracion[#Headers],0),TRUE)</f>
        <v>0.15</v>
      </c>
      <c r="H1776" s="15" t="str">
        <f ca="1">TEXT(Categorias_Registro[[#This Row],[Mínimo]],Formato_Rango_Categorias)&amp;" - "&amp;TEXT(Categorias_Registro[[#This Row],[Máximo]],Formato_Rango_Categorias)</f>
        <v>815 - 936</v>
      </c>
    </row>
    <row r="1777" spans="2:8">
      <c r="B1777" s="15">
        <f>Techo - ROW() + ROW(Categorias_Registro[])</f>
        <v>852</v>
      </c>
      <c r="C1777" s="15">
        <f>IF(Categorias_Registro[[#This Row],[Puntos]]&lt;=ROUND(Piso,0),Piso,IF(Categorias_Registro[[#This Row],[Puntos]]&lt;D1778,C1778,D1778+1))</f>
        <v>815</v>
      </c>
      <c r="D1777" s="15">
        <f>IF(Categorias_Registro[[#This Row],[Puntos]]=ROUND(Piso,0),ROUND(Categorias_Registro[[#This Row],[Puntos]]*(1+Categorias_Registro[[#This Row],[Amplitud]]),0),IF(Categorias_Registro[[#This Row],[Puntos]]&lt;D1778,D1778,ROUND(D1778*(1+Categorias_Registro[[#This Row],[Amplitud]]),0)))</f>
        <v>936</v>
      </c>
      <c r="E1777" s="15">
        <f>E1778+IF(D1778=Categorias_Registro[[#This Row],[Máximo]],0,1)</f>
        <v>17</v>
      </c>
      <c r="F1777" s="15">
        <f>ROUND(Categorias_Registro[[#This Row],[Mínimo]]+((Categorias_Registro[[#This Row],[Máximo]]-Categorias_Registro[[#This Row],[Mínimo]])/2),0)</f>
        <v>876</v>
      </c>
      <c r="G1777" s="78">
        <f>VLOOKUP(Categorias_Registro[[#This Row],[Puntos]],Categorias_Configuracion[],MATCH(Categorias_Configuracion[[#Headers],[% Amplitud]],Categorias_Configuracion[#Headers],0),TRUE)</f>
        <v>0.15</v>
      </c>
      <c r="H1777" s="15" t="str">
        <f ca="1">TEXT(Categorias_Registro[[#This Row],[Mínimo]],Formato_Rango_Categorias)&amp;" - "&amp;TEXT(Categorias_Registro[[#This Row],[Máximo]],Formato_Rango_Categorias)</f>
        <v>815 - 936</v>
      </c>
    </row>
    <row r="1778" spans="2:8">
      <c r="B1778" s="15">
        <f>Techo - ROW() + ROW(Categorias_Registro[])</f>
        <v>851</v>
      </c>
      <c r="C1778" s="15">
        <f>IF(Categorias_Registro[[#This Row],[Puntos]]&lt;=ROUND(Piso,0),Piso,IF(Categorias_Registro[[#This Row],[Puntos]]&lt;D1779,C1779,D1779+1))</f>
        <v>815</v>
      </c>
      <c r="D1778" s="15">
        <f>IF(Categorias_Registro[[#This Row],[Puntos]]=ROUND(Piso,0),ROUND(Categorias_Registro[[#This Row],[Puntos]]*(1+Categorias_Registro[[#This Row],[Amplitud]]),0),IF(Categorias_Registro[[#This Row],[Puntos]]&lt;D1779,D1779,ROUND(D1779*(1+Categorias_Registro[[#This Row],[Amplitud]]),0)))</f>
        <v>936</v>
      </c>
      <c r="E1778" s="15">
        <f>E1779+IF(D1779=Categorias_Registro[[#This Row],[Máximo]],0,1)</f>
        <v>17</v>
      </c>
      <c r="F1778" s="15">
        <f>ROUND(Categorias_Registro[[#This Row],[Mínimo]]+((Categorias_Registro[[#This Row],[Máximo]]-Categorias_Registro[[#This Row],[Mínimo]])/2),0)</f>
        <v>876</v>
      </c>
      <c r="G1778" s="78">
        <f>VLOOKUP(Categorias_Registro[[#This Row],[Puntos]],Categorias_Configuracion[],MATCH(Categorias_Configuracion[[#Headers],[% Amplitud]],Categorias_Configuracion[#Headers],0),TRUE)</f>
        <v>0.15</v>
      </c>
      <c r="H1778" s="15" t="str">
        <f ca="1">TEXT(Categorias_Registro[[#This Row],[Mínimo]],Formato_Rango_Categorias)&amp;" - "&amp;TEXT(Categorias_Registro[[#This Row],[Máximo]],Formato_Rango_Categorias)</f>
        <v>815 - 936</v>
      </c>
    </row>
    <row r="1779" spans="2:8">
      <c r="B1779" s="15">
        <f>Techo - ROW() + ROW(Categorias_Registro[])</f>
        <v>850</v>
      </c>
      <c r="C1779" s="15">
        <f>IF(Categorias_Registro[[#This Row],[Puntos]]&lt;=ROUND(Piso,0),Piso,IF(Categorias_Registro[[#This Row],[Puntos]]&lt;D1780,C1780,D1780+1))</f>
        <v>815</v>
      </c>
      <c r="D1779" s="15">
        <f>IF(Categorias_Registro[[#This Row],[Puntos]]=ROUND(Piso,0),ROUND(Categorias_Registro[[#This Row],[Puntos]]*(1+Categorias_Registro[[#This Row],[Amplitud]]),0),IF(Categorias_Registro[[#This Row],[Puntos]]&lt;D1780,D1780,ROUND(D1780*(1+Categorias_Registro[[#This Row],[Amplitud]]),0)))</f>
        <v>936</v>
      </c>
      <c r="E1779" s="15">
        <f>E1780+IF(D1780=Categorias_Registro[[#This Row],[Máximo]],0,1)</f>
        <v>17</v>
      </c>
      <c r="F1779" s="15">
        <f>ROUND(Categorias_Registro[[#This Row],[Mínimo]]+((Categorias_Registro[[#This Row],[Máximo]]-Categorias_Registro[[#This Row],[Mínimo]])/2),0)</f>
        <v>876</v>
      </c>
      <c r="G1779" s="78">
        <f>VLOOKUP(Categorias_Registro[[#This Row],[Puntos]],Categorias_Configuracion[],MATCH(Categorias_Configuracion[[#Headers],[% Amplitud]],Categorias_Configuracion[#Headers],0),TRUE)</f>
        <v>0.15</v>
      </c>
      <c r="H1779" s="15" t="str">
        <f ca="1">TEXT(Categorias_Registro[[#This Row],[Mínimo]],Formato_Rango_Categorias)&amp;" - "&amp;TEXT(Categorias_Registro[[#This Row],[Máximo]],Formato_Rango_Categorias)</f>
        <v>815 - 936</v>
      </c>
    </row>
    <row r="1780" spans="2:8">
      <c r="B1780" s="15">
        <f>Techo - ROW() + ROW(Categorias_Registro[])</f>
        <v>849</v>
      </c>
      <c r="C1780" s="15">
        <f>IF(Categorias_Registro[[#This Row],[Puntos]]&lt;=ROUND(Piso,0),Piso,IF(Categorias_Registro[[#This Row],[Puntos]]&lt;D1781,C1781,D1781+1))</f>
        <v>815</v>
      </c>
      <c r="D1780" s="15">
        <f>IF(Categorias_Registro[[#This Row],[Puntos]]=ROUND(Piso,0),ROUND(Categorias_Registro[[#This Row],[Puntos]]*(1+Categorias_Registro[[#This Row],[Amplitud]]),0),IF(Categorias_Registro[[#This Row],[Puntos]]&lt;D1781,D1781,ROUND(D1781*(1+Categorias_Registro[[#This Row],[Amplitud]]),0)))</f>
        <v>936</v>
      </c>
      <c r="E1780" s="15">
        <f>E1781+IF(D1781=Categorias_Registro[[#This Row],[Máximo]],0,1)</f>
        <v>17</v>
      </c>
      <c r="F1780" s="15">
        <f>ROUND(Categorias_Registro[[#This Row],[Mínimo]]+((Categorias_Registro[[#This Row],[Máximo]]-Categorias_Registro[[#This Row],[Mínimo]])/2),0)</f>
        <v>876</v>
      </c>
      <c r="G1780" s="78">
        <f>VLOOKUP(Categorias_Registro[[#This Row],[Puntos]],Categorias_Configuracion[],MATCH(Categorias_Configuracion[[#Headers],[% Amplitud]],Categorias_Configuracion[#Headers],0),TRUE)</f>
        <v>0.15</v>
      </c>
      <c r="H1780" s="15" t="str">
        <f ca="1">TEXT(Categorias_Registro[[#This Row],[Mínimo]],Formato_Rango_Categorias)&amp;" - "&amp;TEXT(Categorias_Registro[[#This Row],[Máximo]],Formato_Rango_Categorias)</f>
        <v>815 - 936</v>
      </c>
    </row>
    <row r="1781" spans="2:8">
      <c r="B1781" s="15">
        <f>Techo - ROW() + ROW(Categorias_Registro[])</f>
        <v>848</v>
      </c>
      <c r="C1781" s="15">
        <f>IF(Categorias_Registro[[#This Row],[Puntos]]&lt;=ROUND(Piso,0),Piso,IF(Categorias_Registro[[#This Row],[Puntos]]&lt;D1782,C1782,D1782+1))</f>
        <v>815</v>
      </c>
      <c r="D1781" s="15">
        <f>IF(Categorias_Registro[[#This Row],[Puntos]]=ROUND(Piso,0),ROUND(Categorias_Registro[[#This Row],[Puntos]]*(1+Categorias_Registro[[#This Row],[Amplitud]]),0),IF(Categorias_Registro[[#This Row],[Puntos]]&lt;D1782,D1782,ROUND(D1782*(1+Categorias_Registro[[#This Row],[Amplitud]]),0)))</f>
        <v>936</v>
      </c>
      <c r="E1781" s="15">
        <f>E1782+IF(D1782=Categorias_Registro[[#This Row],[Máximo]],0,1)</f>
        <v>17</v>
      </c>
      <c r="F1781" s="15">
        <f>ROUND(Categorias_Registro[[#This Row],[Mínimo]]+((Categorias_Registro[[#This Row],[Máximo]]-Categorias_Registro[[#This Row],[Mínimo]])/2),0)</f>
        <v>876</v>
      </c>
      <c r="G1781" s="78">
        <f>VLOOKUP(Categorias_Registro[[#This Row],[Puntos]],Categorias_Configuracion[],MATCH(Categorias_Configuracion[[#Headers],[% Amplitud]],Categorias_Configuracion[#Headers],0),TRUE)</f>
        <v>0.15</v>
      </c>
      <c r="H1781" s="15" t="str">
        <f ca="1">TEXT(Categorias_Registro[[#This Row],[Mínimo]],Formato_Rango_Categorias)&amp;" - "&amp;TEXT(Categorias_Registro[[#This Row],[Máximo]],Formato_Rango_Categorias)</f>
        <v>815 - 936</v>
      </c>
    </row>
    <row r="1782" spans="2:8">
      <c r="B1782" s="15">
        <f>Techo - ROW() + ROW(Categorias_Registro[])</f>
        <v>847</v>
      </c>
      <c r="C1782" s="15">
        <f>IF(Categorias_Registro[[#This Row],[Puntos]]&lt;=ROUND(Piso,0),Piso,IF(Categorias_Registro[[#This Row],[Puntos]]&lt;D1783,C1783,D1783+1))</f>
        <v>815</v>
      </c>
      <c r="D1782" s="15">
        <f>IF(Categorias_Registro[[#This Row],[Puntos]]=ROUND(Piso,0),ROUND(Categorias_Registro[[#This Row],[Puntos]]*(1+Categorias_Registro[[#This Row],[Amplitud]]),0),IF(Categorias_Registro[[#This Row],[Puntos]]&lt;D1783,D1783,ROUND(D1783*(1+Categorias_Registro[[#This Row],[Amplitud]]),0)))</f>
        <v>936</v>
      </c>
      <c r="E1782" s="15">
        <f>E1783+IF(D1783=Categorias_Registro[[#This Row],[Máximo]],0,1)</f>
        <v>17</v>
      </c>
      <c r="F1782" s="15">
        <f>ROUND(Categorias_Registro[[#This Row],[Mínimo]]+((Categorias_Registro[[#This Row],[Máximo]]-Categorias_Registro[[#This Row],[Mínimo]])/2),0)</f>
        <v>876</v>
      </c>
      <c r="G1782" s="78">
        <f>VLOOKUP(Categorias_Registro[[#This Row],[Puntos]],Categorias_Configuracion[],MATCH(Categorias_Configuracion[[#Headers],[% Amplitud]],Categorias_Configuracion[#Headers],0),TRUE)</f>
        <v>0.15</v>
      </c>
      <c r="H1782" s="15" t="str">
        <f ca="1">TEXT(Categorias_Registro[[#This Row],[Mínimo]],Formato_Rango_Categorias)&amp;" - "&amp;TEXT(Categorias_Registro[[#This Row],[Máximo]],Formato_Rango_Categorias)</f>
        <v>815 - 936</v>
      </c>
    </row>
    <row r="1783" spans="2:8">
      <c r="B1783" s="15">
        <f>Techo - ROW() + ROW(Categorias_Registro[])</f>
        <v>846</v>
      </c>
      <c r="C1783" s="15">
        <f>IF(Categorias_Registro[[#This Row],[Puntos]]&lt;=ROUND(Piso,0),Piso,IF(Categorias_Registro[[#This Row],[Puntos]]&lt;D1784,C1784,D1784+1))</f>
        <v>815</v>
      </c>
      <c r="D1783" s="15">
        <f>IF(Categorias_Registro[[#This Row],[Puntos]]=ROUND(Piso,0),ROUND(Categorias_Registro[[#This Row],[Puntos]]*(1+Categorias_Registro[[#This Row],[Amplitud]]),0),IF(Categorias_Registro[[#This Row],[Puntos]]&lt;D1784,D1784,ROUND(D1784*(1+Categorias_Registro[[#This Row],[Amplitud]]),0)))</f>
        <v>936</v>
      </c>
      <c r="E1783" s="15">
        <f>E1784+IF(D1784=Categorias_Registro[[#This Row],[Máximo]],0,1)</f>
        <v>17</v>
      </c>
      <c r="F1783" s="15">
        <f>ROUND(Categorias_Registro[[#This Row],[Mínimo]]+((Categorias_Registro[[#This Row],[Máximo]]-Categorias_Registro[[#This Row],[Mínimo]])/2),0)</f>
        <v>876</v>
      </c>
      <c r="G1783" s="78">
        <f>VLOOKUP(Categorias_Registro[[#This Row],[Puntos]],Categorias_Configuracion[],MATCH(Categorias_Configuracion[[#Headers],[% Amplitud]],Categorias_Configuracion[#Headers],0),TRUE)</f>
        <v>0.15</v>
      </c>
      <c r="H1783" s="15" t="str">
        <f ca="1">TEXT(Categorias_Registro[[#This Row],[Mínimo]],Formato_Rango_Categorias)&amp;" - "&amp;TEXT(Categorias_Registro[[#This Row],[Máximo]],Formato_Rango_Categorias)</f>
        <v>815 - 936</v>
      </c>
    </row>
    <row r="1784" spans="2:8">
      <c r="B1784" s="15">
        <f>Techo - ROW() + ROW(Categorias_Registro[])</f>
        <v>845</v>
      </c>
      <c r="C1784" s="15">
        <f>IF(Categorias_Registro[[#This Row],[Puntos]]&lt;=ROUND(Piso,0),Piso,IF(Categorias_Registro[[#This Row],[Puntos]]&lt;D1785,C1785,D1785+1))</f>
        <v>815</v>
      </c>
      <c r="D1784" s="15">
        <f>IF(Categorias_Registro[[#This Row],[Puntos]]=ROUND(Piso,0),ROUND(Categorias_Registro[[#This Row],[Puntos]]*(1+Categorias_Registro[[#This Row],[Amplitud]]),0),IF(Categorias_Registro[[#This Row],[Puntos]]&lt;D1785,D1785,ROUND(D1785*(1+Categorias_Registro[[#This Row],[Amplitud]]),0)))</f>
        <v>936</v>
      </c>
      <c r="E1784" s="15">
        <f>E1785+IF(D1785=Categorias_Registro[[#This Row],[Máximo]],0,1)</f>
        <v>17</v>
      </c>
      <c r="F1784" s="15">
        <f>ROUND(Categorias_Registro[[#This Row],[Mínimo]]+((Categorias_Registro[[#This Row],[Máximo]]-Categorias_Registro[[#This Row],[Mínimo]])/2),0)</f>
        <v>876</v>
      </c>
      <c r="G1784" s="78">
        <f>VLOOKUP(Categorias_Registro[[#This Row],[Puntos]],Categorias_Configuracion[],MATCH(Categorias_Configuracion[[#Headers],[% Amplitud]],Categorias_Configuracion[#Headers],0),TRUE)</f>
        <v>0.15</v>
      </c>
      <c r="H1784" s="15" t="str">
        <f ca="1">TEXT(Categorias_Registro[[#This Row],[Mínimo]],Formato_Rango_Categorias)&amp;" - "&amp;TEXT(Categorias_Registro[[#This Row],[Máximo]],Formato_Rango_Categorias)</f>
        <v>815 - 936</v>
      </c>
    </row>
    <row r="1785" spans="2:8">
      <c r="B1785" s="15">
        <f>Techo - ROW() + ROW(Categorias_Registro[])</f>
        <v>844</v>
      </c>
      <c r="C1785" s="15">
        <f>IF(Categorias_Registro[[#This Row],[Puntos]]&lt;=ROUND(Piso,0),Piso,IF(Categorias_Registro[[#This Row],[Puntos]]&lt;D1786,C1786,D1786+1))</f>
        <v>815</v>
      </c>
      <c r="D1785" s="15">
        <f>IF(Categorias_Registro[[#This Row],[Puntos]]=ROUND(Piso,0),ROUND(Categorias_Registro[[#This Row],[Puntos]]*(1+Categorias_Registro[[#This Row],[Amplitud]]),0),IF(Categorias_Registro[[#This Row],[Puntos]]&lt;D1786,D1786,ROUND(D1786*(1+Categorias_Registro[[#This Row],[Amplitud]]),0)))</f>
        <v>936</v>
      </c>
      <c r="E1785" s="15">
        <f>E1786+IF(D1786=Categorias_Registro[[#This Row],[Máximo]],0,1)</f>
        <v>17</v>
      </c>
      <c r="F1785" s="15">
        <f>ROUND(Categorias_Registro[[#This Row],[Mínimo]]+((Categorias_Registro[[#This Row],[Máximo]]-Categorias_Registro[[#This Row],[Mínimo]])/2),0)</f>
        <v>876</v>
      </c>
      <c r="G1785" s="78">
        <f>VLOOKUP(Categorias_Registro[[#This Row],[Puntos]],Categorias_Configuracion[],MATCH(Categorias_Configuracion[[#Headers],[% Amplitud]],Categorias_Configuracion[#Headers],0),TRUE)</f>
        <v>0.15</v>
      </c>
      <c r="H1785" s="15" t="str">
        <f ca="1">TEXT(Categorias_Registro[[#This Row],[Mínimo]],Formato_Rango_Categorias)&amp;" - "&amp;TEXT(Categorias_Registro[[#This Row],[Máximo]],Formato_Rango_Categorias)</f>
        <v>815 - 936</v>
      </c>
    </row>
    <row r="1786" spans="2:8">
      <c r="B1786" s="15">
        <f>Techo - ROW() + ROW(Categorias_Registro[])</f>
        <v>843</v>
      </c>
      <c r="C1786" s="15">
        <f>IF(Categorias_Registro[[#This Row],[Puntos]]&lt;=ROUND(Piso,0),Piso,IF(Categorias_Registro[[#This Row],[Puntos]]&lt;D1787,C1787,D1787+1))</f>
        <v>815</v>
      </c>
      <c r="D1786" s="15">
        <f>IF(Categorias_Registro[[#This Row],[Puntos]]=ROUND(Piso,0),ROUND(Categorias_Registro[[#This Row],[Puntos]]*(1+Categorias_Registro[[#This Row],[Amplitud]]),0),IF(Categorias_Registro[[#This Row],[Puntos]]&lt;D1787,D1787,ROUND(D1787*(1+Categorias_Registro[[#This Row],[Amplitud]]),0)))</f>
        <v>936</v>
      </c>
      <c r="E1786" s="15">
        <f>E1787+IF(D1787=Categorias_Registro[[#This Row],[Máximo]],0,1)</f>
        <v>17</v>
      </c>
      <c r="F1786" s="15">
        <f>ROUND(Categorias_Registro[[#This Row],[Mínimo]]+((Categorias_Registro[[#This Row],[Máximo]]-Categorias_Registro[[#This Row],[Mínimo]])/2),0)</f>
        <v>876</v>
      </c>
      <c r="G1786" s="78">
        <f>VLOOKUP(Categorias_Registro[[#This Row],[Puntos]],Categorias_Configuracion[],MATCH(Categorias_Configuracion[[#Headers],[% Amplitud]],Categorias_Configuracion[#Headers],0),TRUE)</f>
        <v>0.15</v>
      </c>
      <c r="H1786" s="15" t="str">
        <f ca="1">TEXT(Categorias_Registro[[#This Row],[Mínimo]],Formato_Rango_Categorias)&amp;" - "&amp;TEXT(Categorias_Registro[[#This Row],[Máximo]],Formato_Rango_Categorias)</f>
        <v>815 - 936</v>
      </c>
    </row>
    <row r="1787" spans="2:8">
      <c r="B1787" s="15">
        <f>Techo - ROW() + ROW(Categorias_Registro[])</f>
        <v>842</v>
      </c>
      <c r="C1787" s="15">
        <f>IF(Categorias_Registro[[#This Row],[Puntos]]&lt;=ROUND(Piso,0),Piso,IF(Categorias_Registro[[#This Row],[Puntos]]&lt;D1788,C1788,D1788+1))</f>
        <v>815</v>
      </c>
      <c r="D1787" s="15">
        <f>IF(Categorias_Registro[[#This Row],[Puntos]]=ROUND(Piso,0),ROUND(Categorias_Registro[[#This Row],[Puntos]]*(1+Categorias_Registro[[#This Row],[Amplitud]]),0),IF(Categorias_Registro[[#This Row],[Puntos]]&lt;D1788,D1788,ROUND(D1788*(1+Categorias_Registro[[#This Row],[Amplitud]]),0)))</f>
        <v>936</v>
      </c>
      <c r="E1787" s="15">
        <f>E1788+IF(D1788=Categorias_Registro[[#This Row],[Máximo]],0,1)</f>
        <v>17</v>
      </c>
      <c r="F1787" s="15">
        <f>ROUND(Categorias_Registro[[#This Row],[Mínimo]]+((Categorias_Registro[[#This Row],[Máximo]]-Categorias_Registro[[#This Row],[Mínimo]])/2),0)</f>
        <v>876</v>
      </c>
      <c r="G1787" s="78">
        <f>VLOOKUP(Categorias_Registro[[#This Row],[Puntos]],Categorias_Configuracion[],MATCH(Categorias_Configuracion[[#Headers],[% Amplitud]],Categorias_Configuracion[#Headers],0),TRUE)</f>
        <v>0.15</v>
      </c>
      <c r="H1787" s="15" t="str">
        <f ca="1">TEXT(Categorias_Registro[[#This Row],[Mínimo]],Formato_Rango_Categorias)&amp;" - "&amp;TEXT(Categorias_Registro[[#This Row],[Máximo]],Formato_Rango_Categorias)</f>
        <v>815 - 936</v>
      </c>
    </row>
    <row r="1788" spans="2:8">
      <c r="B1788" s="15">
        <f>Techo - ROW() + ROW(Categorias_Registro[])</f>
        <v>841</v>
      </c>
      <c r="C1788" s="15">
        <f>IF(Categorias_Registro[[#This Row],[Puntos]]&lt;=ROUND(Piso,0),Piso,IF(Categorias_Registro[[#This Row],[Puntos]]&lt;D1789,C1789,D1789+1))</f>
        <v>815</v>
      </c>
      <c r="D1788" s="15">
        <f>IF(Categorias_Registro[[#This Row],[Puntos]]=ROUND(Piso,0),ROUND(Categorias_Registro[[#This Row],[Puntos]]*(1+Categorias_Registro[[#This Row],[Amplitud]]),0),IF(Categorias_Registro[[#This Row],[Puntos]]&lt;D1789,D1789,ROUND(D1789*(1+Categorias_Registro[[#This Row],[Amplitud]]),0)))</f>
        <v>936</v>
      </c>
      <c r="E1788" s="15">
        <f>E1789+IF(D1789=Categorias_Registro[[#This Row],[Máximo]],0,1)</f>
        <v>17</v>
      </c>
      <c r="F1788" s="15">
        <f>ROUND(Categorias_Registro[[#This Row],[Mínimo]]+((Categorias_Registro[[#This Row],[Máximo]]-Categorias_Registro[[#This Row],[Mínimo]])/2),0)</f>
        <v>876</v>
      </c>
      <c r="G1788" s="78">
        <f>VLOOKUP(Categorias_Registro[[#This Row],[Puntos]],Categorias_Configuracion[],MATCH(Categorias_Configuracion[[#Headers],[% Amplitud]],Categorias_Configuracion[#Headers],0),TRUE)</f>
        <v>0.15</v>
      </c>
      <c r="H1788" s="15" t="str">
        <f ca="1">TEXT(Categorias_Registro[[#This Row],[Mínimo]],Formato_Rango_Categorias)&amp;" - "&amp;TEXT(Categorias_Registro[[#This Row],[Máximo]],Formato_Rango_Categorias)</f>
        <v>815 - 936</v>
      </c>
    </row>
    <row r="1789" spans="2:8">
      <c r="B1789" s="15">
        <f>Techo - ROW() + ROW(Categorias_Registro[])</f>
        <v>840</v>
      </c>
      <c r="C1789" s="15">
        <f>IF(Categorias_Registro[[#This Row],[Puntos]]&lt;=ROUND(Piso,0),Piso,IF(Categorias_Registro[[#This Row],[Puntos]]&lt;D1790,C1790,D1790+1))</f>
        <v>815</v>
      </c>
      <c r="D1789" s="15">
        <f>IF(Categorias_Registro[[#This Row],[Puntos]]=ROUND(Piso,0),ROUND(Categorias_Registro[[#This Row],[Puntos]]*(1+Categorias_Registro[[#This Row],[Amplitud]]),0),IF(Categorias_Registro[[#This Row],[Puntos]]&lt;D1790,D1790,ROUND(D1790*(1+Categorias_Registro[[#This Row],[Amplitud]]),0)))</f>
        <v>936</v>
      </c>
      <c r="E1789" s="15">
        <f>E1790+IF(D1790=Categorias_Registro[[#This Row],[Máximo]],0,1)</f>
        <v>17</v>
      </c>
      <c r="F1789" s="15">
        <f>ROUND(Categorias_Registro[[#This Row],[Mínimo]]+((Categorias_Registro[[#This Row],[Máximo]]-Categorias_Registro[[#This Row],[Mínimo]])/2),0)</f>
        <v>876</v>
      </c>
      <c r="G1789" s="78">
        <f>VLOOKUP(Categorias_Registro[[#This Row],[Puntos]],Categorias_Configuracion[],MATCH(Categorias_Configuracion[[#Headers],[% Amplitud]],Categorias_Configuracion[#Headers],0),TRUE)</f>
        <v>0.15</v>
      </c>
      <c r="H1789" s="15" t="str">
        <f ca="1">TEXT(Categorias_Registro[[#This Row],[Mínimo]],Formato_Rango_Categorias)&amp;" - "&amp;TEXT(Categorias_Registro[[#This Row],[Máximo]],Formato_Rango_Categorias)</f>
        <v>815 - 936</v>
      </c>
    </row>
    <row r="1790" spans="2:8">
      <c r="B1790" s="15">
        <f>Techo - ROW() + ROW(Categorias_Registro[])</f>
        <v>839</v>
      </c>
      <c r="C1790" s="15">
        <f>IF(Categorias_Registro[[#This Row],[Puntos]]&lt;=ROUND(Piso,0),Piso,IF(Categorias_Registro[[#This Row],[Puntos]]&lt;D1791,C1791,D1791+1))</f>
        <v>815</v>
      </c>
      <c r="D1790" s="15">
        <f>IF(Categorias_Registro[[#This Row],[Puntos]]=ROUND(Piso,0),ROUND(Categorias_Registro[[#This Row],[Puntos]]*(1+Categorias_Registro[[#This Row],[Amplitud]]),0),IF(Categorias_Registro[[#This Row],[Puntos]]&lt;D1791,D1791,ROUND(D1791*(1+Categorias_Registro[[#This Row],[Amplitud]]),0)))</f>
        <v>936</v>
      </c>
      <c r="E1790" s="15">
        <f>E1791+IF(D1791=Categorias_Registro[[#This Row],[Máximo]],0,1)</f>
        <v>17</v>
      </c>
      <c r="F1790" s="15">
        <f>ROUND(Categorias_Registro[[#This Row],[Mínimo]]+((Categorias_Registro[[#This Row],[Máximo]]-Categorias_Registro[[#This Row],[Mínimo]])/2),0)</f>
        <v>876</v>
      </c>
      <c r="G1790" s="78">
        <f>VLOOKUP(Categorias_Registro[[#This Row],[Puntos]],Categorias_Configuracion[],MATCH(Categorias_Configuracion[[#Headers],[% Amplitud]],Categorias_Configuracion[#Headers],0),TRUE)</f>
        <v>0.15</v>
      </c>
      <c r="H1790" s="15" t="str">
        <f ca="1">TEXT(Categorias_Registro[[#This Row],[Mínimo]],Formato_Rango_Categorias)&amp;" - "&amp;TEXT(Categorias_Registro[[#This Row],[Máximo]],Formato_Rango_Categorias)</f>
        <v>815 - 936</v>
      </c>
    </row>
    <row r="1791" spans="2:8">
      <c r="B1791" s="15">
        <f>Techo - ROW() + ROW(Categorias_Registro[])</f>
        <v>838</v>
      </c>
      <c r="C1791" s="15">
        <f>IF(Categorias_Registro[[#This Row],[Puntos]]&lt;=ROUND(Piso,0),Piso,IF(Categorias_Registro[[#This Row],[Puntos]]&lt;D1792,C1792,D1792+1))</f>
        <v>815</v>
      </c>
      <c r="D1791" s="15">
        <f>IF(Categorias_Registro[[#This Row],[Puntos]]=ROUND(Piso,0),ROUND(Categorias_Registro[[#This Row],[Puntos]]*(1+Categorias_Registro[[#This Row],[Amplitud]]),0),IF(Categorias_Registro[[#This Row],[Puntos]]&lt;D1792,D1792,ROUND(D1792*(1+Categorias_Registro[[#This Row],[Amplitud]]),0)))</f>
        <v>936</v>
      </c>
      <c r="E1791" s="15">
        <f>E1792+IF(D1792=Categorias_Registro[[#This Row],[Máximo]],0,1)</f>
        <v>17</v>
      </c>
      <c r="F1791" s="15">
        <f>ROUND(Categorias_Registro[[#This Row],[Mínimo]]+((Categorias_Registro[[#This Row],[Máximo]]-Categorias_Registro[[#This Row],[Mínimo]])/2),0)</f>
        <v>876</v>
      </c>
      <c r="G1791" s="78">
        <f>VLOOKUP(Categorias_Registro[[#This Row],[Puntos]],Categorias_Configuracion[],MATCH(Categorias_Configuracion[[#Headers],[% Amplitud]],Categorias_Configuracion[#Headers],0),TRUE)</f>
        <v>0.15</v>
      </c>
      <c r="H1791" s="15" t="str">
        <f ca="1">TEXT(Categorias_Registro[[#This Row],[Mínimo]],Formato_Rango_Categorias)&amp;" - "&amp;TEXT(Categorias_Registro[[#This Row],[Máximo]],Formato_Rango_Categorias)</f>
        <v>815 - 936</v>
      </c>
    </row>
    <row r="1792" spans="2:8">
      <c r="B1792" s="15">
        <f>Techo - ROW() + ROW(Categorias_Registro[])</f>
        <v>837</v>
      </c>
      <c r="C1792" s="15">
        <f>IF(Categorias_Registro[[#This Row],[Puntos]]&lt;=ROUND(Piso,0),Piso,IF(Categorias_Registro[[#This Row],[Puntos]]&lt;D1793,C1793,D1793+1))</f>
        <v>815</v>
      </c>
      <c r="D1792" s="15">
        <f>IF(Categorias_Registro[[#This Row],[Puntos]]=ROUND(Piso,0),ROUND(Categorias_Registro[[#This Row],[Puntos]]*(1+Categorias_Registro[[#This Row],[Amplitud]]),0),IF(Categorias_Registro[[#This Row],[Puntos]]&lt;D1793,D1793,ROUND(D1793*(1+Categorias_Registro[[#This Row],[Amplitud]]),0)))</f>
        <v>936</v>
      </c>
      <c r="E1792" s="15">
        <f>E1793+IF(D1793=Categorias_Registro[[#This Row],[Máximo]],0,1)</f>
        <v>17</v>
      </c>
      <c r="F1792" s="15">
        <f>ROUND(Categorias_Registro[[#This Row],[Mínimo]]+((Categorias_Registro[[#This Row],[Máximo]]-Categorias_Registro[[#This Row],[Mínimo]])/2),0)</f>
        <v>876</v>
      </c>
      <c r="G1792" s="78">
        <f>VLOOKUP(Categorias_Registro[[#This Row],[Puntos]],Categorias_Configuracion[],MATCH(Categorias_Configuracion[[#Headers],[% Amplitud]],Categorias_Configuracion[#Headers],0),TRUE)</f>
        <v>0.15</v>
      </c>
      <c r="H1792" s="15" t="str">
        <f ca="1">TEXT(Categorias_Registro[[#This Row],[Mínimo]],Formato_Rango_Categorias)&amp;" - "&amp;TEXT(Categorias_Registro[[#This Row],[Máximo]],Formato_Rango_Categorias)</f>
        <v>815 - 936</v>
      </c>
    </row>
    <row r="1793" spans="2:8">
      <c r="B1793" s="15">
        <f>Techo - ROW() + ROW(Categorias_Registro[])</f>
        <v>836</v>
      </c>
      <c r="C1793" s="15">
        <f>IF(Categorias_Registro[[#This Row],[Puntos]]&lt;=ROUND(Piso,0),Piso,IF(Categorias_Registro[[#This Row],[Puntos]]&lt;D1794,C1794,D1794+1))</f>
        <v>815</v>
      </c>
      <c r="D1793" s="15">
        <f>IF(Categorias_Registro[[#This Row],[Puntos]]=ROUND(Piso,0),ROUND(Categorias_Registro[[#This Row],[Puntos]]*(1+Categorias_Registro[[#This Row],[Amplitud]]),0),IF(Categorias_Registro[[#This Row],[Puntos]]&lt;D1794,D1794,ROUND(D1794*(1+Categorias_Registro[[#This Row],[Amplitud]]),0)))</f>
        <v>936</v>
      </c>
      <c r="E1793" s="15">
        <f>E1794+IF(D1794=Categorias_Registro[[#This Row],[Máximo]],0,1)</f>
        <v>17</v>
      </c>
      <c r="F1793" s="15">
        <f>ROUND(Categorias_Registro[[#This Row],[Mínimo]]+((Categorias_Registro[[#This Row],[Máximo]]-Categorias_Registro[[#This Row],[Mínimo]])/2),0)</f>
        <v>876</v>
      </c>
      <c r="G1793" s="78">
        <f>VLOOKUP(Categorias_Registro[[#This Row],[Puntos]],Categorias_Configuracion[],MATCH(Categorias_Configuracion[[#Headers],[% Amplitud]],Categorias_Configuracion[#Headers],0),TRUE)</f>
        <v>0.15</v>
      </c>
      <c r="H1793" s="15" t="str">
        <f ca="1">TEXT(Categorias_Registro[[#This Row],[Mínimo]],Formato_Rango_Categorias)&amp;" - "&amp;TEXT(Categorias_Registro[[#This Row],[Máximo]],Formato_Rango_Categorias)</f>
        <v>815 - 936</v>
      </c>
    </row>
    <row r="1794" spans="2:8">
      <c r="B1794" s="15">
        <f>Techo - ROW() + ROW(Categorias_Registro[])</f>
        <v>835</v>
      </c>
      <c r="C1794" s="15">
        <f>IF(Categorias_Registro[[#This Row],[Puntos]]&lt;=ROUND(Piso,0),Piso,IF(Categorias_Registro[[#This Row],[Puntos]]&lt;D1795,C1795,D1795+1))</f>
        <v>815</v>
      </c>
      <c r="D1794" s="15">
        <f>IF(Categorias_Registro[[#This Row],[Puntos]]=ROUND(Piso,0),ROUND(Categorias_Registro[[#This Row],[Puntos]]*(1+Categorias_Registro[[#This Row],[Amplitud]]),0),IF(Categorias_Registro[[#This Row],[Puntos]]&lt;D1795,D1795,ROUND(D1795*(1+Categorias_Registro[[#This Row],[Amplitud]]),0)))</f>
        <v>936</v>
      </c>
      <c r="E1794" s="15">
        <f>E1795+IF(D1795=Categorias_Registro[[#This Row],[Máximo]],0,1)</f>
        <v>17</v>
      </c>
      <c r="F1794" s="15">
        <f>ROUND(Categorias_Registro[[#This Row],[Mínimo]]+((Categorias_Registro[[#This Row],[Máximo]]-Categorias_Registro[[#This Row],[Mínimo]])/2),0)</f>
        <v>876</v>
      </c>
      <c r="G1794" s="78">
        <f>VLOOKUP(Categorias_Registro[[#This Row],[Puntos]],Categorias_Configuracion[],MATCH(Categorias_Configuracion[[#Headers],[% Amplitud]],Categorias_Configuracion[#Headers],0),TRUE)</f>
        <v>0.15</v>
      </c>
      <c r="H1794" s="15" t="str">
        <f ca="1">TEXT(Categorias_Registro[[#This Row],[Mínimo]],Formato_Rango_Categorias)&amp;" - "&amp;TEXT(Categorias_Registro[[#This Row],[Máximo]],Formato_Rango_Categorias)</f>
        <v>815 - 936</v>
      </c>
    </row>
    <row r="1795" spans="2:8">
      <c r="B1795" s="15">
        <f>Techo - ROW() + ROW(Categorias_Registro[])</f>
        <v>834</v>
      </c>
      <c r="C1795" s="15">
        <f>IF(Categorias_Registro[[#This Row],[Puntos]]&lt;=ROUND(Piso,0),Piso,IF(Categorias_Registro[[#This Row],[Puntos]]&lt;D1796,C1796,D1796+1))</f>
        <v>815</v>
      </c>
      <c r="D1795" s="15">
        <f>IF(Categorias_Registro[[#This Row],[Puntos]]=ROUND(Piso,0),ROUND(Categorias_Registro[[#This Row],[Puntos]]*(1+Categorias_Registro[[#This Row],[Amplitud]]),0),IF(Categorias_Registro[[#This Row],[Puntos]]&lt;D1796,D1796,ROUND(D1796*(1+Categorias_Registro[[#This Row],[Amplitud]]),0)))</f>
        <v>936</v>
      </c>
      <c r="E1795" s="15">
        <f>E1796+IF(D1796=Categorias_Registro[[#This Row],[Máximo]],0,1)</f>
        <v>17</v>
      </c>
      <c r="F1795" s="15">
        <f>ROUND(Categorias_Registro[[#This Row],[Mínimo]]+((Categorias_Registro[[#This Row],[Máximo]]-Categorias_Registro[[#This Row],[Mínimo]])/2),0)</f>
        <v>876</v>
      </c>
      <c r="G1795" s="78">
        <f>VLOOKUP(Categorias_Registro[[#This Row],[Puntos]],Categorias_Configuracion[],MATCH(Categorias_Configuracion[[#Headers],[% Amplitud]],Categorias_Configuracion[#Headers],0),TRUE)</f>
        <v>0.15</v>
      </c>
      <c r="H1795" s="15" t="str">
        <f ca="1">TEXT(Categorias_Registro[[#This Row],[Mínimo]],Formato_Rango_Categorias)&amp;" - "&amp;TEXT(Categorias_Registro[[#This Row],[Máximo]],Formato_Rango_Categorias)</f>
        <v>815 - 936</v>
      </c>
    </row>
    <row r="1796" spans="2:8">
      <c r="B1796" s="15">
        <f>Techo - ROW() + ROW(Categorias_Registro[])</f>
        <v>833</v>
      </c>
      <c r="C1796" s="15">
        <f>IF(Categorias_Registro[[#This Row],[Puntos]]&lt;=ROUND(Piso,0),Piso,IF(Categorias_Registro[[#This Row],[Puntos]]&lt;D1797,C1797,D1797+1))</f>
        <v>815</v>
      </c>
      <c r="D1796" s="15">
        <f>IF(Categorias_Registro[[#This Row],[Puntos]]=ROUND(Piso,0),ROUND(Categorias_Registro[[#This Row],[Puntos]]*(1+Categorias_Registro[[#This Row],[Amplitud]]),0),IF(Categorias_Registro[[#This Row],[Puntos]]&lt;D1797,D1797,ROUND(D1797*(1+Categorias_Registro[[#This Row],[Amplitud]]),0)))</f>
        <v>936</v>
      </c>
      <c r="E1796" s="15">
        <f>E1797+IF(D1797=Categorias_Registro[[#This Row],[Máximo]],0,1)</f>
        <v>17</v>
      </c>
      <c r="F1796" s="15">
        <f>ROUND(Categorias_Registro[[#This Row],[Mínimo]]+((Categorias_Registro[[#This Row],[Máximo]]-Categorias_Registro[[#This Row],[Mínimo]])/2),0)</f>
        <v>876</v>
      </c>
      <c r="G1796" s="78">
        <f>VLOOKUP(Categorias_Registro[[#This Row],[Puntos]],Categorias_Configuracion[],MATCH(Categorias_Configuracion[[#Headers],[% Amplitud]],Categorias_Configuracion[#Headers],0),TRUE)</f>
        <v>0.15</v>
      </c>
      <c r="H1796" s="15" t="str">
        <f ca="1">TEXT(Categorias_Registro[[#This Row],[Mínimo]],Formato_Rango_Categorias)&amp;" - "&amp;TEXT(Categorias_Registro[[#This Row],[Máximo]],Formato_Rango_Categorias)</f>
        <v>815 - 936</v>
      </c>
    </row>
    <row r="1797" spans="2:8">
      <c r="B1797" s="15">
        <f>Techo - ROW() + ROW(Categorias_Registro[])</f>
        <v>832</v>
      </c>
      <c r="C1797" s="15">
        <f>IF(Categorias_Registro[[#This Row],[Puntos]]&lt;=ROUND(Piso,0),Piso,IF(Categorias_Registro[[#This Row],[Puntos]]&lt;D1798,C1798,D1798+1))</f>
        <v>815</v>
      </c>
      <c r="D1797" s="15">
        <f>IF(Categorias_Registro[[#This Row],[Puntos]]=ROUND(Piso,0),ROUND(Categorias_Registro[[#This Row],[Puntos]]*(1+Categorias_Registro[[#This Row],[Amplitud]]),0),IF(Categorias_Registro[[#This Row],[Puntos]]&lt;D1798,D1798,ROUND(D1798*(1+Categorias_Registro[[#This Row],[Amplitud]]),0)))</f>
        <v>936</v>
      </c>
      <c r="E1797" s="15">
        <f>E1798+IF(D1798=Categorias_Registro[[#This Row],[Máximo]],0,1)</f>
        <v>17</v>
      </c>
      <c r="F1797" s="15">
        <f>ROUND(Categorias_Registro[[#This Row],[Mínimo]]+((Categorias_Registro[[#This Row],[Máximo]]-Categorias_Registro[[#This Row],[Mínimo]])/2),0)</f>
        <v>876</v>
      </c>
      <c r="G1797" s="78">
        <f>VLOOKUP(Categorias_Registro[[#This Row],[Puntos]],Categorias_Configuracion[],MATCH(Categorias_Configuracion[[#Headers],[% Amplitud]],Categorias_Configuracion[#Headers],0),TRUE)</f>
        <v>0.15</v>
      </c>
      <c r="H1797" s="15" t="str">
        <f ca="1">TEXT(Categorias_Registro[[#This Row],[Mínimo]],Formato_Rango_Categorias)&amp;" - "&amp;TEXT(Categorias_Registro[[#This Row],[Máximo]],Formato_Rango_Categorias)</f>
        <v>815 - 936</v>
      </c>
    </row>
    <row r="1798" spans="2:8">
      <c r="B1798" s="15">
        <f>Techo - ROW() + ROW(Categorias_Registro[])</f>
        <v>831</v>
      </c>
      <c r="C1798" s="15">
        <f>IF(Categorias_Registro[[#This Row],[Puntos]]&lt;=ROUND(Piso,0),Piso,IF(Categorias_Registro[[#This Row],[Puntos]]&lt;D1799,C1799,D1799+1))</f>
        <v>815</v>
      </c>
      <c r="D1798" s="15">
        <f>IF(Categorias_Registro[[#This Row],[Puntos]]=ROUND(Piso,0),ROUND(Categorias_Registro[[#This Row],[Puntos]]*(1+Categorias_Registro[[#This Row],[Amplitud]]),0),IF(Categorias_Registro[[#This Row],[Puntos]]&lt;D1799,D1799,ROUND(D1799*(1+Categorias_Registro[[#This Row],[Amplitud]]),0)))</f>
        <v>936</v>
      </c>
      <c r="E1798" s="15">
        <f>E1799+IF(D1799=Categorias_Registro[[#This Row],[Máximo]],0,1)</f>
        <v>17</v>
      </c>
      <c r="F1798" s="15">
        <f>ROUND(Categorias_Registro[[#This Row],[Mínimo]]+((Categorias_Registro[[#This Row],[Máximo]]-Categorias_Registro[[#This Row],[Mínimo]])/2),0)</f>
        <v>876</v>
      </c>
      <c r="G1798" s="78">
        <f>VLOOKUP(Categorias_Registro[[#This Row],[Puntos]],Categorias_Configuracion[],MATCH(Categorias_Configuracion[[#Headers],[% Amplitud]],Categorias_Configuracion[#Headers],0),TRUE)</f>
        <v>0.15</v>
      </c>
      <c r="H1798" s="15" t="str">
        <f ca="1">TEXT(Categorias_Registro[[#This Row],[Mínimo]],Formato_Rango_Categorias)&amp;" - "&amp;TEXT(Categorias_Registro[[#This Row],[Máximo]],Formato_Rango_Categorias)</f>
        <v>815 - 936</v>
      </c>
    </row>
    <row r="1799" spans="2:8">
      <c r="B1799" s="15">
        <f>Techo - ROW() + ROW(Categorias_Registro[])</f>
        <v>830</v>
      </c>
      <c r="C1799" s="15">
        <f>IF(Categorias_Registro[[#This Row],[Puntos]]&lt;=ROUND(Piso,0),Piso,IF(Categorias_Registro[[#This Row],[Puntos]]&lt;D1800,C1800,D1800+1))</f>
        <v>815</v>
      </c>
      <c r="D1799" s="15">
        <f>IF(Categorias_Registro[[#This Row],[Puntos]]=ROUND(Piso,0),ROUND(Categorias_Registro[[#This Row],[Puntos]]*(1+Categorias_Registro[[#This Row],[Amplitud]]),0),IF(Categorias_Registro[[#This Row],[Puntos]]&lt;D1800,D1800,ROUND(D1800*(1+Categorias_Registro[[#This Row],[Amplitud]]),0)))</f>
        <v>936</v>
      </c>
      <c r="E1799" s="15">
        <f>E1800+IF(D1800=Categorias_Registro[[#This Row],[Máximo]],0,1)</f>
        <v>17</v>
      </c>
      <c r="F1799" s="15">
        <f>ROUND(Categorias_Registro[[#This Row],[Mínimo]]+((Categorias_Registro[[#This Row],[Máximo]]-Categorias_Registro[[#This Row],[Mínimo]])/2),0)</f>
        <v>876</v>
      </c>
      <c r="G1799" s="78">
        <f>VLOOKUP(Categorias_Registro[[#This Row],[Puntos]],Categorias_Configuracion[],MATCH(Categorias_Configuracion[[#Headers],[% Amplitud]],Categorias_Configuracion[#Headers],0),TRUE)</f>
        <v>0.15</v>
      </c>
      <c r="H1799" s="15" t="str">
        <f ca="1">TEXT(Categorias_Registro[[#This Row],[Mínimo]],Formato_Rango_Categorias)&amp;" - "&amp;TEXT(Categorias_Registro[[#This Row],[Máximo]],Formato_Rango_Categorias)</f>
        <v>815 - 936</v>
      </c>
    </row>
    <row r="1800" spans="2:8">
      <c r="B1800" s="15">
        <f>Techo - ROW() + ROW(Categorias_Registro[])</f>
        <v>829</v>
      </c>
      <c r="C1800" s="15">
        <f>IF(Categorias_Registro[[#This Row],[Puntos]]&lt;=ROUND(Piso,0),Piso,IF(Categorias_Registro[[#This Row],[Puntos]]&lt;D1801,C1801,D1801+1))</f>
        <v>815</v>
      </c>
      <c r="D1800" s="15">
        <f>IF(Categorias_Registro[[#This Row],[Puntos]]=ROUND(Piso,0),ROUND(Categorias_Registro[[#This Row],[Puntos]]*(1+Categorias_Registro[[#This Row],[Amplitud]]),0),IF(Categorias_Registro[[#This Row],[Puntos]]&lt;D1801,D1801,ROUND(D1801*(1+Categorias_Registro[[#This Row],[Amplitud]]),0)))</f>
        <v>936</v>
      </c>
      <c r="E1800" s="15">
        <f>E1801+IF(D1801=Categorias_Registro[[#This Row],[Máximo]],0,1)</f>
        <v>17</v>
      </c>
      <c r="F1800" s="15">
        <f>ROUND(Categorias_Registro[[#This Row],[Mínimo]]+((Categorias_Registro[[#This Row],[Máximo]]-Categorias_Registro[[#This Row],[Mínimo]])/2),0)</f>
        <v>876</v>
      </c>
      <c r="G1800" s="78">
        <f>VLOOKUP(Categorias_Registro[[#This Row],[Puntos]],Categorias_Configuracion[],MATCH(Categorias_Configuracion[[#Headers],[% Amplitud]],Categorias_Configuracion[#Headers],0),TRUE)</f>
        <v>0.15</v>
      </c>
      <c r="H1800" s="15" t="str">
        <f ca="1">TEXT(Categorias_Registro[[#This Row],[Mínimo]],Formato_Rango_Categorias)&amp;" - "&amp;TEXT(Categorias_Registro[[#This Row],[Máximo]],Formato_Rango_Categorias)</f>
        <v>815 - 936</v>
      </c>
    </row>
    <row r="1801" spans="2:8">
      <c r="B1801" s="15">
        <f>Techo - ROW() + ROW(Categorias_Registro[])</f>
        <v>828</v>
      </c>
      <c r="C1801" s="15">
        <f>IF(Categorias_Registro[[#This Row],[Puntos]]&lt;=ROUND(Piso,0),Piso,IF(Categorias_Registro[[#This Row],[Puntos]]&lt;D1802,C1802,D1802+1))</f>
        <v>815</v>
      </c>
      <c r="D1801" s="15">
        <f>IF(Categorias_Registro[[#This Row],[Puntos]]=ROUND(Piso,0),ROUND(Categorias_Registro[[#This Row],[Puntos]]*(1+Categorias_Registro[[#This Row],[Amplitud]]),0),IF(Categorias_Registro[[#This Row],[Puntos]]&lt;D1802,D1802,ROUND(D1802*(1+Categorias_Registro[[#This Row],[Amplitud]]),0)))</f>
        <v>936</v>
      </c>
      <c r="E1801" s="15">
        <f>E1802+IF(D1802=Categorias_Registro[[#This Row],[Máximo]],0,1)</f>
        <v>17</v>
      </c>
      <c r="F1801" s="15">
        <f>ROUND(Categorias_Registro[[#This Row],[Mínimo]]+((Categorias_Registro[[#This Row],[Máximo]]-Categorias_Registro[[#This Row],[Mínimo]])/2),0)</f>
        <v>876</v>
      </c>
      <c r="G1801" s="78">
        <f>VLOOKUP(Categorias_Registro[[#This Row],[Puntos]],Categorias_Configuracion[],MATCH(Categorias_Configuracion[[#Headers],[% Amplitud]],Categorias_Configuracion[#Headers],0),TRUE)</f>
        <v>0.15</v>
      </c>
      <c r="H1801" s="15" t="str">
        <f ca="1">TEXT(Categorias_Registro[[#This Row],[Mínimo]],Formato_Rango_Categorias)&amp;" - "&amp;TEXT(Categorias_Registro[[#This Row],[Máximo]],Formato_Rango_Categorias)</f>
        <v>815 - 936</v>
      </c>
    </row>
    <row r="1802" spans="2:8">
      <c r="B1802" s="15">
        <f>Techo - ROW() + ROW(Categorias_Registro[])</f>
        <v>827</v>
      </c>
      <c r="C1802" s="15">
        <f>IF(Categorias_Registro[[#This Row],[Puntos]]&lt;=ROUND(Piso,0),Piso,IF(Categorias_Registro[[#This Row],[Puntos]]&lt;D1803,C1803,D1803+1))</f>
        <v>815</v>
      </c>
      <c r="D1802" s="15">
        <f>IF(Categorias_Registro[[#This Row],[Puntos]]=ROUND(Piso,0),ROUND(Categorias_Registro[[#This Row],[Puntos]]*(1+Categorias_Registro[[#This Row],[Amplitud]]),0),IF(Categorias_Registro[[#This Row],[Puntos]]&lt;D1803,D1803,ROUND(D1803*(1+Categorias_Registro[[#This Row],[Amplitud]]),0)))</f>
        <v>936</v>
      </c>
      <c r="E1802" s="15">
        <f>E1803+IF(D1803=Categorias_Registro[[#This Row],[Máximo]],0,1)</f>
        <v>17</v>
      </c>
      <c r="F1802" s="15">
        <f>ROUND(Categorias_Registro[[#This Row],[Mínimo]]+((Categorias_Registro[[#This Row],[Máximo]]-Categorias_Registro[[#This Row],[Mínimo]])/2),0)</f>
        <v>876</v>
      </c>
      <c r="G1802" s="78">
        <f>VLOOKUP(Categorias_Registro[[#This Row],[Puntos]],Categorias_Configuracion[],MATCH(Categorias_Configuracion[[#Headers],[% Amplitud]],Categorias_Configuracion[#Headers],0),TRUE)</f>
        <v>0.15</v>
      </c>
      <c r="H1802" s="15" t="str">
        <f ca="1">TEXT(Categorias_Registro[[#This Row],[Mínimo]],Formato_Rango_Categorias)&amp;" - "&amp;TEXT(Categorias_Registro[[#This Row],[Máximo]],Formato_Rango_Categorias)</f>
        <v>815 - 936</v>
      </c>
    </row>
    <row r="1803" spans="2:8">
      <c r="B1803" s="15">
        <f>Techo - ROW() + ROW(Categorias_Registro[])</f>
        <v>826</v>
      </c>
      <c r="C1803" s="15">
        <f>IF(Categorias_Registro[[#This Row],[Puntos]]&lt;=ROUND(Piso,0),Piso,IF(Categorias_Registro[[#This Row],[Puntos]]&lt;D1804,C1804,D1804+1))</f>
        <v>815</v>
      </c>
      <c r="D1803" s="15">
        <f>IF(Categorias_Registro[[#This Row],[Puntos]]=ROUND(Piso,0),ROUND(Categorias_Registro[[#This Row],[Puntos]]*(1+Categorias_Registro[[#This Row],[Amplitud]]),0),IF(Categorias_Registro[[#This Row],[Puntos]]&lt;D1804,D1804,ROUND(D1804*(1+Categorias_Registro[[#This Row],[Amplitud]]),0)))</f>
        <v>936</v>
      </c>
      <c r="E1803" s="15">
        <f>E1804+IF(D1804=Categorias_Registro[[#This Row],[Máximo]],0,1)</f>
        <v>17</v>
      </c>
      <c r="F1803" s="15">
        <f>ROUND(Categorias_Registro[[#This Row],[Mínimo]]+((Categorias_Registro[[#This Row],[Máximo]]-Categorias_Registro[[#This Row],[Mínimo]])/2),0)</f>
        <v>876</v>
      </c>
      <c r="G1803" s="78">
        <f>VLOOKUP(Categorias_Registro[[#This Row],[Puntos]],Categorias_Configuracion[],MATCH(Categorias_Configuracion[[#Headers],[% Amplitud]],Categorias_Configuracion[#Headers],0),TRUE)</f>
        <v>0.15</v>
      </c>
      <c r="H1803" s="15" t="str">
        <f ca="1">TEXT(Categorias_Registro[[#This Row],[Mínimo]],Formato_Rango_Categorias)&amp;" - "&amp;TEXT(Categorias_Registro[[#This Row],[Máximo]],Formato_Rango_Categorias)</f>
        <v>815 - 936</v>
      </c>
    </row>
    <row r="1804" spans="2:8">
      <c r="B1804" s="15">
        <f>Techo - ROW() + ROW(Categorias_Registro[])</f>
        <v>825</v>
      </c>
      <c r="C1804" s="15">
        <f>IF(Categorias_Registro[[#This Row],[Puntos]]&lt;=ROUND(Piso,0),Piso,IF(Categorias_Registro[[#This Row],[Puntos]]&lt;D1805,C1805,D1805+1))</f>
        <v>815</v>
      </c>
      <c r="D1804" s="15">
        <f>IF(Categorias_Registro[[#This Row],[Puntos]]=ROUND(Piso,0),ROUND(Categorias_Registro[[#This Row],[Puntos]]*(1+Categorias_Registro[[#This Row],[Amplitud]]),0),IF(Categorias_Registro[[#This Row],[Puntos]]&lt;D1805,D1805,ROUND(D1805*(1+Categorias_Registro[[#This Row],[Amplitud]]),0)))</f>
        <v>936</v>
      </c>
      <c r="E1804" s="15">
        <f>E1805+IF(D1805=Categorias_Registro[[#This Row],[Máximo]],0,1)</f>
        <v>17</v>
      </c>
      <c r="F1804" s="15">
        <f>ROUND(Categorias_Registro[[#This Row],[Mínimo]]+((Categorias_Registro[[#This Row],[Máximo]]-Categorias_Registro[[#This Row],[Mínimo]])/2),0)</f>
        <v>876</v>
      </c>
      <c r="G1804" s="78">
        <f>VLOOKUP(Categorias_Registro[[#This Row],[Puntos]],Categorias_Configuracion[],MATCH(Categorias_Configuracion[[#Headers],[% Amplitud]],Categorias_Configuracion[#Headers],0),TRUE)</f>
        <v>0.15</v>
      </c>
      <c r="H1804" s="15" t="str">
        <f ca="1">TEXT(Categorias_Registro[[#This Row],[Mínimo]],Formato_Rango_Categorias)&amp;" - "&amp;TEXT(Categorias_Registro[[#This Row],[Máximo]],Formato_Rango_Categorias)</f>
        <v>815 - 936</v>
      </c>
    </row>
    <row r="1805" spans="2:8">
      <c r="B1805" s="15">
        <f>Techo - ROW() + ROW(Categorias_Registro[])</f>
        <v>824</v>
      </c>
      <c r="C1805" s="15">
        <f>IF(Categorias_Registro[[#This Row],[Puntos]]&lt;=ROUND(Piso,0),Piso,IF(Categorias_Registro[[#This Row],[Puntos]]&lt;D1806,C1806,D1806+1))</f>
        <v>815</v>
      </c>
      <c r="D1805" s="15">
        <f>IF(Categorias_Registro[[#This Row],[Puntos]]=ROUND(Piso,0),ROUND(Categorias_Registro[[#This Row],[Puntos]]*(1+Categorias_Registro[[#This Row],[Amplitud]]),0),IF(Categorias_Registro[[#This Row],[Puntos]]&lt;D1806,D1806,ROUND(D1806*(1+Categorias_Registro[[#This Row],[Amplitud]]),0)))</f>
        <v>936</v>
      </c>
      <c r="E1805" s="15">
        <f>E1806+IF(D1806=Categorias_Registro[[#This Row],[Máximo]],0,1)</f>
        <v>17</v>
      </c>
      <c r="F1805" s="15">
        <f>ROUND(Categorias_Registro[[#This Row],[Mínimo]]+((Categorias_Registro[[#This Row],[Máximo]]-Categorias_Registro[[#This Row],[Mínimo]])/2),0)</f>
        <v>876</v>
      </c>
      <c r="G1805" s="78">
        <f>VLOOKUP(Categorias_Registro[[#This Row],[Puntos]],Categorias_Configuracion[],MATCH(Categorias_Configuracion[[#Headers],[% Amplitud]],Categorias_Configuracion[#Headers],0),TRUE)</f>
        <v>0.15</v>
      </c>
      <c r="H1805" s="15" t="str">
        <f ca="1">TEXT(Categorias_Registro[[#This Row],[Mínimo]],Formato_Rango_Categorias)&amp;" - "&amp;TEXT(Categorias_Registro[[#This Row],[Máximo]],Formato_Rango_Categorias)</f>
        <v>815 - 936</v>
      </c>
    </row>
    <row r="1806" spans="2:8">
      <c r="B1806" s="15">
        <f>Techo - ROW() + ROW(Categorias_Registro[])</f>
        <v>823</v>
      </c>
      <c r="C1806" s="15">
        <f>IF(Categorias_Registro[[#This Row],[Puntos]]&lt;=ROUND(Piso,0),Piso,IF(Categorias_Registro[[#This Row],[Puntos]]&lt;D1807,C1807,D1807+1))</f>
        <v>815</v>
      </c>
      <c r="D1806" s="15">
        <f>IF(Categorias_Registro[[#This Row],[Puntos]]=ROUND(Piso,0),ROUND(Categorias_Registro[[#This Row],[Puntos]]*(1+Categorias_Registro[[#This Row],[Amplitud]]),0),IF(Categorias_Registro[[#This Row],[Puntos]]&lt;D1807,D1807,ROUND(D1807*(1+Categorias_Registro[[#This Row],[Amplitud]]),0)))</f>
        <v>936</v>
      </c>
      <c r="E1806" s="15">
        <f>E1807+IF(D1807=Categorias_Registro[[#This Row],[Máximo]],0,1)</f>
        <v>17</v>
      </c>
      <c r="F1806" s="15">
        <f>ROUND(Categorias_Registro[[#This Row],[Mínimo]]+((Categorias_Registro[[#This Row],[Máximo]]-Categorias_Registro[[#This Row],[Mínimo]])/2),0)</f>
        <v>876</v>
      </c>
      <c r="G1806" s="78">
        <f>VLOOKUP(Categorias_Registro[[#This Row],[Puntos]],Categorias_Configuracion[],MATCH(Categorias_Configuracion[[#Headers],[% Amplitud]],Categorias_Configuracion[#Headers],0),TRUE)</f>
        <v>0.15</v>
      </c>
      <c r="H1806" s="15" t="str">
        <f ca="1">TEXT(Categorias_Registro[[#This Row],[Mínimo]],Formato_Rango_Categorias)&amp;" - "&amp;TEXT(Categorias_Registro[[#This Row],[Máximo]],Formato_Rango_Categorias)</f>
        <v>815 - 936</v>
      </c>
    </row>
    <row r="1807" spans="2:8">
      <c r="B1807" s="15">
        <f>Techo - ROW() + ROW(Categorias_Registro[])</f>
        <v>822</v>
      </c>
      <c r="C1807" s="15">
        <f>IF(Categorias_Registro[[#This Row],[Puntos]]&lt;=ROUND(Piso,0),Piso,IF(Categorias_Registro[[#This Row],[Puntos]]&lt;D1808,C1808,D1808+1))</f>
        <v>815</v>
      </c>
      <c r="D1807" s="15">
        <f>IF(Categorias_Registro[[#This Row],[Puntos]]=ROUND(Piso,0),ROUND(Categorias_Registro[[#This Row],[Puntos]]*(1+Categorias_Registro[[#This Row],[Amplitud]]),0),IF(Categorias_Registro[[#This Row],[Puntos]]&lt;D1808,D1808,ROUND(D1808*(1+Categorias_Registro[[#This Row],[Amplitud]]),0)))</f>
        <v>936</v>
      </c>
      <c r="E1807" s="15">
        <f>E1808+IF(D1808=Categorias_Registro[[#This Row],[Máximo]],0,1)</f>
        <v>17</v>
      </c>
      <c r="F1807" s="15">
        <f>ROUND(Categorias_Registro[[#This Row],[Mínimo]]+((Categorias_Registro[[#This Row],[Máximo]]-Categorias_Registro[[#This Row],[Mínimo]])/2),0)</f>
        <v>876</v>
      </c>
      <c r="G1807" s="78">
        <f>VLOOKUP(Categorias_Registro[[#This Row],[Puntos]],Categorias_Configuracion[],MATCH(Categorias_Configuracion[[#Headers],[% Amplitud]],Categorias_Configuracion[#Headers],0),TRUE)</f>
        <v>0.15</v>
      </c>
      <c r="H1807" s="15" t="str">
        <f ca="1">TEXT(Categorias_Registro[[#This Row],[Mínimo]],Formato_Rango_Categorias)&amp;" - "&amp;TEXT(Categorias_Registro[[#This Row],[Máximo]],Formato_Rango_Categorias)</f>
        <v>815 - 936</v>
      </c>
    </row>
    <row r="1808" spans="2:8">
      <c r="B1808" s="15">
        <f>Techo - ROW() + ROW(Categorias_Registro[])</f>
        <v>821</v>
      </c>
      <c r="C1808" s="15">
        <f>IF(Categorias_Registro[[#This Row],[Puntos]]&lt;=ROUND(Piso,0),Piso,IF(Categorias_Registro[[#This Row],[Puntos]]&lt;D1809,C1809,D1809+1))</f>
        <v>815</v>
      </c>
      <c r="D1808" s="15">
        <f>IF(Categorias_Registro[[#This Row],[Puntos]]=ROUND(Piso,0),ROUND(Categorias_Registro[[#This Row],[Puntos]]*(1+Categorias_Registro[[#This Row],[Amplitud]]),0),IF(Categorias_Registro[[#This Row],[Puntos]]&lt;D1809,D1809,ROUND(D1809*(1+Categorias_Registro[[#This Row],[Amplitud]]),0)))</f>
        <v>936</v>
      </c>
      <c r="E1808" s="15">
        <f>E1809+IF(D1809=Categorias_Registro[[#This Row],[Máximo]],0,1)</f>
        <v>17</v>
      </c>
      <c r="F1808" s="15">
        <f>ROUND(Categorias_Registro[[#This Row],[Mínimo]]+((Categorias_Registro[[#This Row],[Máximo]]-Categorias_Registro[[#This Row],[Mínimo]])/2),0)</f>
        <v>876</v>
      </c>
      <c r="G1808" s="78">
        <f>VLOOKUP(Categorias_Registro[[#This Row],[Puntos]],Categorias_Configuracion[],MATCH(Categorias_Configuracion[[#Headers],[% Amplitud]],Categorias_Configuracion[#Headers],0),TRUE)</f>
        <v>0.15</v>
      </c>
      <c r="H1808" s="15" t="str">
        <f ca="1">TEXT(Categorias_Registro[[#This Row],[Mínimo]],Formato_Rango_Categorias)&amp;" - "&amp;TEXT(Categorias_Registro[[#This Row],[Máximo]],Formato_Rango_Categorias)</f>
        <v>815 - 936</v>
      </c>
    </row>
    <row r="1809" spans="2:8">
      <c r="B1809" s="15">
        <f>Techo - ROW() + ROW(Categorias_Registro[])</f>
        <v>820</v>
      </c>
      <c r="C1809" s="15">
        <f>IF(Categorias_Registro[[#This Row],[Puntos]]&lt;=ROUND(Piso,0),Piso,IF(Categorias_Registro[[#This Row],[Puntos]]&lt;D1810,C1810,D1810+1))</f>
        <v>815</v>
      </c>
      <c r="D1809" s="15">
        <f>IF(Categorias_Registro[[#This Row],[Puntos]]=ROUND(Piso,0),ROUND(Categorias_Registro[[#This Row],[Puntos]]*(1+Categorias_Registro[[#This Row],[Amplitud]]),0),IF(Categorias_Registro[[#This Row],[Puntos]]&lt;D1810,D1810,ROUND(D1810*(1+Categorias_Registro[[#This Row],[Amplitud]]),0)))</f>
        <v>936</v>
      </c>
      <c r="E1809" s="15">
        <f>E1810+IF(D1810=Categorias_Registro[[#This Row],[Máximo]],0,1)</f>
        <v>17</v>
      </c>
      <c r="F1809" s="15">
        <f>ROUND(Categorias_Registro[[#This Row],[Mínimo]]+((Categorias_Registro[[#This Row],[Máximo]]-Categorias_Registro[[#This Row],[Mínimo]])/2),0)</f>
        <v>876</v>
      </c>
      <c r="G1809" s="78">
        <f>VLOOKUP(Categorias_Registro[[#This Row],[Puntos]],Categorias_Configuracion[],MATCH(Categorias_Configuracion[[#Headers],[% Amplitud]],Categorias_Configuracion[#Headers],0),TRUE)</f>
        <v>0.15</v>
      </c>
      <c r="H1809" s="15" t="str">
        <f ca="1">TEXT(Categorias_Registro[[#This Row],[Mínimo]],Formato_Rango_Categorias)&amp;" - "&amp;TEXT(Categorias_Registro[[#This Row],[Máximo]],Formato_Rango_Categorias)</f>
        <v>815 - 936</v>
      </c>
    </row>
    <row r="1810" spans="2:8">
      <c r="B1810" s="15">
        <f>Techo - ROW() + ROW(Categorias_Registro[])</f>
        <v>819</v>
      </c>
      <c r="C1810" s="15">
        <f>IF(Categorias_Registro[[#This Row],[Puntos]]&lt;=ROUND(Piso,0),Piso,IF(Categorias_Registro[[#This Row],[Puntos]]&lt;D1811,C1811,D1811+1))</f>
        <v>815</v>
      </c>
      <c r="D1810" s="15">
        <f>IF(Categorias_Registro[[#This Row],[Puntos]]=ROUND(Piso,0),ROUND(Categorias_Registro[[#This Row],[Puntos]]*(1+Categorias_Registro[[#This Row],[Amplitud]]),0),IF(Categorias_Registro[[#This Row],[Puntos]]&lt;D1811,D1811,ROUND(D1811*(1+Categorias_Registro[[#This Row],[Amplitud]]),0)))</f>
        <v>936</v>
      </c>
      <c r="E1810" s="15">
        <f>E1811+IF(D1811=Categorias_Registro[[#This Row],[Máximo]],0,1)</f>
        <v>17</v>
      </c>
      <c r="F1810" s="15">
        <f>ROUND(Categorias_Registro[[#This Row],[Mínimo]]+((Categorias_Registro[[#This Row],[Máximo]]-Categorias_Registro[[#This Row],[Mínimo]])/2),0)</f>
        <v>876</v>
      </c>
      <c r="G1810" s="78">
        <f>VLOOKUP(Categorias_Registro[[#This Row],[Puntos]],Categorias_Configuracion[],MATCH(Categorias_Configuracion[[#Headers],[% Amplitud]],Categorias_Configuracion[#Headers],0),TRUE)</f>
        <v>0.15</v>
      </c>
      <c r="H1810" s="15" t="str">
        <f ca="1">TEXT(Categorias_Registro[[#This Row],[Mínimo]],Formato_Rango_Categorias)&amp;" - "&amp;TEXT(Categorias_Registro[[#This Row],[Máximo]],Formato_Rango_Categorias)</f>
        <v>815 - 936</v>
      </c>
    </row>
    <row r="1811" spans="2:8">
      <c r="B1811" s="15">
        <f>Techo - ROW() + ROW(Categorias_Registro[])</f>
        <v>818</v>
      </c>
      <c r="C1811" s="15">
        <f>IF(Categorias_Registro[[#This Row],[Puntos]]&lt;=ROUND(Piso,0),Piso,IF(Categorias_Registro[[#This Row],[Puntos]]&lt;D1812,C1812,D1812+1))</f>
        <v>815</v>
      </c>
      <c r="D1811" s="15">
        <f>IF(Categorias_Registro[[#This Row],[Puntos]]=ROUND(Piso,0),ROUND(Categorias_Registro[[#This Row],[Puntos]]*(1+Categorias_Registro[[#This Row],[Amplitud]]),0),IF(Categorias_Registro[[#This Row],[Puntos]]&lt;D1812,D1812,ROUND(D1812*(1+Categorias_Registro[[#This Row],[Amplitud]]),0)))</f>
        <v>936</v>
      </c>
      <c r="E1811" s="15">
        <f>E1812+IF(D1812=Categorias_Registro[[#This Row],[Máximo]],0,1)</f>
        <v>17</v>
      </c>
      <c r="F1811" s="15">
        <f>ROUND(Categorias_Registro[[#This Row],[Mínimo]]+((Categorias_Registro[[#This Row],[Máximo]]-Categorias_Registro[[#This Row],[Mínimo]])/2),0)</f>
        <v>876</v>
      </c>
      <c r="G1811" s="78">
        <f>VLOOKUP(Categorias_Registro[[#This Row],[Puntos]],Categorias_Configuracion[],MATCH(Categorias_Configuracion[[#Headers],[% Amplitud]],Categorias_Configuracion[#Headers],0),TRUE)</f>
        <v>0.15</v>
      </c>
      <c r="H1811" s="15" t="str">
        <f ca="1">TEXT(Categorias_Registro[[#This Row],[Mínimo]],Formato_Rango_Categorias)&amp;" - "&amp;TEXT(Categorias_Registro[[#This Row],[Máximo]],Formato_Rango_Categorias)</f>
        <v>815 - 936</v>
      </c>
    </row>
    <row r="1812" spans="2:8">
      <c r="B1812" s="15">
        <f>Techo - ROW() + ROW(Categorias_Registro[])</f>
        <v>817</v>
      </c>
      <c r="C1812" s="15">
        <f>IF(Categorias_Registro[[#This Row],[Puntos]]&lt;=ROUND(Piso,0),Piso,IF(Categorias_Registro[[#This Row],[Puntos]]&lt;D1813,C1813,D1813+1))</f>
        <v>815</v>
      </c>
      <c r="D1812" s="15">
        <f>IF(Categorias_Registro[[#This Row],[Puntos]]=ROUND(Piso,0),ROUND(Categorias_Registro[[#This Row],[Puntos]]*(1+Categorias_Registro[[#This Row],[Amplitud]]),0),IF(Categorias_Registro[[#This Row],[Puntos]]&lt;D1813,D1813,ROUND(D1813*(1+Categorias_Registro[[#This Row],[Amplitud]]),0)))</f>
        <v>936</v>
      </c>
      <c r="E1812" s="15">
        <f>E1813+IF(D1813=Categorias_Registro[[#This Row],[Máximo]],0,1)</f>
        <v>17</v>
      </c>
      <c r="F1812" s="15">
        <f>ROUND(Categorias_Registro[[#This Row],[Mínimo]]+((Categorias_Registro[[#This Row],[Máximo]]-Categorias_Registro[[#This Row],[Mínimo]])/2),0)</f>
        <v>876</v>
      </c>
      <c r="G1812" s="78">
        <f>VLOOKUP(Categorias_Registro[[#This Row],[Puntos]],Categorias_Configuracion[],MATCH(Categorias_Configuracion[[#Headers],[% Amplitud]],Categorias_Configuracion[#Headers],0),TRUE)</f>
        <v>0.15</v>
      </c>
      <c r="H1812" s="15" t="str">
        <f ca="1">TEXT(Categorias_Registro[[#This Row],[Mínimo]],Formato_Rango_Categorias)&amp;" - "&amp;TEXT(Categorias_Registro[[#This Row],[Máximo]],Formato_Rango_Categorias)</f>
        <v>815 - 936</v>
      </c>
    </row>
    <row r="1813" spans="2:8">
      <c r="B1813" s="15">
        <f>Techo - ROW() + ROW(Categorias_Registro[])</f>
        <v>816</v>
      </c>
      <c r="C1813" s="15">
        <f>IF(Categorias_Registro[[#This Row],[Puntos]]&lt;=ROUND(Piso,0),Piso,IF(Categorias_Registro[[#This Row],[Puntos]]&lt;D1814,C1814,D1814+1))</f>
        <v>815</v>
      </c>
      <c r="D1813" s="15">
        <f>IF(Categorias_Registro[[#This Row],[Puntos]]=ROUND(Piso,0),ROUND(Categorias_Registro[[#This Row],[Puntos]]*(1+Categorias_Registro[[#This Row],[Amplitud]]),0),IF(Categorias_Registro[[#This Row],[Puntos]]&lt;D1814,D1814,ROUND(D1814*(1+Categorias_Registro[[#This Row],[Amplitud]]),0)))</f>
        <v>936</v>
      </c>
      <c r="E1813" s="15">
        <f>E1814+IF(D1814=Categorias_Registro[[#This Row],[Máximo]],0,1)</f>
        <v>17</v>
      </c>
      <c r="F1813" s="15">
        <f>ROUND(Categorias_Registro[[#This Row],[Mínimo]]+((Categorias_Registro[[#This Row],[Máximo]]-Categorias_Registro[[#This Row],[Mínimo]])/2),0)</f>
        <v>876</v>
      </c>
      <c r="G1813" s="78">
        <f>VLOOKUP(Categorias_Registro[[#This Row],[Puntos]],Categorias_Configuracion[],MATCH(Categorias_Configuracion[[#Headers],[% Amplitud]],Categorias_Configuracion[#Headers],0),TRUE)</f>
        <v>0.15</v>
      </c>
      <c r="H1813" s="15" t="str">
        <f ca="1">TEXT(Categorias_Registro[[#This Row],[Mínimo]],Formato_Rango_Categorias)&amp;" - "&amp;TEXT(Categorias_Registro[[#This Row],[Máximo]],Formato_Rango_Categorias)</f>
        <v>815 - 936</v>
      </c>
    </row>
    <row r="1814" spans="2:8">
      <c r="B1814" s="15">
        <f>Techo - ROW() + ROW(Categorias_Registro[])</f>
        <v>815</v>
      </c>
      <c r="C1814" s="15">
        <f>IF(Categorias_Registro[[#This Row],[Puntos]]&lt;=ROUND(Piso,0),Piso,IF(Categorias_Registro[[#This Row],[Puntos]]&lt;D1815,C1815,D1815+1))</f>
        <v>815</v>
      </c>
      <c r="D1814" s="15">
        <f>IF(Categorias_Registro[[#This Row],[Puntos]]=ROUND(Piso,0),ROUND(Categorias_Registro[[#This Row],[Puntos]]*(1+Categorias_Registro[[#This Row],[Amplitud]]),0),IF(Categorias_Registro[[#This Row],[Puntos]]&lt;D1815,D1815,ROUND(D1815*(1+Categorias_Registro[[#This Row],[Amplitud]]),0)))</f>
        <v>936</v>
      </c>
      <c r="E1814" s="15">
        <f>E1815+IF(D1815=Categorias_Registro[[#This Row],[Máximo]],0,1)</f>
        <v>17</v>
      </c>
      <c r="F1814" s="15">
        <f>ROUND(Categorias_Registro[[#This Row],[Mínimo]]+((Categorias_Registro[[#This Row],[Máximo]]-Categorias_Registro[[#This Row],[Mínimo]])/2),0)</f>
        <v>876</v>
      </c>
      <c r="G1814" s="78">
        <f>VLOOKUP(Categorias_Registro[[#This Row],[Puntos]],Categorias_Configuracion[],MATCH(Categorias_Configuracion[[#Headers],[% Amplitud]],Categorias_Configuracion[#Headers],0),TRUE)</f>
        <v>0.15</v>
      </c>
      <c r="H1814" s="15" t="str">
        <f ca="1">TEXT(Categorias_Registro[[#This Row],[Mínimo]],Formato_Rango_Categorias)&amp;" - "&amp;TEXT(Categorias_Registro[[#This Row],[Máximo]],Formato_Rango_Categorias)</f>
        <v>815 - 936</v>
      </c>
    </row>
    <row r="1815" spans="2:8">
      <c r="B1815" s="15">
        <f>Techo - ROW() + ROW(Categorias_Registro[])</f>
        <v>814</v>
      </c>
      <c r="C1815" s="15">
        <f>IF(Categorias_Registro[[#This Row],[Puntos]]&lt;=ROUND(Piso,0),Piso,IF(Categorias_Registro[[#This Row],[Puntos]]&lt;D1816,C1816,D1816+1))</f>
        <v>815</v>
      </c>
      <c r="D1815" s="15">
        <f>IF(Categorias_Registro[[#This Row],[Puntos]]=ROUND(Piso,0),ROUND(Categorias_Registro[[#This Row],[Puntos]]*(1+Categorias_Registro[[#This Row],[Amplitud]]),0),IF(Categorias_Registro[[#This Row],[Puntos]]&lt;D1816,D1816,ROUND(D1816*(1+Categorias_Registro[[#This Row],[Amplitud]]),0)))</f>
        <v>936</v>
      </c>
      <c r="E1815" s="15">
        <f>E1816+IF(D1816=Categorias_Registro[[#This Row],[Máximo]],0,1)</f>
        <v>17</v>
      </c>
      <c r="F1815" s="15">
        <f>ROUND(Categorias_Registro[[#This Row],[Mínimo]]+((Categorias_Registro[[#This Row],[Máximo]]-Categorias_Registro[[#This Row],[Mínimo]])/2),0)</f>
        <v>876</v>
      </c>
      <c r="G1815" s="78">
        <f>VLOOKUP(Categorias_Registro[[#This Row],[Puntos]],Categorias_Configuracion[],MATCH(Categorias_Configuracion[[#Headers],[% Amplitud]],Categorias_Configuracion[#Headers],0),TRUE)</f>
        <v>0.15</v>
      </c>
      <c r="H1815" s="15" t="str">
        <f ca="1">TEXT(Categorias_Registro[[#This Row],[Mínimo]],Formato_Rango_Categorias)&amp;" - "&amp;TEXT(Categorias_Registro[[#This Row],[Máximo]],Formato_Rango_Categorias)</f>
        <v>815 - 936</v>
      </c>
    </row>
    <row r="1816" spans="2:8">
      <c r="B1816" s="15">
        <f>Techo - ROW() + ROW(Categorias_Registro[])</f>
        <v>813</v>
      </c>
      <c r="C1816" s="15">
        <f>IF(Categorias_Registro[[#This Row],[Puntos]]&lt;=ROUND(Piso,0),Piso,IF(Categorias_Registro[[#This Row],[Puntos]]&lt;D1817,C1817,D1817+1))</f>
        <v>709</v>
      </c>
      <c r="D1816" s="15">
        <f>IF(Categorias_Registro[[#This Row],[Puntos]]=ROUND(Piso,0),ROUND(Categorias_Registro[[#This Row],[Puntos]]*(1+Categorias_Registro[[#This Row],[Amplitud]]),0),IF(Categorias_Registro[[#This Row],[Puntos]]&lt;D1817,D1817,ROUND(D1817*(1+Categorias_Registro[[#This Row],[Amplitud]]),0)))</f>
        <v>814</v>
      </c>
      <c r="E1816" s="15">
        <f>E1817+IF(D1817=Categorias_Registro[[#This Row],[Máximo]],0,1)</f>
        <v>16</v>
      </c>
      <c r="F1816" s="15">
        <f>ROUND(Categorias_Registro[[#This Row],[Mínimo]]+((Categorias_Registro[[#This Row],[Máximo]]-Categorias_Registro[[#This Row],[Mínimo]])/2),0)</f>
        <v>762</v>
      </c>
      <c r="G1816" s="78">
        <f>VLOOKUP(Categorias_Registro[[#This Row],[Puntos]],Categorias_Configuracion[],MATCH(Categorias_Configuracion[[#Headers],[% Amplitud]],Categorias_Configuracion[#Headers],0),TRUE)</f>
        <v>0.15</v>
      </c>
      <c r="H1816" s="15" t="str">
        <f ca="1">TEXT(Categorias_Registro[[#This Row],[Mínimo]],Formato_Rango_Categorias)&amp;" - "&amp;TEXT(Categorias_Registro[[#This Row],[Máximo]],Formato_Rango_Categorias)</f>
        <v>709 - 814</v>
      </c>
    </row>
    <row r="1817" spans="2:8">
      <c r="B1817" s="15">
        <f>Techo - ROW() + ROW(Categorias_Registro[])</f>
        <v>812</v>
      </c>
      <c r="C1817" s="15">
        <f>IF(Categorias_Registro[[#This Row],[Puntos]]&lt;=ROUND(Piso,0),Piso,IF(Categorias_Registro[[#This Row],[Puntos]]&lt;D1818,C1818,D1818+1))</f>
        <v>709</v>
      </c>
      <c r="D1817" s="15">
        <f>IF(Categorias_Registro[[#This Row],[Puntos]]=ROUND(Piso,0),ROUND(Categorias_Registro[[#This Row],[Puntos]]*(1+Categorias_Registro[[#This Row],[Amplitud]]),0),IF(Categorias_Registro[[#This Row],[Puntos]]&lt;D1818,D1818,ROUND(D1818*(1+Categorias_Registro[[#This Row],[Amplitud]]),0)))</f>
        <v>814</v>
      </c>
      <c r="E1817" s="15">
        <f>E1818+IF(D1818=Categorias_Registro[[#This Row],[Máximo]],0,1)</f>
        <v>16</v>
      </c>
      <c r="F1817" s="15">
        <f>ROUND(Categorias_Registro[[#This Row],[Mínimo]]+((Categorias_Registro[[#This Row],[Máximo]]-Categorias_Registro[[#This Row],[Mínimo]])/2),0)</f>
        <v>762</v>
      </c>
      <c r="G1817" s="78">
        <f>VLOOKUP(Categorias_Registro[[#This Row],[Puntos]],Categorias_Configuracion[],MATCH(Categorias_Configuracion[[#Headers],[% Amplitud]],Categorias_Configuracion[#Headers],0),TRUE)</f>
        <v>0.15</v>
      </c>
      <c r="H1817" s="15" t="str">
        <f ca="1">TEXT(Categorias_Registro[[#This Row],[Mínimo]],Formato_Rango_Categorias)&amp;" - "&amp;TEXT(Categorias_Registro[[#This Row],[Máximo]],Formato_Rango_Categorias)</f>
        <v>709 - 814</v>
      </c>
    </row>
    <row r="1818" spans="2:8">
      <c r="B1818" s="15">
        <f>Techo - ROW() + ROW(Categorias_Registro[])</f>
        <v>811</v>
      </c>
      <c r="C1818" s="15">
        <f>IF(Categorias_Registro[[#This Row],[Puntos]]&lt;=ROUND(Piso,0),Piso,IF(Categorias_Registro[[#This Row],[Puntos]]&lt;D1819,C1819,D1819+1))</f>
        <v>709</v>
      </c>
      <c r="D1818" s="15">
        <f>IF(Categorias_Registro[[#This Row],[Puntos]]=ROUND(Piso,0),ROUND(Categorias_Registro[[#This Row],[Puntos]]*(1+Categorias_Registro[[#This Row],[Amplitud]]),0),IF(Categorias_Registro[[#This Row],[Puntos]]&lt;D1819,D1819,ROUND(D1819*(1+Categorias_Registro[[#This Row],[Amplitud]]),0)))</f>
        <v>814</v>
      </c>
      <c r="E1818" s="15">
        <f>E1819+IF(D1819=Categorias_Registro[[#This Row],[Máximo]],0,1)</f>
        <v>16</v>
      </c>
      <c r="F1818" s="15">
        <f>ROUND(Categorias_Registro[[#This Row],[Mínimo]]+((Categorias_Registro[[#This Row],[Máximo]]-Categorias_Registro[[#This Row],[Mínimo]])/2),0)</f>
        <v>762</v>
      </c>
      <c r="G1818" s="78">
        <f>VLOOKUP(Categorias_Registro[[#This Row],[Puntos]],Categorias_Configuracion[],MATCH(Categorias_Configuracion[[#Headers],[% Amplitud]],Categorias_Configuracion[#Headers],0),TRUE)</f>
        <v>0.15</v>
      </c>
      <c r="H1818" s="15" t="str">
        <f ca="1">TEXT(Categorias_Registro[[#This Row],[Mínimo]],Formato_Rango_Categorias)&amp;" - "&amp;TEXT(Categorias_Registro[[#This Row],[Máximo]],Formato_Rango_Categorias)</f>
        <v>709 - 814</v>
      </c>
    </row>
    <row r="1819" spans="2:8">
      <c r="B1819" s="15">
        <f>Techo - ROW() + ROW(Categorias_Registro[])</f>
        <v>810</v>
      </c>
      <c r="C1819" s="15">
        <f>IF(Categorias_Registro[[#This Row],[Puntos]]&lt;=ROUND(Piso,0),Piso,IF(Categorias_Registro[[#This Row],[Puntos]]&lt;D1820,C1820,D1820+1))</f>
        <v>709</v>
      </c>
      <c r="D1819" s="15">
        <f>IF(Categorias_Registro[[#This Row],[Puntos]]=ROUND(Piso,0),ROUND(Categorias_Registro[[#This Row],[Puntos]]*(1+Categorias_Registro[[#This Row],[Amplitud]]),0),IF(Categorias_Registro[[#This Row],[Puntos]]&lt;D1820,D1820,ROUND(D1820*(1+Categorias_Registro[[#This Row],[Amplitud]]),0)))</f>
        <v>814</v>
      </c>
      <c r="E1819" s="15">
        <f>E1820+IF(D1820=Categorias_Registro[[#This Row],[Máximo]],0,1)</f>
        <v>16</v>
      </c>
      <c r="F1819" s="15">
        <f>ROUND(Categorias_Registro[[#This Row],[Mínimo]]+((Categorias_Registro[[#This Row],[Máximo]]-Categorias_Registro[[#This Row],[Mínimo]])/2),0)</f>
        <v>762</v>
      </c>
      <c r="G1819" s="78">
        <f>VLOOKUP(Categorias_Registro[[#This Row],[Puntos]],Categorias_Configuracion[],MATCH(Categorias_Configuracion[[#Headers],[% Amplitud]],Categorias_Configuracion[#Headers],0),TRUE)</f>
        <v>0.15</v>
      </c>
      <c r="H1819" s="15" t="str">
        <f ca="1">TEXT(Categorias_Registro[[#This Row],[Mínimo]],Formato_Rango_Categorias)&amp;" - "&amp;TEXT(Categorias_Registro[[#This Row],[Máximo]],Formato_Rango_Categorias)</f>
        <v>709 - 814</v>
      </c>
    </row>
    <row r="1820" spans="2:8">
      <c r="B1820" s="15">
        <f>Techo - ROW() + ROW(Categorias_Registro[])</f>
        <v>809</v>
      </c>
      <c r="C1820" s="15">
        <f>IF(Categorias_Registro[[#This Row],[Puntos]]&lt;=ROUND(Piso,0),Piso,IF(Categorias_Registro[[#This Row],[Puntos]]&lt;D1821,C1821,D1821+1))</f>
        <v>709</v>
      </c>
      <c r="D1820" s="15">
        <f>IF(Categorias_Registro[[#This Row],[Puntos]]=ROUND(Piso,0),ROUND(Categorias_Registro[[#This Row],[Puntos]]*(1+Categorias_Registro[[#This Row],[Amplitud]]),0),IF(Categorias_Registro[[#This Row],[Puntos]]&lt;D1821,D1821,ROUND(D1821*(1+Categorias_Registro[[#This Row],[Amplitud]]),0)))</f>
        <v>814</v>
      </c>
      <c r="E1820" s="15">
        <f>E1821+IF(D1821=Categorias_Registro[[#This Row],[Máximo]],0,1)</f>
        <v>16</v>
      </c>
      <c r="F1820" s="15">
        <f>ROUND(Categorias_Registro[[#This Row],[Mínimo]]+((Categorias_Registro[[#This Row],[Máximo]]-Categorias_Registro[[#This Row],[Mínimo]])/2),0)</f>
        <v>762</v>
      </c>
      <c r="G1820" s="78">
        <f>VLOOKUP(Categorias_Registro[[#This Row],[Puntos]],Categorias_Configuracion[],MATCH(Categorias_Configuracion[[#Headers],[% Amplitud]],Categorias_Configuracion[#Headers],0),TRUE)</f>
        <v>0.15</v>
      </c>
      <c r="H1820" s="15" t="str">
        <f ca="1">TEXT(Categorias_Registro[[#This Row],[Mínimo]],Formato_Rango_Categorias)&amp;" - "&amp;TEXT(Categorias_Registro[[#This Row],[Máximo]],Formato_Rango_Categorias)</f>
        <v>709 - 814</v>
      </c>
    </row>
    <row r="1821" spans="2:8">
      <c r="B1821" s="15">
        <f>Techo - ROW() + ROW(Categorias_Registro[])</f>
        <v>808</v>
      </c>
      <c r="C1821" s="15">
        <f>IF(Categorias_Registro[[#This Row],[Puntos]]&lt;=ROUND(Piso,0),Piso,IF(Categorias_Registro[[#This Row],[Puntos]]&lt;D1822,C1822,D1822+1))</f>
        <v>709</v>
      </c>
      <c r="D1821" s="15">
        <f>IF(Categorias_Registro[[#This Row],[Puntos]]=ROUND(Piso,0),ROUND(Categorias_Registro[[#This Row],[Puntos]]*(1+Categorias_Registro[[#This Row],[Amplitud]]),0),IF(Categorias_Registro[[#This Row],[Puntos]]&lt;D1822,D1822,ROUND(D1822*(1+Categorias_Registro[[#This Row],[Amplitud]]),0)))</f>
        <v>814</v>
      </c>
      <c r="E1821" s="15">
        <f>E1822+IF(D1822=Categorias_Registro[[#This Row],[Máximo]],0,1)</f>
        <v>16</v>
      </c>
      <c r="F1821" s="15">
        <f>ROUND(Categorias_Registro[[#This Row],[Mínimo]]+((Categorias_Registro[[#This Row],[Máximo]]-Categorias_Registro[[#This Row],[Mínimo]])/2),0)</f>
        <v>762</v>
      </c>
      <c r="G1821" s="78">
        <f>VLOOKUP(Categorias_Registro[[#This Row],[Puntos]],Categorias_Configuracion[],MATCH(Categorias_Configuracion[[#Headers],[% Amplitud]],Categorias_Configuracion[#Headers],0),TRUE)</f>
        <v>0.15</v>
      </c>
      <c r="H1821" s="15" t="str">
        <f ca="1">TEXT(Categorias_Registro[[#This Row],[Mínimo]],Formato_Rango_Categorias)&amp;" - "&amp;TEXT(Categorias_Registro[[#This Row],[Máximo]],Formato_Rango_Categorias)</f>
        <v>709 - 814</v>
      </c>
    </row>
    <row r="1822" spans="2:8">
      <c r="B1822" s="15">
        <f>Techo - ROW() + ROW(Categorias_Registro[])</f>
        <v>807</v>
      </c>
      <c r="C1822" s="15">
        <f>IF(Categorias_Registro[[#This Row],[Puntos]]&lt;=ROUND(Piso,0),Piso,IF(Categorias_Registro[[#This Row],[Puntos]]&lt;D1823,C1823,D1823+1))</f>
        <v>709</v>
      </c>
      <c r="D1822" s="15">
        <f>IF(Categorias_Registro[[#This Row],[Puntos]]=ROUND(Piso,0),ROUND(Categorias_Registro[[#This Row],[Puntos]]*(1+Categorias_Registro[[#This Row],[Amplitud]]),0),IF(Categorias_Registro[[#This Row],[Puntos]]&lt;D1823,D1823,ROUND(D1823*(1+Categorias_Registro[[#This Row],[Amplitud]]),0)))</f>
        <v>814</v>
      </c>
      <c r="E1822" s="15">
        <f>E1823+IF(D1823=Categorias_Registro[[#This Row],[Máximo]],0,1)</f>
        <v>16</v>
      </c>
      <c r="F1822" s="15">
        <f>ROUND(Categorias_Registro[[#This Row],[Mínimo]]+((Categorias_Registro[[#This Row],[Máximo]]-Categorias_Registro[[#This Row],[Mínimo]])/2),0)</f>
        <v>762</v>
      </c>
      <c r="G1822" s="78">
        <f>VLOOKUP(Categorias_Registro[[#This Row],[Puntos]],Categorias_Configuracion[],MATCH(Categorias_Configuracion[[#Headers],[% Amplitud]],Categorias_Configuracion[#Headers],0),TRUE)</f>
        <v>0.15</v>
      </c>
      <c r="H1822" s="15" t="str">
        <f ca="1">TEXT(Categorias_Registro[[#This Row],[Mínimo]],Formato_Rango_Categorias)&amp;" - "&amp;TEXT(Categorias_Registro[[#This Row],[Máximo]],Formato_Rango_Categorias)</f>
        <v>709 - 814</v>
      </c>
    </row>
    <row r="1823" spans="2:8">
      <c r="B1823" s="15">
        <f>Techo - ROW() + ROW(Categorias_Registro[])</f>
        <v>806</v>
      </c>
      <c r="C1823" s="15">
        <f>IF(Categorias_Registro[[#This Row],[Puntos]]&lt;=ROUND(Piso,0),Piso,IF(Categorias_Registro[[#This Row],[Puntos]]&lt;D1824,C1824,D1824+1))</f>
        <v>709</v>
      </c>
      <c r="D1823" s="15">
        <f>IF(Categorias_Registro[[#This Row],[Puntos]]=ROUND(Piso,0),ROUND(Categorias_Registro[[#This Row],[Puntos]]*(1+Categorias_Registro[[#This Row],[Amplitud]]),0),IF(Categorias_Registro[[#This Row],[Puntos]]&lt;D1824,D1824,ROUND(D1824*(1+Categorias_Registro[[#This Row],[Amplitud]]),0)))</f>
        <v>814</v>
      </c>
      <c r="E1823" s="15">
        <f>E1824+IF(D1824=Categorias_Registro[[#This Row],[Máximo]],0,1)</f>
        <v>16</v>
      </c>
      <c r="F1823" s="15">
        <f>ROUND(Categorias_Registro[[#This Row],[Mínimo]]+((Categorias_Registro[[#This Row],[Máximo]]-Categorias_Registro[[#This Row],[Mínimo]])/2),0)</f>
        <v>762</v>
      </c>
      <c r="G1823" s="78">
        <f>VLOOKUP(Categorias_Registro[[#This Row],[Puntos]],Categorias_Configuracion[],MATCH(Categorias_Configuracion[[#Headers],[% Amplitud]],Categorias_Configuracion[#Headers],0),TRUE)</f>
        <v>0.15</v>
      </c>
      <c r="H1823" s="15" t="str">
        <f ca="1">TEXT(Categorias_Registro[[#This Row],[Mínimo]],Formato_Rango_Categorias)&amp;" - "&amp;TEXT(Categorias_Registro[[#This Row],[Máximo]],Formato_Rango_Categorias)</f>
        <v>709 - 814</v>
      </c>
    </row>
    <row r="1824" spans="2:8">
      <c r="B1824" s="15">
        <f>Techo - ROW() + ROW(Categorias_Registro[])</f>
        <v>805</v>
      </c>
      <c r="C1824" s="15">
        <f>IF(Categorias_Registro[[#This Row],[Puntos]]&lt;=ROUND(Piso,0),Piso,IF(Categorias_Registro[[#This Row],[Puntos]]&lt;D1825,C1825,D1825+1))</f>
        <v>709</v>
      </c>
      <c r="D1824" s="15">
        <f>IF(Categorias_Registro[[#This Row],[Puntos]]=ROUND(Piso,0),ROUND(Categorias_Registro[[#This Row],[Puntos]]*(1+Categorias_Registro[[#This Row],[Amplitud]]),0),IF(Categorias_Registro[[#This Row],[Puntos]]&lt;D1825,D1825,ROUND(D1825*(1+Categorias_Registro[[#This Row],[Amplitud]]),0)))</f>
        <v>814</v>
      </c>
      <c r="E1824" s="15">
        <f>E1825+IF(D1825=Categorias_Registro[[#This Row],[Máximo]],0,1)</f>
        <v>16</v>
      </c>
      <c r="F1824" s="15">
        <f>ROUND(Categorias_Registro[[#This Row],[Mínimo]]+((Categorias_Registro[[#This Row],[Máximo]]-Categorias_Registro[[#This Row],[Mínimo]])/2),0)</f>
        <v>762</v>
      </c>
      <c r="G1824" s="78">
        <f>VLOOKUP(Categorias_Registro[[#This Row],[Puntos]],Categorias_Configuracion[],MATCH(Categorias_Configuracion[[#Headers],[% Amplitud]],Categorias_Configuracion[#Headers],0),TRUE)</f>
        <v>0.15</v>
      </c>
      <c r="H1824" s="15" t="str">
        <f ca="1">TEXT(Categorias_Registro[[#This Row],[Mínimo]],Formato_Rango_Categorias)&amp;" - "&amp;TEXT(Categorias_Registro[[#This Row],[Máximo]],Formato_Rango_Categorias)</f>
        <v>709 - 814</v>
      </c>
    </row>
    <row r="1825" spans="2:8">
      <c r="B1825" s="15">
        <f>Techo - ROW() + ROW(Categorias_Registro[])</f>
        <v>804</v>
      </c>
      <c r="C1825" s="15">
        <f>IF(Categorias_Registro[[#This Row],[Puntos]]&lt;=ROUND(Piso,0),Piso,IF(Categorias_Registro[[#This Row],[Puntos]]&lt;D1826,C1826,D1826+1))</f>
        <v>709</v>
      </c>
      <c r="D1825" s="15">
        <f>IF(Categorias_Registro[[#This Row],[Puntos]]=ROUND(Piso,0),ROUND(Categorias_Registro[[#This Row],[Puntos]]*(1+Categorias_Registro[[#This Row],[Amplitud]]),0),IF(Categorias_Registro[[#This Row],[Puntos]]&lt;D1826,D1826,ROUND(D1826*(1+Categorias_Registro[[#This Row],[Amplitud]]),0)))</f>
        <v>814</v>
      </c>
      <c r="E1825" s="15">
        <f>E1826+IF(D1826=Categorias_Registro[[#This Row],[Máximo]],0,1)</f>
        <v>16</v>
      </c>
      <c r="F1825" s="15">
        <f>ROUND(Categorias_Registro[[#This Row],[Mínimo]]+((Categorias_Registro[[#This Row],[Máximo]]-Categorias_Registro[[#This Row],[Mínimo]])/2),0)</f>
        <v>762</v>
      </c>
      <c r="G1825" s="78">
        <f>VLOOKUP(Categorias_Registro[[#This Row],[Puntos]],Categorias_Configuracion[],MATCH(Categorias_Configuracion[[#Headers],[% Amplitud]],Categorias_Configuracion[#Headers],0),TRUE)</f>
        <v>0.15</v>
      </c>
      <c r="H1825" s="15" t="str">
        <f ca="1">TEXT(Categorias_Registro[[#This Row],[Mínimo]],Formato_Rango_Categorias)&amp;" - "&amp;TEXT(Categorias_Registro[[#This Row],[Máximo]],Formato_Rango_Categorias)</f>
        <v>709 - 814</v>
      </c>
    </row>
    <row r="1826" spans="2:8">
      <c r="B1826" s="15">
        <f>Techo - ROW() + ROW(Categorias_Registro[])</f>
        <v>803</v>
      </c>
      <c r="C1826" s="15">
        <f>IF(Categorias_Registro[[#This Row],[Puntos]]&lt;=ROUND(Piso,0),Piso,IF(Categorias_Registro[[#This Row],[Puntos]]&lt;D1827,C1827,D1827+1))</f>
        <v>709</v>
      </c>
      <c r="D1826" s="15">
        <f>IF(Categorias_Registro[[#This Row],[Puntos]]=ROUND(Piso,0),ROUND(Categorias_Registro[[#This Row],[Puntos]]*(1+Categorias_Registro[[#This Row],[Amplitud]]),0),IF(Categorias_Registro[[#This Row],[Puntos]]&lt;D1827,D1827,ROUND(D1827*(1+Categorias_Registro[[#This Row],[Amplitud]]),0)))</f>
        <v>814</v>
      </c>
      <c r="E1826" s="15">
        <f>E1827+IF(D1827=Categorias_Registro[[#This Row],[Máximo]],0,1)</f>
        <v>16</v>
      </c>
      <c r="F1826" s="15">
        <f>ROUND(Categorias_Registro[[#This Row],[Mínimo]]+((Categorias_Registro[[#This Row],[Máximo]]-Categorias_Registro[[#This Row],[Mínimo]])/2),0)</f>
        <v>762</v>
      </c>
      <c r="G1826" s="78">
        <f>VLOOKUP(Categorias_Registro[[#This Row],[Puntos]],Categorias_Configuracion[],MATCH(Categorias_Configuracion[[#Headers],[% Amplitud]],Categorias_Configuracion[#Headers],0),TRUE)</f>
        <v>0.15</v>
      </c>
      <c r="H1826" s="15" t="str">
        <f ca="1">TEXT(Categorias_Registro[[#This Row],[Mínimo]],Formato_Rango_Categorias)&amp;" - "&amp;TEXT(Categorias_Registro[[#This Row],[Máximo]],Formato_Rango_Categorias)</f>
        <v>709 - 814</v>
      </c>
    </row>
    <row r="1827" spans="2:8">
      <c r="B1827" s="15">
        <f>Techo - ROW() + ROW(Categorias_Registro[])</f>
        <v>802</v>
      </c>
      <c r="C1827" s="15">
        <f>IF(Categorias_Registro[[#This Row],[Puntos]]&lt;=ROUND(Piso,0),Piso,IF(Categorias_Registro[[#This Row],[Puntos]]&lt;D1828,C1828,D1828+1))</f>
        <v>709</v>
      </c>
      <c r="D1827" s="15">
        <f>IF(Categorias_Registro[[#This Row],[Puntos]]=ROUND(Piso,0),ROUND(Categorias_Registro[[#This Row],[Puntos]]*(1+Categorias_Registro[[#This Row],[Amplitud]]),0),IF(Categorias_Registro[[#This Row],[Puntos]]&lt;D1828,D1828,ROUND(D1828*(1+Categorias_Registro[[#This Row],[Amplitud]]),0)))</f>
        <v>814</v>
      </c>
      <c r="E1827" s="15">
        <f>E1828+IF(D1828=Categorias_Registro[[#This Row],[Máximo]],0,1)</f>
        <v>16</v>
      </c>
      <c r="F1827" s="15">
        <f>ROUND(Categorias_Registro[[#This Row],[Mínimo]]+((Categorias_Registro[[#This Row],[Máximo]]-Categorias_Registro[[#This Row],[Mínimo]])/2),0)</f>
        <v>762</v>
      </c>
      <c r="G1827" s="78">
        <f>VLOOKUP(Categorias_Registro[[#This Row],[Puntos]],Categorias_Configuracion[],MATCH(Categorias_Configuracion[[#Headers],[% Amplitud]],Categorias_Configuracion[#Headers],0),TRUE)</f>
        <v>0.15</v>
      </c>
      <c r="H1827" s="15" t="str">
        <f ca="1">TEXT(Categorias_Registro[[#This Row],[Mínimo]],Formato_Rango_Categorias)&amp;" - "&amp;TEXT(Categorias_Registro[[#This Row],[Máximo]],Formato_Rango_Categorias)</f>
        <v>709 - 814</v>
      </c>
    </row>
    <row r="1828" spans="2:8">
      <c r="B1828" s="15">
        <f>Techo - ROW() + ROW(Categorias_Registro[])</f>
        <v>801</v>
      </c>
      <c r="C1828" s="15">
        <f>IF(Categorias_Registro[[#This Row],[Puntos]]&lt;=ROUND(Piso,0),Piso,IF(Categorias_Registro[[#This Row],[Puntos]]&lt;D1829,C1829,D1829+1))</f>
        <v>709</v>
      </c>
      <c r="D1828" s="15">
        <f>IF(Categorias_Registro[[#This Row],[Puntos]]=ROUND(Piso,0),ROUND(Categorias_Registro[[#This Row],[Puntos]]*(1+Categorias_Registro[[#This Row],[Amplitud]]),0),IF(Categorias_Registro[[#This Row],[Puntos]]&lt;D1829,D1829,ROUND(D1829*(1+Categorias_Registro[[#This Row],[Amplitud]]),0)))</f>
        <v>814</v>
      </c>
      <c r="E1828" s="15">
        <f>E1829+IF(D1829=Categorias_Registro[[#This Row],[Máximo]],0,1)</f>
        <v>16</v>
      </c>
      <c r="F1828" s="15">
        <f>ROUND(Categorias_Registro[[#This Row],[Mínimo]]+((Categorias_Registro[[#This Row],[Máximo]]-Categorias_Registro[[#This Row],[Mínimo]])/2),0)</f>
        <v>762</v>
      </c>
      <c r="G1828" s="78">
        <f>VLOOKUP(Categorias_Registro[[#This Row],[Puntos]],Categorias_Configuracion[],MATCH(Categorias_Configuracion[[#Headers],[% Amplitud]],Categorias_Configuracion[#Headers],0),TRUE)</f>
        <v>0.15</v>
      </c>
      <c r="H1828" s="15" t="str">
        <f ca="1">TEXT(Categorias_Registro[[#This Row],[Mínimo]],Formato_Rango_Categorias)&amp;" - "&amp;TEXT(Categorias_Registro[[#This Row],[Máximo]],Formato_Rango_Categorias)</f>
        <v>709 - 814</v>
      </c>
    </row>
    <row r="1829" spans="2:8">
      <c r="B1829" s="15">
        <f>Techo - ROW() + ROW(Categorias_Registro[])</f>
        <v>800</v>
      </c>
      <c r="C1829" s="15">
        <f>IF(Categorias_Registro[[#This Row],[Puntos]]&lt;=ROUND(Piso,0),Piso,IF(Categorias_Registro[[#This Row],[Puntos]]&lt;D1830,C1830,D1830+1))</f>
        <v>709</v>
      </c>
      <c r="D1829" s="15">
        <f>IF(Categorias_Registro[[#This Row],[Puntos]]=ROUND(Piso,0),ROUND(Categorias_Registro[[#This Row],[Puntos]]*(1+Categorias_Registro[[#This Row],[Amplitud]]),0),IF(Categorias_Registro[[#This Row],[Puntos]]&lt;D1830,D1830,ROUND(D1830*(1+Categorias_Registro[[#This Row],[Amplitud]]),0)))</f>
        <v>814</v>
      </c>
      <c r="E1829" s="15">
        <f>E1830+IF(D1830=Categorias_Registro[[#This Row],[Máximo]],0,1)</f>
        <v>16</v>
      </c>
      <c r="F1829" s="15">
        <f>ROUND(Categorias_Registro[[#This Row],[Mínimo]]+((Categorias_Registro[[#This Row],[Máximo]]-Categorias_Registro[[#This Row],[Mínimo]])/2),0)</f>
        <v>762</v>
      </c>
      <c r="G1829" s="78">
        <f>VLOOKUP(Categorias_Registro[[#This Row],[Puntos]],Categorias_Configuracion[],MATCH(Categorias_Configuracion[[#Headers],[% Amplitud]],Categorias_Configuracion[#Headers],0),TRUE)</f>
        <v>0.15</v>
      </c>
      <c r="H1829" s="15" t="str">
        <f ca="1">TEXT(Categorias_Registro[[#This Row],[Mínimo]],Formato_Rango_Categorias)&amp;" - "&amp;TEXT(Categorias_Registro[[#This Row],[Máximo]],Formato_Rango_Categorias)</f>
        <v>709 - 814</v>
      </c>
    </row>
    <row r="1830" spans="2:8">
      <c r="B1830" s="15">
        <f>Techo - ROW() + ROW(Categorias_Registro[])</f>
        <v>799</v>
      </c>
      <c r="C1830" s="15">
        <f>IF(Categorias_Registro[[#This Row],[Puntos]]&lt;=ROUND(Piso,0),Piso,IF(Categorias_Registro[[#This Row],[Puntos]]&lt;D1831,C1831,D1831+1))</f>
        <v>709</v>
      </c>
      <c r="D1830" s="15">
        <f>IF(Categorias_Registro[[#This Row],[Puntos]]=ROUND(Piso,0),ROUND(Categorias_Registro[[#This Row],[Puntos]]*(1+Categorias_Registro[[#This Row],[Amplitud]]),0),IF(Categorias_Registro[[#This Row],[Puntos]]&lt;D1831,D1831,ROUND(D1831*(1+Categorias_Registro[[#This Row],[Amplitud]]),0)))</f>
        <v>814</v>
      </c>
      <c r="E1830" s="15">
        <f>E1831+IF(D1831=Categorias_Registro[[#This Row],[Máximo]],0,1)</f>
        <v>16</v>
      </c>
      <c r="F1830" s="15">
        <f>ROUND(Categorias_Registro[[#This Row],[Mínimo]]+((Categorias_Registro[[#This Row],[Máximo]]-Categorias_Registro[[#This Row],[Mínimo]])/2),0)</f>
        <v>762</v>
      </c>
      <c r="G1830" s="78">
        <f>VLOOKUP(Categorias_Registro[[#This Row],[Puntos]],Categorias_Configuracion[],MATCH(Categorias_Configuracion[[#Headers],[% Amplitud]],Categorias_Configuracion[#Headers],0),TRUE)</f>
        <v>0.15</v>
      </c>
      <c r="H1830" s="15" t="str">
        <f ca="1">TEXT(Categorias_Registro[[#This Row],[Mínimo]],Formato_Rango_Categorias)&amp;" - "&amp;TEXT(Categorias_Registro[[#This Row],[Máximo]],Formato_Rango_Categorias)</f>
        <v>709 - 814</v>
      </c>
    </row>
    <row r="1831" spans="2:8">
      <c r="B1831" s="15">
        <f>Techo - ROW() + ROW(Categorias_Registro[])</f>
        <v>798</v>
      </c>
      <c r="C1831" s="15">
        <f>IF(Categorias_Registro[[#This Row],[Puntos]]&lt;=ROUND(Piso,0),Piso,IF(Categorias_Registro[[#This Row],[Puntos]]&lt;D1832,C1832,D1832+1))</f>
        <v>709</v>
      </c>
      <c r="D1831" s="15">
        <f>IF(Categorias_Registro[[#This Row],[Puntos]]=ROUND(Piso,0),ROUND(Categorias_Registro[[#This Row],[Puntos]]*(1+Categorias_Registro[[#This Row],[Amplitud]]),0),IF(Categorias_Registro[[#This Row],[Puntos]]&lt;D1832,D1832,ROUND(D1832*(1+Categorias_Registro[[#This Row],[Amplitud]]),0)))</f>
        <v>814</v>
      </c>
      <c r="E1831" s="15">
        <f>E1832+IF(D1832=Categorias_Registro[[#This Row],[Máximo]],0,1)</f>
        <v>16</v>
      </c>
      <c r="F1831" s="15">
        <f>ROUND(Categorias_Registro[[#This Row],[Mínimo]]+((Categorias_Registro[[#This Row],[Máximo]]-Categorias_Registro[[#This Row],[Mínimo]])/2),0)</f>
        <v>762</v>
      </c>
      <c r="G1831" s="78">
        <f>VLOOKUP(Categorias_Registro[[#This Row],[Puntos]],Categorias_Configuracion[],MATCH(Categorias_Configuracion[[#Headers],[% Amplitud]],Categorias_Configuracion[#Headers],0),TRUE)</f>
        <v>0.15</v>
      </c>
      <c r="H1831" s="15" t="str">
        <f ca="1">TEXT(Categorias_Registro[[#This Row],[Mínimo]],Formato_Rango_Categorias)&amp;" - "&amp;TEXT(Categorias_Registro[[#This Row],[Máximo]],Formato_Rango_Categorias)</f>
        <v>709 - 814</v>
      </c>
    </row>
    <row r="1832" spans="2:8">
      <c r="B1832" s="15">
        <f>Techo - ROW() + ROW(Categorias_Registro[])</f>
        <v>797</v>
      </c>
      <c r="C1832" s="15">
        <f>IF(Categorias_Registro[[#This Row],[Puntos]]&lt;=ROUND(Piso,0),Piso,IF(Categorias_Registro[[#This Row],[Puntos]]&lt;D1833,C1833,D1833+1))</f>
        <v>709</v>
      </c>
      <c r="D1832" s="15">
        <f>IF(Categorias_Registro[[#This Row],[Puntos]]=ROUND(Piso,0),ROUND(Categorias_Registro[[#This Row],[Puntos]]*(1+Categorias_Registro[[#This Row],[Amplitud]]),0),IF(Categorias_Registro[[#This Row],[Puntos]]&lt;D1833,D1833,ROUND(D1833*(1+Categorias_Registro[[#This Row],[Amplitud]]),0)))</f>
        <v>814</v>
      </c>
      <c r="E1832" s="15">
        <f>E1833+IF(D1833=Categorias_Registro[[#This Row],[Máximo]],0,1)</f>
        <v>16</v>
      </c>
      <c r="F1832" s="15">
        <f>ROUND(Categorias_Registro[[#This Row],[Mínimo]]+((Categorias_Registro[[#This Row],[Máximo]]-Categorias_Registro[[#This Row],[Mínimo]])/2),0)</f>
        <v>762</v>
      </c>
      <c r="G1832" s="78">
        <f>VLOOKUP(Categorias_Registro[[#This Row],[Puntos]],Categorias_Configuracion[],MATCH(Categorias_Configuracion[[#Headers],[% Amplitud]],Categorias_Configuracion[#Headers],0),TRUE)</f>
        <v>0.15</v>
      </c>
      <c r="H1832" s="15" t="str">
        <f ca="1">TEXT(Categorias_Registro[[#This Row],[Mínimo]],Formato_Rango_Categorias)&amp;" - "&amp;TEXT(Categorias_Registro[[#This Row],[Máximo]],Formato_Rango_Categorias)</f>
        <v>709 - 814</v>
      </c>
    </row>
    <row r="1833" spans="2:8">
      <c r="B1833" s="15">
        <f>Techo - ROW() + ROW(Categorias_Registro[])</f>
        <v>796</v>
      </c>
      <c r="C1833" s="15">
        <f>IF(Categorias_Registro[[#This Row],[Puntos]]&lt;=ROUND(Piso,0),Piso,IF(Categorias_Registro[[#This Row],[Puntos]]&lt;D1834,C1834,D1834+1))</f>
        <v>709</v>
      </c>
      <c r="D1833" s="15">
        <f>IF(Categorias_Registro[[#This Row],[Puntos]]=ROUND(Piso,0),ROUND(Categorias_Registro[[#This Row],[Puntos]]*(1+Categorias_Registro[[#This Row],[Amplitud]]),0),IF(Categorias_Registro[[#This Row],[Puntos]]&lt;D1834,D1834,ROUND(D1834*(1+Categorias_Registro[[#This Row],[Amplitud]]),0)))</f>
        <v>814</v>
      </c>
      <c r="E1833" s="15">
        <f>E1834+IF(D1834=Categorias_Registro[[#This Row],[Máximo]],0,1)</f>
        <v>16</v>
      </c>
      <c r="F1833" s="15">
        <f>ROUND(Categorias_Registro[[#This Row],[Mínimo]]+((Categorias_Registro[[#This Row],[Máximo]]-Categorias_Registro[[#This Row],[Mínimo]])/2),0)</f>
        <v>762</v>
      </c>
      <c r="G1833" s="78">
        <f>VLOOKUP(Categorias_Registro[[#This Row],[Puntos]],Categorias_Configuracion[],MATCH(Categorias_Configuracion[[#Headers],[% Amplitud]],Categorias_Configuracion[#Headers],0),TRUE)</f>
        <v>0.15</v>
      </c>
      <c r="H1833" s="15" t="str">
        <f ca="1">TEXT(Categorias_Registro[[#This Row],[Mínimo]],Formato_Rango_Categorias)&amp;" - "&amp;TEXT(Categorias_Registro[[#This Row],[Máximo]],Formato_Rango_Categorias)</f>
        <v>709 - 814</v>
      </c>
    </row>
    <row r="1834" spans="2:8">
      <c r="B1834" s="15">
        <f>Techo - ROW() + ROW(Categorias_Registro[])</f>
        <v>795</v>
      </c>
      <c r="C1834" s="15">
        <f>IF(Categorias_Registro[[#This Row],[Puntos]]&lt;=ROUND(Piso,0),Piso,IF(Categorias_Registro[[#This Row],[Puntos]]&lt;D1835,C1835,D1835+1))</f>
        <v>709</v>
      </c>
      <c r="D1834" s="15">
        <f>IF(Categorias_Registro[[#This Row],[Puntos]]=ROUND(Piso,0),ROUND(Categorias_Registro[[#This Row],[Puntos]]*(1+Categorias_Registro[[#This Row],[Amplitud]]),0),IF(Categorias_Registro[[#This Row],[Puntos]]&lt;D1835,D1835,ROUND(D1835*(1+Categorias_Registro[[#This Row],[Amplitud]]),0)))</f>
        <v>814</v>
      </c>
      <c r="E1834" s="15">
        <f>E1835+IF(D1835=Categorias_Registro[[#This Row],[Máximo]],0,1)</f>
        <v>16</v>
      </c>
      <c r="F1834" s="15">
        <f>ROUND(Categorias_Registro[[#This Row],[Mínimo]]+((Categorias_Registro[[#This Row],[Máximo]]-Categorias_Registro[[#This Row],[Mínimo]])/2),0)</f>
        <v>762</v>
      </c>
      <c r="G1834" s="78">
        <f>VLOOKUP(Categorias_Registro[[#This Row],[Puntos]],Categorias_Configuracion[],MATCH(Categorias_Configuracion[[#Headers],[% Amplitud]],Categorias_Configuracion[#Headers],0),TRUE)</f>
        <v>0.15</v>
      </c>
      <c r="H1834" s="15" t="str">
        <f ca="1">TEXT(Categorias_Registro[[#This Row],[Mínimo]],Formato_Rango_Categorias)&amp;" - "&amp;TEXT(Categorias_Registro[[#This Row],[Máximo]],Formato_Rango_Categorias)</f>
        <v>709 - 814</v>
      </c>
    </row>
    <row r="1835" spans="2:8">
      <c r="B1835" s="15">
        <f>Techo - ROW() + ROW(Categorias_Registro[])</f>
        <v>794</v>
      </c>
      <c r="C1835" s="15">
        <f>IF(Categorias_Registro[[#This Row],[Puntos]]&lt;=ROUND(Piso,0),Piso,IF(Categorias_Registro[[#This Row],[Puntos]]&lt;D1836,C1836,D1836+1))</f>
        <v>709</v>
      </c>
      <c r="D1835" s="15">
        <f>IF(Categorias_Registro[[#This Row],[Puntos]]=ROUND(Piso,0),ROUND(Categorias_Registro[[#This Row],[Puntos]]*(1+Categorias_Registro[[#This Row],[Amplitud]]),0),IF(Categorias_Registro[[#This Row],[Puntos]]&lt;D1836,D1836,ROUND(D1836*(1+Categorias_Registro[[#This Row],[Amplitud]]),0)))</f>
        <v>814</v>
      </c>
      <c r="E1835" s="15">
        <f>E1836+IF(D1836=Categorias_Registro[[#This Row],[Máximo]],0,1)</f>
        <v>16</v>
      </c>
      <c r="F1835" s="15">
        <f>ROUND(Categorias_Registro[[#This Row],[Mínimo]]+((Categorias_Registro[[#This Row],[Máximo]]-Categorias_Registro[[#This Row],[Mínimo]])/2),0)</f>
        <v>762</v>
      </c>
      <c r="G1835" s="78">
        <f>VLOOKUP(Categorias_Registro[[#This Row],[Puntos]],Categorias_Configuracion[],MATCH(Categorias_Configuracion[[#Headers],[% Amplitud]],Categorias_Configuracion[#Headers],0),TRUE)</f>
        <v>0.15</v>
      </c>
      <c r="H1835" s="15" t="str">
        <f ca="1">TEXT(Categorias_Registro[[#This Row],[Mínimo]],Formato_Rango_Categorias)&amp;" - "&amp;TEXT(Categorias_Registro[[#This Row],[Máximo]],Formato_Rango_Categorias)</f>
        <v>709 - 814</v>
      </c>
    </row>
    <row r="1836" spans="2:8">
      <c r="B1836" s="15">
        <f>Techo - ROW() + ROW(Categorias_Registro[])</f>
        <v>793</v>
      </c>
      <c r="C1836" s="15">
        <f>IF(Categorias_Registro[[#This Row],[Puntos]]&lt;=ROUND(Piso,0),Piso,IF(Categorias_Registro[[#This Row],[Puntos]]&lt;D1837,C1837,D1837+1))</f>
        <v>709</v>
      </c>
      <c r="D1836" s="15">
        <f>IF(Categorias_Registro[[#This Row],[Puntos]]=ROUND(Piso,0),ROUND(Categorias_Registro[[#This Row],[Puntos]]*(1+Categorias_Registro[[#This Row],[Amplitud]]),0),IF(Categorias_Registro[[#This Row],[Puntos]]&lt;D1837,D1837,ROUND(D1837*(1+Categorias_Registro[[#This Row],[Amplitud]]),0)))</f>
        <v>814</v>
      </c>
      <c r="E1836" s="15">
        <f>E1837+IF(D1837=Categorias_Registro[[#This Row],[Máximo]],0,1)</f>
        <v>16</v>
      </c>
      <c r="F1836" s="15">
        <f>ROUND(Categorias_Registro[[#This Row],[Mínimo]]+((Categorias_Registro[[#This Row],[Máximo]]-Categorias_Registro[[#This Row],[Mínimo]])/2),0)</f>
        <v>762</v>
      </c>
      <c r="G1836" s="78">
        <f>VLOOKUP(Categorias_Registro[[#This Row],[Puntos]],Categorias_Configuracion[],MATCH(Categorias_Configuracion[[#Headers],[% Amplitud]],Categorias_Configuracion[#Headers],0),TRUE)</f>
        <v>0.15</v>
      </c>
      <c r="H1836" s="15" t="str">
        <f ca="1">TEXT(Categorias_Registro[[#This Row],[Mínimo]],Formato_Rango_Categorias)&amp;" - "&amp;TEXT(Categorias_Registro[[#This Row],[Máximo]],Formato_Rango_Categorias)</f>
        <v>709 - 814</v>
      </c>
    </row>
    <row r="1837" spans="2:8">
      <c r="B1837" s="15">
        <f>Techo - ROW() + ROW(Categorias_Registro[])</f>
        <v>792</v>
      </c>
      <c r="C1837" s="15">
        <f>IF(Categorias_Registro[[#This Row],[Puntos]]&lt;=ROUND(Piso,0),Piso,IF(Categorias_Registro[[#This Row],[Puntos]]&lt;D1838,C1838,D1838+1))</f>
        <v>709</v>
      </c>
      <c r="D1837" s="15">
        <f>IF(Categorias_Registro[[#This Row],[Puntos]]=ROUND(Piso,0),ROUND(Categorias_Registro[[#This Row],[Puntos]]*(1+Categorias_Registro[[#This Row],[Amplitud]]),0),IF(Categorias_Registro[[#This Row],[Puntos]]&lt;D1838,D1838,ROUND(D1838*(1+Categorias_Registro[[#This Row],[Amplitud]]),0)))</f>
        <v>814</v>
      </c>
      <c r="E1837" s="15">
        <f>E1838+IF(D1838=Categorias_Registro[[#This Row],[Máximo]],0,1)</f>
        <v>16</v>
      </c>
      <c r="F1837" s="15">
        <f>ROUND(Categorias_Registro[[#This Row],[Mínimo]]+((Categorias_Registro[[#This Row],[Máximo]]-Categorias_Registro[[#This Row],[Mínimo]])/2),0)</f>
        <v>762</v>
      </c>
      <c r="G1837" s="78">
        <f>VLOOKUP(Categorias_Registro[[#This Row],[Puntos]],Categorias_Configuracion[],MATCH(Categorias_Configuracion[[#Headers],[% Amplitud]],Categorias_Configuracion[#Headers],0),TRUE)</f>
        <v>0.15</v>
      </c>
      <c r="H1837" s="15" t="str">
        <f ca="1">TEXT(Categorias_Registro[[#This Row],[Mínimo]],Formato_Rango_Categorias)&amp;" - "&amp;TEXT(Categorias_Registro[[#This Row],[Máximo]],Formato_Rango_Categorias)</f>
        <v>709 - 814</v>
      </c>
    </row>
    <row r="1838" spans="2:8">
      <c r="B1838" s="15">
        <f>Techo - ROW() + ROW(Categorias_Registro[])</f>
        <v>791</v>
      </c>
      <c r="C1838" s="15">
        <f>IF(Categorias_Registro[[#This Row],[Puntos]]&lt;=ROUND(Piso,0),Piso,IF(Categorias_Registro[[#This Row],[Puntos]]&lt;D1839,C1839,D1839+1))</f>
        <v>709</v>
      </c>
      <c r="D1838" s="15">
        <f>IF(Categorias_Registro[[#This Row],[Puntos]]=ROUND(Piso,0),ROUND(Categorias_Registro[[#This Row],[Puntos]]*(1+Categorias_Registro[[#This Row],[Amplitud]]),0),IF(Categorias_Registro[[#This Row],[Puntos]]&lt;D1839,D1839,ROUND(D1839*(1+Categorias_Registro[[#This Row],[Amplitud]]),0)))</f>
        <v>814</v>
      </c>
      <c r="E1838" s="15">
        <f>E1839+IF(D1839=Categorias_Registro[[#This Row],[Máximo]],0,1)</f>
        <v>16</v>
      </c>
      <c r="F1838" s="15">
        <f>ROUND(Categorias_Registro[[#This Row],[Mínimo]]+((Categorias_Registro[[#This Row],[Máximo]]-Categorias_Registro[[#This Row],[Mínimo]])/2),0)</f>
        <v>762</v>
      </c>
      <c r="G1838" s="78">
        <f>VLOOKUP(Categorias_Registro[[#This Row],[Puntos]],Categorias_Configuracion[],MATCH(Categorias_Configuracion[[#Headers],[% Amplitud]],Categorias_Configuracion[#Headers],0),TRUE)</f>
        <v>0.15</v>
      </c>
      <c r="H1838" s="15" t="str">
        <f ca="1">TEXT(Categorias_Registro[[#This Row],[Mínimo]],Formato_Rango_Categorias)&amp;" - "&amp;TEXT(Categorias_Registro[[#This Row],[Máximo]],Formato_Rango_Categorias)</f>
        <v>709 - 814</v>
      </c>
    </row>
    <row r="1839" spans="2:8">
      <c r="B1839" s="15">
        <f>Techo - ROW() + ROW(Categorias_Registro[])</f>
        <v>790</v>
      </c>
      <c r="C1839" s="15">
        <f>IF(Categorias_Registro[[#This Row],[Puntos]]&lt;=ROUND(Piso,0),Piso,IF(Categorias_Registro[[#This Row],[Puntos]]&lt;D1840,C1840,D1840+1))</f>
        <v>709</v>
      </c>
      <c r="D1839" s="15">
        <f>IF(Categorias_Registro[[#This Row],[Puntos]]=ROUND(Piso,0),ROUND(Categorias_Registro[[#This Row],[Puntos]]*(1+Categorias_Registro[[#This Row],[Amplitud]]),0),IF(Categorias_Registro[[#This Row],[Puntos]]&lt;D1840,D1840,ROUND(D1840*(1+Categorias_Registro[[#This Row],[Amplitud]]),0)))</f>
        <v>814</v>
      </c>
      <c r="E1839" s="15">
        <f>E1840+IF(D1840=Categorias_Registro[[#This Row],[Máximo]],0,1)</f>
        <v>16</v>
      </c>
      <c r="F1839" s="15">
        <f>ROUND(Categorias_Registro[[#This Row],[Mínimo]]+((Categorias_Registro[[#This Row],[Máximo]]-Categorias_Registro[[#This Row],[Mínimo]])/2),0)</f>
        <v>762</v>
      </c>
      <c r="G1839" s="78">
        <f>VLOOKUP(Categorias_Registro[[#This Row],[Puntos]],Categorias_Configuracion[],MATCH(Categorias_Configuracion[[#Headers],[% Amplitud]],Categorias_Configuracion[#Headers],0),TRUE)</f>
        <v>0.15</v>
      </c>
      <c r="H1839" s="15" t="str">
        <f ca="1">TEXT(Categorias_Registro[[#This Row],[Mínimo]],Formato_Rango_Categorias)&amp;" - "&amp;TEXT(Categorias_Registro[[#This Row],[Máximo]],Formato_Rango_Categorias)</f>
        <v>709 - 814</v>
      </c>
    </row>
    <row r="1840" spans="2:8">
      <c r="B1840" s="15">
        <f>Techo - ROW() + ROW(Categorias_Registro[])</f>
        <v>789</v>
      </c>
      <c r="C1840" s="15">
        <f>IF(Categorias_Registro[[#This Row],[Puntos]]&lt;=ROUND(Piso,0),Piso,IF(Categorias_Registro[[#This Row],[Puntos]]&lt;D1841,C1841,D1841+1))</f>
        <v>709</v>
      </c>
      <c r="D1840" s="15">
        <f>IF(Categorias_Registro[[#This Row],[Puntos]]=ROUND(Piso,0),ROUND(Categorias_Registro[[#This Row],[Puntos]]*(1+Categorias_Registro[[#This Row],[Amplitud]]),0),IF(Categorias_Registro[[#This Row],[Puntos]]&lt;D1841,D1841,ROUND(D1841*(1+Categorias_Registro[[#This Row],[Amplitud]]),0)))</f>
        <v>814</v>
      </c>
      <c r="E1840" s="15">
        <f>E1841+IF(D1841=Categorias_Registro[[#This Row],[Máximo]],0,1)</f>
        <v>16</v>
      </c>
      <c r="F1840" s="15">
        <f>ROUND(Categorias_Registro[[#This Row],[Mínimo]]+((Categorias_Registro[[#This Row],[Máximo]]-Categorias_Registro[[#This Row],[Mínimo]])/2),0)</f>
        <v>762</v>
      </c>
      <c r="G1840" s="78">
        <f>VLOOKUP(Categorias_Registro[[#This Row],[Puntos]],Categorias_Configuracion[],MATCH(Categorias_Configuracion[[#Headers],[% Amplitud]],Categorias_Configuracion[#Headers],0),TRUE)</f>
        <v>0.15</v>
      </c>
      <c r="H1840" s="15" t="str">
        <f ca="1">TEXT(Categorias_Registro[[#This Row],[Mínimo]],Formato_Rango_Categorias)&amp;" - "&amp;TEXT(Categorias_Registro[[#This Row],[Máximo]],Formato_Rango_Categorias)</f>
        <v>709 - 814</v>
      </c>
    </row>
    <row r="1841" spans="2:8">
      <c r="B1841" s="15">
        <f>Techo - ROW() + ROW(Categorias_Registro[])</f>
        <v>788</v>
      </c>
      <c r="C1841" s="15">
        <f>IF(Categorias_Registro[[#This Row],[Puntos]]&lt;=ROUND(Piso,0),Piso,IF(Categorias_Registro[[#This Row],[Puntos]]&lt;D1842,C1842,D1842+1))</f>
        <v>709</v>
      </c>
      <c r="D1841" s="15">
        <f>IF(Categorias_Registro[[#This Row],[Puntos]]=ROUND(Piso,0),ROUND(Categorias_Registro[[#This Row],[Puntos]]*(1+Categorias_Registro[[#This Row],[Amplitud]]),0),IF(Categorias_Registro[[#This Row],[Puntos]]&lt;D1842,D1842,ROUND(D1842*(1+Categorias_Registro[[#This Row],[Amplitud]]),0)))</f>
        <v>814</v>
      </c>
      <c r="E1841" s="15">
        <f>E1842+IF(D1842=Categorias_Registro[[#This Row],[Máximo]],0,1)</f>
        <v>16</v>
      </c>
      <c r="F1841" s="15">
        <f>ROUND(Categorias_Registro[[#This Row],[Mínimo]]+((Categorias_Registro[[#This Row],[Máximo]]-Categorias_Registro[[#This Row],[Mínimo]])/2),0)</f>
        <v>762</v>
      </c>
      <c r="G1841" s="78">
        <f>VLOOKUP(Categorias_Registro[[#This Row],[Puntos]],Categorias_Configuracion[],MATCH(Categorias_Configuracion[[#Headers],[% Amplitud]],Categorias_Configuracion[#Headers],0),TRUE)</f>
        <v>0.15</v>
      </c>
      <c r="H1841" s="15" t="str">
        <f ca="1">TEXT(Categorias_Registro[[#This Row],[Mínimo]],Formato_Rango_Categorias)&amp;" - "&amp;TEXT(Categorias_Registro[[#This Row],[Máximo]],Formato_Rango_Categorias)</f>
        <v>709 - 814</v>
      </c>
    </row>
    <row r="1842" spans="2:8">
      <c r="B1842" s="15">
        <f>Techo - ROW() + ROW(Categorias_Registro[])</f>
        <v>787</v>
      </c>
      <c r="C1842" s="15">
        <f>IF(Categorias_Registro[[#This Row],[Puntos]]&lt;=ROUND(Piso,0),Piso,IF(Categorias_Registro[[#This Row],[Puntos]]&lt;D1843,C1843,D1843+1))</f>
        <v>709</v>
      </c>
      <c r="D1842" s="15">
        <f>IF(Categorias_Registro[[#This Row],[Puntos]]=ROUND(Piso,0),ROUND(Categorias_Registro[[#This Row],[Puntos]]*(1+Categorias_Registro[[#This Row],[Amplitud]]),0),IF(Categorias_Registro[[#This Row],[Puntos]]&lt;D1843,D1843,ROUND(D1843*(1+Categorias_Registro[[#This Row],[Amplitud]]),0)))</f>
        <v>814</v>
      </c>
      <c r="E1842" s="15">
        <f>E1843+IF(D1843=Categorias_Registro[[#This Row],[Máximo]],0,1)</f>
        <v>16</v>
      </c>
      <c r="F1842" s="15">
        <f>ROUND(Categorias_Registro[[#This Row],[Mínimo]]+((Categorias_Registro[[#This Row],[Máximo]]-Categorias_Registro[[#This Row],[Mínimo]])/2),0)</f>
        <v>762</v>
      </c>
      <c r="G1842" s="78">
        <f>VLOOKUP(Categorias_Registro[[#This Row],[Puntos]],Categorias_Configuracion[],MATCH(Categorias_Configuracion[[#Headers],[% Amplitud]],Categorias_Configuracion[#Headers],0),TRUE)</f>
        <v>0.15</v>
      </c>
      <c r="H1842" s="15" t="str">
        <f ca="1">TEXT(Categorias_Registro[[#This Row],[Mínimo]],Formato_Rango_Categorias)&amp;" - "&amp;TEXT(Categorias_Registro[[#This Row],[Máximo]],Formato_Rango_Categorias)</f>
        <v>709 - 814</v>
      </c>
    </row>
    <row r="1843" spans="2:8">
      <c r="B1843" s="15">
        <f>Techo - ROW() + ROW(Categorias_Registro[])</f>
        <v>786</v>
      </c>
      <c r="C1843" s="15">
        <f>IF(Categorias_Registro[[#This Row],[Puntos]]&lt;=ROUND(Piso,0),Piso,IF(Categorias_Registro[[#This Row],[Puntos]]&lt;D1844,C1844,D1844+1))</f>
        <v>709</v>
      </c>
      <c r="D1843" s="15">
        <f>IF(Categorias_Registro[[#This Row],[Puntos]]=ROUND(Piso,0),ROUND(Categorias_Registro[[#This Row],[Puntos]]*(1+Categorias_Registro[[#This Row],[Amplitud]]),0),IF(Categorias_Registro[[#This Row],[Puntos]]&lt;D1844,D1844,ROUND(D1844*(1+Categorias_Registro[[#This Row],[Amplitud]]),0)))</f>
        <v>814</v>
      </c>
      <c r="E1843" s="15">
        <f>E1844+IF(D1844=Categorias_Registro[[#This Row],[Máximo]],0,1)</f>
        <v>16</v>
      </c>
      <c r="F1843" s="15">
        <f>ROUND(Categorias_Registro[[#This Row],[Mínimo]]+((Categorias_Registro[[#This Row],[Máximo]]-Categorias_Registro[[#This Row],[Mínimo]])/2),0)</f>
        <v>762</v>
      </c>
      <c r="G1843" s="78">
        <f>VLOOKUP(Categorias_Registro[[#This Row],[Puntos]],Categorias_Configuracion[],MATCH(Categorias_Configuracion[[#Headers],[% Amplitud]],Categorias_Configuracion[#Headers],0),TRUE)</f>
        <v>0.15</v>
      </c>
      <c r="H1843" s="15" t="str">
        <f ca="1">TEXT(Categorias_Registro[[#This Row],[Mínimo]],Formato_Rango_Categorias)&amp;" - "&amp;TEXT(Categorias_Registro[[#This Row],[Máximo]],Formato_Rango_Categorias)</f>
        <v>709 - 814</v>
      </c>
    </row>
    <row r="1844" spans="2:8">
      <c r="B1844" s="15">
        <f>Techo - ROW() + ROW(Categorias_Registro[])</f>
        <v>785</v>
      </c>
      <c r="C1844" s="15">
        <f>IF(Categorias_Registro[[#This Row],[Puntos]]&lt;=ROUND(Piso,0),Piso,IF(Categorias_Registro[[#This Row],[Puntos]]&lt;D1845,C1845,D1845+1))</f>
        <v>709</v>
      </c>
      <c r="D1844" s="15">
        <f>IF(Categorias_Registro[[#This Row],[Puntos]]=ROUND(Piso,0),ROUND(Categorias_Registro[[#This Row],[Puntos]]*(1+Categorias_Registro[[#This Row],[Amplitud]]),0),IF(Categorias_Registro[[#This Row],[Puntos]]&lt;D1845,D1845,ROUND(D1845*(1+Categorias_Registro[[#This Row],[Amplitud]]),0)))</f>
        <v>814</v>
      </c>
      <c r="E1844" s="15">
        <f>E1845+IF(D1845=Categorias_Registro[[#This Row],[Máximo]],0,1)</f>
        <v>16</v>
      </c>
      <c r="F1844" s="15">
        <f>ROUND(Categorias_Registro[[#This Row],[Mínimo]]+((Categorias_Registro[[#This Row],[Máximo]]-Categorias_Registro[[#This Row],[Mínimo]])/2),0)</f>
        <v>762</v>
      </c>
      <c r="G1844" s="78">
        <f>VLOOKUP(Categorias_Registro[[#This Row],[Puntos]],Categorias_Configuracion[],MATCH(Categorias_Configuracion[[#Headers],[% Amplitud]],Categorias_Configuracion[#Headers],0),TRUE)</f>
        <v>0.15</v>
      </c>
      <c r="H1844" s="15" t="str">
        <f ca="1">TEXT(Categorias_Registro[[#This Row],[Mínimo]],Formato_Rango_Categorias)&amp;" - "&amp;TEXT(Categorias_Registro[[#This Row],[Máximo]],Formato_Rango_Categorias)</f>
        <v>709 - 814</v>
      </c>
    </row>
    <row r="1845" spans="2:8">
      <c r="B1845" s="15">
        <f>Techo - ROW() + ROW(Categorias_Registro[])</f>
        <v>784</v>
      </c>
      <c r="C1845" s="15">
        <f>IF(Categorias_Registro[[#This Row],[Puntos]]&lt;=ROUND(Piso,0),Piso,IF(Categorias_Registro[[#This Row],[Puntos]]&lt;D1846,C1846,D1846+1))</f>
        <v>709</v>
      </c>
      <c r="D1845" s="15">
        <f>IF(Categorias_Registro[[#This Row],[Puntos]]=ROUND(Piso,0),ROUND(Categorias_Registro[[#This Row],[Puntos]]*(1+Categorias_Registro[[#This Row],[Amplitud]]),0),IF(Categorias_Registro[[#This Row],[Puntos]]&lt;D1846,D1846,ROUND(D1846*(1+Categorias_Registro[[#This Row],[Amplitud]]),0)))</f>
        <v>814</v>
      </c>
      <c r="E1845" s="15">
        <f>E1846+IF(D1846=Categorias_Registro[[#This Row],[Máximo]],0,1)</f>
        <v>16</v>
      </c>
      <c r="F1845" s="15">
        <f>ROUND(Categorias_Registro[[#This Row],[Mínimo]]+((Categorias_Registro[[#This Row],[Máximo]]-Categorias_Registro[[#This Row],[Mínimo]])/2),0)</f>
        <v>762</v>
      </c>
      <c r="G1845" s="78">
        <f>VLOOKUP(Categorias_Registro[[#This Row],[Puntos]],Categorias_Configuracion[],MATCH(Categorias_Configuracion[[#Headers],[% Amplitud]],Categorias_Configuracion[#Headers],0),TRUE)</f>
        <v>0.15</v>
      </c>
      <c r="H1845" s="15" t="str">
        <f ca="1">TEXT(Categorias_Registro[[#This Row],[Mínimo]],Formato_Rango_Categorias)&amp;" - "&amp;TEXT(Categorias_Registro[[#This Row],[Máximo]],Formato_Rango_Categorias)</f>
        <v>709 - 814</v>
      </c>
    </row>
    <row r="1846" spans="2:8">
      <c r="B1846" s="15">
        <f>Techo - ROW() + ROW(Categorias_Registro[])</f>
        <v>783</v>
      </c>
      <c r="C1846" s="15">
        <f>IF(Categorias_Registro[[#This Row],[Puntos]]&lt;=ROUND(Piso,0),Piso,IF(Categorias_Registro[[#This Row],[Puntos]]&lt;D1847,C1847,D1847+1))</f>
        <v>709</v>
      </c>
      <c r="D1846" s="15">
        <f>IF(Categorias_Registro[[#This Row],[Puntos]]=ROUND(Piso,0),ROUND(Categorias_Registro[[#This Row],[Puntos]]*(1+Categorias_Registro[[#This Row],[Amplitud]]),0),IF(Categorias_Registro[[#This Row],[Puntos]]&lt;D1847,D1847,ROUND(D1847*(1+Categorias_Registro[[#This Row],[Amplitud]]),0)))</f>
        <v>814</v>
      </c>
      <c r="E1846" s="15">
        <f>E1847+IF(D1847=Categorias_Registro[[#This Row],[Máximo]],0,1)</f>
        <v>16</v>
      </c>
      <c r="F1846" s="15">
        <f>ROUND(Categorias_Registro[[#This Row],[Mínimo]]+((Categorias_Registro[[#This Row],[Máximo]]-Categorias_Registro[[#This Row],[Mínimo]])/2),0)</f>
        <v>762</v>
      </c>
      <c r="G1846" s="78">
        <f>VLOOKUP(Categorias_Registro[[#This Row],[Puntos]],Categorias_Configuracion[],MATCH(Categorias_Configuracion[[#Headers],[% Amplitud]],Categorias_Configuracion[#Headers],0),TRUE)</f>
        <v>0.15</v>
      </c>
      <c r="H1846" s="15" t="str">
        <f ca="1">TEXT(Categorias_Registro[[#This Row],[Mínimo]],Formato_Rango_Categorias)&amp;" - "&amp;TEXT(Categorias_Registro[[#This Row],[Máximo]],Formato_Rango_Categorias)</f>
        <v>709 - 814</v>
      </c>
    </row>
    <row r="1847" spans="2:8">
      <c r="B1847" s="15">
        <f>Techo - ROW() + ROW(Categorias_Registro[])</f>
        <v>782</v>
      </c>
      <c r="C1847" s="15">
        <f>IF(Categorias_Registro[[#This Row],[Puntos]]&lt;=ROUND(Piso,0),Piso,IF(Categorias_Registro[[#This Row],[Puntos]]&lt;D1848,C1848,D1848+1))</f>
        <v>709</v>
      </c>
      <c r="D1847" s="15">
        <f>IF(Categorias_Registro[[#This Row],[Puntos]]=ROUND(Piso,0),ROUND(Categorias_Registro[[#This Row],[Puntos]]*(1+Categorias_Registro[[#This Row],[Amplitud]]),0),IF(Categorias_Registro[[#This Row],[Puntos]]&lt;D1848,D1848,ROUND(D1848*(1+Categorias_Registro[[#This Row],[Amplitud]]),0)))</f>
        <v>814</v>
      </c>
      <c r="E1847" s="15">
        <f>E1848+IF(D1848=Categorias_Registro[[#This Row],[Máximo]],0,1)</f>
        <v>16</v>
      </c>
      <c r="F1847" s="15">
        <f>ROUND(Categorias_Registro[[#This Row],[Mínimo]]+((Categorias_Registro[[#This Row],[Máximo]]-Categorias_Registro[[#This Row],[Mínimo]])/2),0)</f>
        <v>762</v>
      </c>
      <c r="G1847" s="78">
        <f>VLOOKUP(Categorias_Registro[[#This Row],[Puntos]],Categorias_Configuracion[],MATCH(Categorias_Configuracion[[#Headers],[% Amplitud]],Categorias_Configuracion[#Headers],0),TRUE)</f>
        <v>0.15</v>
      </c>
      <c r="H1847" s="15" t="str">
        <f ca="1">TEXT(Categorias_Registro[[#This Row],[Mínimo]],Formato_Rango_Categorias)&amp;" - "&amp;TEXT(Categorias_Registro[[#This Row],[Máximo]],Formato_Rango_Categorias)</f>
        <v>709 - 814</v>
      </c>
    </row>
    <row r="1848" spans="2:8">
      <c r="B1848" s="15">
        <f>Techo - ROW() + ROW(Categorias_Registro[])</f>
        <v>781</v>
      </c>
      <c r="C1848" s="15">
        <f>IF(Categorias_Registro[[#This Row],[Puntos]]&lt;=ROUND(Piso,0),Piso,IF(Categorias_Registro[[#This Row],[Puntos]]&lt;D1849,C1849,D1849+1))</f>
        <v>709</v>
      </c>
      <c r="D1848" s="15">
        <f>IF(Categorias_Registro[[#This Row],[Puntos]]=ROUND(Piso,0),ROUND(Categorias_Registro[[#This Row],[Puntos]]*(1+Categorias_Registro[[#This Row],[Amplitud]]),0),IF(Categorias_Registro[[#This Row],[Puntos]]&lt;D1849,D1849,ROUND(D1849*(1+Categorias_Registro[[#This Row],[Amplitud]]),0)))</f>
        <v>814</v>
      </c>
      <c r="E1848" s="15">
        <f>E1849+IF(D1849=Categorias_Registro[[#This Row],[Máximo]],0,1)</f>
        <v>16</v>
      </c>
      <c r="F1848" s="15">
        <f>ROUND(Categorias_Registro[[#This Row],[Mínimo]]+((Categorias_Registro[[#This Row],[Máximo]]-Categorias_Registro[[#This Row],[Mínimo]])/2),0)</f>
        <v>762</v>
      </c>
      <c r="G1848" s="78">
        <f>VLOOKUP(Categorias_Registro[[#This Row],[Puntos]],Categorias_Configuracion[],MATCH(Categorias_Configuracion[[#Headers],[% Amplitud]],Categorias_Configuracion[#Headers],0),TRUE)</f>
        <v>0.15</v>
      </c>
      <c r="H1848" s="15" t="str">
        <f ca="1">TEXT(Categorias_Registro[[#This Row],[Mínimo]],Formato_Rango_Categorias)&amp;" - "&amp;TEXT(Categorias_Registro[[#This Row],[Máximo]],Formato_Rango_Categorias)</f>
        <v>709 - 814</v>
      </c>
    </row>
    <row r="1849" spans="2:8">
      <c r="B1849" s="15">
        <f>Techo - ROW() + ROW(Categorias_Registro[])</f>
        <v>780</v>
      </c>
      <c r="C1849" s="15">
        <f>IF(Categorias_Registro[[#This Row],[Puntos]]&lt;=ROUND(Piso,0),Piso,IF(Categorias_Registro[[#This Row],[Puntos]]&lt;D1850,C1850,D1850+1))</f>
        <v>709</v>
      </c>
      <c r="D1849" s="15">
        <f>IF(Categorias_Registro[[#This Row],[Puntos]]=ROUND(Piso,0),ROUND(Categorias_Registro[[#This Row],[Puntos]]*(1+Categorias_Registro[[#This Row],[Amplitud]]),0),IF(Categorias_Registro[[#This Row],[Puntos]]&lt;D1850,D1850,ROUND(D1850*(1+Categorias_Registro[[#This Row],[Amplitud]]),0)))</f>
        <v>814</v>
      </c>
      <c r="E1849" s="15">
        <f>E1850+IF(D1850=Categorias_Registro[[#This Row],[Máximo]],0,1)</f>
        <v>16</v>
      </c>
      <c r="F1849" s="15">
        <f>ROUND(Categorias_Registro[[#This Row],[Mínimo]]+((Categorias_Registro[[#This Row],[Máximo]]-Categorias_Registro[[#This Row],[Mínimo]])/2),0)</f>
        <v>762</v>
      </c>
      <c r="G1849" s="78">
        <f>VLOOKUP(Categorias_Registro[[#This Row],[Puntos]],Categorias_Configuracion[],MATCH(Categorias_Configuracion[[#Headers],[% Amplitud]],Categorias_Configuracion[#Headers],0),TRUE)</f>
        <v>0.15</v>
      </c>
      <c r="H1849" s="15" t="str">
        <f ca="1">TEXT(Categorias_Registro[[#This Row],[Mínimo]],Formato_Rango_Categorias)&amp;" - "&amp;TEXT(Categorias_Registro[[#This Row],[Máximo]],Formato_Rango_Categorias)</f>
        <v>709 - 814</v>
      </c>
    </row>
    <row r="1850" spans="2:8">
      <c r="B1850" s="15">
        <f>Techo - ROW() + ROW(Categorias_Registro[])</f>
        <v>779</v>
      </c>
      <c r="C1850" s="15">
        <f>IF(Categorias_Registro[[#This Row],[Puntos]]&lt;=ROUND(Piso,0),Piso,IF(Categorias_Registro[[#This Row],[Puntos]]&lt;D1851,C1851,D1851+1))</f>
        <v>709</v>
      </c>
      <c r="D1850" s="15">
        <f>IF(Categorias_Registro[[#This Row],[Puntos]]=ROUND(Piso,0),ROUND(Categorias_Registro[[#This Row],[Puntos]]*(1+Categorias_Registro[[#This Row],[Amplitud]]),0),IF(Categorias_Registro[[#This Row],[Puntos]]&lt;D1851,D1851,ROUND(D1851*(1+Categorias_Registro[[#This Row],[Amplitud]]),0)))</f>
        <v>814</v>
      </c>
      <c r="E1850" s="15">
        <f>E1851+IF(D1851=Categorias_Registro[[#This Row],[Máximo]],0,1)</f>
        <v>16</v>
      </c>
      <c r="F1850" s="15">
        <f>ROUND(Categorias_Registro[[#This Row],[Mínimo]]+((Categorias_Registro[[#This Row],[Máximo]]-Categorias_Registro[[#This Row],[Mínimo]])/2),0)</f>
        <v>762</v>
      </c>
      <c r="G1850" s="78">
        <f>VLOOKUP(Categorias_Registro[[#This Row],[Puntos]],Categorias_Configuracion[],MATCH(Categorias_Configuracion[[#Headers],[% Amplitud]],Categorias_Configuracion[#Headers],0),TRUE)</f>
        <v>0.15</v>
      </c>
      <c r="H1850" s="15" t="str">
        <f ca="1">TEXT(Categorias_Registro[[#This Row],[Mínimo]],Formato_Rango_Categorias)&amp;" - "&amp;TEXT(Categorias_Registro[[#This Row],[Máximo]],Formato_Rango_Categorias)</f>
        <v>709 - 814</v>
      </c>
    </row>
    <row r="1851" spans="2:8">
      <c r="B1851" s="15">
        <f>Techo - ROW() + ROW(Categorias_Registro[])</f>
        <v>778</v>
      </c>
      <c r="C1851" s="15">
        <f>IF(Categorias_Registro[[#This Row],[Puntos]]&lt;=ROUND(Piso,0),Piso,IF(Categorias_Registro[[#This Row],[Puntos]]&lt;D1852,C1852,D1852+1))</f>
        <v>709</v>
      </c>
      <c r="D1851" s="15">
        <f>IF(Categorias_Registro[[#This Row],[Puntos]]=ROUND(Piso,0),ROUND(Categorias_Registro[[#This Row],[Puntos]]*(1+Categorias_Registro[[#This Row],[Amplitud]]),0),IF(Categorias_Registro[[#This Row],[Puntos]]&lt;D1852,D1852,ROUND(D1852*(1+Categorias_Registro[[#This Row],[Amplitud]]),0)))</f>
        <v>814</v>
      </c>
      <c r="E1851" s="15">
        <f>E1852+IF(D1852=Categorias_Registro[[#This Row],[Máximo]],0,1)</f>
        <v>16</v>
      </c>
      <c r="F1851" s="15">
        <f>ROUND(Categorias_Registro[[#This Row],[Mínimo]]+((Categorias_Registro[[#This Row],[Máximo]]-Categorias_Registro[[#This Row],[Mínimo]])/2),0)</f>
        <v>762</v>
      </c>
      <c r="G1851" s="78">
        <f>VLOOKUP(Categorias_Registro[[#This Row],[Puntos]],Categorias_Configuracion[],MATCH(Categorias_Configuracion[[#Headers],[% Amplitud]],Categorias_Configuracion[#Headers],0),TRUE)</f>
        <v>0.15</v>
      </c>
      <c r="H1851" s="15" t="str">
        <f ca="1">TEXT(Categorias_Registro[[#This Row],[Mínimo]],Formato_Rango_Categorias)&amp;" - "&amp;TEXT(Categorias_Registro[[#This Row],[Máximo]],Formato_Rango_Categorias)</f>
        <v>709 - 814</v>
      </c>
    </row>
    <row r="1852" spans="2:8">
      <c r="B1852" s="15">
        <f>Techo - ROW() + ROW(Categorias_Registro[])</f>
        <v>777</v>
      </c>
      <c r="C1852" s="15">
        <f>IF(Categorias_Registro[[#This Row],[Puntos]]&lt;=ROUND(Piso,0),Piso,IF(Categorias_Registro[[#This Row],[Puntos]]&lt;D1853,C1853,D1853+1))</f>
        <v>709</v>
      </c>
      <c r="D1852" s="15">
        <f>IF(Categorias_Registro[[#This Row],[Puntos]]=ROUND(Piso,0),ROUND(Categorias_Registro[[#This Row],[Puntos]]*(1+Categorias_Registro[[#This Row],[Amplitud]]),0),IF(Categorias_Registro[[#This Row],[Puntos]]&lt;D1853,D1853,ROUND(D1853*(1+Categorias_Registro[[#This Row],[Amplitud]]),0)))</f>
        <v>814</v>
      </c>
      <c r="E1852" s="15">
        <f>E1853+IF(D1853=Categorias_Registro[[#This Row],[Máximo]],0,1)</f>
        <v>16</v>
      </c>
      <c r="F1852" s="15">
        <f>ROUND(Categorias_Registro[[#This Row],[Mínimo]]+((Categorias_Registro[[#This Row],[Máximo]]-Categorias_Registro[[#This Row],[Mínimo]])/2),0)</f>
        <v>762</v>
      </c>
      <c r="G1852" s="78">
        <f>VLOOKUP(Categorias_Registro[[#This Row],[Puntos]],Categorias_Configuracion[],MATCH(Categorias_Configuracion[[#Headers],[% Amplitud]],Categorias_Configuracion[#Headers],0),TRUE)</f>
        <v>0.15</v>
      </c>
      <c r="H1852" s="15" t="str">
        <f ca="1">TEXT(Categorias_Registro[[#This Row],[Mínimo]],Formato_Rango_Categorias)&amp;" - "&amp;TEXT(Categorias_Registro[[#This Row],[Máximo]],Formato_Rango_Categorias)</f>
        <v>709 - 814</v>
      </c>
    </row>
    <row r="1853" spans="2:8">
      <c r="B1853" s="15">
        <f>Techo - ROW() + ROW(Categorias_Registro[])</f>
        <v>776</v>
      </c>
      <c r="C1853" s="15">
        <f>IF(Categorias_Registro[[#This Row],[Puntos]]&lt;=ROUND(Piso,0),Piso,IF(Categorias_Registro[[#This Row],[Puntos]]&lt;D1854,C1854,D1854+1))</f>
        <v>709</v>
      </c>
      <c r="D1853" s="15">
        <f>IF(Categorias_Registro[[#This Row],[Puntos]]=ROUND(Piso,0),ROUND(Categorias_Registro[[#This Row],[Puntos]]*(1+Categorias_Registro[[#This Row],[Amplitud]]),0),IF(Categorias_Registro[[#This Row],[Puntos]]&lt;D1854,D1854,ROUND(D1854*(1+Categorias_Registro[[#This Row],[Amplitud]]),0)))</f>
        <v>814</v>
      </c>
      <c r="E1853" s="15">
        <f>E1854+IF(D1854=Categorias_Registro[[#This Row],[Máximo]],0,1)</f>
        <v>16</v>
      </c>
      <c r="F1853" s="15">
        <f>ROUND(Categorias_Registro[[#This Row],[Mínimo]]+((Categorias_Registro[[#This Row],[Máximo]]-Categorias_Registro[[#This Row],[Mínimo]])/2),0)</f>
        <v>762</v>
      </c>
      <c r="G1853" s="78">
        <f>VLOOKUP(Categorias_Registro[[#This Row],[Puntos]],Categorias_Configuracion[],MATCH(Categorias_Configuracion[[#Headers],[% Amplitud]],Categorias_Configuracion[#Headers],0),TRUE)</f>
        <v>0.15</v>
      </c>
      <c r="H1853" s="15" t="str">
        <f ca="1">TEXT(Categorias_Registro[[#This Row],[Mínimo]],Formato_Rango_Categorias)&amp;" - "&amp;TEXT(Categorias_Registro[[#This Row],[Máximo]],Formato_Rango_Categorias)</f>
        <v>709 - 814</v>
      </c>
    </row>
    <row r="1854" spans="2:8">
      <c r="B1854" s="15">
        <f>Techo - ROW() + ROW(Categorias_Registro[])</f>
        <v>775</v>
      </c>
      <c r="C1854" s="15">
        <f>IF(Categorias_Registro[[#This Row],[Puntos]]&lt;=ROUND(Piso,0),Piso,IF(Categorias_Registro[[#This Row],[Puntos]]&lt;D1855,C1855,D1855+1))</f>
        <v>709</v>
      </c>
      <c r="D1854" s="15">
        <f>IF(Categorias_Registro[[#This Row],[Puntos]]=ROUND(Piso,0),ROUND(Categorias_Registro[[#This Row],[Puntos]]*(1+Categorias_Registro[[#This Row],[Amplitud]]),0),IF(Categorias_Registro[[#This Row],[Puntos]]&lt;D1855,D1855,ROUND(D1855*(1+Categorias_Registro[[#This Row],[Amplitud]]),0)))</f>
        <v>814</v>
      </c>
      <c r="E1854" s="15">
        <f>E1855+IF(D1855=Categorias_Registro[[#This Row],[Máximo]],0,1)</f>
        <v>16</v>
      </c>
      <c r="F1854" s="15">
        <f>ROUND(Categorias_Registro[[#This Row],[Mínimo]]+((Categorias_Registro[[#This Row],[Máximo]]-Categorias_Registro[[#This Row],[Mínimo]])/2),0)</f>
        <v>762</v>
      </c>
      <c r="G1854" s="78">
        <f>VLOOKUP(Categorias_Registro[[#This Row],[Puntos]],Categorias_Configuracion[],MATCH(Categorias_Configuracion[[#Headers],[% Amplitud]],Categorias_Configuracion[#Headers],0),TRUE)</f>
        <v>0.15</v>
      </c>
      <c r="H1854" s="15" t="str">
        <f ca="1">TEXT(Categorias_Registro[[#This Row],[Mínimo]],Formato_Rango_Categorias)&amp;" - "&amp;TEXT(Categorias_Registro[[#This Row],[Máximo]],Formato_Rango_Categorias)</f>
        <v>709 - 814</v>
      </c>
    </row>
    <row r="1855" spans="2:8">
      <c r="B1855" s="15">
        <f>Techo - ROW() + ROW(Categorias_Registro[])</f>
        <v>774</v>
      </c>
      <c r="C1855" s="15">
        <f>IF(Categorias_Registro[[#This Row],[Puntos]]&lt;=ROUND(Piso,0),Piso,IF(Categorias_Registro[[#This Row],[Puntos]]&lt;D1856,C1856,D1856+1))</f>
        <v>709</v>
      </c>
      <c r="D1855" s="15">
        <f>IF(Categorias_Registro[[#This Row],[Puntos]]=ROUND(Piso,0),ROUND(Categorias_Registro[[#This Row],[Puntos]]*(1+Categorias_Registro[[#This Row],[Amplitud]]),0),IF(Categorias_Registro[[#This Row],[Puntos]]&lt;D1856,D1856,ROUND(D1856*(1+Categorias_Registro[[#This Row],[Amplitud]]),0)))</f>
        <v>814</v>
      </c>
      <c r="E1855" s="15">
        <f>E1856+IF(D1856=Categorias_Registro[[#This Row],[Máximo]],0,1)</f>
        <v>16</v>
      </c>
      <c r="F1855" s="15">
        <f>ROUND(Categorias_Registro[[#This Row],[Mínimo]]+((Categorias_Registro[[#This Row],[Máximo]]-Categorias_Registro[[#This Row],[Mínimo]])/2),0)</f>
        <v>762</v>
      </c>
      <c r="G1855" s="78">
        <f>VLOOKUP(Categorias_Registro[[#This Row],[Puntos]],Categorias_Configuracion[],MATCH(Categorias_Configuracion[[#Headers],[% Amplitud]],Categorias_Configuracion[#Headers],0),TRUE)</f>
        <v>0.15</v>
      </c>
      <c r="H1855" s="15" t="str">
        <f ca="1">TEXT(Categorias_Registro[[#This Row],[Mínimo]],Formato_Rango_Categorias)&amp;" - "&amp;TEXT(Categorias_Registro[[#This Row],[Máximo]],Formato_Rango_Categorias)</f>
        <v>709 - 814</v>
      </c>
    </row>
    <row r="1856" spans="2:8">
      <c r="B1856" s="15">
        <f>Techo - ROW() + ROW(Categorias_Registro[])</f>
        <v>773</v>
      </c>
      <c r="C1856" s="15">
        <f>IF(Categorias_Registro[[#This Row],[Puntos]]&lt;=ROUND(Piso,0),Piso,IF(Categorias_Registro[[#This Row],[Puntos]]&lt;D1857,C1857,D1857+1))</f>
        <v>709</v>
      </c>
      <c r="D1856" s="15">
        <f>IF(Categorias_Registro[[#This Row],[Puntos]]=ROUND(Piso,0),ROUND(Categorias_Registro[[#This Row],[Puntos]]*(1+Categorias_Registro[[#This Row],[Amplitud]]),0),IF(Categorias_Registro[[#This Row],[Puntos]]&lt;D1857,D1857,ROUND(D1857*(1+Categorias_Registro[[#This Row],[Amplitud]]),0)))</f>
        <v>814</v>
      </c>
      <c r="E1856" s="15">
        <f>E1857+IF(D1857=Categorias_Registro[[#This Row],[Máximo]],0,1)</f>
        <v>16</v>
      </c>
      <c r="F1856" s="15">
        <f>ROUND(Categorias_Registro[[#This Row],[Mínimo]]+((Categorias_Registro[[#This Row],[Máximo]]-Categorias_Registro[[#This Row],[Mínimo]])/2),0)</f>
        <v>762</v>
      </c>
      <c r="G1856" s="78">
        <f>VLOOKUP(Categorias_Registro[[#This Row],[Puntos]],Categorias_Configuracion[],MATCH(Categorias_Configuracion[[#Headers],[% Amplitud]],Categorias_Configuracion[#Headers],0),TRUE)</f>
        <v>0.15</v>
      </c>
      <c r="H1856" s="15" t="str">
        <f ca="1">TEXT(Categorias_Registro[[#This Row],[Mínimo]],Formato_Rango_Categorias)&amp;" - "&amp;TEXT(Categorias_Registro[[#This Row],[Máximo]],Formato_Rango_Categorias)</f>
        <v>709 - 814</v>
      </c>
    </row>
    <row r="1857" spans="2:8">
      <c r="B1857" s="15">
        <f>Techo - ROW() + ROW(Categorias_Registro[])</f>
        <v>772</v>
      </c>
      <c r="C1857" s="15">
        <f>IF(Categorias_Registro[[#This Row],[Puntos]]&lt;=ROUND(Piso,0),Piso,IF(Categorias_Registro[[#This Row],[Puntos]]&lt;D1858,C1858,D1858+1))</f>
        <v>709</v>
      </c>
      <c r="D1857" s="15">
        <f>IF(Categorias_Registro[[#This Row],[Puntos]]=ROUND(Piso,0),ROUND(Categorias_Registro[[#This Row],[Puntos]]*(1+Categorias_Registro[[#This Row],[Amplitud]]),0),IF(Categorias_Registro[[#This Row],[Puntos]]&lt;D1858,D1858,ROUND(D1858*(1+Categorias_Registro[[#This Row],[Amplitud]]),0)))</f>
        <v>814</v>
      </c>
      <c r="E1857" s="15">
        <f>E1858+IF(D1858=Categorias_Registro[[#This Row],[Máximo]],0,1)</f>
        <v>16</v>
      </c>
      <c r="F1857" s="15">
        <f>ROUND(Categorias_Registro[[#This Row],[Mínimo]]+((Categorias_Registro[[#This Row],[Máximo]]-Categorias_Registro[[#This Row],[Mínimo]])/2),0)</f>
        <v>762</v>
      </c>
      <c r="G1857" s="78">
        <f>VLOOKUP(Categorias_Registro[[#This Row],[Puntos]],Categorias_Configuracion[],MATCH(Categorias_Configuracion[[#Headers],[% Amplitud]],Categorias_Configuracion[#Headers],0),TRUE)</f>
        <v>0.15</v>
      </c>
      <c r="H1857" s="15" t="str">
        <f ca="1">TEXT(Categorias_Registro[[#This Row],[Mínimo]],Formato_Rango_Categorias)&amp;" - "&amp;TEXT(Categorias_Registro[[#This Row],[Máximo]],Formato_Rango_Categorias)</f>
        <v>709 - 814</v>
      </c>
    </row>
    <row r="1858" spans="2:8">
      <c r="B1858" s="15">
        <f>Techo - ROW() + ROW(Categorias_Registro[])</f>
        <v>771</v>
      </c>
      <c r="C1858" s="15">
        <f>IF(Categorias_Registro[[#This Row],[Puntos]]&lt;=ROUND(Piso,0),Piso,IF(Categorias_Registro[[#This Row],[Puntos]]&lt;D1859,C1859,D1859+1))</f>
        <v>709</v>
      </c>
      <c r="D1858" s="15">
        <f>IF(Categorias_Registro[[#This Row],[Puntos]]=ROUND(Piso,0),ROUND(Categorias_Registro[[#This Row],[Puntos]]*(1+Categorias_Registro[[#This Row],[Amplitud]]),0),IF(Categorias_Registro[[#This Row],[Puntos]]&lt;D1859,D1859,ROUND(D1859*(1+Categorias_Registro[[#This Row],[Amplitud]]),0)))</f>
        <v>814</v>
      </c>
      <c r="E1858" s="15">
        <f>E1859+IF(D1859=Categorias_Registro[[#This Row],[Máximo]],0,1)</f>
        <v>16</v>
      </c>
      <c r="F1858" s="15">
        <f>ROUND(Categorias_Registro[[#This Row],[Mínimo]]+((Categorias_Registro[[#This Row],[Máximo]]-Categorias_Registro[[#This Row],[Mínimo]])/2),0)</f>
        <v>762</v>
      </c>
      <c r="G1858" s="78">
        <f>VLOOKUP(Categorias_Registro[[#This Row],[Puntos]],Categorias_Configuracion[],MATCH(Categorias_Configuracion[[#Headers],[% Amplitud]],Categorias_Configuracion[#Headers],0),TRUE)</f>
        <v>0.15</v>
      </c>
      <c r="H1858" s="15" t="str">
        <f ca="1">TEXT(Categorias_Registro[[#This Row],[Mínimo]],Formato_Rango_Categorias)&amp;" - "&amp;TEXT(Categorias_Registro[[#This Row],[Máximo]],Formato_Rango_Categorias)</f>
        <v>709 - 814</v>
      </c>
    </row>
    <row r="1859" spans="2:8">
      <c r="B1859" s="15">
        <f>Techo - ROW() + ROW(Categorias_Registro[])</f>
        <v>770</v>
      </c>
      <c r="C1859" s="15">
        <f>IF(Categorias_Registro[[#This Row],[Puntos]]&lt;=ROUND(Piso,0),Piso,IF(Categorias_Registro[[#This Row],[Puntos]]&lt;D1860,C1860,D1860+1))</f>
        <v>709</v>
      </c>
      <c r="D1859" s="15">
        <f>IF(Categorias_Registro[[#This Row],[Puntos]]=ROUND(Piso,0),ROUND(Categorias_Registro[[#This Row],[Puntos]]*(1+Categorias_Registro[[#This Row],[Amplitud]]),0),IF(Categorias_Registro[[#This Row],[Puntos]]&lt;D1860,D1860,ROUND(D1860*(1+Categorias_Registro[[#This Row],[Amplitud]]),0)))</f>
        <v>814</v>
      </c>
      <c r="E1859" s="15">
        <f>E1860+IF(D1860=Categorias_Registro[[#This Row],[Máximo]],0,1)</f>
        <v>16</v>
      </c>
      <c r="F1859" s="15">
        <f>ROUND(Categorias_Registro[[#This Row],[Mínimo]]+((Categorias_Registro[[#This Row],[Máximo]]-Categorias_Registro[[#This Row],[Mínimo]])/2),0)</f>
        <v>762</v>
      </c>
      <c r="G1859" s="78">
        <f>VLOOKUP(Categorias_Registro[[#This Row],[Puntos]],Categorias_Configuracion[],MATCH(Categorias_Configuracion[[#Headers],[% Amplitud]],Categorias_Configuracion[#Headers],0),TRUE)</f>
        <v>0.15</v>
      </c>
      <c r="H1859" s="15" t="str">
        <f ca="1">TEXT(Categorias_Registro[[#This Row],[Mínimo]],Formato_Rango_Categorias)&amp;" - "&amp;TEXT(Categorias_Registro[[#This Row],[Máximo]],Formato_Rango_Categorias)</f>
        <v>709 - 814</v>
      </c>
    </row>
    <row r="1860" spans="2:8">
      <c r="B1860" s="15">
        <f>Techo - ROW() + ROW(Categorias_Registro[])</f>
        <v>769</v>
      </c>
      <c r="C1860" s="15">
        <f>IF(Categorias_Registro[[#This Row],[Puntos]]&lt;=ROUND(Piso,0),Piso,IF(Categorias_Registro[[#This Row],[Puntos]]&lt;D1861,C1861,D1861+1))</f>
        <v>709</v>
      </c>
      <c r="D1860" s="15">
        <f>IF(Categorias_Registro[[#This Row],[Puntos]]=ROUND(Piso,0),ROUND(Categorias_Registro[[#This Row],[Puntos]]*(1+Categorias_Registro[[#This Row],[Amplitud]]),0),IF(Categorias_Registro[[#This Row],[Puntos]]&lt;D1861,D1861,ROUND(D1861*(1+Categorias_Registro[[#This Row],[Amplitud]]),0)))</f>
        <v>814</v>
      </c>
      <c r="E1860" s="15">
        <f>E1861+IF(D1861=Categorias_Registro[[#This Row],[Máximo]],0,1)</f>
        <v>16</v>
      </c>
      <c r="F1860" s="15">
        <f>ROUND(Categorias_Registro[[#This Row],[Mínimo]]+((Categorias_Registro[[#This Row],[Máximo]]-Categorias_Registro[[#This Row],[Mínimo]])/2),0)</f>
        <v>762</v>
      </c>
      <c r="G1860" s="78">
        <f>VLOOKUP(Categorias_Registro[[#This Row],[Puntos]],Categorias_Configuracion[],MATCH(Categorias_Configuracion[[#Headers],[% Amplitud]],Categorias_Configuracion[#Headers],0),TRUE)</f>
        <v>0.15</v>
      </c>
      <c r="H1860" s="15" t="str">
        <f ca="1">TEXT(Categorias_Registro[[#This Row],[Mínimo]],Formato_Rango_Categorias)&amp;" - "&amp;TEXT(Categorias_Registro[[#This Row],[Máximo]],Formato_Rango_Categorias)</f>
        <v>709 - 814</v>
      </c>
    </row>
    <row r="1861" spans="2:8">
      <c r="B1861" s="15">
        <f>Techo - ROW() + ROW(Categorias_Registro[])</f>
        <v>768</v>
      </c>
      <c r="C1861" s="15">
        <f>IF(Categorias_Registro[[#This Row],[Puntos]]&lt;=ROUND(Piso,0),Piso,IF(Categorias_Registro[[#This Row],[Puntos]]&lt;D1862,C1862,D1862+1))</f>
        <v>709</v>
      </c>
      <c r="D1861" s="15">
        <f>IF(Categorias_Registro[[#This Row],[Puntos]]=ROUND(Piso,0),ROUND(Categorias_Registro[[#This Row],[Puntos]]*(1+Categorias_Registro[[#This Row],[Amplitud]]),0),IF(Categorias_Registro[[#This Row],[Puntos]]&lt;D1862,D1862,ROUND(D1862*(1+Categorias_Registro[[#This Row],[Amplitud]]),0)))</f>
        <v>814</v>
      </c>
      <c r="E1861" s="15">
        <f>E1862+IF(D1862=Categorias_Registro[[#This Row],[Máximo]],0,1)</f>
        <v>16</v>
      </c>
      <c r="F1861" s="15">
        <f>ROUND(Categorias_Registro[[#This Row],[Mínimo]]+((Categorias_Registro[[#This Row],[Máximo]]-Categorias_Registro[[#This Row],[Mínimo]])/2),0)</f>
        <v>762</v>
      </c>
      <c r="G1861" s="78">
        <f>VLOOKUP(Categorias_Registro[[#This Row],[Puntos]],Categorias_Configuracion[],MATCH(Categorias_Configuracion[[#Headers],[% Amplitud]],Categorias_Configuracion[#Headers],0),TRUE)</f>
        <v>0.15</v>
      </c>
      <c r="H1861" s="15" t="str">
        <f ca="1">TEXT(Categorias_Registro[[#This Row],[Mínimo]],Formato_Rango_Categorias)&amp;" - "&amp;TEXT(Categorias_Registro[[#This Row],[Máximo]],Formato_Rango_Categorias)</f>
        <v>709 - 814</v>
      </c>
    </row>
    <row r="1862" spans="2:8">
      <c r="B1862" s="15">
        <f>Techo - ROW() + ROW(Categorias_Registro[])</f>
        <v>767</v>
      </c>
      <c r="C1862" s="15">
        <f>IF(Categorias_Registro[[#This Row],[Puntos]]&lt;=ROUND(Piso,0),Piso,IF(Categorias_Registro[[#This Row],[Puntos]]&lt;D1863,C1863,D1863+1))</f>
        <v>709</v>
      </c>
      <c r="D1862" s="15">
        <f>IF(Categorias_Registro[[#This Row],[Puntos]]=ROUND(Piso,0),ROUND(Categorias_Registro[[#This Row],[Puntos]]*(1+Categorias_Registro[[#This Row],[Amplitud]]),0),IF(Categorias_Registro[[#This Row],[Puntos]]&lt;D1863,D1863,ROUND(D1863*(1+Categorias_Registro[[#This Row],[Amplitud]]),0)))</f>
        <v>814</v>
      </c>
      <c r="E1862" s="15">
        <f>E1863+IF(D1863=Categorias_Registro[[#This Row],[Máximo]],0,1)</f>
        <v>16</v>
      </c>
      <c r="F1862" s="15">
        <f>ROUND(Categorias_Registro[[#This Row],[Mínimo]]+((Categorias_Registro[[#This Row],[Máximo]]-Categorias_Registro[[#This Row],[Mínimo]])/2),0)</f>
        <v>762</v>
      </c>
      <c r="G1862" s="78">
        <f>VLOOKUP(Categorias_Registro[[#This Row],[Puntos]],Categorias_Configuracion[],MATCH(Categorias_Configuracion[[#Headers],[% Amplitud]],Categorias_Configuracion[#Headers],0),TRUE)</f>
        <v>0.15</v>
      </c>
      <c r="H1862" s="15" t="str">
        <f ca="1">TEXT(Categorias_Registro[[#This Row],[Mínimo]],Formato_Rango_Categorias)&amp;" - "&amp;TEXT(Categorias_Registro[[#This Row],[Máximo]],Formato_Rango_Categorias)</f>
        <v>709 - 814</v>
      </c>
    </row>
    <row r="1863" spans="2:8">
      <c r="B1863" s="15">
        <f>Techo - ROW() + ROW(Categorias_Registro[])</f>
        <v>766</v>
      </c>
      <c r="C1863" s="15">
        <f>IF(Categorias_Registro[[#This Row],[Puntos]]&lt;=ROUND(Piso,0),Piso,IF(Categorias_Registro[[#This Row],[Puntos]]&lt;D1864,C1864,D1864+1))</f>
        <v>709</v>
      </c>
      <c r="D1863" s="15">
        <f>IF(Categorias_Registro[[#This Row],[Puntos]]=ROUND(Piso,0),ROUND(Categorias_Registro[[#This Row],[Puntos]]*(1+Categorias_Registro[[#This Row],[Amplitud]]),0),IF(Categorias_Registro[[#This Row],[Puntos]]&lt;D1864,D1864,ROUND(D1864*(1+Categorias_Registro[[#This Row],[Amplitud]]),0)))</f>
        <v>814</v>
      </c>
      <c r="E1863" s="15">
        <f>E1864+IF(D1864=Categorias_Registro[[#This Row],[Máximo]],0,1)</f>
        <v>16</v>
      </c>
      <c r="F1863" s="15">
        <f>ROUND(Categorias_Registro[[#This Row],[Mínimo]]+((Categorias_Registro[[#This Row],[Máximo]]-Categorias_Registro[[#This Row],[Mínimo]])/2),0)</f>
        <v>762</v>
      </c>
      <c r="G1863" s="78">
        <f>VLOOKUP(Categorias_Registro[[#This Row],[Puntos]],Categorias_Configuracion[],MATCH(Categorias_Configuracion[[#Headers],[% Amplitud]],Categorias_Configuracion[#Headers],0),TRUE)</f>
        <v>0.15</v>
      </c>
      <c r="H1863" s="15" t="str">
        <f ca="1">TEXT(Categorias_Registro[[#This Row],[Mínimo]],Formato_Rango_Categorias)&amp;" - "&amp;TEXT(Categorias_Registro[[#This Row],[Máximo]],Formato_Rango_Categorias)</f>
        <v>709 - 814</v>
      </c>
    </row>
    <row r="1864" spans="2:8">
      <c r="B1864" s="15">
        <f>Techo - ROW() + ROW(Categorias_Registro[])</f>
        <v>765</v>
      </c>
      <c r="C1864" s="15">
        <f>IF(Categorias_Registro[[#This Row],[Puntos]]&lt;=ROUND(Piso,0),Piso,IF(Categorias_Registro[[#This Row],[Puntos]]&lt;D1865,C1865,D1865+1))</f>
        <v>709</v>
      </c>
      <c r="D1864" s="15">
        <f>IF(Categorias_Registro[[#This Row],[Puntos]]=ROUND(Piso,0),ROUND(Categorias_Registro[[#This Row],[Puntos]]*(1+Categorias_Registro[[#This Row],[Amplitud]]),0),IF(Categorias_Registro[[#This Row],[Puntos]]&lt;D1865,D1865,ROUND(D1865*(1+Categorias_Registro[[#This Row],[Amplitud]]),0)))</f>
        <v>814</v>
      </c>
      <c r="E1864" s="15">
        <f>E1865+IF(D1865=Categorias_Registro[[#This Row],[Máximo]],0,1)</f>
        <v>16</v>
      </c>
      <c r="F1864" s="15">
        <f>ROUND(Categorias_Registro[[#This Row],[Mínimo]]+((Categorias_Registro[[#This Row],[Máximo]]-Categorias_Registro[[#This Row],[Mínimo]])/2),0)</f>
        <v>762</v>
      </c>
      <c r="G1864" s="78">
        <f>VLOOKUP(Categorias_Registro[[#This Row],[Puntos]],Categorias_Configuracion[],MATCH(Categorias_Configuracion[[#Headers],[% Amplitud]],Categorias_Configuracion[#Headers],0),TRUE)</f>
        <v>0.15</v>
      </c>
      <c r="H1864" s="15" t="str">
        <f ca="1">TEXT(Categorias_Registro[[#This Row],[Mínimo]],Formato_Rango_Categorias)&amp;" - "&amp;TEXT(Categorias_Registro[[#This Row],[Máximo]],Formato_Rango_Categorias)</f>
        <v>709 - 814</v>
      </c>
    </row>
    <row r="1865" spans="2:8">
      <c r="B1865" s="15">
        <f>Techo - ROW() + ROW(Categorias_Registro[])</f>
        <v>764</v>
      </c>
      <c r="C1865" s="15">
        <f>IF(Categorias_Registro[[#This Row],[Puntos]]&lt;=ROUND(Piso,0),Piso,IF(Categorias_Registro[[#This Row],[Puntos]]&lt;D1866,C1866,D1866+1))</f>
        <v>709</v>
      </c>
      <c r="D1865" s="15">
        <f>IF(Categorias_Registro[[#This Row],[Puntos]]=ROUND(Piso,0),ROUND(Categorias_Registro[[#This Row],[Puntos]]*(1+Categorias_Registro[[#This Row],[Amplitud]]),0),IF(Categorias_Registro[[#This Row],[Puntos]]&lt;D1866,D1866,ROUND(D1866*(1+Categorias_Registro[[#This Row],[Amplitud]]),0)))</f>
        <v>814</v>
      </c>
      <c r="E1865" s="15">
        <f>E1866+IF(D1866=Categorias_Registro[[#This Row],[Máximo]],0,1)</f>
        <v>16</v>
      </c>
      <c r="F1865" s="15">
        <f>ROUND(Categorias_Registro[[#This Row],[Mínimo]]+((Categorias_Registro[[#This Row],[Máximo]]-Categorias_Registro[[#This Row],[Mínimo]])/2),0)</f>
        <v>762</v>
      </c>
      <c r="G1865" s="78">
        <f>VLOOKUP(Categorias_Registro[[#This Row],[Puntos]],Categorias_Configuracion[],MATCH(Categorias_Configuracion[[#Headers],[% Amplitud]],Categorias_Configuracion[#Headers],0),TRUE)</f>
        <v>0.15</v>
      </c>
      <c r="H1865" s="15" t="str">
        <f ca="1">TEXT(Categorias_Registro[[#This Row],[Mínimo]],Formato_Rango_Categorias)&amp;" - "&amp;TEXT(Categorias_Registro[[#This Row],[Máximo]],Formato_Rango_Categorias)</f>
        <v>709 - 814</v>
      </c>
    </row>
    <row r="1866" spans="2:8">
      <c r="B1866" s="15">
        <f>Techo - ROW() + ROW(Categorias_Registro[])</f>
        <v>763</v>
      </c>
      <c r="C1866" s="15">
        <f>IF(Categorias_Registro[[#This Row],[Puntos]]&lt;=ROUND(Piso,0),Piso,IF(Categorias_Registro[[#This Row],[Puntos]]&lt;D1867,C1867,D1867+1))</f>
        <v>709</v>
      </c>
      <c r="D1866" s="15">
        <f>IF(Categorias_Registro[[#This Row],[Puntos]]=ROUND(Piso,0),ROUND(Categorias_Registro[[#This Row],[Puntos]]*(1+Categorias_Registro[[#This Row],[Amplitud]]),0),IF(Categorias_Registro[[#This Row],[Puntos]]&lt;D1867,D1867,ROUND(D1867*(1+Categorias_Registro[[#This Row],[Amplitud]]),0)))</f>
        <v>814</v>
      </c>
      <c r="E1866" s="15">
        <f>E1867+IF(D1867=Categorias_Registro[[#This Row],[Máximo]],0,1)</f>
        <v>16</v>
      </c>
      <c r="F1866" s="15">
        <f>ROUND(Categorias_Registro[[#This Row],[Mínimo]]+((Categorias_Registro[[#This Row],[Máximo]]-Categorias_Registro[[#This Row],[Mínimo]])/2),0)</f>
        <v>762</v>
      </c>
      <c r="G1866" s="78">
        <f>VLOOKUP(Categorias_Registro[[#This Row],[Puntos]],Categorias_Configuracion[],MATCH(Categorias_Configuracion[[#Headers],[% Amplitud]],Categorias_Configuracion[#Headers],0),TRUE)</f>
        <v>0.15</v>
      </c>
      <c r="H1866" s="15" t="str">
        <f ca="1">TEXT(Categorias_Registro[[#This Row],[Mínimo]],Formato_Rango_Categorias)&amp;" - "&amp;TEXT(Categorias_Registro[[#This Row],[Máximo]],Formato_Rango_Categorias)</f>
        <v>709 - 814</v>
      </c>
    </row>
    <row r="1867" spans="2:8">
      <c r="B1867" s="15">
        <f>Techo - ROW() + ROW(Categorias_Registro[])</f>
        <v>762</v>
      </c>
      <c r="C1867" s="15">
        <f>IF(Categorias_Registro[[#This Row],[Puntos]]&lt;=ROUND(Piso,0),Piso,IF(Categorias_Registro[[#This Row],[Puntos]]&lt;D1868,C1868,D1868+1))</f>
        <v>709</v>
      </c>
      <c r="D1867" s="15">
        <f>IF(Categorias_Registro[[#This Row],[Puntos]]=ROUND(Piso,0),ROUND(Categorias_Registro[[#This Row],[Puntos]]*(1+Categorias_Registro[[#This Row],[Amplitud]]),0),IF(Categorias_Registro[[#This Row],[Puntos]]&lt;D1868,D1868,ROUND(D1868*(1+Categorias_Registro[[#This Row],[Amplitud]]),0)))</f>
        <v>814</v>
      </c>
      <c r="E1867" s="15">
        <f>E1868+IF(D1868=Categorias_Registro[[#This Row],[Máximo]],0,1)</f>
        <v>16</v>
      </c>
      <c r="F1867" s="15">
        <f>ROUND(Categorias_Registro[[#This Row],[Mínimo]]+((Categorias_Registro[[#This Row],[Máximo]]-Categorias_Registro[[#This Row],[Mínimo]])/2),0)</f>
        <v>762</v>
      </c>
      <c r="G1867" s="78">
        <f>VLOOKUP(Categorias_Registro[[#This Row],[Puntos]],Categorias_Configuracion[],MATCH(Categorias_Configuracion[[#Headers],[% Amplitud]],Categorias_Configuracion[#Headers],0),TRUE)</f>
        <v>0.15</v>
      </c>
      <c r="H1867" s="15" t="str">
        <f ca="1">TEXT(Categorias_Registro[[#This Row],[Mínimo]],Formato_Rango_Categorias)&amp;" - "&amp;TEXT(Categorias_Registro[[#This Row],[Máximo]],Formato_Rango_Categorias)</f>
        <v>709 - 814</v>
      </c>
    </row>
    <row r="1868" spans="2:8">
      <c r="B1868" s="15">
        <f>Techo - ROW() + ROW(Categorias_Registro[])</f>
        <v>761</v>
      </c>
      <c r="C1868" s="15">
        <f>IF(Categorias_Registro[[#This Row],[Puntos]]&lt;=ROUND(Piso,0),Piso,IF(Categorias_Registro[[#This Row],[Puntos]]&lt;D1869,C1869,D1869+1))</f>
        <v>709</v>
      </c>
      <c r="D1868" s="15">
        <f>IF(Categorias_Registro[[#This Row],[Puntos]]=ROUND(Piso,0),ROUND(Categorias_Registro[[#This Row],[Puntos]]*(1+Categorias_Registro[[#This Row],[Amplitud]]),0),IF(Categorias_Registro[[#This Row],[Puntos]]&lt;D1869,D1869,ROUND(D1869*(1+Categorias_Registro[[#This Row],[Amplitud]]),0)))</f>
        <v>814</v>
      </c>
      <c r="E1868" s="15">
        <f>E1869+IF(D1869=Categorias_Registro[[#This Row],[Máximo]],0,1)</f>
        <v>16</v>
      </c>
      <c r="F1868" s="15">
        <f>ROUND(Categorias_Registro[[#This Row],[Mínimo]]+((Categorias_Registro[[#This Row],[Máximo]]-Categorias_Registro[[#This Row],[Mínimo]])/2),0)</f>
        <v>762</v>
      </c>
      <c r="G1868" s="78">
        <f>VLOOKUP(Categorias_Registro[[#This Row],[Puntos]],Categorias_Configuracion[],MATCH(Categorias_Configuracion[[#Headers],[% Amplitud]],Categorias_Configuracion[#Headers],0),TRUE)</f>
        <v>0.15</v>
      </c>
      <c r="H1868" s="15" t="str">
        <f ca="1">TEXT(Categorias_Registro[[#This Row],[Mínimo]],Formato_Rango_Categorias)&amp;" - "&amp;TEXT(Categorias_Registro[[#This Row],[Máximo]],Formato_Rango_Categorias)</f>
        <v>709 - 814</v>
      </c>
    </row>
    <row r="1869" spans="2:8">
      <c r="B1869" s="15">
        <f>Techo - ROW() + ROW(Categorias_Registro[])</f>
        <v>760</v>
      </c>
      <c r="C1869" s="15">
        <f>IF(Categorias_Registro[[#This Row],[Puntos]]&lt;=ROUND(Piso,0),Piso,IF(Categorias_Registro[[#This Row],[Puntos]]&lt;D1870,C1870,D1870+1))</f>
        <v>709</v>
      </c>
      <c r="D1869" s="15">
        <f>IF(Categorias_Registro[[#This Row],[Puntos]]=ROUND(Piso,0),ROUND(Categorias_Registro[[#This Row],[Puntos]]*(1+Categorias_Registro[[#This Row],[Amplitud]]),0),IF(Categorias_Registro[[#This Row],[Puntos]]&lt;D1870,D1870,ROUND(D1870*(1+Categorias_Registro[[#This Row],[Amplitud]]),0)))</f>
        <v>814</v>
      </c>
      <c r="E1869" s="15">
        <f>E1870+IF(D1870=Categorias_Registro[[#This Row],[Máximo]],0,1)</f>
        <v>16</v>
      </c>
      <c r="F1869" s="15">
        <f>ROUND(Categorias_Registro[[#This Row],[Mínimo]]+((Categorias_Registro[[#This Row],[Máximo]]-Categorias_Registro[[#This Row],[Mínimo]])/2),0)</f>
        <v>762</v>
      </c>
      <c r="G1869" s="78">
        <f>VLOOKUP(Categorias_Registro[[#This Row],[Puntos]],Categorias_Configuracion[],MATCH(Categorias_Configuracion[[#Headers],[% Amplitud]],Categorias_Configuracion[#Headers],0),TRUE)</f>
        <v>0.15</v>
      </c>
      <c r="H1869" s="15" t="str">
        <f ca="1">TEXT(Categorias_Registro[[#This Row],[Mínimo]],Formato_Rango_Categorias)&amp;" - "&amp;TEXT(Categorias_Registro[[#This Row],[Máximo]],Formato_Rango_Categorias)</f>
        <v>709 - 814</v>
      </c>
    </row>
    <row r="1870" spans="2:8">
      <c r="B1870" s="15">
        <f>Techo - ROW() + ROW(Categorias_Registro[])</f>
        <v>759</v>
      </c>
      <c r="C1870" s="15">
        <f>IF(Categorias_Registro[[#This Row],[Puntos]]&lt;=ROUND(Piso,0),Piso,IF(Categorias_Registro[[#This Row],[Puntos]]&lt;D1871,C1871,D1871+1))</f>
        <v>709</v>
      </c>
      <c r="D1870" s="15">
        <f>IF(Categorias_Registro[[#This Row],[Puntos]]=ROUND(Piso,0),ROUND(Categorias_Registro[[#This Row],[Puntos]]*(1+Categorias_Registro[[#This Row],[Amplitud]]),0),IF(Categorias_Registro[[#This Row],[Puntos]]&lt;D1871,D1871,ROUND(D1871*(1+Categorias_Registro[[#This Row],[Amplitud]]),0)))</f>
        <v>814</v>
      </c>
      <c r="E1870" s="15">
        <f>E1871+IF(D1871=Categorias_Registro[[#This Row],[Máximo]],0,1)</f>
        <v>16</v>
      </c>
      <c r="F1870" s="15">
        <f>ROUND(Categorias_Registro[[#This Row],[Mínimo]]+((Categorias_Registro[[#This Row],[Máximo]]-Categorias_Registro[[#This Row],[Mínimo]])/2),0)</f>
        <v>762</v>
      </c>
      <c r="G1870" s="78">
        <f>VLOOKUP(Categorias_Registro[[#This Row],[Puntos]],Categorias_Configuracion[],MATCH(Categorias_Configuracion[[#Headers],[% Amplitud]],Categorias_Configuracion[#Headers],0),TRUE)</f>
        <v>0.15</v>
      </c>
      <c r="H1870" s="15" t="str">
        <f ca="1">TEXT(Categorias_Registro[[#This Row],[Mínimo]],Formato_Rango_Categorias)&amp;" - "&amp;TEXT(Categorias_Registro[[#This Row],[Máximo]],Formato_Rango_Categorias)</f>
        <v>709 - 814</v>
      </c>
    </row>
    <row r="1871" spans="2:8">
      <c r="B1871" s="15">
        <f>Techo - ROW() + ROW(Categorias_Registro[])</f>
        <v>758</v>
      </c>
      <c r="C1871" s="15">
        <f>IF(Categorias_Registro[[#This Row],[Puntos]]&lt;=ROUND(Piso,0),Piso,IF(Categorias_Registro[[#This Row],[Puntos]]&lt;D1872,C1872,D1872+1))</f>
        <v>709</v>
      </c>
      <c r="D1871" s="15">
        <f>IF(Categorias_Registro[[#This Row],[Puntos]]=ROUND(Piso,0),ROUND(Categorias_Registro[[#This Row],[Puntos]]*(1+Categorias_Registro[[#This Row],[Amplitud]]),0),IF(Categorias_Registro[[#This Row],[Puntos]]&lt;D1872,D1872,ROUND(D1872*(1+Categorias_Registro[[#This Row],[Amplitud]]),0)))</f>
        <v>814</v>
      </c>
      <c r="E1871" s="15">
        <f>E1872+IF(D1872=Categorias_Registro[[#This Row],[Máximo]],0,1)</f>
        <v>16</v>
      </c>
      <c r="F1871" s="15">
        <f>ROUND(Categorias_Registro[[#This Row],[Mínimo]]+((Categorias_Registro[[#This Row],[Máximo]]-Categorias_Registro[[#This Row],[Mínimo]])/2),0)</f>
        <v>762</v>
      </c>
      <c r="G1871" s="78">
        <f>VLOOKUP(Categorias_Registro[[#This Row],[Puntos]],Categorias_Configuracion[],MATCH(Categorias_Configuracion[[#Headers],[% Amplitud]],Categorias_Configuracion[#Headers],0),TRUE)</f>
        <v>0.15</v>
      </c>
      <c r="H1871" s="15" t="str">
        <f ca="1">TEXT(Categorias_Registro[[#This Row],[Mínimo]],Formato_Rango_Categorias)&amp;" - "&amp;TEXT(Categorias_Registro[[#This Row],[Máximo]],Formato_Rango_Categorias)</f>
        <v>709 - 814</v>
      </c>
    </row>
    <row r="1872" spans="2:8">
      <c r="B1872" s="15">
        <f>Techo - ROW() + ROW(Categorias_Registro[])</f>
        <v>757</v>
      </c>
      <c r="C1872" s="15">
        <f>IF(Categorias_Registro[[#This Row],[Puntos]]&lt;=ROUND(Piso,0),Piso,IF(Categorias_Registro[[#This Row],[Puntos]]&lt;D1873,C1873,D1873+1))</f>
        <v>709</v>
      </c>
      <c r="D1872" s="15">
        <f>IF(Categorias_Registro[[#This Row],[Puntos]]=ROUND(Piso,0),ROUND(Categorias_Registro[[#This Row],[Puntos]]*(1+Categorias_Registro[[#This Row],[Amplitud]]),0),IF(Categorias_Registro[[#This Row],[Puntos]]&lt;D1873,D1873,ROUND(D1873*(1+Categorias_Registro[[#This Row],[Amplitud]]),0)))</f>
        <v>814</v>
      </c>
      <c r="E1872" s="15">
        <f>E1873+IF(D1873=Categorias_Registro[[#This Row],[Máximo]],0,1)</f>
        <v>16</v>
      </c>
      <c r="F1872" s="15">
        <f>ROUND(Categorias_Registro[[#This Row],[Mínimo]]+((Categorias_Registro[[#This Row],[Máximo]]-Categorias_Registro[[#This Row],[Mínimo]])/2),0)</f>
        <v>762</v>
      </c>
      <c r="G1872" s="78">
        <f>VLOOKUP(Categorias_Registro[[#This Row],[Puntos]],Categorias_Configuracion[],MATCH(Categorias_Configuracion[[#Headers],[% Amplitud]],Categorias_Configuracion[#Headers],0),TRUE)</f>
        <v>0.15</v>
      </c>
      <c r="H1872" s="15" t="str">
        <f ca="1">TEXT(Categorias_Registro[[#This Row],[Mínimo]],Formato_Rango_Categorias)&amp;" - "&amp;TEXT(Categorias_Registro[[#This Row],[Máximo]],Formato_Rango_Categorias)</f>
        <v>709 - 814</v>
      </c>
    </row>
    <row r="1873" spans="2:8">
      <c r="B1873" s="15">
        <f>Techo - ROW() + ROW(Categorias_Registro[])</f>
        <v>756</v>
      </c>
      <c r="C1873" s="15">
        <f>IF(Categorias_Registro[[#This Row],[Puntos]]&lt;=ROUND(Piso,0),Piso,IF(Categorias_Registro[[#This Row],[Puntos]]&lt;D1874,C1874,D1874+1))</f>
        <v>709</v>
      </c>
      <c r="D1873" s="15">
        <f>IF(Categorias_Registro[[#This Row],[Puntos]]=ROUND(Piso,0),ROUND(Categorias_Registro[[#This Row],[Puntos]]*(1+Categorias_Registro[[#This Row],[Amplitud]]),0),IF(Categorias_Registro[[#This Row],[Puntos]]&lt;D1874,D1874,ROUND(D1874*(1+Categorias_Registro[[#This Row],[Amplitud]]),0)))</f>
        <v>814</v>
      </c>
      <c r="E1873" s="15">
        <f>E1874+IF(D1874=Categorias_Registro[[#This Row],[Máximo]],0,1)</f>
        <v>16</v>
      </c>
      <c r="F1873" s="15">
        <f>ROUND(Categorias_Registro[[#This Row],[Mínimo]]+((Categorias_Registro[[#This Row],[Máximo]]-Categorias_Registro[[#This Row],[Mínimo]])/2),0)</f>
        <v>762</v>
      </c>
      <c r="G1873" s="78">
        <f>VLOOKUP(Categorias_Registro[[#This Row],[Puntos]],Categorias_Configuracion[],MATCH(Categorias_Configuracion[[#Headers],[% Amplitud]],Categorias_Configuracion[#Headers],0),TRUE)</f>
        <v>0.15</v>
      </c>
      <c r="H1873" s="15" t="str">
        <f ca="1">TEXT(Categorias_Registro[[#This Row],[Mínimo]],Formato_Rango_Categorias)&amp;" - "&amp;TEXT(Categorias_Registro[[#This Row],[Máximo]],Formato_Rango_Categorias)</f>
        <v>709 - 814</v>
      </c>
    </row>
    <row r="1874" spans="2:8">
      <c r="B1874" s="15">
        <f>Techo - ROW() + ROW(Categorias_Registro[])</f>
        <v>755</v>
      </c>
      <c r="C1874" s="15">
        <f>IF(Categorias_Registro[[#This Row],[Puntos]]&lt;=ROUND(Piso,0),Piso,IF(Categorias_Registro[[#This Row],[Puntos]]&lt;D1875,C1875,D1875+1))</f>
        <v>709</v>
      </c>
      <c r="D1874" s="15">
        <f>IF(Categorias_Registro[[#This Row],[Puntos]]=ROUND(Piso,0),ROUND(Categorias_Registro[[#This Row],[Puntos]]*(1+Categorias_Registro[[#This Row],[Amplitud]]),0),IF(Categorias_Registro[[#This Row],[Puntos]]&lt;D1875,D1875,ROUND(D1875*(1+Categorias_Registro[[#This Row],[Amplitud]]),0)))</f>
        <v>814</v>
      </c>
      <c r="E1874" s="15">
        <f>E1875+IF(D1875=Categorias_Registro[[#This Row],[Máximo]],0,1)</f>
        <v>16</v>
      </c>
      <c r="F1874" s="15">
        <f>ROUND(Categorias_Registro[[#This Row],[Mínimo]]+((Categorias_Registro[[#This Row],[Máximo]]-Categorias_Registro[[#This Row],[Mínimo]])/2),0)</f>
        <v>762</v>
      </c>
      <c r="G1874" s="78">
        <f>VLOOKUP(Categorias_Registro[[#This Row],[Puntos]],Categorias_Configuracion[],MATCH(Categorias_Configuracion[[#Headers],[% Amplitud]],Categorias_Configuracion[#Headers],0),TRUE)</f>
        <v>0.15</v>
      </c>
      <c r="H1874" s="15" t="str">
        <f ca="1">TEXT(Categorias_Registro[[#This Row],[Mínimo]],Formato_Rango_Categorias)&amp;" - "&amp;TEXT(Categorias_Registro[[#This Row],[Máximo]],Formato_Rango_Categorias)</f>
        <v>709 - 814</v>
      </c>
    </row>
    <row r="1875" spans="2:8">
      <c r="B1875" s="15">
        <f>Techo - ROW() + ROW(Categorias_Registro[])</f>
        <v>754</v>
      </c>
      <c r="C1875" s="15">
        <f>IF(Categorias_Registro[[#This Row],[Puntos]]&lt;=ROUND(Piso,0),Piso,IF(Categorias_Registro[[#This Row],[Puntos]]&lt;D1876,C1876,D1876+1))</f>
        <v>709</v>
      </c>
      <c r="D1875" s="15">
        <f>IF(Categorias_Registro[[#This Row],[Puntos]]=ROUND(Piso,0),ROUND(Categorias_Registro[[#This Row],[Puntos]]*(1+Categorias_Registro[[#This Row],[Amplitud]]),0),IF(Categorias_Registro[[#This Row],[Puntos]]&lt;D1876,D1876,ROUND(D1876*(1+Categorias_Registro[[#This Row],[Amplitud]]),0)))</f>
        <v>814</v>
      </c>
      <c r="E1875" s="15">
        <f>E1876+IF(D1876=Categorias_Registro[[#This Row],[Máximo]],0,1)</f>
        <v>16</v>
      </c>
      <c r="F1875" s="15">
        <f>ROUND(Categorias_Registro[[#This Row],[Mínimo]]+((Categorias_Registro[[#This Row],[Máximo]]-Categorias_Registro[[#This Row],[Mínimo]])/2),0)</f>
        <v>762</v>
      </c>
      <c r="G1875" s="78">
        <f>VLOOKUP(Categorias_Registro[[#This Row],[Puntos]],Categorias_Configuracion[],MATCH(Categorias_Configuracion[[#Headers],[% Amplitud]],Categorias_Configuracion[#Headers],0),TRUE)</f>
        <v>0.15</v>
      </c>
      <c r="H1875" s="15" t="str">
        <f ca="1">TEXT(Categorias_Registro[[#This Row],[Mínimo]],Formato_Rango_Categorias)&amp;" - "&amp;TEXT(Categorias_Registro[[#This Row],[Máximo]],Formato_Rango_Categorias)</f>
        <v>709 - 814</v>
      </c>
    </row>
    <row r="1876" spans="2:8">
      <c r="B1876" s="15">
        <f>Techo - ROW() + ROW(Categorias_Registro[])</f>
        <v>753</v>
      </c>
      <c r="C1876" s="15">
        <f>IF(Categorias_Registro[[#This Row],[Puntos]]&lt;=ROUND(Piso,0),Piso,IF(Categorias_Registro[[#This Row],[Puntos]]&lt;D1877,C1877,D1877+1))</f>
        <v>709</v>
      </c>
      <c r="D1876" s="15">
        <f>IF(Categorias_Registro[[#This Row],[Puntos]]=ROUND(Piso,0),ROUND(Categorias_Registro[[#This Row],[Puntos]]*(1+Categorias_Registro[[#This Row],[Amplitud]]),0),IF(Categorias_Registro[[#This Row],[Puntos]]&lt;D1877,D1877,ROUND(D1877*(1+Categorias_Registro[[#This Row],[Amplitud]]),0)))</f>
        <v>814</v>
      </c>
      <c r="E1876" s="15">
        <f>E1877+IF(D1877=Categorias_Registro[[#This Row],[Máximo]],0,1)</f>
        <v>16</v>
      </c>
      <c r="F1876" s="15">
        <f>ROUND(Categorias_Registro[[#This Row],[Mínimo]]+((Categorias_Registro[[#This Row],[Máximo]]-Categorias_Registro[[#This Row],[Mínimo]])/2),0)</f>
        <v>762</v>
      </c>
      <c r="G1876" s="78">
        <f>VLOOKUP(Categorias_Registro[[#This Row],[Puntos]],Categorias_Configuracion[],MATCH(Categorias_Configuracion[[#Headers],[% Amplitud]],Categorias_Configuracion[#Headers],0),TRUE)</f>
        <v>0.15</v>
      </c>
      <c r="H1876" s="15" t="str">
        <f ca="1">TEXT(Categorias_Registro[[#This Row],[Mínimo]],Formato_Rango_Categorias)&amp;" - "&amp;TEXT(Categorias_Registro[[#This Row],[Máximo]],Formato_Rango_Categorias)</f>
        <v>709 - 814</v>
      </c>
    </row>
    <row r="1877" spans="2:8">
      <c r="B1877" s="15">
        <f>Techo - ROW() + ROW(Categorias_Registro[])</f>
        <v>752</v>
      </c>
      <c r="C1877" s="15">
        <f>IF(Categorias_Registro[[#This Row],[Puntos]]&lt;=ROUND(Piso,0),Piso,IF(Categorias_Registro[[#This Row],[Puntos]]&lt;D1878,C1878,D1878+1))</f>
        <v>709</v>
      </c>
      <c r="D1877" s="15">
        <f>IF(Categorias_Registro[[#This Row],[Puntos]]=ROUND(Piso,0),ROUND(Categorias_Registro[[#This Row],[Puntos]]*(1+Categorias_Registro[[#This Row],[Amplitud]]),0),IF(Categorias_Registro[[#This Row],[Puntos]]&lt;D1878,D1878,ROUND(D1878*(1+Categorias_Registro[[#This Row],[Amplitud]]),0)))</f>
        <v>814</v>
      </c>
      <c r="E1877" s="15">
        <f>E1878+IF(D1878=Categorias_Registro[[#This Row],[Máximo]],0,1)</f>
        <v>16</v>
      </c>
      <c r="F1877" s="15">
        <f>ROUND(Categorias_Registro[[#This Row],[Mínimo]]+((Categorias_Registro[[#This Row],[Máximo]]-Categorias_Registro[[#This Row],[Mínimo]])/2),0)</f>
        <v>762</v>
      </c>
      <c r="G1877" s="78">
        <f>VLOOKUP(Categorias_Registro[[#This Row],[Puntos]],Categorias_Configuracion[],MATCH(Categorias_Configuracion[[#Headers],[% Amplitud]],Categorias_Configuracion[#Headers],0),TRUE)</f>
        <v>0.15</v>
      </c>
      <c r="H1877" s="15" t="str">
        <f ca="1">TEXT(Categorias_Registro[[#This Row],[Mínimo]],Formato_Rango_Categorias)&amp;" - "&amp;TEXT(Categorias_Registro[[#This Row],[Máximo]],Formato_Rango_Categorias)</f>
        <v>709 - 814</v>
      </c>
    </row>
    <row r="1878" spans="2:8">
      <c r="B1878" s="15">
        <f>Techo - ROW() + ROW(Categorias_Registro[])</f>
        <v>751</v>
      </c>
      <c r="C1878" s="15">
        <f>IF(Categorias_Registro[[#This Row],[Puntos]]&lt;=ROUND(Piso,0),Piso,IF(Categorias_Registro[[#This Row],[Puntos]]&lt;D1879,C1879,D1879+1))</f>
        <v>709</v>
      </c>
      <c r="D1878" s="15">
        <f>IF(Categorias_Registro[[#This Row],[Puntos]]=ROUND(Piso,0),ROUND(Categorias_Registro[[#This Row],[Puntos]]*(1+Categorias_Registro[[#This Row],[Amplitud]]),0),IF(Categorias_Registro[[#This Row],[Puntos]]&lt;D1879,D1879,ROUND(D1879*(1+Categorias_Registro[[#This Row],[Amplitud]]),0)))</f>
        <v>814</v>
      </c>
      <c r="E1878" s="15">
        <f>E1879+IF(D1879=Categorias_Registro[[#This Row],[Máximo]],0,1)</f>
        <v>16</v>
      </c>
      <c r="F1878" s="15">
        <f>ROUND(Categorias_Registro[[#This Row],[Mínimo]]+((Categorias_Registro[[#This Row],[Máximo]]-Categorias_Registro[[#This Row],[Mínimo]])/2),0)</f>
        <v>762</v>
      </c>
      <c r="G1878" s="78">
        <f>VLOOKUP(Categorias_Registro[[#This Row],[Puntos]],Categorias_Configuracion[],MATCH(Categorias_Configuracion[[#Headers],[% Amplitud]],Categorias_Configuracion[#Headers],0),TRUE)</f>
        <v>0.15</v>
      </c>
      <c r="H1878" s="15" t="str">
        <f ca="1">TEXT(Categorias_Registro[[#This Row],[Mínimo]],Formato_Rango_Categorias)&amp;" - "&amp;TEXT(Categorias_Registro[[#This Row],[Máximo]],Formato_Rango_Categorias)</f>
        <v>709 - 814</v>
      </c>
    </row>
    <row r="1879" spans="2:8">
      <c r="B1879" s="15">
        <f>Techo - ROW() + ROW(Categorias_Registro[])</f>
        <v>750</v>
      </c>
      <c r="C1879" s="15">
        <f>IF(Categorias_Registro[[#This Row],[Puntos]]&lt;=ROUND(Piso,0),Piso,IF(Categorias_Registro[[#This Row],[Puntos]]&lt;D1880,C1880,D1880+1))</f>
        <v>709</v>
      </c>
      <c r="D1879" s="15">
        <f>IF(Categorias_Registro[[#This Row],[Puntos]]=ROUND(Piso,0),ROUND(Categorias_Registro[[#This Row],[Puntos]]*(1+Categorias_Registro[[#This Row],[Amplitud]]),0),IF(Categorias_Registro[[#This Row],[Puntos]]&lt;D1880,D1880,ROUND(D1880*(1+Categorias_Registro[[#This Row],[Amplitud]]),0)))</f>
        <v>814</v>
      </c>
      <c r="E1879" s="15">
        <f>E1880+IF(D1880=Categorias_Registro[[#This Row],[Máximo]],0,1)</f>
        <v>16</v>
      </c>
      <c r="F1879" s="15">
        <f>ROUND(Categorias_Registro[[#This Row],[Mínimo]]+((Categorias_Registro[[#This Row],[Máximo]]-Categorias_Registro[[#This Row],[Mínimo]])/2),0)</f>
        <v>762</v>
      </c>
      <c r="G1879" s="78">
        <f>VLOOKUP(Categorias_Registro[[#This Row],[Puntos]],Categorias_Configuracion[],MATCH(Categorias_Configuracion[[#Headers],[% Amplitud]],Categorias_Configuracion[#Headers],0),TRUE)</f>
        <v>0.15</v>
      </c>
      <c r="H1879" s="15" t="str">
        <f ca="1">TEXT(Categorias_Registro[[#This Row],[Mínimo]],Formato_Rango_Categorias)&amp;" - "&amp;TEXT(Categorias_Registro[[#This Row],[Máximo]],Formato_Rango_Categorias)</f>
        <v>709 - 814</v>
      </c>
    </row>
    <row r="1880" spans="2:8">
      <c r="B1880" s="15">
        <f>Techo - ROW() + ROW(Categorias_Registro[])</f>
        <v>749</v>
      </c>
      <c r="C1880" s="15">
        <f>IF(Categorias_Registro[[#This Row],[Puntos]]&lt;=ROUND(Piso,0),Piso,IF(Categorias_Registro[[#This Row],[Puntos]]&lt;D1881,C1881,D1881+1))</f>
        <v>709</v>
      </c>
      <c r="D1880" s="15">
        <f>IF(Categorias_Registro[[#This Row],[Puntos]]=ROUND(Piso,0),ROUND(Categorias_Registro[[#This Row],[Puntos]]*(1+Categorias_Registro[[#This Row],[Amplitud]]),0),IF(Categorias_Registro[[#This Row],[Puntos]]&lt;D1881,D1881,ROUND(D1881*(1+Categorias_Registro[[#This Row],[Amplitud]]),0)))</f>
        <v>814</v>
      </c>
      <c r="E1880" s="15">
        <f>E1881+IF(D1881=Categorias_Registro[[#This Row],[Máximo]],0,1)</f>
        <v>16</v>
      </c>
      <c r="F1880" s="15">
        <f>ROUND(Categorias_Registro[[#This Row],[Mínimo]]+((Categorias_Registro[[#This Row],[Máximo]]-Categorias_Registro[[#This Row],[Mínimo]])/2),0)</f>
        <v>762</v>
      </c>
      <c r="G1880" s="78">
        <f>VLOOKUP(Categorias_Registro[[#This Row],[Puntos]],Categorias_Configuracion[],MATCH(Categorias_Configuracion[[#Headers],[% Amplitud]],Categorias_Configuracion[#Headers],0),TRUE)</f>
        <v>0.15</v>
      </c>
      <c r="H1880" s="15" t="str">
        <f ca="1">TEXT(Categorias_Registro[[#This Row],[Mínimo]],Formato_Rango_Categorias)&amp;" - "&amp;TEXT(Categorias_Registro[[#This Row],[Máximo]],Formato_Rango_Categorias)</f>
        <v>709 - 814</v>
      </c>
    </row>
    <row r="1881" spans="2:8">
      <c r="B1881" s="15">
        <f>Techo - ROW() + ROW(Categorias_Registro[])</f>
        <v>748</v>
      </c>
      <c r="C1881" s="15">
        <f>IF(Categorias_Registro[[#This Row],[Puntos]]&lt;=ROUND(Piso,0),Piso,IF(Categorias_Registro[[#This Row],[Puntos]]&lt;D1882,C1882,D1882+1))</f>
        <v>709</v>
      </c>
      <c r="D1881" s="15">
        <f>IF(Categorias_Registro[[#This Row],[Puntos]]=ROUND(Piso,0),ROUND(Categorias_Registro[[#This Row],[Puntos]]*(1+Categorias_Registro[[#This Row],[Amplitud]]),0),IF(Categorias_Registro[[#This Row],[Puntos]]&lt;D1882,D1882,ROUND(D1882*(1+Categorias_Registro[[#This Row],[Amplitud]]),0)))</f>
        <v>814</v>
      </c>
      <c r="E1881" s="15">
        <f>E1882+IF(D1882=Categorias_Registro[[#This Row],[Máximo]],0,1)</f>
        <v>16</v>
      </c>
      <c r="F1881" s="15">
        <f>ROUND(Categorias_Registro[[#This Row],[Mínimo]]+((Categorias_Registro[[#This Row],[Máximo]]-Categorias_Registro[[#This Row],[Mínimo]])/2),0)</f>
        <v>762</v>
      </c>
      <c r="G1881" s="78">
        <f>VLOOKUP(Categorias_Registro[[#This Row],[Puntos]],Categorias_Configuracion[],MATCH(Categorias_Configuracion[[#Headers],[% Amplitud]],Categorias_Configuracion[#Headers],0),TRUE)</f>
        <v>0.15</v>
      </c>
      <c r="H1881" s="15" t="str">
        <f ca="1">TEXT(Categorias_Registro[[#This Row],[Mínimo]],Formato_Rango_Categorias)&amp;" - "&amp;TEXT(Categorias_Registro[[#This Row],[Máximo]],Formato_Rango_Categorias)</f>
        <v>709 - 814</v>
      </c>
    </row>
    <row r="1882" spans="2:8">
      <c r="B1882" s="15">
        <f>Techo - ROW() + ROW(Categorias_Registro[])</f>
        <v>747</v>
      </c>
      <c r="C1882" s="15">
        <f>IF(Categorias_Registro[[#This Row],[Puntos]]&lt;=ROUND(Piso,0),Piso,IF(Categorias_Registro[[#This Row],[Puntos]]&lt;D1883,C1883,D1883+1))</f>
        <v>709</v>
      </c>
      <c r="D1882" s="15">
        <f>IF(Categorias_Registro[[#This Row],[Puntos]]=ROUND(Piso,0),ROUND(Categorias_Registro[[#This Row],[Puntos]]*(1+Categorias_Registro[[#This Row],[Amplitud]]),0),IF(Categorias_Registro[[#This Row],[Puntos]]&lt;D1883,D1883,ROUND(D1883*(1+Categorias_Registro[[#This Row],[Amplitud]]),0)))</f>
        <v>814</v>
      </c>
      <c r="E1882" s="15">
        <f>E1883+IF(D1883=Categorias_Registro[[#This Row],[Máximo]],0,1)</f>
        <v>16</v>
      </c>
      <c r="F1882" s="15">
        <f>ROUND(Categorias_Registro[[#This Row],[Mínimo]]+((Categorias_Registro[[#This Row],[Máximo]]-Categorias_Registro[[#This Row],[Mínimo]])/2),0)</f>
        <v>762</v>
      </c>
      <c r="G1882" s="78">
        <f>VLOOKUP(Categorias_Registro[[#This Row],[Puntos]],Categorias_Configuracion[],MATCH(Categorias_Configuracion[[#Headers],[% Amplitud]],Categorias_Configuracion[#Headers],0),TRUE)</f>
        <v>0.15</v>
      </c>
      <c r="H1882" s="15" t="str">
        <f ca="1">TEXT(Categorias_Registro[[#This Row],[Mínimo]],Formato_Rango_Categorias)&amp;" - "&amp;TEXT(Categorias_Registro[[#This Row],[Máximo]],Formato_Rango_Categorias)</f>
        <v>709 - 814</v>
      </c>
    </row>
    <row r="1883" spans="2:8">
      <c r="B1883" s="15">
        <f>Techo - ROW() + ROW(Categorias_Registro[])</f>
        <v>746</v>
      </c>
      <c r="C1883" s="15">
        <f>IF(Categorias_Registro[[#This Row],[Puntos]]&lt;=ROUND(Piso,0),Piso,IF(Categorias_Registro[[#This Row],[Puntos]]&lt;D1884,C1884,D1884+1))</f>
        <v>709</v>
      </c>
      <c r="D1883" s="15">
        <f>IF(Categorias_Registro[[#This Row],[Puntos]]=ROUND(Piso,0),ROUND(Categorias_Registro[[#This Row],[Puntos]]*(1+Categorias_Registro[[#This Row],[Amplitud]]),0),IF(Categorias_Registro[[#This Row],[Puntos]]&lt;D1884,D1884,ROUND(D1884*(1+Categorias_Registro[[#This Row],[Amplitud]]),0)))</f>
        <v>814</v>
      </c>
      <c r="E1883" s="15">
        <f>E1884+IF(D1884=Categorias_Registro[[#This Row],[Máximo]],0,1)</f>
        <v>16</v>
      </c>
      <c r="F1883" s="15">
        <f>ROUND(Categorias_Registro[[#This Row],[Mínimo]]+((Categorias_Registro[[#This Row],[Máximo]]-Categorias_Registro[[#This Row],[Mínimo]])/2),0)</f>
        <v>762</v>
      </c>
      <c r="G1883" s="78">
        <f>VLOOKUP(Categorias_Registro[[#This Row],[Puntos]],Categorias_Configuracion[],MATCH(Categorias_Configuracion[[#Headers],[% Amplitud]],Categorias_Configuracion[#Headers],0),TRUE)</f>
        <v>0.15</v>
      </c>
      <c r="H1883" s="15" t="str">
        <f ca="1">TEXT(Categorias_Registro[[#This Row],[Mínimo]],Formato_Rango_Categorias)&amp;" - "&amp;TEXT(Categorias_Registro[[#This Row],[Máximo]],Formato_Rango_Categorias)</f>
        <v>709 - 814</v>
      </c>
    </row>
    <row r="1884" spans="2:8">
      <c r="B1884" s="15">
        <f>Techo - ROW() + ROW(Categorias_Registro[])</f>
        <v>745</v>
      </c>
      <c r="C1884" s="15">
        <f>IF(Categorias_Registro[[#This Row],[Puntos]]&lt;=ROUND(Piso,0),Piso,IF(Categorias_Registro[[#This Row],[Puntos]]&lt;D1885,C1885,D1885+1))</f>
        <v>709</v>
      </c>
      <c r="D1884" s="15">
        <f>IF(Categorias_Registro[[#This Row],[Puntos]]=ROUND(Piso,0),ROUND(Categorias_Registro[[#This Row],[Puntos]]*(1+Categorias_Registro[[#This Row],[Amplitud]]),0),IF(Categorias_Registro[[#This Row],[Puntos]]&lt;D1885,D1885,ROUND(D1885*(1+Categorias_Registro[[#This Row],[Amplitud]]),0)))</f>
        <v>814</v>
      </c>
      <c r="E1884" s="15">
        <f>E1885+IF(D1885=Categorias_Registro[[#This Row],[Máximo]],0,1)</f>
        <v>16</v>
      </c>
      <c r="F1884" s="15">
        <f>ROUND(Categorias_Registro[[#This Row],[Mínimo]]+((Categorias_Registro[[#This Row],[Máximo]]-Categorias_Registro[[#This Row],[Mínimo]])/2),0)</f>
        <v>762</v>
      </c>
      <c r="G1884" s="78">
        <f>VLOOKUP(Categorias_Registro[[#This Row],[Puntos]],Categorias_Configuracion[],MATCH(Categorias_Configuracion[[#Headers],[% Amplitud]],Categorias_Configuracion[#Headers],0),TRUE)</f>
        <v>0.15</v>
      </c>
      <c r="H1884" s="15" t="str">
        <f ca="1">TEXT(Categorias_Registro[[#This Row],[Mínimo]],Formato_Rango_Categorias)&amp;" - "&amp;TEXT(Categorias_Registro[[#This Row],[Máximo]],Formato_Rango_Categorias)</f>
        <v>709 - 814</v>
      </c>
    </row>
    <row r="1885" spans="2:8">
      <c r="B1885" s="15">
        <f>Techo - ROW() + ROW(Categorias_Registro[])</f>
        <v>744</v>
      </c>
      <c r="C1885" s="15">
        <f>IF(Categorias_Registro[[#This Row],[Puntos]]&lt;=ROUND(Piso,0),Piso,IF(Categorias_Registro[[#This Row],[Puntos]]&lt;D1886,C1886,D1886+1))</f>
        <v>709</v>
      </c>
      <c r="D1885" s="15">
        <f>IF(Categorias_Registro[[#This Row],[Puntos]]=ROUND(Piso,0),ROUND(Categorias_Registro[[#This Row],[Puntos]]*(1+Categorias_Registro[[#This Row],[Amplitud]]),0),IF(Categorias_Registro[[#This Row],[Puntos]]&lt;D1886,D1886,ROUND(D1886*(1+Categorias_Registro[[#This Row],[Amplitud]]),0)))</f>
        <v>814</v>
      </c>
      <c r="E1885" s="15">
        <f>E1886+IF(D1886=Categorias_Registro[[#This Row],[Máximo]],0,1)</f>
        <v>16</v>
      </c>
      <c r="F1885" s="15">
        <f>ROUND(Categorias_Registro[[#This Row],[Mínimo]]+((Categorias_Registro[[#This Row],[Máximo]]-Categorias_Registro[[#This Row],[Mínimo]])/2),0)</f>
        <v>762</v>
      </c>
      <c r="G1885" s="78">
        <f>VLOOKUP(Categorias_Registro[[#This Row],[Puntos]],Categorias_Configuracion[],MATCH(Categorias_Configuracion[[#Headers],[% Amplitud]],Categorias_Configuracion[#Headers],0),TRUE)</f>
        <v>0.15</v>
      </c>
      <c r="H1885" s="15" t="str">
        <f ca="1">TEXT(Categorias_Registro[[#This Row],[Mínimo]],Formato_Rango_Categorias)&amp;" - "&amp;TEXT(Categorias_Registro[[#This Row],[Máximo]],Formato_Rango_Categorias)</f>
        <v>709 - 814</v>
      </c>
    </row>
    <row r="1886" spans="2:8">
      <c r="B1886" s="15">
        <f>Techo - ROW() + ROW(Categorias_Registro[])</f>
        <v>743</v>
      </c>
      <c r="C1886" s="15">
        <f>IF(Categorias_Registro[[#This Row],[Puntos]]&lt;=ROUND(Piso,0),Piso,IF(Categorias_Registro[[#This Row],[Puntos]]&lt;D1887,C1887,D1887+1))</f>
        <v>709</v>
      </c>
      <c r="D1886" s="15">
        <f>IF(Categorias_Registro[[#This Row],[Puntos]]=ROUND(Piso,0),ROUND(Categorias_Registro[[#This Row],[Puntos]]*(1+Categorias_Registro[[#This Row],[Amplitud]]),0),IF(Categorias_Registro[[#This Row],[Puntos]]&lt;D1887,D1887,ROUND(D1887*(1+Categorias_Registro[[#This Row],[Amplitud]]),0)))</f>
        <v>814</v>
      </c>
      <c r="E1886" s="15">
        <f>E1887+IF(D1887=Categorias_Registro[[#This Row],[Máximo]],0,1)</f>
        <v>16</v>
      </c>
      <c r="F1886" s="15">
        <f>ROUND(Categorias_Registro[[#This Row],[Mínimo]]+((Categorias_Registro[[#This Row],[Máximo]]-Categorias_Registro[[#This Row],[Mínimo]])/2),0)</f>
        <v>762</v>
      </c>
      <c r="G1886" s="78">
        <f>VLOOKUP(Categorias_Registro[[#This Row],[Puntos]],Categorias_Configuracion[],MATCH(Categorias_Configuracion[[#Headers],[% Amplitud]],Categorias_Configuracion[#Headers],0),TRUE)</f>
        <v>0.15</v>
      </c>
      <c r="H1886" s="15" t="str">
        <f ca="1">TEXT(Categorias_Registro[[#This Row],[Mínimo]],Formato_Rango_Categorias)&amp;" - "&amp;TEXT(Categorias_Registro[[#This Row],[Máximo]],Formato_Rango_Categorias)</f>
        <v>709 - 814</v>
      </c>
    </row>
    <row r="1887" spans="2:8">
      <c r="B1887" s="15">
        <f>Techo - ROW() + ROW(Categorias_Registro[])</f>
        <v>742</v>
      </c>
      <c r="C1887" s="15">
        <f>IF(Categorias_Registro[[#This Row],[Puntos]]&lt;=ROUND(Piso,0),Piso,IF(Categorias_Registro[[#This Row],[Puntos]]&lt;D1888,C1888,D1888+1))</f>
        <v>709</v>
      </c>
      <c r="D1887" s="15">
        <f>IF(Categorias_Registro[[#This Row],[Puntos]]=ROUND(Piso,0),ROUND(Categorias_Registro[[#This Row],[Puntos]]*(1+Categorias_Registro[[#This Row],[Amplitud]]),0),IF(Categorias_Registro[[#This Row],[Puntos]]&lt;D1888,D1888,ROUND(D1888*(1+Categorias_Registro[[#This Row],[Amplitud]]),0)))</f>
        <v>814</v>
      </c>
      <c r="E1887" s="15">
        <f>E1888+IF(D1888=Categorias_Registro[[#This Row],[Máximo]],0,1)</f>
        <v>16</v>
      </c>
      <c r="F1887" s="15">
        <f>ROUND(Categorias_Registro[[#This Row],[Mínimo]]+((Categorias_Registro[[#This Row],[Máximo]]-Categorias_Registro[[#This Row],[Mínimo]])/2),0)</f>
        <v>762</v>
      </c>
      <c r="G1887" s="78">
        <f>VLOOKUP(Categorias_Registro[[#This Row],[Puntos]],Categorias_Configuracion[],MATCH(Categorias_Configuracion[[#Headers],[% Amplitud]],Categorias_Configuracion[#Headers],0),TRUE)</f>
        <v>0.15</v>
      </c>
      <c r="H1887" s="15" t="str">
        <f ca="1">TEXT(Categorias_Registro[[#This Row],[Mínimo]],Formato_Rango_Categorias)&amp;" - "&amp;TEXT(Categorias_Registro[[#This Row],[Máximo]],Formato_Rango_Categorias)</f>
        <v>709 - 814</v>
      </c>
    </row>
    <row r="1888" spans="2:8">
      <c r="B1888" s="15">
        <f>Techo - ROW() + ROW(Categorias_Registro[])</f>
        <v>741</v>
      </c>
      <c r="C1888" s="15">
        <f>IF(Categorias_Registro[[#This Row],[Puntos]]&lt;=ROUND(Piso,0),Piso,IF(Categorias_Registro[[#This Row],[Puntos]]&lt;D1889,C1889,D1889+1))</f>
        <v>709</v>
      </c>
      <c r="D1888" s="15">
        <f>IF(Categorias_Registro[[#This Row],[Puntos]]=ROUND(Piso,0),ROUND(Categorias_Registro[[#This Row],[Puntos]]*(1+Categorias_Registro[[#This Row],[Amplitud]]),0),IF(Categorias_Registro[[#This Row],[Puntos]]&lt;D1889,D1889,ROUND(D1889*(1+Categorias_Registro[[#This Row],[Amplitud]]),0)))</f>
        <v>814</v>
      </c>
      <c r="E1888" s="15">
        <f>E1889+IF(D1889=Categorias_Registro[[#This Row],[Máximo]],0,1)</f>
        <v>16</v>
      </c>
      <c r="F1888" s="15">
        <f>ROUND(Categorias_Registro[[#This Row],[Mínimo]]+((Categorias_Registro[[#This Row],[Máximo]]-Categorias_Registro[[#This Row],[Mínimo]])/2),0)</f>
        <v>762</v>
      </c>
      <c r="G1888" s="78">
        <f>VLOOKUP(Categorias_Registro[[#This Row],[Puntos]],Categorias_Configuracion[],MATCH(Categorias_Configuracion[[#Headers],[% Amplitud]],Categorias_Configuracion[#Headers],0),TRUE)</f>
        <v>0.15</v>
      </c>
      <c r="H1888" s="15" t="str">
        <f ca="1">TEXT(Categorias_Registro[[#This Row],[Mínimo]],Formato_Rango_Categorias)&amp;" - "&amp;TEXT(Categorias_Registro[[#This Row],[Máximo]],Formato_Rango_Categorias)</f>
        <v>709 - 814</v>
      </c>
    </row>
    <row r="1889" spans="2:8">
      <c r="B1889" s="15">
        <f>Techo - ROW() + ROW(Categorias_Registro[])</f>
        <v>740</v>
      </c>
      <c r="C1889" s="15">
        <f>IF(Categorias_Registro[[#This Row],[Puntos]]&lt;=ROUND(Piso,0),Piso,IF(Categorias_Registro[[#This Row],[Puntos]]&lt;D1890,C1890,D1890+1))</f>
        <v>709</v>
      </c>
      <c r="D1889" s="15">
        <f>IF(Categorias_Registro[[#This Row],[Puntos]]=ROUND(Piso,0),ROUND(Categorias_Registro[[#This Row],[Puntos]]*(1+Categorias_Registro[[#This Row],[Amplitud]]),0),IF(Categorias_Registro[[#This Row],[Puntos]]&lt;D1890,D1890,ROUND(D1890*(1+Categorias_Registro[[#This Row],[Amplitud]]),0)))</f>
        <v>814</v>
      </c>
      <c r="E1889" s="15">
        <f>E1890+IF(D1890=Categorias_Registro[[#This Row],[Máximo]],0,1)</f>
        <v>16</v>
      </c>
      <c r="F1889" s="15">
        <f>ROUND(Categorias_Registro[[#This Row],[Mínimo]]+((Categorias_Registro[[#This Row],[Máximo]]-Categorias_Registro[[#This Row],[Mínimo]])/2),0)</f>
        <v>762</v>
      </c>
      <c r="G1889" s="78">
        <f>VLOOKUP(Categorias_Registro[[#This Row],[Puntos]],Categorias_Configuracion[],MATCH(Categorias_Configuracion[[#Headers],[% Amplitud]],Categorias_Configuracion[#Headers],0),TRUE)</f>
        <v>0.15</v>
      </c>
      <c r="H1889" s="15" t="str">
        <f ca="1">TEXT(Categorias_Registro[[#This Row],[Mínimo]],Formato_Rango_Categorias)&amp;" - "&amp;TEXT(Categorias_Registro[[#This Row],[Máximo]],Formato_Rango_Categorias)</f>
        <v>709 - 814</v>
      </c>
    </row>
    <row r="1890" spans="2:8">
      <c r="B1890" s="15">
        <f>Techo - ROW() + ROW(Categorias_Registro[])</f>
        <v>739</v>
      </c>
      <c r="C1890" s="15">
        <f>IF(Categorias_Registro[[#This Row],[Puntos]]&lt;=ROUND(Piso,0),Piso,IF(Categorias_Registro[[#This Row],[Puntos]]&lt;D1891,C1891,D1891+1))</f>
        <v>709</v>
      </c>
      <c r="D1890" s="15">
        <f>IF(Categorias_Registro[[#This Row],[Puntos]]=ROUND(Piso,0),ROUND(Categorias_Registro[[#This Row],[Puntos]]*(1+Categorias_Registro[[#This Row],[Amplitud]]),0),IF(Categorias_Registro[[#This Row],[Puntos]]&lt;D1891,D1891,ROUND(D1891*(1+Categorias_Registro[[#This Row],[Amplitud]]),0)))</f>
        <v>814</v>
      </c>
      <c r="E1890" s="15">
        <f>E1891+IF(D1891=Categorias_Registro[[#This Row],[Máximo]],0,1)</f>
        <v>16</v>
      </c>
      <c r="F1890" s="15">
        <f>ROUND(Categorias_Registro[[#This Row],[Mínimo]]+((Categorias_Registro[[#This Row],[Máximo]]-Categorias_Registro[[#This Row],[Mínimo]])/2),0)</f>
        <v>762</v>
      </c>
      <c r="G1890" s="78">
        <f>VLOOKUP(Categorias_Registro[[#This Row],[Puntos]],Categorias_Configuracion[],MATCH(Categorias_Configuracion[[#Headers],[% Amplitud]],Categorias_Configuracion[#Headers],0),TRUE)</f>
        <v>0.15</v>
      </c>
      <c r="H1890" s="15" t="str">
        <f ca="1">TEXT(Categorias_Registro[[#This Row],[Mínimo]],Formato_Rango_Categorias)&amp;" - "&amp;TEXT(Categorias_Registro[[#This Row],[Máximo]],Formato_Rango_Categorias)</f>
        <v>709 - 814</v>
      </c>
    </row>
    <row r="1891" spans="2:8">
      <c r="B1891" s="15">
        <f>Techo - ROW() + ROW(Categorias_Registro[])</f>
        <v>738</v>
      </c>
      <c r="C1891" s="15">
        <f>IF(Categorias_Registro[[#This Row],[Puntos]]&lt;=ROUND(Piso,0),Piso,IF(Categorias_Registro[[#This Row],[Puntos]]&lt;D1892,C1892,D1892+1))</f>
        <v>709</v>
      </c>
      <c r="D1891" s="15">
        <f>IF(Categorias_Registro[[#This Row],[Puntos]]=ROUND(Piso,0),ROUND(Categorias_Registro[[#This Row],[Puntos]]*(1+Categorias_Registro[[#This Row],[Amplitud]]),0),IF(Categorias_Registro[[#This Row],[Puntos]]&lt;D1892,D1892,ROUND(D1892*(1+Categorias_Registro[[#This Row],[Amplitud]]),0)))</f>
        <v>814</v>
      </c>
      <c r="E1891" s="15">
        <f>E1892+IF(D1892=Categorias_Registro[[#This Row],[Máximo]],0,1)</f>
        <v>16</v>
      </c>
      <c r="F1891" s="15">
        <f>ROUND(Categorias_Registro[[#This Row],[Mínimo]]+((Categorias_Registro[[#This Row],[Máximo]]-Categorias_Registro[[#This Row],[Mínimo]])/2),0)</f>
        <v>762</v>
      </c>
      <c r="G1891" s="78">
        <f>VLOOKUP(Categorias_Registro[[#This Row],[Puntos]],Categorias_Configuracion[],MATCH(Categorias_Configuracion[[#Headers],[% Amplitud]],Categorias_Configuracion[#Headers],0),TRUE)</f>
        <v>0.15</v>
      </c>
      <c r="H1891" s="15" t="str">
        <f ca="1">TEXT(Categorias_Registro[[#This Row],[Mínimo]],Formato_Rango_Categorias)&amp;" - "&amp;TEXT(Categorias_Registro[[#This Row],[Máximo]],Formato_Rango_Categorias)</f>
        <v>709 - 814</v>
      </c>
    </row>
    <row r="1892" spans="2:8">
      <c r="B1892" s="15">
        <f>Techo - ROW() + ROW(Categorias_Registro[])</f>
        <v>737</v>
      </c>
      <c r="C1892" s="15">
        <f>IF(Categorias_Registro[[#This Row],[Puntos]]&lt;=ROUND(Piso,0),Piso,IF(Categorias_Registro[[#This Row],[Puntos]]&lt;D1893,C1893,D1893+1))</f>
        <v>709</v>
      </c>
      <c r="D1892" s="15">
        <f>IF(Categorias_Registro[[#This Row],[Puntos]]=ROUND(Piso,0),ROUND(Categorias_Registro[[#This Row],[Puntos]]*(1+Categorias_Registro[[#This Row],[Amplitud]]),0),IF(Categorias_Registro[[#This Row],[Puntos]]&lt;D1893,D1893,ROUND(D1893*(1+Categorias_Registro[[#This Row],[Amplitud]]),0)))</f>
        <v>814</v>
      </c>
      <c r="E1892" s="15">
        <f>E1893+IF(D1893=Categorias_Registro[[#This Row],[Máximo]],0,1)</f>
        <v>16</v>
      </c>
      <c r="F1892" s="15">
        <f>ROUND(Categorias_Registro[[#This Row],[Mínimo]]+((Categorias_Registro[[#This Row],[Máximo]]-Categorias_Registro[[#This Row],[Mínimo]])/2),0)</f>
        <v>762</v>
      </c>
      <c r="G1892" s="78">
        <f>VLOOKUP(Categorias_Registro[[#This Row],[Puntos]],Categorias_Configuracion[],MATCH(Categorias_Configuracion[[#Headers],[% Amplitud]],Categorias_Configuracion[#Headers],0),TRUE)</f>
        <v>0.15</v>
      </c>
      <c r="H1892" s="15" t="str">
        <f ca="1">TEXT(Categorias_Registro[[#This Row],[Mínimo]],Formato_Rango_Categorias)&amp;" - "&amp;TEXT(Categorias_Registro[[#This Row],[Máximo]],Formato_Rango_Categorias)</f>
        <v>709 - 814</v>
      </c>
    </row>
    <row r="1893" spans="2:8">
      <c r="B1893" s="15">
        <f>Techo - ROW() + ROW(Categorias_Registro[])</f>
        <v>736</v>
      </c>
      <c r="C1893" s="15">
        <f>IF(Categorias_Registro[[#This Row],[Puntos]]&lt;=ROUND(Piso,0),Piso,IF(Categorias_Registro[[#This Row],[Puntos]]&lt;D1894,C1894,D1894+1))</f>
        <v>709</v>
      </c>
      <c r="D1893" s="15">
        <f>IF(Categorias_Registro[[#This Row],[Puntos]]=ROUND(Piso,0),ROUND(Categorias_Registro[[#This Row],[Puntos]]*(1+Categorias_Registro[[#This Row],[Amplitud]]),0),IF(Categorias_Registro[[#This Row],[Puntos]]&lt;D1894,D1894,ROUND(D1894*(1+Categorias_Registro[[#This Row],[Amplitud]]),0)))</f>
        <v>814</v>
      </c>
      <c r="E1893" s="15">
        <f>E1894+IF(D1894=Categorias_Registro[[#This Row],[Máximo]],0,1)</f>
        <v>16</v>
      </c>
      <c r="F1893" s="15">
        <f>ROUND(Categorias_Registro[[#This Row],[Mínimo]]+((Categorias_Registro[[#This Row],[Máximo]]-Categorias_Registro[[#This Row],[Mínimo]])/2),0)</f>
        <v>762</v>
      </c>
      <c r="G1893" s="78">
        <f>VLOOKUP(Categorias_Registro[[#This Row],[Puntos]],Categorias_Configuracion[],MATCH(Categorias_Configuracion[[#Headers],[% Amplitud]],Categorias_Configuracion[#Headers],0),TRUE)</f>
        <v>0.15</v>
      </c>
      <c r="H1893" s="15" t="str">
        <f ca="1">TEXT(Categorias_Registro[[#This Row],[Mínimo]],Formato_Rango_Categorias)&amp;" - "&amp;TEXT(Categorias_Registro[[#This Row],[Máximo]],Formato_Rango_Categorias)</f>
        <v>709 - 814</v>
      </c>
    </row>
    <row r="1894" spans="2:8">
      <c r="B1894" s="15">
        <f>Techo - ROW() + ROW(Categorias_Registro[])</f>
        <v>735</v>
      </c>
      <c r="C1894" s="15">
        <f>IF(Categorias_Registro[[#This Row],[Puntos]]&lt;=ROUND(Piso,0),Piso,IF(Categorias_Registro[[#This Row],[Puntos]]&lt;D1895,C1895,D1895+1))</f>
        <v>709</v>
      </c>
      <c r="D1894" s="15">
        <f>IF(Categorias_Registro[[#This Row],[Puntos]]=ROUND(Piso,0),ROUND(Categorias_Registro[[#This Row],[Puntos]]*(1+Categorias_Registro[[#This Row],[Amplitud]]),0),IF(Categorias_Registro[[#This Row],[Puntos]]&lt;D1895,D1895,ROUND(D1895*(1+Categorias_Registro[[#This Row],[Amplitud]]),0)))</f>
        <v>814</v>
      </c>
      <c r="E1894" s="15">
        <f>E1895+IF(D1895=Categorias_Registro[[#This Row],[Máximo]],0,1)</f>
        <v>16</v>
      </c>
      <c r="F1894" s="15">
        <f>ROUND(Categorias_Registro[[#This Row],[Mínimo]]+((Categorias_Registro[[#This Row],[Máximo]]-Categorias_Registro[[#This Row],[Mínimo]])/2),0)</f>
        <v>762</v>
      </c>
      <c r="G1894" s="78">
        <f>VLOOKUP(Categorias_Registro[[#This Row],[Puntos]],Categorias_Configuracion[],MATCH(Categorias_Configuracion[[#Headers],[% Amplitud]],Categorias_Configuracion[#Headers],0),TRUE)</f>
        <v>0.15</v>
      </c>
      <c r="H1894" s="15" t="str">
        <f ca="1">TEXT(Categorias_Registro[[#This Row],[Mínimo]],Formato_Rango_Categorias)&amp;" - "&amp;TEXT(Categorias_Registro[[#This Row],[Máximo]],Formato_Rango_Categorias)</f>
        <v>709 - 814</v>
      </c>
    </row>
    <row r="1895" spans="2:8">
      <c r="B1895" s="15">
        <f>Techo - ROW() + ROW(Categorias_Registro[])</f>
        <v>734</v>
      </c>
      <c r="C1895" s="15">
        <f>IF(Categorias_Registro[[#This Row],[Puntos]]&lt;=ROUND(Piso,0),Piso,IF(Categorias_Registro[[#This Row],[Puntos]]&lt;D1896,C1896,D1896+1))</f>
        <v>709</v>
      </c>
      <c r="D1895" s="15">
        <f>IF(Categorias_Registro[[#This Row],[Puntos]]=ROUND(Piso,0),ROUND(Categorias_Registro[[#This Row],[Puntos]]*(1+Categorias_Registro[[#This Row],[Amplitud]]),0),IF(Categorias_Registro[[#This Row],[Puntos]]&lt;D1896,D1896,ROUND(D1896*(1+Categorias_Registro[[#This Row],[Amplitud]]),0)))</f>
        <v>814</v>
      </c>
      <c r="E1895" s="15">
        <f>E1896+IF(D1896=Categorias_Registro[[#This Row],[Máximo]],0,1)</f>
        <v>16</v>
      </c>
      <c r="F1895" s="15">
        <f>ROUND(Categorias_Registro[[#This Row],[Mínimo]]+((Categorias_Registro[[#This Row],[Máximo]]-Categorias_Registro[[#This Row],[Mínimo]])/2),0)</f>
        <v>762</v>
      </c>
      <c r="G1895" s="78">
        <f>VLOOKUP(Categorias_Registro[[#This Row],[Puntos]],Categorias_Configuracion[],MATCH(Categorias_Configuracion[[#Headers],[% Amplitud]],Categorias_Configuracion[#Headers],0),TRUE)</f>
        <v>0.15</v>
      </c>
      <c r="H1895" s="15" t="str">
        <f ca="1">TEXT(Categorias_Registro[[#This Row],[Mínimo]],Formato_Rango_Categorias)&amp;" - "&amp;TEXT(Categorias_Registro[[#This Row],[Máximo]],Formato_Rango_Categorias)</f>
        <v>709 - 814</v>
      </c>
    </row>
    <row r="1896" spans="2:8">
      <c r="B1896" s="15">
        <f>Techo - ROW() + ROW(Categorias_Registro[])</f>
        <v>733</v>
      </c>
      <c r="C1896" s="15">
        <f>IF(Categorias_Registro[[#This Row],[Puntos]]&lt;=ROUND(Piso,0),Piso,IF(Categorias_Registro[[#This Row],[Puntos]]&lt;D1897,C1897,D1897+1))</f>
        <v>709</v>
      </c>
      <c r="D1896" s="15">
        <f>IF(Categorias_Registro[[#This Row],[Puntos]]=ROUND(Piso,0),ROUND(Categorias_Registro[[#This Row],[Puntos]]*(1+Categorias_Registro[[#This Row],[Amplitud]]),0),IF(Categorias_Registro[[#This Row],[Puntos]]&lt;D1897,D1897,ROUND(D1897*(1+Categorias_Registro[[#This Row],[Amplitud]]),0)))</f>
        <v>814</v>
      </c>
      <c r="E1896" s="15">
        <f>E1897+IF(D1897=Categorias_Registro[[#This Row],[Máximo]],0,1)</f>
        <v>16</v>
      </c>
      <c r="F1896" s="15">
        <f>ROUND(Categorias_Registro[[#This Row],[Mínimo]]+((Categorias_Registro[[#This Row],[Máximo]]-Categorias_Registro[[#This Row],[Mínimo]])/2),0)</f>
        <v>762</v>
      </c>
      <c r="G1896" s="78">
        <f>VLOOKUP(Categorias_Registro[[#This Row],[Puntos]],Categorias_Configuracion[],MATCH(Categorias_Configuracion[[#Headers],[% Amplitud]],Categorias_Configuracion[#Headers],0),TRUE)</f>
        <v>0.15</v>
      </c>
      <c r="H1896" s="15" t="str">
        <f ca="1">TEXT(Categorias_Registro[[#This Row],[Mínimo]],Formato_Rango_Categorias)&amp;" - "&amp;TEXT(Categorias_Registro[[#This Row],[Máximo]],Formato_Rango_Categorias)</f>
        <v>709 - 814</v>
      </c>
    </row>
    <row r="1897" spans="2:8">
      <c r="B1897" s="15">
        <f>Techo - ROW() + ROW(Categorias_Registro[])</f>
        <v>732</v>
      </c>
      <c r="C1897" s="15">
        <f>IF(Categorias_Registro[[#This Row],[Puntos]]&lt;=ROUND(Piso,0),Piso,IF(Categorias_Registro[[#This Row],[Puntos]]&lt;D1898,C1898,D1898+1))</f>
        <v>709</v>
      </c>
      <c r="D1897" s="15">
        <f>IF(Categorias_Registro[[#This Row],[Puntos]]=ROUND(Piso,0),ROUND(Categorias_Registro[[#This Row],[Puntos]]*(1+Categorias_Registro[[#This Row],[Amplitud]]),0),IF(Categorias_Registro[[#This Row],[Puntos]]&lt;D1898,D1898,ROUND(D1898*(1+Categorias_Registro[[#This Row],[Amplitud]]),0)))</f>
        <v>814</v>
      </c>
      <c r="E1897" s="15">
        <f>E1898+IF(D1898=Categorias_Registro[[#This Row],[Máximo]],0,1)</f>
        <v>16</v>
      </c>
      <c r="F1897" s="15">
        <f>ROUND(Categorias_Registro[[#This Row],[Mínimo]]+((Categorias_Registro[[#This Row],[Máximo]]-Categorias_Registro[[#This Row],[Mínimo]])/2),0)</f>
        <v>762</v>
      </c>
      <c r="G1897" s="78">
        <f>VLOOKUP(Categorias_Registro[[#This Row],[Puntos]],Categorias_Configuracion[],MATCH(Categorias_Configuracion[[#Headers],[% Amplitud]],Categorias_Configuracion[#Headers],0),TRUE)</f>
        <v>0.15</v>
      </c>
      <c r="H1897" s="15" t="str">
        <f ca="1">TEXT(Categorias_Registro[[#This Row],[Mínimo]],Formato_Rango_Categorias)&amp;" - "&amp;TEXT(Categorias_Registro[[#This Row],[Máximo]],Formato_Rango_Categorias)</f>
        <v>709 - 814</v>
      </c>
    </row>
    <row r="1898" spans="2:8">
      <c r="B1898" s="15">
        <f>Techo - ROW() + ROW(Categorias_Registro[])</f>
        <v>731</v>
      </c>
      <c r="C1898" s="15">
        <f>IF(Categorias_Registro[[#This Row],[Puntos]]&lt;=ROUND(Piso,0),Piso,IF(Categorias_Registro[[#This Row],[Puntos]]&lt;D1899,C1899,D1899+1))</f>
        <v>709</v>
      </c>
      <c r="D1898" s="15">
        <f>IF(Categorias_Registro[[#This Row],[Puntos]]=ROUND(Piso,0),ROUND(Categorias_Registro[[#This Row],[Puntos]]*(1+Categorias_Registro[[#This Row],[Amplitud]]),0),IF(Categorias_Registro[[#This Row],[Puntos]]&lt;D1899,D1899,ROUND(D1899*(1+Categorias_Registro[[#This Row],[Amplitud]]),0)))</f>
        <v>814</v>
      </c>
      <c r="E1898" s="15">
        <f>E1899+IF(D1899=Categorias_Registro[[#This Row],[Máximo]],0,1)</f>
        <v>16</v>
      </c>
      <c r="F1898" s="15">
        <f>ROUND(Categorias_Registro[[#This Row],[Mínimo]]+((Categorias_Registro[[#This Row],[Máximo]]-Categorias_Registro[[#This Row],[Mínimo]])/2),0)</f>
        <v>762</v>
      </c>
      <c r="G1898" s="78">
        <f>VLOOKUP(Categorias_Registro[[#This Row],[Puntos]],Categorias_Configuracion[],MATCH(Categorias_Configuracion[[#Headers],[% Amplitud]],Categorias_Configuracion[#Headers],0),TRUE)</f>
        <v>0.15</v>
      </c>
      <c r="H1898" s="15" t="str">
        <f ca="1">TEXT(Categorias_Registro[[#This Row],[Mínimo]],Formato_Rango_Categorias)&amp;" - "&amp;TEXT(Categorias_Registro[[#This Row],[Máximo]],Formato_Rango_Categorias)</f>
        <v>709 - 814</v>
      </c>
    </row>
    <row r="1899" spans="2:8">
      <c r="B1899" s="15">
        <f>Techo - ROW() + ROW(Categorias_Registro[])</f>
        <v>730</v>
      </c>
      <c r="C1899" s="15">
        <f>IF(Categorias_Registro[[#This Row],[Puntos]]&lt;=ROUND(Piso,0),Piso,IF(Categorias_Registro[[#This Row],[Puntos]]&lt;D1900,C1900,D1900+1))</f>
        <v>709</v>
      </c>
      <c r="D1899" s="15">
        <f>IF(Categorias_Registro[[#This Row],[Puntos]]=ROUND(Piso,0),ROUND(Categorias_Registro[[#This Row],[Puntos]]*(1+Categorias_Registro[[#This Row],[Amplitud]]),0),IF(Categorias_Registro[[#This Row],[Puntos]]&lt;D1900,D1900,ROUND(D1900*(1+Categorias_Registro[[#This Row],[Amplitud]]),0)))</f>
        <v>814</v>
      </c>
      <c r="E1899" s="15">
        <f>E1900+IF(D1900=Categorias_Registro[[#This Row],[Máximo]],0,1)</f>
        <v>16</v>
      </c>
      <c r="F1899" s="15">
        <f>ROUND(Categorias_Registro[[#This Row],[Mínimo]]+((Categorias_Registro[[#This Row],[Máximo]]-Categorias_Registro[[#This Row],[Mínimo]])/2),0)</f>
        <v>762</v>
      </c>
      <c r="G1899" s="78">
        <f>VLOOKUP(Categorias_Registro[[#This Row],[Puntos]],Categorias_Configuracion[],MATCH(Categorias_Configuracion[[#Headers],[% Amplitud]],Categorias_Configuracion[#Headers],0),TRUE)</f>
        <v>0.15</v>
      </c>
      <c r="H1899" s="15" t="str">
        <f ca="1">TEXT(Categorias_Registro[[#This Row],[Mínimo]],Formato_Rango_Categorias)&amp;" - "&amp;TEXT(Categorias_Registro[[#This Row],[Máximo]],Formato_Rango_Categorias)</f>
        <v>709 - 814</v>
      </c>
    </row>
    <row r="1900" spans="2:8">
      <c r="B1900" s="15">
        <f>Techo - ROW() + ROW(Categorias_Registro[])</f>
        <v>729</v>
      </c>
      <c r="C1900" s="15">
        <f>IF(Categorias_Registro[[#This Row],[Puntos]]&lt;=ROUND(Piso,0),Piso,IF(Categorias_Registro[[#This Row],[Puntos]]&lt;D1901,C1901,D1901+1))</f>
        <v>709</v>
      </c>
      <c r="D1900" s="15">
        <f>IF(Categorias_Registro[[#This Row],[Puntos]]=ROUND(Piso,0),ROUND(Categorias_Registro[[#This Row],[Puntos]]*(1+Categorias_Registro[[#This Row],[Amplitud]]),0),IF(Categorias_Registro[[#This Row],[Puntos]]&lt;D1901,D1901,ROUND(D1901*(1+Categorias_Registro[[#This Row],[Amplitud]]),0)))</f>
        <v>814</v>
      </c>
      <c r="E1900" s="15">
        <f>E1901+IF(D1901=Categorias_Registro[[#This Row],[Máximo]],0,1)</f>
        <v>16</v>
      </c>
      <c r="F1900" s="15">
        <f>ROUND(Categorias_Registro[[#This Row],[Mínimo]]+((Categorias_Registro[[#This Row],[Máximo]]-Categorias_Registro[[#This Row],[Mínimo]])/2),0)</f>
        <v>762</v>
      </c>
      <c r="G1900" s="78">
        <f>VLOOKUP(Categorias_Registro[[#This Row],[Puntos]],Categorias_Configuracion[],MATCH(Categorias_Configuracion[[#Headers],[% Amplitud]],Categorias_Configuracion[#Headers],0),TRUE)</f>
        <v>0.15</v>
      </c>
      <c r="H1900" s="15" t="str">
        <f ca="1">TEXT(Categorias_Registro[[#This Row],[Mínimo]],Formato_Rango_Categorias)&amp;" - "&amp;TEXT(Categorias_Registro[[#This Row],[Máximo]],Formato_Rango_Categorias)</f>
        <v>709 - 814</v>
      </c>
    </row>
    <row r="1901" spans="2:8">
      <c r="B1901" s="15">
        <f>Techo - ROW() + ROW(Categorias_Registro[])</f>
        <v>728</v>
      </c>
      <c r="C1901" s="15">
        <f>IF(Categorias_Registro[[#This Row],[Puntos]]&lt;=ROUND(Piso,0),Piso,IF(Categorias_Registro[[#This Row],[Puntos]]&lt;D1902,C1902,D1902+1))</f>
        <v>709</v>
      </c>
      <c r="D1901" s="15">
        <f>IF(Categorias_Registro[[#This Row],[Puntos]]=ROUND(Piso,0),ROUND(Categorias_Registro[[#This Row],[Puntos]]*(1+Categorias_Registro[[#This Row],[Amplitud]]),0),IF(Categorias_Registro[[#This Row],[Puntos]]&lt;D1902,D1902,ROUND(D1902*(1+Categorias_Registro[[#This Row],[Amplitud]]),0)))</f>
        <v>814</v>
      </c>
      <c r="E1901" s="15">
        <f>E1902+IF(D1902=Categorias_Registro[[#This Row],[Máximo]],0,1)</f>
        <v>16</v>
      </c>
      <c r="F1901" s="15">
        <f>ROUND(Categorias_Registro[[#This Row],[Mínimo]]+((Categorias_Registro[[#This Row],[Máximo]]-Categorias_Registro[[#This Row],[Mínimo]])/2),0)</f>
        <v>762</v>
      </c>
      <c r="G1901" s="78">
        <f>VLOOKUP(Categorias_Registro[[#This Row],[Puntos]],Categorias_Configuracion[],MATCH(Categorias_Configuracion[[#Headers],[% Amplitud]],Categorias_Configuracion[#Headers],0),TRUE)</f>
        <v>0.15</v>
      </c>
      <c r="H1901" s="15" t="str">
        <f ca="1">TEXT(Categorias_Registro[[#This Row],[Mínimo]],Formato_Rango_Categorias)&amp;" - "&amp;TEXT(Categorias_Registro[[#This Row],[Máximo]],Formato_Rango_Categorias)</f>
        <v>709 - 814</v>
      </c>
    </row>
    <row r="1902" spans="2:8">
      <c r="B1902" s="15">
        <f>Techo - ROW() + ROW(Categorias_Registro[])</f>
        <v>727</v>
      </c>
      <c r="C1902" s="15">
        <f>IF(Categorias_Registro[[#This Row],[Puntos]]&lt;=ROUND(Piso,0),Piso,IF(Categorias_Registro[[#This Row],[Puntos]]&lt;D1903,C1903,D1903+1))</f>
        <v>709</v>
      </c>
      <c r="D1902" s="15">
        <f>IF(Categorias_Registro[[#This Row],[Puntos]]=ROUND(Piso,0),ROUND(Categorias_Registro[[#This Row],[Puntos]]*(1+Categorias_Registro[[#This Row],[Amplitud]]),0),IF(Categorias_Registro[[#This Row],[Puntos]]&lt;D1903,D1903,ROUND(D1903*(1+Categorias_Registro[[#This Row],[Amplitud]]),0)))</f>
        <v>814</v>
      </c>
      <c r="E1902" s="15">
        <f>E1903+IF(D1903=Categorias_Registro[[#This Row],[Máximo]],0,1)</f>
        <v>16</v>
      </c>
      <c r="F1902" s="15">
        <f>ROUND(Categorias_Registro[[#This Row],[Mínimo]]+((Categorias_Registro[[#This Row],[Máximo]]-Categorias_Registro[[#This Row],[Mínimo]])/2),0)</f>
        <v>762</v>
      </c>
      <c r="G1902" s="78">
        <f>VLOOKUP(Categorias_Registro[[#This Row],[Puntos]],Categorias_Configuracion[],MATCH(Categorias_Configuracion[[#Headers],[% Amplitud]],Categorias_Configuracion[#Headers],0),TRUE)</f>
        <v>0.15</v>
      </c>
      <c r="H1902" s="15" t="str">
        <f ca="1">TEXT(Categorias_Registro[[#This Row],[Mínimo]],Formato_Rango_Categorias)&amp;" - "&amp;TEXT(Categorias_Registro[[#This Row],[Máximo]],Formato_Rango_Categorias)</f>
        <v>709 - 814</v>
      </c>
    </row>
    <row r="1903" spans="2:8">
      <c r="B1903" s="15">
        <f>Techo - ROW() + ROW(Categorias_Registro[])</f>
        <v>726</v>
      </c>
      <c r="C1903" s="15">
        <f>IF(Categorias_Registro[[#This Row],[Puntos]]&lt;=ROUND(Piso,0),Piso,IF(Categorias_Registro[[#This Row],[Puntos]]&lt;D1904,C1904,D1904+1))</f>
        <v>709</v>
      </c>
      <c r="D1903" s="15">
        <f>IF(Categorias_Registro[[#This Row],[Puntos]]=ROUND(Piso,0),ROUND(Categorias_Registro[[#This Row],[Puntos]]*(1+Categorias_Registro[[#This Row],[Amplitud]]),0),IF(Categorias_Registro[[#This Row],[Puntos]]&lt;D1904,D1904,ROUND(D1904*(1+Categorias_Registro[[#This Row],[Amplitud]]),0)))</f>
        <v>814</v>
      </c>
      <c r="E1903" s="15">
        <f>E1904+IF(D1904=Categorias_Registro[[#This Row],[Máximo]],0,1)</f>
        <v>16</v>
      </c>
      <c r="F1903" s="15">
        <f>ROUND(Categorias_Registro[[#This Row],[Mínimo]]+((Categorias_Registro[[#This Row],[Máximo]]-Categorias_Registro[[#This Row],[Mínimo]])/2),0)</f>
        <v>762</v>
      </c>
      <c r="G1903" s="78">
        <f>VLOOKUP(Categorias_Registro[[#This Row],[Puntos]],Categorias_Configuracion[],MATCH(Categorias_Configuracion[[#Headers],[% Amplitud]],Categorias_Configuracion[#Headers],0),TRUE)</f>
        <v>0.15</v>
      </c>
      <c r="H1903" s="15" t="str">
        <f ca="1">TEXT(Categorias_Registro[[#This Row],[Mínimo]],Formato_Rango_Categorias)&amp;" - "&amp;TEXT(Categorias_Registro[[#This Row],[Máximo]],Formato_Rango_Categorias)</f>
        <v>709 - 814</v>
      </c>
    </row>
    <row r="1904" spans="2:8">
      <c r="B1904" s="15">
        <f>Techo - ROW() + ROW(Categorias_Registro[])</f>
        <v>725</v>
      </c>
      <c r="C1904" s="15">
        <f>IF(Categorias_Registro[[#This Row],[Puntos]]&lt;=ROUND(Piso,0),Piso,IF(Categorias_Registro[[#This Row],[Puntos]]&lt;D1905,C1905,D1905+1))</f>
        <v>709</v>
      </c>
      <c r="D1904" s="15">
        <f>IF(Categorias_Registro[[#This Row],[Puntos]]=ROUND(Piso,0),ROUND(Categorias_Registro[[#This Row],[Puntos]]*(1+Categorias_Registro[[#This Row],[Amplitud]]),0),IF(Categorias_Registro[[#This Row],[Puntos]]&lt;D1905,D1905,ROUND(D1905*(1+Categorias_Registro[[#This Row],[Amplitud]]),0)))</f>
        <v>814</v>
      </c>
      <c r="E1904" s="15">
        <f>E1905+IF(D1905=Categorias_Registro[[#This Row],[Máximo]],0,1)</f>
        <v>16</v>
      </c>
      <c r="F1904" s="15">
        <f>ROUND(Categorias_Registro[[#This Row],[Mínimo]]+((Categorias_Registro[[#This Row],[Máximo]]-Categorias_Registro[[#This Row],[Mínimo]])/2),0)</f>
        <v>762</v>
      </c>
      <c r="G1904" s="78">
        <f>VLOOKUP(Categorias_Registro[[#This Row],[Puntos]],Categorias_Configuracion[],MATCH(Categorias_Configuracion[[#Headers],[% Amplitud]],Categorias_Configuracion[#Headers],0),TRUE)</f>
        <v>0.15</v>
      </c>
      <c r="H1904" s="15" t="str">
        <f ca="1">TEXT(Categorias_Registro[[#This Row],[Mínimo]],Formato_Rango_Categorias)&amp;" - "&amp;TEXT(Categorias_Registro[[#This Row],[Máximo]],Formato_Rango_Categorias)</f>
        <v>709 - 814</v>
      </c>
    </row>
    <row r="1905" spans="2:8">
      <c r="B1905" s="15">
        <f>Techo - ROW() + ROW(Categorias_Registro[])</f>
        <v>724</v>
      </c>
      <c r="C1905" s="15">
        <f>IF(Categorias_Registro[[#This Row],[Puntos]]&lt;=ROUND(Piso,0),Piso,IF(Categorias_Registro[[#This Row],[Puntos]]&lt;D1906,C1906,D1906+1))</f>
        <v>709</v>
      </c>
      <c r="D1905" s="15">
        <f>IF(Categorias_Registro[[#This Row],[Puntos]]=ROUND(Piso,0),ROUND(Categorias_Registro[[#This Row],[Puntos]]*(1+Categorias_Registro[[#This Row],[Amplitud]]),0),IF(Categorias_Registro[[#This Row],[Puntos]]&lt;D1906,D1906,ROUND(D1906*(1+Categorias_Registro[[#This Row],[Amplitud]]),0)))</f>
        <v>814</v>
      </c>
      <c r="E1905" s="15">
        <f>E1906+IF(D1906=Categorias_Registro[[#This Row],[Máximo]],0,1)</f>
        <v>16</v>
      </c>
      <c r="F1905" s="15">
        <f>ROUND(Categorias_Registro[[#This Row],[Mínimo]]+((Categorias_Registro[[#This Row],[Máximo]]-Categorias_Registro[[#This Row],[Mínimo]])/2),0)</f>
        <v>762</v>
      </c>
      <c r="G1905" s="78">
        <f>VLOOKUP(Categorias_Registro[[#This Row],[Puntos]],Categorias_Configuracion[],MATCH(Categorias_Configuracion[[#Headers],[% Amplitud]],Categorias_Configuracion[#Headers],0),TRUE)</f>
        <v>0.15</v>
      </c>
      <c r="H1905" s="15" t="str">
        <f ca="1">TEXT(Categorias_Registro[[#This Row],[Mínimo]],Formato_Rango_Categorias)&amp;" - "&amp;TEXT(Categorias_Registro[[#This Row],[Máximo]],Formato_Rango_Categorias)</f>
        <v>709 - 814</v>
      </c>
    </row>
    <row r="1906" spans="2:8">
      <c r="B1906" s="15">
        <f>Techo - ROW() + ROW(Categorias_Registro[])</f>
        <v>723</v>
      </c>
      <c r="C1906" s="15">
        <f>IF(Categorias_Registro[[#This Row],[Puntos]]&lt;=ROUND(Piso,0),Piso,IF(Categorias_Registro[[#This Row],[Puntos]]&lt;D1907,C1907,D1907+1))</f>
        <v>709</v>
      </c>
      <c r="D1906" s="15">
        <f>IF(Categorias_Registro[[#This Row],[Puntos]]=ROUND(Piso,0),ROUND(Categorias_Registro[[#This Row],[Puntos]]*(1+Categorias_Registro[[#This Row],[Amplitud]]),0),IF(Categorias_Registro[[#This Row],[Puntos]]&lt;D1907,D1907,ROUND(D1907*(1+Categorias_Registro[[#This Row],[Amplitud]]),0)))</f>
        <v>814</v>
      </c>
      <c r="E1906" s="15">
        <f>E1907+IF(D1907=Categorias_Registro[[#This Row],[Máximo]],0,1)</f>
        <v>16</v>
      </c>
      <c r="F1906" s="15">
        <f>ROUND(Categorias_Registro[[#This Row],[Mínimo]]+((Categorias_Registro[[#This Row],[Máximo]]-Categorias_Registro[[#This Row],[Mínimo]])/2),0)</f>
        <v>762</v>
      </c>
      <c r="G1906" s="78">
        <f>VLOOKUP(Categorias_Registro[[#This Row],[Puntos]],Categorias_Configuracion[],MATCH(Categorias_Configuracion[[#Headers],[% Amplitud]],Categorias_Configuracion[#Headers],0),TRUE)</f>
        <v>0.15</v>
      </c>
      <c r="H1906" s="15" t="str">
        <f ca="1">TEXT(Categorias_Registro[[#This Row],[Mínimo]],Formato_Rango_Categorias)&amp;" - "&amp;TEXT(Categorias_Registro[[#This Row],[Máximo]],Formato_Rango_Categorias)</f>
        <v>709 - 814</v>
      </c>
    </row>
    <row r="1907" spans="2:8">
      <c r="B1907" s="15">
        <f>Techo - ROW() + ROW(Categorias_Registro[])</f>
        <v>722</v>
      </c>
      <c r="C1907" s="15">
        <f>IF(Categorias_Registro[[#This Row],[Puntos]]&lt;=ROUND(Piso,0),Piso,IF(Categorias_Registro[[#This Row],[Puntos]]&lt;D1908,C1908,D1908+1))</f>
        <v>709</v>
      </c>
      <c r="D1907" s="15">
        <f>IF(Categorias_Registro[[#This Row],[Puntos]]=ROUND(Piso,0),ROUND(Categorias_Registro[[#This Row],[Puntos]]*(1+Categorias_Registro[[#This Row],[Amplitud]]),0),IF(Categorias_Registro[[#This Row],[Puntos]]&lt;D1908,D1908,ROUND(D1908*(1+Categorias_Registro[[#This Row],[Amplitud]]),0)))</f>
        <v>814</v>
      </c>
      <c r="E1907" s="15">
        <f>E1908+IF(D1908=Categorias_Registro[[#This Row],[Máximo]],0,1)</f>
        <v>16</v>
      </c>
      <c r="F1907" s="15">
        <f>ROUND(Categorias_Registro[[#This Row],[Mínimo]]+((Categorias_Registro[[#This Row],[Máximo]]-Categorias_Registro[[#This Row],[Mínimo]])/2),0)</f>
        <v>762</v>
      </c>
      <c r="G1907" s="78">
        <f>VLOOKUP(Categorias_Registro[[#This Row],[Puntos]],Categorias_Configuracion[],MATCH(Categorias_Configuracion[[#Headers],[% Amplitud]],Categorias_Configuracion[#Headers],0),TRUE)</f>
        <v>0.15</v>
      </c>
      <c r="H1907" s="15" t="str">
        <f ca="1">TEXT(Categorias_Registro[[#This Row],[Mínimo]],Formato_Rango_Categorias)&amp;" - "&amp;TEXT(Categorias_Registro[[#This Row],[Máximo]],Formato_Rango_Categorias)</f>
        <v>709 - 814</v>
      </c>
    </row>
    <row r="1908" spans="2:8">
      <c r="B1908" s="15">
        <f>Techo - ROW() + ROW(Categorias_Registro[])</f>
        <v>721</v>
      </c>
      <c r="C1908" s="15">
        <f>IF(Categorias_Registro[[#This Row],[Puntos]]&lt;=ROUND(Piso,0),Piso,IF(Categorias_Registro[[#This Row],[Puntos]]&lt;D1909,C1909,D1909+1))</f>
        <v>709</v>
      </c>
      <c r="D1908" s="15">
        <f>IF(Categorias_Registro[[#This Row],[Puntos]]=ROUND(Piso,0),ROUND(Categorias_Registro[[#This Row],[Puntos]]*(1+Categorias_Registro[[#This Row],[Amplitud]]),0),IF(Categorias_Registro[[#This Row],[Puntos]]&lt;D1909,D1909,ROUND(D1909*(1+Categorias_Registro[[#This Row],[Amplitud]]),0)))</f>
        <v>814</v>
      </c>
      <c r="E1908" s="15">
        <f>E1909+IF(D1909=Categorias_Registro[[#This Row],[Máximo]],0,1)</f>
        <v>16</v>
      </c>
      <c r="F1908" s="15">
        <f>ROUND(Categorias_Registro[[#This Row],[Mínimo]]+((Categorias_Registro[[#This Row],[Máximo]]-Categorias_Registro[[#This Row],[Mínimo]])/2),0)</f>
        <v>762</v>
      </c>
      <c r="G1908" s="78">
        <f>VLOOKUP(Categorias_Registro[[#This Row],[Puntos]],Categorias_Configuracion[],MATCH(Categorias_Configuracion[[#Headers],[% Amplitud]],Categorias_Configuracion[#Headers],0),TRUE)</f>
        <v>0.15</v>
      </c>
      <c r="H1908" s="15" t="str">
        <f ca="1">TEXT(Categorias_Registro[[#This Row],[Mínimo]],Formato_Rango_Categorias)&amp;" - "&amp;TEXT(Categorias_Registro[[#This Row],[Máximo]],Formato_Rango_Categorias)</f>
        <v>709 - 814</v>
      </c>
    </row>
    <row r="1909" spans="2:8">
      <c r="B1909" s="15">
        <f>Techo - ROW() + ROW(Categorias_Registro[])</f>
        <v>720</v>
      </c>
      <c r="C1909" s="15">
        <f>IF(Categorias_Registro[[#This Row],[Puntos]]&lt;=ROUND(Piso,0),Piso,IF(Categorias_Registro[[#This Row],[Puntos]]&lt;D1910,C1910,D1910+1))</f>
        <v>709</v>
      </c>
      <c r="D1909" s="15">
        <f>IF(Categorias_Registro[[#This Row],[Puntos]]=ROUND(Piso,0),ROUND(Categorias_Registro[[#This Row],[Puntos]]*(1+Categorias_Registro[[#This Row],[Amplitud]]),0),IF(Categorias_Registro[[#This Row],[Puntos]]&lt;D1910,D1910,ROUND(D1910*(1+Categorias_Registro[[#This Row],[Amplitud]]),0)))</f>
        <v>814</v>
      </c>
      <c r="E1909" s="15">
        <f>E1910+IF(D1910=Categorias_Registro[[#This Row],[Máximo]],0,1)</f>
        <v>16</v>
      </c>
      <c r="F1909" s="15">
        <f>ROUND(Categorias_Registro[[#This Row],[Mínimo]]+((Categorias_Registro[[#This Row],[Máximo]]-Categorias_Registro[[#This Row],[Mínimo]])/2),0)</f>
        <v>762</v>
      </c>
      <c r="G1909" s="78">
        <f>VLOOKUP(Categorias_Registro[[#This Row],[Puntos]],Categorias_Configuracion[],MATCH(Categorias_Configuracion[[#Headers],[% Amplitud]],Categorias_Configuracion[#Headers],0),TRUE)</f>
        <v>0.15</v>
      </c>
      <c r="H1909" s="15" t="str">
        <f ca="1">TEXT(Categorias_Registro[[#This Row],[Mínimo]],Formato_Rango_Categorias)&amp;" - "&amp;TEXT(Categorias_Registro[[#This Row],[Máximo]],Formato_Rango_Categorias)</f>
        <v>709 - 814</v>
      </c>
    </row>
    <row r="1910" spans="2:8">
      <c r="B1910" s="15">
        <f>Techo - ROW() + ROW(Categorias_Registro[])</f>
        <v>719</v>
      </c>
      <c r="C1910" s="15">
        <f>IF(Categorias_Registro[[#This Row],[Puntos]]&lt;=ROUND(Piso,0),Piso,IF(Categorias_Registro[[#This Row],[Puntos]]&lt;D1911,C1911,D1911+1))</f>
        <v>709</v>
      </c>
      <c r="D1910" s="15">
        <f>IF(Categorias_Registro[[#This Row],[Puntos]]=ROUND(Piso,0),ROUND(Categorias_Registro[[#This Row],[Puntos]]*(1+Categorias_Registro[[#This Row],[Amplitud]]),0),IF(Categorias_Registro[[#This Row],[Puntos]]&lt;D1911,D1911,ROUND(D1911*(1+Categorias_Registro[[#This Row],[Amplitud]]),0)))</f>
        <v>814</v>
      </c>
      <c r="E1910" s="15">
        <f>E1911+IF(D1911=Categorias_Registro[[#This Row],[Máximo]],0,1)</f>
        <v>16</v>
      </c>
      <c r="F1910" s="15">
        <f>ROUND(Categorias_Registro[[#This Row],[Mínimo]]+((Categorias_Registro[[#This Row],[Máximo]]-Categorias_Registro[[#This Row],[Mínimo]])/2),0)</f>
        <v>762</v>
      </c>
      <c r="G1910" s="78">
        <f>VLOOKUP(Categorias_Registro[[#This Row],[Puntos]],Categorias_Configuracion[],MATCH(Categorias_Configuracion[[#Headers],[% Amplitud]],Categorias_Configuracion[#Headers],0),TRUE)</f>
        <v>0.15</v>
      </c>
      <c r="H1910" s="15" t="str">
        <f ca="1">TEXT(Categorias_Registro[[#This Row],[Mínimo]],Formato_Rango_Categorias)&amp;" - "&amp;TEXT(Categorias_Registro[[#This Row],[Máximo]],Formato_Rango_Categorias)</f>
        <v>709 - 814</v>
      </c>
    </row>
    <row r="1911" spans="2:8">
      <c r="B1911" s="15">
        <f>Techo - ROW() + ROW(Categorias_Registro[])</f>
        <v>718</v>
      </c>
      <c r="C1911" s="15">
        <f>IF(Categorias_Registro[[#This Row],[Puntos]]&lt;=ROUND(Piso,0),Piso,IF(Categorias_Registro[[#This Row],[Puntos]]&lt;D1912,C1912,D1912+1))</f>
        <v>709</v>
      </c>
      <c r="D1911" s="15">
        <f>IF(Categorias_Registro[[#This Row],[Puntos]]=ROUND(Piso,0),ROUND(Categorias_Registro[[#This Row],[Puntos]]*(1+Categorias_Registro[[#This Row],[Amplitud]]),0),IF(Categorias_Registro[[#This Row],[Puntos]]&lt;D1912,D1912,ROUND(D1912*(1+Categorias_Registro[[#This Row],[Amplitud]]),0)))</f>
        <v>814</v>
      </c>
      <c r="E1911" s="15">
        <f>E1912+IF(D1912=Categorias_Registro[[#This Row],[Máximo]],0,1)</f>
        <v>16</v>
      </c>
      <c r="F1911" s="15">
        <f>ROUND(Categorias_Registro[[#This Row],[Mínimo]]+((Categorias_Registro[[#This Row],[Máximo]]-Categorias_Registro[[#This Row],[Mínimo]])/2),0)</f>
        <v>762</v>
      </c>
      <c r="G1911" s="78">
        <f>VLOOKUP(Categorias_Registro[[#This Row],[Puntos]],Categorias_Configuracion[],MATCH(Categorias_Configuracion[[#Headers],[% Amplitud]],Categorias_Configuracion[#Headers],0),TRUE)</f>
        <v>0.15</v>
      </c>
      <c r="H1911" s="15" t="str">
        <f ca="1">TEXT(Categorias_Registro[[#This Row],[Mínimo]],Formato_Rango_Categorias)&amp;" - "&amp;TEXT(Categorias_Registro[[#This Row],[Máximo]],Formato_Rango_Categorias)</f>
        <v>709 - 814</v>
      </c>
    </row>
    <row r="1912" spans="2:8">
      <c r="B1912" s="15">
        <f>Techo - ROW() + ROW(Categorias_Registro[])</f>
        <v>717</v>
      </c>
      <c r="C1912" s="15">
        <f>IF(Categorias_Registro[[#This Row],[Puntos]]&lt;=ROUND(Piso,0),Piso,IF(Categorias_Registro[[#This Row],[Puntos]]&lt;D1913,C1913,D1913+1))</f>
        <v>709</v>
      </c>
      <c r="D1912" s="15">
        <f>IF(Categorias_Registro[[#This Row],[Puntos]]=ROUND(Piso,0),ROUND(Categorias_Registro[[#This Row],[Puntos]]*(1+Categorias_Registro[[#This Row],[Amplitud]]),0),IF(Categorias_Registro[[#This Row],[Puntos]]&lt;D1913,D1913,ROUND(D1913*(1+Categorias_Registro[[#This Row],[Amplitud]]),0)))</f>
        <v>814</v>
      </c>
      <c r="E1912" s="15">
        <f>E1913+IF(D1913=Categorias_Registro[[#This Row],[Máximo]],0,1)</f>
        <v>16</v>
      </c>
      <c r="F1912" s="15">
        <f>ROUND(Categorias_Registro[[#This Row],[Mínimo]]+((Categorias_Registro[[#This Row],[Máximo]]-Categorias_Registro[[#This Row],[Mínimo]])/2),0)</f>
        <v>762</v>
      </c>
      <c r="G1912" s="78">
        <f>VLOOKUP(Categorias_Registro[[#This Row],[Puntos]],Categorias_Configuracion[],MATCH(Categorias_Configuracion[[#Headers],[% Amplitud]],Categorias_Configuracion[#Headers],0),TRUE)</f>
        <v>0.15</v>
      </c>
      <c r="H1912" s="15" t="str">
        <f ca="1">TEXT(Categorias_Registro[[#This Row],[Mínimo]],Formato_Rango_Categorias)&amp;" - "&amp;TEXT(Categorias_Registro[[#This Row],[Máximo]],Formato_Rango_Categorias)</f>
        <v>709 - 814</v>
      </c>
    </row>
    <row r="1913" spans="2:8">
      <c r="B1913" s="15">
        <f>Techo - ROW() + ROW(Categorias_Registro[])</f>
        <v>716</v>
      </c>
      <c r="C1913" s="15">
        <f>IF(Categorias_Registro[[#This Row],[Puntos]]&lt;=ROUND(Piso,0),Piso,IF(Categorias_Registro[[#This Row],[Puntos]]&lt;D1914,C1914,D1914+1))</f>
        <v>709</v>
      </c>
      <c r="D1913" s="15">
        <f>IF(Categorias_Registro[[#This Row],[Puntos]]=ROUND(Piso,0),ROUND(Categorias_Registro[[#This Row],[Puntos]]*(1+Categorias_Registro[[#This Row],[Amplitud]]),0),IF(Categorias_Registro[[#This Row],[Puntos]]&lt;D1914,D1914,ROUND(D1914*(1+Categorias_Registro[[#This Row],[Amplitud]]),0)))</f>
        <v>814</v>
      </c>
      <c r="E1913" s="15">
        <f>E1914+IF(D1914=Categorias_Registro[[#This Row],[Máximo]],0,1)</f>
        <v>16</v>
      </c>
      <c r="F1913" s="15">
        <f>ROUND(Categorias_Registro[[#This Row],[Mínimo]]+((Categorias_Registro[[#This Row],[Máximo]]-Categorias_Registro[[#This Row],[Mínimo]])/2),0)</f>
        <v>762</v>
      </c>
      <c r="G1913" s="78">
        <f>VLOOKUP(Categorias_Registro[[#This Row],[Puntos]],Categorias_Configuracion[],MATCH(Categorias_Configuracion[[#Headers],[% Amplitud]],Categorias_Configuracion[#Headers],0),TRUE)</f>
        <v>0.15</v>
      </c>
      <c r="H1913" s="15" t="str">
        <f ca="1">TEXT(Categorias_Registro[[#This Row],[Mínimo]],Formato_Rango_Categorias)&amp;" - "&amp;TEXT(Categorias_Registro[[#This Row],[Máximo]],Formato_Rango_Categorias)</f>
        <v>709 - 814</v>
      </c>
    </row>
    <row r="1914" spans="2:8">
      <c r="B1914" s="15">
        <f>Techo - ROW() + ROW(Categorias_Registro[])</f>
        <v>715</v>
      </c>
      <c r="C1914" s="15">
        <f>IF(Categorias_Registro[[#This Row],[Puntos]]&lt;=ROUND(Piso,0),Piso,IF(Categorias_Registro[[#This Row],[Puntos]]&lt;D1915,C1915,D1915+1))</f>
        <v>709</v>
      </c>
      <c r="D1914" s="15">
        <f>IF(Categorias_Registro[[#This Row],[Puntos]]=ROUND(Piso,0),ROUND(Categorias_Registro[[#This Row],[Puntos]]*(1+Categorias_Registro[[#This Row],[Amplitud]]),0),IF(Categorias_Registro[[#This Row],[Puntos]]&lt;D1915,D1915,ROUND(D1915*(1+Categorias_Registro[[#This Row],[Amplitud]]),0)))</f>
        <v>814</v>
      </c>
      <c r="E1914" s="15">
        <f>E1915+IF(D1915=Categorias_Registro[[#This Row],[Máximo]],0,1)</f>
        <v>16</v>
      </c>
      <c r="F1914" s="15">
        <f>ROUND(Categorias_Registro[[#This Row],[Mínimo]]+((Categorias_Registro[[#This Row],[Máximo]]-Categorias_Registro[[#This Row],[Mínimo]])/2),0)</f>
        <v>762</v>
      </c>
      <c r="G1914" s="78">
        <f>VLOOKUP(Categorias_Registro[[#This Row],[Puntos]],Categorias_Configuracion[],MATCH(Categorias_Configuracion[[#Headers],[% Amplitud]],Categorias_Configuracion[#Headers],0),TRUE)</f>
        <v>0.15</v>
      </c>
      <c r="H1914" s="15" t="str">
        <f ca="1">TEXT(Categorias_Registro[[#This Row],[Mínimo]],Formato_Rango_Categorias)&amp;" - "&amp;TEXT(Categorias_Registro[[#This Row],[Máximo]],Formato_Rango_Categorias)</f>
        <v>709 - 814</v>
      </c>
    </row>
    <row r="1915" spans="2:8">
      <c r="B1915" s="15">
        <f>Techo - ROW() + ROW(Categorias_Registro[])</f>
        <v>714</v>
      </c>
      <c r="C1915" s="15">
        <f>IF(Categorias_Registro[[#This Row],[Puntos]]&lt;=ROUND(Piso,0),Piso,IF(Categorias_Registro[[#This Row],[Puntos]]&lt;D1916,C1916,D1916+1))</f>
        <v>709</v>
      </c>
      <c r="D1915" s="15">
        <f>IF(Categorias_Registro[[#This Row],[Puntos]]=ROUND(Piso,0),ROUND(Categorias_Registro[[#This Row],[Puntos]]*(1+Categorias_Registro[[#This Row],[Amplitud]]),0),IF(Categorias_Registro[[#This Row],[Puntos]]&lt;D1916,D1916,ROUND(D1916*(1+Categorias_Registro[[#This Row],[Amplitud]]),0)))</f>
        <v>814</v>
      </c>
      <c r="E1915" s="15">
        <f>E1916+IF(D1916=Categorias_Registro[[#This Row],[Máximo]],0,1)</f>
        <v>16</v>
      </c>
      <c r="F1915" s="15">
        <f>ROUND(Categorias_Registro[[#This Row],[Mínimo]]+((Categorias_Registro[[#This Row],[Máximo]]-Categorias_Registro[[#This Row],[Mínimo]])/2),0)</f>
        <v>762</v>
      </c>
      <c r="G1915" s="78">
        <f>VLOOKUP(Categorias_Registro[[#This Row],[Puntos]],Categorias_Configuracion[],MATCH(Categorias_Configuracion[[#Headers],[% Amplitud]],Categorias_Configuracion[#Headers],0),TRUE)</f>
        <v>0.15</v>
      </c>
      <c r="H1915" s="15" t="str">
        <f ca="1">TEXT(Categorias_Registro[[#This Row],[Mínimo]],Formato_Rango_Categorias)&amp;" - "&amp;TEXT(Categorias_Registro[[#This Row],[Máximo]],Formato_Rango_Categorias)</f>
        <v>709 - 814</v>
      </c>
    </row>
    <row r="1916" spans="2:8">
      <c r="B1916" s="15">
        <f>Techo - ROW() + ROW(Categorias_Registro[])</f>
        <v>713</v>
      </c>
      <c r="C1916" s="15">
        <f>IF(Categorias_Registro[[#This Row],[Puntos]]&lt;=ROUND(Piso,0),Piso,IF(Categorias_Registro[[#This Row],[Puntos]]&lt;D1917,C1917,D1917+1))</f>
        <v>709</v>
      </c>
      <c r="D1916" s="15">
        <f>IF(Categorias_Registro[[#This Row],[Puntos]]=ROUND(Piso,0),ROUND(Categorias_Registro[[#This Row],[Puntos]]*(1+Categorias_Registro[[#This Row],[Amplitud]]),0),IF(Categorias_Registro[[#This Row],[Puntos]]&lt;D1917,D1917,ROUND(D1917*(1+Categorias_Registro[[#This Row],[Amplitud]]),0)))</f>
        <v>814</v>
      </c>
      <c r="E1916" s="15">
        <f>E1917+IF(D1917=Categorias_Registro[[#This Row],[Máximo]],0,1)</f>
        <v>16</v>
      </c>
      <c r="F1916" s="15">
        <f>ROUND(Categorias_Registro[[#This Row],[Mínimo]]+((Categorias_Registro[[#This Row],[Máximo]]-Categorias_Registro[[#This Row],[Mínimo]])/2),0)</f>
        <v>762</v>
      </c>
      <c r="G1916" s="78">
        <f>VLOOKUP(Categorias_Registro[[#This Row],[Puntos]],Categorias_Configuracion[],MATCH(Categorias_Configuracion[[#Headers],[% Amplitud]],Categorias_Configuracion[#Headers],0),TRUE)</f>
        <v>0.15</v>
      </c>
      <c r="H1916" s="15" t="str">
        <f ca="1">TEXT(Categorias_Registro[[#This Row],[Mínimo]],Formato_Rango_Categorias)&amp;" - "&amp;TEXT(Categorias_Registro[[#This Row],[Máximo]],Formato_Rango_Categorias)</f>
        <v>709 - 814</v>
      </c>
    </row>
    <row r="1917" spans="2:8">
      <c r="B1917" s="15">
        <f>Techo - ROW() + ROW(Categorias_Registro[])</f>
        <v>712</v>
      </c>
      <c r="C1917" s="15">
        <f>IF(Categorias_Registro[[#This Row],[Puntos]]&lt;=ROUND(Piso,0),Piso,IF(Categorias_Registro[[#This Row],[Puntos]]&lt;D1918,C1918,D1918+1))</f>
        <v>709</v>
      </c>
      <c r="D1917" s="15">
        <f>IF(Categorias_Registro[[#This Row],[Puntos]]=ROUND(Piso,0),ROUND(Categorias_Registro[[#This Row],[Puntos]]*(1+Categorias_Registro[[#This Row],[Amplitud]]),0),IF(Categorias_Registro[[#This Row],[Puntos]]&lt;D1918,D1918,ROUND(D1918*(1+Categorias_Registro[[#This Row],[Amplitud]]),0)))</f>
        <v>814</v>
      </c>
      <c r="E1917" s="15">
        <f>E1918+IF(D1918=Categorias_Registro[[#This Row],[Máximo]],0,1)</f>
        <v>16</v>
      </c>
      <c r="F1917" s="15">
        <f>ROUND(Categorias_Registro[[#This Row],[Mínimo]]+((Categorias_Registro[[#This Row],[Máximo]]-Categorias_Registro[[#This Row],[Mínimo]])/2),0)</f>
        <v>762</v>
      </c>
      <c r="G1917" s="78">
        <f>VLOOKUP(Categorias_Registro[[#This Row],[Puntos]],Categorias_Configuracion[],MATCH(Categorias_Configuracion[[#Headers],[% Amplitud]],Categorias_Configuracion[#Headers],0),TRUE)</f>
        <v>0.15</v>
      </c>
      <c r="H1917" s="15" t="str">
        <f ca="1">TEXT(Categorias_Registro[[#This Row],[Mínimo]],Formato_Rango_Categorias)&amp;" - "&amp;TEXT(Categorias_Registro[[#This Row],[Máximo]],Formato_Rango_Categorias)</f>
        <v>709 - 814</v>
      </c>
    </row>
    <row r="1918" spans="2:8">
      <c r="B1918" s="15">
        <f>Techo - ROW() + ROW(Categorias_Registro[])</f>
        <v>711</v>
      </c>
      <c r="C1918" s="15">
        <f>IF(Categorias_Registro[[#This Row],[Puntos]]&lt;=ROUND(Piso,0),Piso,IF(Categorias_Registro[[#This Row],[Puntos]]&lt;D1919,C1919,D1919+1))</f>
        <v>709</v>
      </c>
      <c r="D1918" s="15">
        <f>IF(Categorias_Registro[[#This Row],[Puntos]]=ROUND(Piso,0),ROUND(Categorias_Registro[[#This Row],[Puntos]]*(1+Categorias_Registro[[#This Row],[Amplitud]]),0),IF(Categorias_Registro[[#This Row],[Puntos]]&lt;D1919,D1919,ROUND(D1919*(1+Categorias_Registro[[#This Row],[Amplitud]]),0)))</f>
        <v>814</v>
      </c>
      <c r="E1918" s="15">
        <f>E1919+IF(D1919=Categorias_Registro[[#This Row],[Máximo]],0,1)</f>
        <v>16</v>
      </c>
      <c r="F1918" s="15">
        <f>ROUND(Categorias_Registro[[#This Row],[Mínimo]]+((Categorias_Registro[[#This Row],[Máximo]]-Categorias_Registro[[#This Row],[Mínimo]])/2),0)</f>
        <v>762</v>
      </c>
      <c r="G1918" s="78">
        <f>VLOOKUP(Categorias_Registro[[#This Row],[Puntos]],Categorias_Configuracion[],MATCH(Categorias_Configuracion[[#Headers],[% Amplitud]],Categorias_Configuracion[#Headers],0),TRUE)</f>
        <v>0.15</v>
      </c>
      <c r="H1918" s="15" t="str">
        <f ca="1">TEXT(Categorias_Registro[[#This Row],[Mínimo]],Formato_Rango_Categorias)&amp;" - "&amp;TEXT(Categorias_Registro[[#This Row],[Máximo]],Formato_Rango_Categorias)</f>
        <v>709 - 814</v>
      </c>
    </row>
    <row r="1919" spans="2:8">
      <c r="B1919" s="15">
        <f>Techo - ROW() + ROW(Categorias_Registro[])</f>
        <v>710</v>
      </c>
      <c r="C1919" s="15">
        <f>IF(Categorias_Registro[[#This Row],[Puntos]]&lt;=ROUND(Piso,0),Piso,IF(Categorias_Registro[[#This Row],[Puntos]]&lt;D1920,C1920,D1920+1))</f>
        <v>709</v>
      </c>
      <c r="D1919" s="15">
        <f>IF(Categorias_Registro[[#This Row],[Puntos]]=ROUND(Piso,0),ROUND(Categorias_Registro[[#This Row],[Puntos]]*(1+Categorias_Registro[[#This Row],[Amplitud]]),0),IF(Categorias_Registro[[#This Row],[Puntos]]&lt;D1920,D1920,ROUND(D1920*(1+Categorias_Registro[[#This Row],[Amplitud]]),0)))</f>
        <v>814</v>
      </c>
      <c r="E1919" s="15">
        <f>E1920+IF(D1920=Categorias_Registro[[#This Row],[Máximo]],0,1)</f>
        <v>16</v>
      </c>
      <c r="F1919" s="15">
        <f>ROUND(Categorias_Registro[[#This Row],[Mínimo]]+((Categorias_Registro[[#This Row],[Máximo]]-Categorias_Registro[[#This Row],[Mínimo]])/2),0)</f>
        <v>762</v>
      </c>
      <c r="G1919" s="78">
        <f>VLOOKUP(Categorias_Registro[[#This Row],[Puntos]],Categorias_Configuracion[],MATCH(Categorias_Configuracion[[#Headers],[% Amplitud]],Categorias_Configuracion[#Headers],0),TRUE)</f>
        <v>0.15</v>
      </c>
      <c r="H1919" s="15" t="str">
        <f ca="1">TEXT(Categorias_Registro[[#This Row],[Mínimo]],Formato_Rango_Categorias)&amp;" - "&amp;TEXT(Categorias_Registro[[#This Row],[Máximo]],Formato_Rango_Categorias)</f>
        <v>709 - 814</v>
      </c>
    </row>
    <row r="1920" spans="2:8">
      <c r="B1920" s="15">
        <f>Techo - ROW() + ROW(Categorias_Registro[])</f>
        <v>709</v>
      </c>
      <c r="C1920" s="15">
        <f>IF(Categorias_Registro[[#This Row],[Puntos]]&lt;=ROUND(Piso,0),Piso,IF(Categorias_Registro[[#This Row],[Puntos]]&lt;D1921,C1921,D1921+1))</f>
        <v>709</v>
      </c>
      <c r="D1920" s="15">
        <f>IF(Categorias_Registro[[#This Row],[Puntos]]=ROUND(Piso,0),ROUND(Categorias_Registro[[#This Row],[Puntos]]*(1+Categorias_Registro[[#This Row],[Amplitud]]),0),IF(Categorias_Registro[[#This Row],[Puntos]]&lt;D1921,D1921,ROUND(D1921*(1+Categorias_Registro[[#This Row],[Amplitud]]),0)))</f>
        <v>814</v>
      </c>
      <c r="E1920" s="15">
        <f>E1921+IF(D1921=Categorias_Registro[[#This Row],[Máximo]],0,1)</f>
        <v>16</v>
      </c>
      <c r="F1920" s="15">
        <f>ROUND(Categorias_Registro[[#This Row],[Mínimo]]+((Categorias_Registro[[#This Row],[Máximo]]-Categorias_Registro[[#This Row],[Mínimo]])/2),0)</f>
        <v>762</v>
      </c>
      <c r="G1920" s="78">
        <f>VLOOKUP(Categorias_Registro[[#This Row],[Puntos]],Categorias_Configuracion[],MATCH(Categorias_Configuracion[[#Headers],[% Amplitud]],Categorias_Configuracion[#Headers],0),TRUE)</f>
        <v>0.15</v>
      </c>
      <c r="H1920" s="15" t="str">
        <f ca="1">TEXT(Categorias_Registro[[#This Row],[Mínimo]],Formato_Rango_Categorias)&amp;" - "&amp;TEXT(Categorias_Registro[[#This Row],[Máximo]],Formato_Rango_Categorias)</f>
        <v>709 - 814</v>
      </c>
    </row>
    <row r="1921" spans="2:8">
      <c r="B1921" s="15">
        <f>Techo - ROW() + ROW(Categorias_Registro[])</f>
        <v>708</v>
      </c>
      <c r="C1921" s="15">
        <f>IF(Categorias_Registro[[#This Row],[Puntos]]&lt;=ROUND(Piso,0),Piso,IF(Categorias_Registro[[#This Row],[Puntos]]&lt;D1922,C1922,D1922+1))</f>
        <v>709</v>
      </c>
      <c r="D1921" s="15">
        <f>IF(Categorias_Registro[[#This Row],[Puntos]]=ROUND(Piso,0),ROUND(Categorias_Registro[[#This Row],[Puntos]]*(1+Categorias_Registro[[#This Row],[Amplitud]]),0),IF(Categorias_Registro[[#This Row],[Puntos]]&lt;D1922,D1922,ROUND(D1922*(1+Categorias_Registro[[#This Row],[Amplitud]]),0)))</f>
        <v>814</v>
      </c>
      <c r="E1921" s="15">
        <f>E1922+IF(D1922=Categorias_Registro[[#This Row],[Máximo]],0,1)</f>
        <v>16</v>
      </c>
      <c r="F1921" s="15">
        <f>ROUND(Categorias_Registro[[#This Row],[Mínimo]]+((Categorias_Registro[[#This Row],[Máximo]]-Categorias_Registro[[#This Row],[Mínimo]])/2),0)</f>
        <v>762</v>
      </c>
      <c r="G1921" s="78">
        <f>VLOOKUP(Categorias_Registro[[#This Row],[Puntos]],Categorias_Configuracion[],MATCH(Categorias_Configuracion[[#Headers],[% Amplitud]],Categorias_Configuracion[#Headers],0),TRUE)</f>
        <v>0.15</v>
      </c>
      <c r="H1921" s="15" t="str">
        <f ca="1">TEXT(Categorias_Registro[[#This Row],[Mínimo]],Formato_Rango_Categorias)&amp;" - "&amp;TEXT(Categorias_Registro[[#This Row],[Máximo]],Formato_Rango_Categorias)</f>
        <v>709 - 814</v>
      </c>
    </row>
    <row r="1922" spans="2:8">
      <c r="B1922" s="15">
        <f>Techo - ROW() + ROW(Categorias_Registro[])</f>
        <v>707</v>
      </c>
      <c r="C1922" s="15">
        <f>IF(Categorias_Registro[[#This Row],[Puntos]]&lt;=ROUND(Piso,0),Piso,IF(Categorias_Registro[[#This Row],[Puntos]]&lt;D1923,C1923,D1923+1))</f>
        <v>617</v>
      </c>
      <c r="D1922" s="15">
        <f>IF(Categorias_Registro[[#This Row],[Puntos]]=ROUND(Piso,0),ROUND(Categorias_Registro[[#This Row],[Puntos]]*(1+Categorias_Registro[[#This Row],[Amplitud]]),0),IF(Categorias_Registro[[#This Row],[Puntos]]&lt;D1923,D1923,ROUND(D1923*(1+Categorias_Registro[[#This Row],[Amplitud]]),0)))</f>
        <v>708</v>
      </c>
      <c r="E1922" s="15">
        <f>E1923+IF(D1923=Categorias_Registro[[#This Row],[Máximo]],0,1)</f>
        <v>15</v>
      </c>
      <c r="F1922" s="15">
        <f>ROUND(Categorias_Registro[[#This Row],[Mínimo]]+((Categorias_Registro[[#This Row],[Máximo]]-Categorias_Registro[[#This Row],[Mínimo]])/2),0)</f>
        <v>663</v>
      </c>
      <c r="G1922" s="78">
        <f>VLOOKUP(Categorias_Registro[[#This Row],[Puntos]],Categorias_Configuracion[],MATCH(Categorias_Configuracion[[#Headers],[% Amplitud]],Categorias_Configuracion[#Headers],0),TRUE)</f>
        <v>0.15</v>
      </c>
      <c r="H1922" s="15" t="str">
        <f ca="1">TEXT(Categorias_Registro[[#This Row],[Mínimo]],Formato_Rango_Categorias)&amp;" - "&amp;TEXT(Categorias_Registro[[#This Row],[Máximo]],Formato_Rango_Categorias)</f>
        <v>617 - 708</v>
      </c>
    </row>
    <row r="1923" spans="2:8">
      <c r="B1923" s="15">
        <f>Techo - ROW() + ROW(Categorias_Registro[])</f>
        <v>706</v>
      </c>
      <c r="C1923" s="15">
        <f>IF(Categorias_Registro[[#This Row],[Puntos]]&lt;=ROUND(Piso,0),Piso,IF(Categorias_Registro[[#This Row],[Puntos]]&lt;D1924,C1924,D1924+1))</f>
        <v>617</v>
      </c>
      <c r="D1923" s="15">
        <f>IF(Categorias_Registro[[#This Row],[Puntos]]=ROUND(Piso,0),ROUND(Categorias_Registro[[#This Row],[Puntos]]*(1+Categorias_Registro[[#This Row],[Amplitud]]),0),IF(Categorias_Registro[[#This Row],[Puntos]]&lt;D1924,D1924,ROUND(D1924*(1+Categorias_Registro[[#This Row],[Amplitud]]),0)))</f>
        <v>708</v>
      </c>
      <c r="E1923" s="15">
        <f>E1924+IF(D1924=Categorias_Registro[[#This Row],[Máximo]],0,1)</f>
        <v>15</v>
      </c>
      <c r="F1923" s="15">
        <f>ROUND(Categorias_Registro[[#This Row],[Mínimo]]+((Categorias_Registro[[#This Row],[Máximo]]-Categorias_Registro[[#This Row],[Mínimo]])/2),0)</f>
        <v>663</v>
      </c>
      <c r="G1923" s="78">
        <f>VLOOKUP(Categorias_Registro[[#This Row],[Puntos]],Categorias_Configuracion[],MATCH(Categorias_Configuracion[[#Headers],[% Amplitud]],Categorias_Configuracion[#Headers],0),TRUE)</f>
        <v>0.15</v>
      </c>
      <c r="H1923" s="15" t="str">
        <f ca="1">TEXT(Categorias_Registro[[#This Row],[Mínimo]],Formato_Rango_Categorias)&amp;" - "&amp;TEXT(Categorias_Registro[[#This Row],[Máximo]],Formato_Rango_Categorias)</f>
        <v>617 - 708</v>
      </c>
    </row>
    <row r="1924" spans="2:8">
      <c r="B1924" s="15">
        <f>Techo - ROW() + ROW(Categorias_Registro[])</f>
        <v>705</v>
      </c>
      <c r="C1924" s="15">
        <f>IF(Categorias_Registro[[#This Row],[Puntos]]&lt;=ROUND(Piso,0),Piso,IF(Categorias_Registro[[#This Row],[Puntos]]&lt;D1925,C1925,D1925+1))</f>
        <v>617</v>
      </c>
      <c r="D1924" s="15">
        <f>IF(Categorias_Registro[[#This Row],[Puntos]]=ROUND(Piso,0),ROUND(Categorias_Registro[[#This Row],[Puntos]]*(1+Categorias_Registro[[#This Row],[Amplitud]]),0),IF(Categorias_Registro[[#This Row],[Puntos]]&lt;D1925,D1925,ROUND(D1925*(1+Categorias_Registro[[#This Row],[Amplitud]]),0)))</f>
        <v>708</v>
      </c>
      <c r="E1924" s="15">
        <f>E1925+IF(D1925=Categorias_Registro[[#This Row],[Máximo]],0,1)</f>
        <v>15</v>
      </c>
      <c r="F1924" s="15">
        <f>ROUND(Categorias_Registro[[#This Row],[Mínimo]]+((Categorias_Registro[[#This Row],[Máximo]]-Categorias_Registro[[#This Row],[Mínimo]])/2),0)</f>
        <v>663</v>
      </c>
      <c r="G1924" s="78">
        <f>VLOOKUP(Categorias_Registro[[#This Row],[Puntos]],Categorias_Configuracion[],MATCH(Categorias_Configuracion[[#Headers],[% Amplitud]],Categorias_Configuracion[#Headers],0),TRUE)</f>
        <v>0.15</v>
      </c>
      <c r="H1924" s="15" t="str">
        <f ca="1">TEXT(Categorias_Registro[[#This Row],[Mínimo]],Formato_Rango_Categorias)&amp;" - "&amp;TEXT(Categorias_Registro[[#This Row],[Máximo]],Formato_Rango_Categorias)</f>
        <v>617 - 708</v>
      </c>
    </row>
    <row r="1925" spans="2:8">
      <c r="B1925" s="15">
        <f>Techo - ROW() + ROW(Categorias_Registro[])</f>
        <v>704</v>
      </c>
      <c r="C1925" s="15">
        <f>IF(Categorias_Registro[[#This Row],[Puntos]]&lt;=ROUND(Piso,0),Piso,IF(Categorias_Registro[[#This Row],[Puntos]]&lt;D1926,C1926,D1926+1))</f>
        <v>617</v>
      </c>
      <c r="D1925" s="15">
        <f>IF(Categorias_Registro[[#This Row],[Puntos]]=ROUND(Piso,0),ROUND(Categorias_Registro[[#This Row],[Puntos]]*(1+Categorias_Registro[[#This Row],[Amplitud]]),0),IF(Categorias_Registro[[#This Row],[Puntos]]&lt;D1926,D1926,ROUND(D1926*(1+Categorias_Registro[[#This Row],[Amplitud]]),0)))</f>
        <v>708</v>
      </c>
      <c r="E1925" s="15">
        <f>E1926+IF(D1926=Categorias_Registro[[#This Row],[Máximo]],0,1)</f>
        <v>15</v>
      </c>
      <c r="F1925" s="15">
        <f>ROUND(Categorias_Registro[[#This Row],[Mínimo]]+((Categorias_Registro[[#This Row],[Máximo]]-Categorias_Registro[[#This Row],[Mínimo]])/2),0)</f>
        <v>663</v>
      </c>
      <c r="G1925" s="78">
        <f>VLOOKUP(Categorias_Registro[[#This Row],[Puntos]],Categorias_Configuracion[],MATCH(Categorias_Configuracion[[#Headers],[% Amplitud]],Categorias_Configuracion[#Headers],0),TRUE)</f>
        <v>0.15</v>
      </c>
      <c r="H1925" s="15" t="str">
        <f ca="1">TEXT(Categorias_Registro[[#This Row],[Mínimo]],Formato_Rango_Categorias)&amp;" - "&amp;TEXT(Categorias_Registro[[#This Row],[Máximo]],Formato_Rango_Categorias)</f>
        <v>617 - 708</v>
      </c>
    </row>
    <row r="1926" spans="2:8">
      <c r="B1926" s="15">
        <f>Techo - ROW() + ROW(Categorias_Registro[])</f>
        <v>703</v>
      </c>
      <c r="C1926" s="15">
        <f>IF(Categorias_Registro[[#This Row],[Puntos]]&lt;=ROUND(Piso,0),Piso,IF(Categorias_Registro[[#This Row],[Puntos]]&lt;D1927,C1927,D1927+1))</f>
        <v>617</v>
      </c>
      <c r="D1926" s="15">
        <f>IF(Categorias_Registro[[#This Row],[Puntos]]=ROUND(Piso,0),ROUND(Categorias_Registro[[#This Row],[Puntos]]*(1+Categorias_Registro[[#This Row],[Amplitud]]),0),IF(Categorias_Registro[[#This Row],[Puntos]]&lt;D1927,D1927,ROUND(D1927*(1+Categorias_Registro[[#This Row],[Amplitud]]),0)))</f>
        <v>708</v>
      </c>
      <c r="E1926" s="15">
        <f>E1927+IF(D1927=Categorias_Registro[[#This Row],[Máximo]],0,1)</f>
        <v>15</v>
      </c>
      <c r="F1926" s="15">
        <f>ROUND(Categorias_Registro[[#This Row],[Mínimo]]+((Categorias_Registro[[#This Row],[Máximo]]-Categorias_Registro[[#This Row],[Mínimo]])/2),0)</f>
        <v>663</v>
      </c>
      <c r="G1926" s="78">
        <f>VLOOKUP(Categorias_Registro[[#This Row],[Puntos]],Categorias_Configuracion[],MATCH(Categorias_Configuracion[[#Headers],[% Amplitud]],Categorias_Configuracion[#Headers],0),TRUE)</f>
        <v>0.15</v>
      </c>
      <c r="H1926" s="15" t="str">
        <f ca="1">TEXT(Categorias_Registro[[#This Row],[Mínimo]],Formato_Rango_Categorias)&amp;" - "&amp;TEXT(Categorias_Registro[[#This Row],[Máximo]],Formato_Rango_Categorias)</f>
        <v>617 - 708</v>
      </c>
    </row>
    <row r="1927" spans="2:8">
      <c r="B1927" s="15">
        <f>Techo - ROW() + ROW(Categorias_Registro[])</f>
        <v>702</v>
      </c>
      <c r="C1927" s="15">
        <f>IF(Categorias_Registro[[#This Row],[Puntos]]&lt;=ROUND(Piso,0),Piso,IF(Categorias_Registro[[#This Row],[Puntos]]&lt;D1928,C1928,D1928+1))</f>
        <v>617</v>
      </c>
      <c r="D1927" s="15">
        <f>IF(Categorias_Registro[[#This Row],[Puntos]]=ROUND(Piso,0),ROUND(Categorias_Registro[[#This Row],[Puntos]]*(1+Categorias_Registro[[#This Row],[Amplitud]]),0),IF(Categorias_Registro[[#This Row],[Puntos]]&lt;D1928,D1928,ROUND(D1928*(1+Categorias_Registro[[#This Row],[Amplitud]]),0)))</f>
        <v>708</v>
      </c>
      <c r="E1927" s="15">
        <f>E1928+IF(D1928=Categorias_Registro[[#This Row],[Máximo]],0,1)</f>
        <v>15</v>
      </c>
      <c r="F1927" s="15">
        <f>ROUND(Categorias_Registro[[#This Row],[Mínimo]]+((Categorias_Registro[[#This Row],[Máximo]]-Categorias_Registro[[#This Row],[Mínimo]])/2),0)</f>
        <v>663</v>
      </c>
      <c r="G1927" s="78">
        <f>VLOOKUP(Categorias_Registro[[#This Row],[Puntos]],Categorias_Configuracion[],MATCH(Categorias_Configuracion[[#Headers],[% Amplitud]],Categorias_Configuracion[#Headers],0),TRUE)</f>
        <v>0.15</v>
      </c>
      <c r="H1927" s="15" t="str">
        <f ca="1">TEXT(Categorias_Registro[[#This Row],[Mínimo]],Formato_Rango_Categorias)&amp;" - "&amp;TEXT(Categorias_Registro[[#This Row],[Máximo]],Formato_Rango_Categorias)</f>
        <v>617 - 708</v>
      </c>
    </row>
    <row r="1928" spans="2:8">
      <c r="B1928" s="15">
        <f>Techo - ROW() + ROW(Categorias_Registro[])</f>
        <v>701</v>
      </c>
      <c r="C1928" s="15">
        <f>IF(Categorias_Registro[[#This Row],[Puntos]]&lt;=ROUND(Piso,0),Piso,IF(Categorias_Registro[[#This Row],[Puntos]]&lt;D1929,C1929,D1929+1))</f>
        <v>617</v>
      </c>
      <c r="D1928" s="15">
        <f>IF(Categorias_Registro[[#This Row],[Puntos]]=ROUND(Piso,0),ROUND(Categorias_Registro[[#This Row],[Puntos]]*(1+Categorias_Registro[[#This Row],[Amplitud]]),0),IF(Categorias_Registro[[#This Row],[Puntos]]&lt;D1929,D1929,ROUND(D1929*(1+Categorias_Registro[[#This Row],[Amplitud]]),0)))</f>
        <v>708</v>
      </c>
      <c r="E1928" s="15">
        <f>E1929+IF(D1929=Categorias_Registro[[#This Row],[Máximo]],0,1)</f>
        <v>15</v>
      </c>
      <c r="F1928" s="15">
        <f>ROUND(Categorias_Registro[[#This Row],[Mínimo]]+((Categorias_Registro[[#This Row],[Máximo]]-Categorias_Registro[[#This Row],[Mínimo]])/2),0)</f>
        <v>663</v>
      </c>
      <c r="G1928" s="78">
        <f>VLOOKUP(Categorias_Registro[[#This Row],[Puntos]],Categorias_Configuracion[],MATCH(Categorias_Configuracion[[#Headers],[% Amplitud]],Categorias_Configuracion[#Headers],0),TRUE)</f>
        <v>0.15</v>
      </c>
      <c r="H1928" s="15" t="str">
        <f ca="1">TEXT(Categorias_Registro[[#This Row],[Mínimo]],Formato_Rango_Categorias)&amp;" - "&amp;TEXT(Categorias_Registro[[#This Row],[Máximo]],Formato_Rango_Categorias)</f>
        <v>617 - 708</v>
      </c>
    </row>
    <row r="1929" spans="2:8">
      <c r="B1929" s="15">
        <f>Techo - ROW() + ROW(Categorias_Registro[])</f>
        <v>700</v>
      </c>
      <c r="C1929" s="15">
        <f>IF(Categorias_Registro[[#This Row],[Puntos]]&lt;=ROUND(Piso,0),Piso,IF(Categorias_Registro[[#This Row],[Puntos]]&lt;D1930,C1930,D1930+1))</f>
        <v>617</v>
      </c>
      <c r="D1929" s="15">
        <f>IF(Categorias_Registro[[#This Row],[Puntos]]=ROUND(Piso,0),ROUND(Categorias_Registro[[#This Row],[Puntos]]*(1+Categorias_Registro[[#This Row],[Amplitud]]),0),IF(Categorias_Registro[[#This Row],[Puntos]]&lt;D1930,D1930,ROUND(D1930*(1+Categorias_Registro[[#This Row],[Amplitud]]),0)))</f>
        <v>708</v>
      </c>
      <c r="E1929" s="15">
        <f>E1930+IF(D1930=Categorias_Registro[[#This Row],[Máximo]],0,1)</f>
        <v>15</v>
      </c>
      <c r="F1929" s="15">
        <f>ROUND(Categorias_Registro[[#This Row],[Mínimo]]+((Categorias_Registro[[#This Row],[Máximo]]-Categorias_Registro[[#This Row],[Mínimo]])/2),0)</f>
        <v>663</v>
      </c>
      <c r="G1929" s="78">
        <f>VLOOKUP(Categorias_Registro[[#This Row],[Puntos]],Categorias_Configuracion[],MATCH(Categorias_Configuracion[[#Headers],[% Amplitud]],Categorias_Configuracion[#Headers],0),TRUE)</f>
        <v>0.15</v>
      </c>
      <c r="H1929" s="15" t="str">
        <f ca="1">TEXT(Categorias_Registro[[#This Row],[Mínimo]],Formato_Rango_Categorias)&amp;" - "&amp;TEXT(Categorias_Registro[[#This Row],[Máximo]],Formato_Rango_Categorias)</f>
        <v>617 - 708</v>
      </c>
    </row>
    <row r="1930" spans="2:8">
      <c r="B1930" s="15">
        <f>Techo - ROW() + ROW(Categorias_Registro[])</f>
        <v>699</v>
      </c>
      <c r="C1930" s="15">
        <f>IF(Categorias_Registro[[#This Row],[Puntos]]&lt;=ROUND(Piso,0),Piso,IF(Categorias_Registro[[#This Row],[Puntos]]&lt;D1931,C1931,D1931+1))</f>
        <v>617</v>
      </c>
      <c r="D1930" s="15">
        <f>IF(Categorias_Registro[[#This Row],[Puntos]]=ROUND(Piso,0),ROUND(Categorias_Registro[[#This Row],[Puntos]]*(1+Categorias_Registro[[#This Row],[Amplitud]]),0),IF(Categorias_Registro[[#This Row],[Puntos]]&lt;D1931,D1931,ROUND(D1931*(1+Categorias_Registro[[#This Row],[Amplitud]]),0)))</f>
        <v>708</v>
      </c>
      <c r="E1930" s="15">
        <f>E1931+IF(D1931=Categorias_Registro[[#This Row],[Máximo]],0,1)</f>
        <v>15</v>
      </c>
      <c r="F1930" s="15">
        <f>ROUND(Categorias_Registro[[#This Row],[Mínimo]]+((Categorias_Registro[[#This Row],[Máximo]]-Categorias_Registro[[#This Row],[Mínimo]])/2),0)</f>
        <v>663</v>
      </c>
      <c r="G1930" s="78">
        <f>VLOOKUP(Categorias_Registro[[#This Row],[Puntos]],Categorias_Configuracion[],MATCH(Categorias_Configuracion[[#Headers],[% Amplitud]],Categorias_Configuracion[#Headers],0),TRUE)</f>
        <v>0.15</v>
      </c>
      <c r="H1930" s="15" t="str">
        <f ca="1">TEXT(Categorias_Registro[[#This Row],[Mínimo]],Formato_Rango_Categorias)&amp;" - "&amp;TEXT(Categorias_Registro[[#This Row],[Máximo]],Formato_Rango_Categorias)</f>
        <v>617 - 708</v>
      </c>
    </row>
    <row r="1931" spans="2:8">
      <c r="B1931" s="15">
        <f>Techo - ROW() + ROW(Categorias_Registro[])</f>
        <v>698</v>
      </c>
      <c r="C1931" s="15">
        <f>IF(Categorias_Registro[[#This Row],[Puntos]]&lt;=ROUND(Piso,0),Piso,IF(Categorias_Registro[[#This Row],[Puntos]]&lt;D1932,C1932,D1932+1))</f>
        <v>617</v>
      </c>
      <c r="D1931" s="15">
        <f>IF(Categorias_Registro[[#This Row],[Puntos]]=ROUND(Piso,0),ROUND(Categorias_Registro[[#This Row],[Puntos]]*(1+Categorias_Registro[[#This Row],[Amplitud]]),0),IF(Categorias_Registro[[#This Row],[Puntos]]&lt;D1932,D1932,ROUND(D1932*(1+Categorias_Registro[[#This Row],[Amplitud]]),0)))</f>
        <v>708</v>
      </c>
      <c r="E1931" s="15">
        <f>E1932+IF(D1932=Categorias_Registro[[#This Row],[Máximo]],0,1)</f>
        <v>15</v>
      </c>
      <c r="F1931" s="15">
        <f>ROUND(Categorias_Registro[[#This Row],[Mínimo]]+((Categorias_Registro[[#This Row],[Máximo]]-Categorias_Registro[[#This Row],[Mínimo]])/2),0)</f>
        <v>663</v>
      </c>
      <c r="G1931" s="78">
        <f>VLOOKUP(Categorias_Registro[[#This Row],[Puntos]],Categorias_Configuracion[],MATCH(Categorias_Configuracion[[#Headers],[% Amplitud]],Categorias_Configuracion[#Headers],0),TRUE)</f>
        <v>0.15</v>
      </c>
      <c r="H1931" s="15" t="str">
        <f ca="1">TEXT(Categorias_Registro[[#This Row],[Mínimo]],Formato_Rango_Categorias)&amp;" - "&amp;TEXT(Categorias_Registro[[#This Row],[Máximo]],Formato_Rango_Categorias)</f>
        <v>617 - 708</v>
      </c>
    </row>
    <row r="1932" spans="2:8">
      <c r="B1932" s="15">
        <f>Techo - ROW() + ROW(Categorias_Registro[])</f>
        <v>697</v>
      </c>
      <c r="C1932" s="15">
        <f>IF(Categorias_Registro[[#This Row],[Puntos]]&lt;=ROUND(Piso,0),Piso,IF(Categorias_Registro[[#This Row],[Puntos]]&lt;D1933,C1933,D1933+1))</f>
        <v>617</v>
      </c>
      <c r="D1932" s="15">
        <f>IF(Categorias_Registro[[#This Row],[Puntos]]=ROUND(Piso,0),ROUND(Categorias_Registro[[#This Row],[Puntos]]*(1+Categorias_Registro[[#This Row],[Amplitud]]),0),IF(Categorias_Registro[[#This Row],[Puntos]]&lt;D1933,D1933,ROUND(D1933*(1+Categorias_Registro[[#This Row],[Amplitud]]),0)))</f>
        <v>708</v>
      </c>
      <c r="E1932" s="15">
        <f>E1933+IF(D1933=Categorias_Registro[[#This Row],[Máximo]],0,1)</f>
        <v>15</v>
      </c>
      <c r="F1932" s="15">
        <f>ROUND(Categorias_Registro[[#This Row],[Mínimo]]+((Categorias_Registro[[#This Row],[Máximo]]-Categorias_Registro[[#This Row],[Mínimo]])/2),0)</f>
        <v>663</v>
      </c>
      <c r="G1932" s="78">
        <f>VLOOKUP(Categorias_Registro[[#This Row],[Puntos]],Categorias_Configuracion[],MATCH(Categorias_Configuracion[[#Headers],[% Amplitud]],Categorias_Configuracion[#Headers],0),TRUE)</f>
        <v>0.15</v>
      </c>
      <c r="H1932" s="15" t="str">
        <f ca="1">TEXT(Categorias_Registro[[#This Row],[Mínimo]],Formato_Rango_Categorias)&amp;" - "&amp;TEXT(Categorias_Registro[[#This Row],[Máximo]],Formato_Rango_Categorias)</f>
        <v>617 - 708</v>
      </c>
    </row>
    <row r="1933" spans="2:8">
      <c r="B1933" s="15">
        <f>Techo - ROW() + ROW(Categorias_Registro[])</f>
        <v>696</v>
      </c>
      <c r="C1933" s="15">
        <f>IF(Categorias_Registro[[#This Row],[Puntos]]&lt;=ROUND(Piso,0),Piso,IF(Categorias_Registro[[#This Row],[Puntos]]&lt;D1934,C1934,D1934+1))</f>
        <v>617</v>
      </c>
      <c r="D1933" s="15">
        <f>IF(Categorias_Registro[[#This Row],[Puntos]]=ROUND(Piso,0),ROUND(Categorias_Registro[[#This Row],[Puntos]]*(1+Categorias_Registro[[#This Row],[Amplitud]]),0),IF(Categorias_Registro[[#This Row],[Puntos]]&lt;D1934,D1934,ROUND(D1934*(1+Categorias_Registro[[#This Row],[Amplitud]]),0)))</f>
        <v>708</v>
      </c>
      <c r="E1933" s="15">
        <f>E1934+IF(D1934=Categorias_Registro[[#This Row],[Máximo]],0,1)</f>
        <v>15</v>
      </c>
      <c r="F1933" s="15">
        <f>ROUND(Categorias_Registro[[#This Row],[Mínimo]]+((Categorias_Registro[[#This Row],[Máximo]]-Categorias_Registro[[#This Row],[Mínimo]])/2),0)</f>
        <v>663</v>
      </c>
      <c r="G1933" s="78">
        <f>VLOOKUP(Categorias_Registro[[#This Row],[Puntos]],Categorias_Configuracion[],MATCH(Categorias_Configuracion[[#Headers],[% Amplitud]],Categorias_Configuracion[#Headers],0),TRUE)</f>
        <v>0.15</v>
      </c>
      <c r="H1933" s="15" t="str">
        <f ca="1">TEXT(Categorias_Registro[[#This Row],[Mínimo]],Formato_Rango_Categorias)&amp;" - "&amp;TEXT(Categorias_Registro[[#This Row],[Máximo]],Formato_Rango_Categorias)</f>
        <v>617 - 708</v>
      </c>
    </row>
    <row r="1934" spans="2:8">
      <c r="B1934" s="15">
        <f>Techo - ROW() + ROW(Categorias_Registro[])</f>
        <v>695</v>
      </c>
      <c r="C1934" s="15">
        <f>IF(Categorias_Registro[[#This Row],[Puntos]]&lt;=ROUND(Piso,0),Piso,IF(Categorias_Registro[[#This Row],[Puntos]]&lt;D1935,C1935,D1935+1))</f>
        <v>617</v>
      </c>
      <c r="D1934" s="15">
        <f>IF(Categorias_Registro[[#This Row],[Puntos]]=ROUND(Piso,0),ROUND(Categorias_Registro[[#This Row],[Puntos]]*(1+Categorias_Registro[[#This Row],[Amplitud]]),0),IF(Categorias_Registro[[#This Row],[Puntos]]&lt;D1935,D1935,ROUND(D1935*(1+Categorias_Registro[[#This Row],[Amplitud]]),0)))</f>
        <v>708</v>
      </c>
      <c r="E1934" s="15">
        <f>E1935+IF(D1935=Categorias_Registro[[#This Row],[Máximo]],0,1)</f>
        <v>15</v>
      </c>
      <c r="F1934" s="15">
        <f>ROUND(Categorias_Registro[[#This Row],[Mínimo]]+((Categorias_Registro[[#This Row],[Máximo]]-Categorias_Registro[[#This Row],[Mínimo]])/2),0)</f>
        <v>663</v>
      </c>
      <c r="G1934" s="78">
        <f>VLOOKUP(Categorias_Registro[[#This Row],[Puntos]],Categorias_Configuracion[],MATCH(Categorias_Configuracion[[#Headers],[% Amplitud]],Categorias_Configuracion[#Headers],0),TRUE)</f>
        <v>0.15</v>
      </c>
      <c r="H1934" s="15" t="str">
        <f ca="1">TEXT(Categorias_Registro[[#This Row],[Mínimo]],Formato_Rango_Categorias)&amp;" - "&amp;TEXT(Categorias_Registro[[#This Row],[Máximo]],Formato_Rango_Categorias)</f>
        <v>617 - 708</v>
      </c>
    </row>
    <row r="1935" spans="2:8">
      <c r="B1935" s="15">
        <f>Techo - ROW() + ROW(Categorias_Registro[])</f>
        <v>694</v>
      </c>
      <c r="C1935" s="15">
        <f>IF(Categorias_Registro[[#This Row],[Puntos]]&lt;=ROUND(Piso,0),Piso,IF(Categorias_Registro[[#This Row],[Puntos]]&lt;D1936,C1936,D1936+1))</f>
        <v>617</v>
      </c>
      <c r="D1935" s="15">
        <f>IF(Categorias_Registro[[#This Row],[Puntos]]=ROUND(Piso,0),ROUND(Categorias_Registro[[#This Row],[Puntos]]*(1+Categorias_Registro[[#This Row],[Amplitud]]),0),IF(Categorias_Registro[[#This Row],[Puntos]]&lt;D1936,D1936,ROUND(D1936*(1+Categorias_Registro[[#This Row],[Amplitud]]),0)))</f>
        <v>708</v>
      </c>
      <c r="E1935" s="15">
        <f>E1936+IF(D1936=Categorias_Registro[[#This Row],[Máximo]],0,1)</f>
        <v>15</v>
      </c>
      <c r="F1935" s="15">
        <f>ROUND(Categorias_Registro[[#This Row],[Mínimo]]+((Categorias_Registro[[#This Row],[Máximo]]-Categorias_Registro[[#This Row],[Mínimo]])/2),0)</f>
        <v>663</v>
      </c>
      <c r="G1935" s="78">
        <f>VLOOKUP(Categorias_Registro[[#This Row],[Puntos]],Categorias_Configuracion[],MATCH(Categorias_Configuracion[[#Headers],[% Amplitud]],Categorias_Configuracion[#Headers],0),TRUE)</f>
        <v>0.15</v>
      </c>
      <c r="H1935" s="15" t="str">
        <f ca="1">TEXT(Categorias_Registro[[#This Row],[Mínimo]],Formato_Rango_Categorias)&amp;" - "&amp;TEXT(Categorias_Registro[[#This Row],[Máximo]],Formato_Rango_Categorias)</f>
        <v>617 - 708</v>
      </c>
    </row>
    <row r="1936" spans="2:8">
      <c r="B1936" s="15">
        <f>Techo - ROW() + ROW(Categorias_Registro[])</f>
        <v>693</v>
      </c>
      <c r="C1936" s="15">
        <f>IF(Categorias_Registro[[#This Row],[Puntos]]&lt;=ROUND(Piso,0),Piso,IF(Categorias_Registro[[#This Row],[Puntos]]&lt;D1937,C1937,D1937+1))</f>
        <v>617</v>
      </c>
      <c r="D1936" s="15">
        <f>IF(Categorias_Registro[[#This Row],[Puntos]]=ROUND(Piso,0),ROUND(Categorias_Registro[[#This Row],[Puntos]]*(1+Categorias_Registro[[#This Row],[Amplitud]]),0),IF(Categorias_Registro[[#This Row],[Puntos]]&lt;D1937,D1937,ROUND(D1937*(1+Categorias_Registro[[#This Row],[Amplitud]]),0)))</f>
        <v>708</v>
      </c>
      <c r="E1936" s="15">
        <f>E1937+IF(D1937=Categorias_Registro[[#This Row],[Máximo]],0,1)</f>
        <v>15</v>
      </c>
      <c r="F1936" s="15">
        <f>ROUND(Categorias_Registro[[#This Row],[Mínimo]]+((Categorias_Registro[[#This Row],[Máximo]]-Categorias_Registro[[#This Row],[Mínimo]])/2),0)</f>
        <v>663</v>
      </c>
      <c r="G1936" s="78">
        <f>VLOOKUP(Categorias_Registro[[#This Row],[Puntos]],Categorias_Configuracion[],MATCH(Categorias_Configuracion[[#Headers],[% Amplitud]],Categorias_Configuracion[#Headers],0),TRUE)</f>
        <v>0.15</v>
      </c>
      <c r="H1936" s="15" t="str">
        <f ca="1">TEXT(Categorias_Registro[[#This Row],[Mínimo]],Formato_Rango_Categorias)&amp;" - "&amp;TEXT(Categorias_Registro[[#This Row],[Máximo]],Formato_Rango_Categorias)</f>
        <v>617 - 708</v>
      </c>
    </row>
    <row r="1937" spans="2:8">
      <c r="B1937" s="15">
        <f>Techo - ROW() + ROW(Categorias_Registro[])</f>
        <v>692</v>
      </c>
      <c r="C1937" s="15">
        <f>IF(Categorias_Registro[[#This Row],[Puntos]]&lt;=ROUND(Piso,0),Piso,IF(Categorias_Registro[[#This Row],[Puntos]]&lt;D1938,C1938,D1938+1))</f>
        <v>617</v>
      </c>
      <c r="D1937" s="15">
        <f>IF(Categorias_Registro[[#This Row],[Puntos]]=ROUND(Piso,0),ROUND(Categorias_Registro[[#This Row],[Puntos]]*(1+Categorias_Registro[[#This Row],[Amplitud]]),0),IF(Categorias_Registro[[#This Row],[Puntos]]&lt;D1938,D1938,ROUND(D1938*(1+Categorias_Registro[[#This Row],[Amplitud]]),0)))</f>
        <v>708</v>
      </c>
      <c r="E1937" s="15">
        <f>E1938+IF(D1938=Categorias_Registro[[#This Row],[Máximo]],0,1)</f>
        <v>15</v>
      </c>
      <c r="F1937" s="15">
        <f>ROUND(Categorias_Registro[[#This Row],[Mínimo]]+((Categorias_Registro[[#This Row],[Máximo]]-Categorias_Registro[[#This Row],[Mínimo]])/2),0)</f>
        <v>663</v>
      </c>
      <c r="G1937" s="78">
        <f>VLOOKUP(Categorias_Registro[[#This Row],[Puntos]],Categorias_Configuracion[],MATCH(Categorias_Configuracion[[#Headers],[% Amplitud]],Categorias_Configuracion[#Headers],0),TRUE)</f>
        <v>0.15</v>
      </c>
      <c r="H1937" s="15" t="str">
        <f ca="1">TEXT(Categorias_Registro[[#This Row],[Mínimo]],Formato_Rango_Categorias)&amp;" - "&amp;TEXT(Categorias_Registro[[#This Row],[Máximo]],Formato_Rango_Categorias)</f>
        <v>617 - 708</v>
      </c>
    </row>
    <row r="1938" spans="2:8">
      <c r="B1938" s="15">
        <f>Techo - ROW() + ROW(Categorias_Registro[])</f>
        <v>691</v>
      </c>
      <c r="C1938" s="15">
        <f>IF(Categorias_Registro[[#This Row],[Puntos]]&lt;=ROUND(Piso,0),Piso,IF(Categorias_Registro[[#This Row],[Puntos]]&lt;D1939,C1939,D1939+1))</f>
        <v>617</v>
      </c>
      <c r="D1938" s="15">
        <f>IF(Categorias_Registro[[#This Row],[Puntos]]=ROUND(Piso,0),ROUND(Categorias_Registro[[#This Row],[Puntos]]*(1+Categorias_Registro[[#This Row],[Amplitud]]),0),IF(Categorias_Registro[[#This Row],[Puntos]]&lt;D1939,D1939,ROUND(D1939*(1+Categorias_Registro[[#This Row],[Amplitud]]),0)))</f>
        <v>708</v>
      </c>
      <c r="E1938" s="15">
        <f>E1939+IF(D1939=Categorias_Registro[[#This Row],[Máximo]],0,1)</f>
        <v>15</v>
      </c>
      <c r="F1938" s="15">
        <f>ROUND(Categorias_Registro[[#This Row],[Mínimo]]+((Categorias_Registro[[#This Row],[Máximo]]-Categorias_Registro[[#This Row],[Mínimo]])/2),0)</f>
        <v>663</v>
      </c>
      <c r="G1938" s="78">
        <f>VLOOKUP(Categorias_Registro[[#This Row],[Puntos]],Categorias_Configuracion[],MATCH(Categorias_Configuracion[[#Headers],[% Amplitud]],Categorias_Configuracion[#Headers],0),TRUE)</f>
        <v>0.15</v>
      </c>
      <c r="H1938" s="15" t="str">
        <f ca="1">TEXT(Categorias_Registro[[#This Row],[Mínimo]],Formato_Rango_Categorias)&amp;" - "&amp;TEXT(Categorias_Registro[[#This Row],[Máximo]],Formato_Rango_Categorias)</f>
        <v>617 - 708</v>
      </c>
    </row>
    <row r="1939" spans="2:8">
      <c r="B1939" s="15">
        <f>Techo - ROW() + ROW(Categorias_Registro[])</f>
        <v>690</v>
      </c>
      <c r="C1939" s="15">
        <f>IF(Categorias_Registro[[#This Row],[Puntos]]&lt;=ROUND(Piso,0),Piso,IF(Categorias_Registro[[#This Row],[Puntos]]&lt;D1940,C1940,D1940+1))</f>
        <v>617</v>
      </c>
      <c r="D1939" s="15">
        <f>IF(Categorias_Registro[[#This Row],[Puntos]]=ROUND(Piso,0),ROUND(Categorias_Registro[[#This Row],[Puntos]]*(1+Categorias_Registro[[#This Row],[Amplitud]]),0),IF(Categorias_Registro[[#This Row],[Puntos]]&lt;D1940,D1940,ROUND(D1940*(1+Categorias_Registro[[#This Row],[Amplitud]]),0)))</f>
        <v>708</v>
      </c>
      <c r="E1939" s="15">
        <f>E1940+IF(D1940=Categorias_Registro[[#This Row],[Máximo]],0,1)</f>
        <v>15</v>
      </c>
      <c r="F1939" s="15">
        <f>ROUND(Categorias_Registro[[#This Row],[Mínimo]]+((Categorias_Registro[[#This Row],[Máximo]]-Categorias_Registro[[#This Row],[Mínimo]])/2),0)</f>
        <v>663</v>
      </c>
      <c r="G1939" s="78">
        <f>VLOOKUP(Categorias_Registro[[#This Row],[Puntos]],Categorias_Configuracion[],MATCH(Categorias_Configuracion[[#Headers],[% Amplitud]],Categorias_Configuracion[#Headers],0),TRUE)</f>
        <v>0.15</v>
      </c>
      <c r="H1939" s="15" t="str">
        <f ca="1">TEXT(Categorias_Registro[[#This Row],[Mínimo]],Formato_Rango_Categorias)&amp;" - "&amp;TEXT(Categorias_Registro[[#This Row],[Máximo]],Formato_Rango_Categorias)</f>
        <v>617 - 708</v>
      </c>
    </row>
    <row r="1940" spans="2:8">
      <c r="B1940" s="15">
        <f>Techo - ROW() + ROW(Categorias_Registro[])</f>
        <v>689</v>
      </c>
      <c r="C1940" s="15">
        <f>IF(Categorias_Registro[[#This Row],[Puntos]]&lt;=ROUND(Piso,0),Piso,IF(Categorias_Registro[[#This Row],[Puntos]]&lt;D1941,C1941,D1941+1))</f>
        <v>617</v>
      </c>
      <c r="D1940" s="15">
        <f>IF(Categorias_Registro[[#This Row],[Puntos]]=ROUND(Piso,0),ROUND(Categorias_Registro[[#This Row],[Puntos]]*(1+Categorias_Registro[[#This Row],[Amplitud]]),0),IF(Categorias_Registro[[#This Row],[Puntos]]&lt;D1941,D1941,ROUND(D1941*(1+Categorias_Registro[[#This Row],[Amplitud]]),0)))</f>
        <v>708</v>
      </c>
      <c r="E1940" s="15">
        <f>E1941+IF(D1941=Categorias_Registro[[#This Row],[Máximo]],0,1)</f>
        <v>15</v>
      </c>
      <c r="F1940" s="15">
        <f>ROUND(Categorias_Registro[[#This Row],[Mínimo]]+((Categorias_Registro[[#This Row],[Máximo]]-Categorias_Registro[[#This Row],[Mínimo]])/2),0)</f>
        <v>663</v>
      </c>
      <c r="G1940" s="78">
        <f>VLOOKUP(Categorias_Registro[[#This Row],[Puntos]],Categorias_Configuracion[],MATCH(Categorias_Configuracion[[#Headers],[% Amplitud]],Categorias_Configuracion[#Headers],0),TRUE)</f>
        <v>0.15</v>
      </c>
      <c r="H1940" s="15" t="str">
        <f ca="1">TEXT(Categorias_Registro[[#This Row],[Mínimo]],Formato_Rango_Categorias)&amp;" - "&amp;TEXT(Categorias_Registro[[#This Row],[Máximo]],Formato_Rango_Categorias)</f>
        <v>617 - 708</v>
      </c>
    </row>
    <row r="1941" spans="2:8">
      <c r="B1941" s="15">
        <f>Techo - ROW() + ROW(Categorias_Registro[])</f>
        <v>688</v>
      </c>
      <c r="C1941" s="15">
        <f>IF(Categorias_Registro[[#This Row],[Puntos]]&lt;=ROUND(Piso,0),Piso,IF(Categorias_Registro[[#This Row],[Puntos]]&lt;D1942,C1942,D1942+1))</f>
        <v>617</v>
      </c>
      <c r="D1941" s="15">
        <f>IF(Categorias_Registro[[#This Row],[Puntos]]=ROUND(Piso,0),ROUND(Categorias_Registro[[#This Row],[Puntos]]*(1+Categorias_Registro[[#This Row],[Amplitud]]),0),IF(Categorias_Registro[[#This Row],[Puntos]]&lt;D1942,D1942,ROUND(D1942*(1+Categorias_Registro[[#This Row],[Amplitud]]),0)))</f>
        <v>708</v>
      </c>
      <c r="E1941" s="15">
        <f>E1942+IF(D1942=Categorias_Registro[[#This Row],[Máximo]],0,1)</f>
        <v>15</v>
      </c>
      <c r="F1941" s="15">
        <f>ROUND(Categorias_Registro[[#This Row],[Mínimo]]+((Categorias_Registro[[#This Row],[Máximo]]-Categorias_Registro[[#This Row],[Mínimo]])/2),0)</f>
        <v>663</v>
      </c>
      <c r="G1941" s="78">
        <f>VLOOKUP(Categorias_Registro[[#This Row],[Puntos]],Categorias_Configuracion[],MATCH(Categorias_Configuracion[[#Headers],[% Amplitud]],Categorias_Configuracion[#Headers],0),TRUE)</f>
        <v>0.15</v>
      </c>
      <c r="H1941" s="15" t="str">
        <f ca="1">TEXT(Categorias_Registro[[#This Row],[Mínimo]],Formato_Rango_Categorias)&amp;" - "&amp;TEXT(Categorias_Registro[[#This Row],[Máximo]],Formato_Rango_Categorias)</f>
        <v>617 - 708</v>
      </c>
    </row>
    <row r="1942" spans="2:8">
      <c r="B1942" s="15">
        <f>Techo - ROW() + ROW(Categorias_Registro[])</f>
        <v>687</v>
      </c>
      <c r="C1942" s="15">
        <f>IF(Categorias_Registro[[#This Row],[Puntos]]&lt;=ROUND(Piso,0),Piso,IF(Categorias_Registro[[#This Row],[Puntos]]&lt;D1943,C1943,D1943+1))</f>
        <v>617</v>
      </c>
      <c r="D1942" s="15">
        <f>IF(Categorias_Registro[[#This Row],[Puntos]]=ROUND(Piso,0),ROUND(Categorias_Registro[[#This Row],[Puntos]]*(1+Categorias_Registro[[#This Row],[Amplitud]]),0),IF(Categorias_Registro[[#This Row],[Puntos]]&lt;D1943,D1943,ROUND(D1943*(1+Categorias_Registro[[#This Row],[Amplitud]]),0)))</f>
        <v>708</v>
      </c>
      <c r="E1942" s="15">
        <f>E1943+IF(D1943=Categorias_Registro[[#This Row],[Máximo]],0,1)</f>
        <v>15</v>
      </c>
      <c r="F1942" s="15">
        <f>ROUND(Categorias_Registro[[#This Row],[Mínimo]]+((Categorias_Registro[[#This Row],[Máximo]]-Categorias_Registro[[#This Row],[Mínimo]])/2),0)</f>
        <v>663</v>
      </c>
      <c r="G1942" s="78">
        <f>VLOOKUP(Categorias_Registro[[#This Row],[Puntos]],Categorias_Configuracion[],MATCH(Categorias_Configuracion[[#Headers],[% Amplitud]],Categorias_Configuracion[#Headers],0),TRUE)</f>
        <v>0.15</v>
      </c>
      <c r="H1942" s="15" t="str">
        <f ca="1">TEXT(Categorias_Registro[[#This Row],[Mínimo]],Formato_Rango_Categorias)&amp;" - "&amp;TEXT(Categorias_Registro[[#This Row],[Máximo]],Formato_Rango_Categorias)</f>
        <v>617 - 708</v>
      </c>
    </row>
    <row r="1943" spans="2:8">
      <c r="B1943" s="15">
        <f>Techo - ROW() + ROW(Categorias_Registro[])</f>
        <v>686</v>
      </c>
      <c r="C1943" s="15">
        <f>IF(Categorias_Registro[[#This Row],[Puntos]]&lt;=ROUND(Piso,0),Piso,IF(Categorias_Registro[[#This Row],[Puntos]]&lt;D1944,C1944,D1944+1))</f>
        <v>617</v>
      </c>
      <c r="D1943" s="15">
        <f>IF(Categorias_Registro[[#This Row],[Puntos]]=ROUND(Piso,0),ROUND(Categorias_Registro[[#This Row],[Puntos]]*(1+Categorias_Registro[[#This Row],[Amplitud]]),0),IF(Categorias_Registro[[#This Row],[Puntos]]&lt;D1944,D1944,ROUND(D1944*(1+Categorias_Registro[[#This Row],[Amplitud]]),0)))</f>
        <v>708</v>
      </c>
      <c r="E1943" s="15">
        <f>E1944+IF(D1944=Categorias_Registro[[#This Row],[Máximo]],0,1)</f>
        <v>15</v>
      </c>
      <c r="F1943" s="15">
        <f>ROUND(Categorias_Registro[[#This Row],[Mínimo]]+((Categorias_Registro[[#This Row],[Máximo]]-Categorias_Registro[[#This Row],[Mínimo]])/2),0)</f>
        <v>663</v>
      </c>
      <c r="G1943" s="78">
        <f>VLOOKUP(Categorias_Registro[[#This Row],[Puntos]],Categorias_Configuracion[],MATCH(Categorias_Configuracion[[#Headers],[% Amplitud]],Categorias_Configuracion[#Headers],0),TRUE)</f>
        <v>0.15</v>
      </c>
      <c r="H1943" s="15" t="str">
        <f ca="1">TEXT(Categorias_Registro[[#This Row],[Mínimo]],Formato_Rango_Categorias)&amp;" - "&amp;TEXT(Categorias_Registro[[#This Row],[Máximo]],Formato_Rango_Categorias)</f>
        <v>617 - 708</v>
      </c>
    </row>
    <row r="1944" spans="2:8">
      <c r="B1944" s="15">
        <f>Techo - ROW() + ROW(Categorias_Registro[])</f>
        <v>685</v>
      </c>
      <c r="C1944" s="15">
        <f>IF(Categorias_Registro[[#This Row],[Puntos]]&lt;=ROUND(Piso,0),Piso,IF(Categorias_Registro[[#This Row],[Puntos]]&lt;D1945,C1945,D1945+1))</f>
        <v>617</v>
      </c>
      <c r="D1944" s="15">
        <f>IF(Categorias_Registro[[#This Row],[Puntos]]=ROUND(Piso,0),ROUND(Categorias_Registro[[#This Row],[Puntos]]*(1+Categorias_Registro[[#This Row],[Amplitud]]),0),IF(Categorias_Registro[[#This Row],[Puntos]]&lt;D1945,D1945,ROUND(D1945*(1+Categorias_Registro[[#This Row],[Amplitud]]),0)))</f>
        <v>708</v>
      </c>
      <c r="E1944" s="15">
        <f>E1945+IF(D1945=Categorias_Registro[[#This Row],[Máximo]],0,1)</f>
        <v>15</v>
      </c>
      <c r="F1944" s="15">
        <f>ROUND(Categorias_Registro[[#This Row],[Mínimo]]+((Categorias_Registro[[#This Row],[Máximo]]-Categorias_Registro[[#This Row],[Mínimo]])/2),0)</f>
        <v>663</v>
      </c>
      <c r="G1944" s="78">
        <f>VLOOKUP(Categorias_Registro[[#This Row],[Puntos]],Categorias_Configuracion[],MATCH(Categorias_Configuracion[[#Headers],[% Amplitud]],Categorias_Configuracion[#Headers],0),TRUE)</f>
        <v>0.15</v>
      </c>
      <c r="H1944" s="15" t="str">
        <f ca="1">TEXT(Categorias_Registro[[#This Row],[Mínimo]],Formato_Rango_Categorias)&amp;" - "&amp;TEXT(Categorias_Registro[[#This Row],[Máximo]],Formato_Rango_Categorias)</f>
        <v>617 - 708</v>
      </c>
    </row>
    <row r="1945" spans="2:8">
      <c r="B1945" s="15">
        <f>Techo - ROW() + ROW(Categorias_Registro[])</f>
        <v>684</v>
      </c>
      <c r="C1945" s="15">
        <f>IF(Categorias_Registro[[#This Row],[Puntos]]&lt;=ROUND(Piso,0),Piso,IF(Categorias_Registro[[#This Row],[Puntos]]&lt;D1946,C1946,D1946+1))</f>
        <v>617</v>
      </c>
      <c r="D1945" s="15">
        <f>IF(Categorias_Registro[[#This Row],[Puntos]]=ROUND(Piso,0),ROUND(Categorias_Registro[[#This Row],[Puntos]]*(1+Categorias_Registro[[#This Row],[Amplitud]]),0),IF(Categorias_Registro[[#This Row],[Puntos]]&lt;D1946,D1946,ROUND(D1946*(1+Categorias_Registro[[#This Row],[Amplitud]]),0)))</f>
        <v>708</v>
      </c>
      <c r="E1945" s="15">
        <f>E1946+IF(D1946=Categorias_Registro[[#This Row],[Máximo]],0,1)</f>
        <v>15</v>
      </c>
      <c r="F1945" s="15">
        <f>ROUND(Categorias_Registro[[#This Row],[Mínimo]]+((Categorias_Registro[[#This Row],[Máximo]]-Categorias_Registro[[#This Row],[Mínimo]])/2),0)</f>
        <v>663</v>
      </c>
      <c r="G1945" s="78">
        <f>VLOOKUP(Categorias_Registro[[#This Row],[Puntos]],Categorias_Configuracion[],MATCH(Categorias_Configuracion[[#Headers],[% Amplitud]],Categorias_Configuracion[#Headers],0),TRUE)</f>
        <v>0.15</v>
      </c>
      <c r="H1945" s="15" t="str">
        <f ca="1">TEXT(Categorias_Registro[[#This Row],[Mínimo]],Formato_Rango_Categorias)&amp;" - "&amp;TEXT(Categorias_Registro[[#This Row],[Máximo]],Formato_Rango_Categorias)</f>
        <v>617 - 708</v>
      </c>
    </row>
    <row r="1946" spans="2:8">
      <c r="B1946" s="15">
        <f>Techo - ROW() + ROW(Categorias_Registro[])</f>
        <v>683</v>
      </c>
      <c r="C1946" s="15">
        <f>IF(Categorias_Registro[[#This Row],[Puntos]]&lt;=ROUND(Piso,0),Piso,IF(Categorias_Registro[[#This Row],[Puntos]]&lt;D1947,C1947,D1947+1))</f>
        <v>617</v>
      </c>
      <c r="D1946" s="15">
        <f>IF(Categorias_Registro[[#This Row],[Puntos]]=ROUND(Piso,0),ROUND(Categorias_Registro[[#This Row],[Puntos]]*(1+Categorias_Registro[[#This Row],[Amplitud]]),0),IF(Categorias_Registro[[#This Row],[Puntos]]&lt;D1947,D1947,ROUND(D1947*(1+Categorias_Registro[[#This Row],[Amplitud]]),0)))</f>
        <v>708</v>
      </c>
      <c r="E1946" s="15">
        <f>E1947+IF(D1947=Categorias_Registro[[#This Row],[Máximo]],0,1)</f>
        <v>15</v>
      </c>
      <c r="F1946" s="15">
        <f>ROUND(Categorias_Registro[[#This Row],[Mínimo]]+((Categorias_Registro[[#This Row],[Máximo]]-Categorias_Registro[[#This Row],[Mínimo]])/2),0)</f>
        <v>663</v>
      </c>
      <c r="G1946" s="78">
        <f>VLOOKUP(Categorias_Registro[[#This Row],[Puntos]],Categorias_Configuracion[],MATCH(Categorias_Configuracion[[#Headers],[% Amplitud]],Categorias_Configuracion[#Headers],0),TRUE)</f>
        <v>0.15</v>
      </c>
      <c r="H1946" s="15" t="str">
        <f ca="1">TEXT(Categorias_Registro[[#This Row],[Mínimo]],Formato_Rango_Categorias)&amp;" - "&amp;TEXT(Categorias_Registro[[#This Row],[Máximo]],Formato_Rango_Categorias)</f>
        <v>617 - 708</v>
      </c>
    </row>
    <row r="1947" spans="2:8">
      <c r="B1947" s="15">
        <f>Techo - ROW() + ROW(Categorias_Registro[])</f>
        <v>682</v>
      </c>
      <c r="C1947" s="15">
        <f>IF(Categorias_Registro[[#This Row],[Puntos]]&lt;=ROUND(Piso,0),Piso,IF(Categorias_Registro[[#This Row],[Puntos]]&lt;D1948,C1948,D1948+1))</f>
        <v>617</v>
      </c>
      <c r="D1947" s="15">
        <f>IF(Categorias_Registro[[#This Row],[Puntos]]=ROUND(Piso,0),ROUND(Categorias_Registro[[#This Row],[Puntos]]*(1+Categorias_Registro[[#This Row],[Amplitud]]),0),IF(Categorias_Registro[[#This Row],[Puntos]]&lt;D1948,D1948,ROUND(D1948*(1+Categorias_Registro[[#This Row],[Amplitud]]),0)))</f>
        <v>708</v>
      </c>
      <c r="E1947" s="15">
        <f>E1948+IF(D1948=Categorias_Registro[[#This Row],[Máximo]],0,1)</f>
        <v>15</v>
      </c>
      <c r="F1947" s="15">
        <f>ROUND(Categorias_Registro[[#This Row],[Mínimo]]+((Categorias_Registro[[#This Row],[Máximo]]-Categorias_Registro[[#This Row],[Mínimo]])/2),0)</f>
        <v>663</v>
      </c>
      <c r="G1947" s="78">
        <f>VLOOKUP(Categorias_Registro[[#This Row],[Puntos]],Categorias_Configuracion[],MATCH(Categorias_Configuracion[[#Headers],[% Amplitud]],Categorias_Configuracion[#Headers],0),TRUE)</f>
        <v>0.15</v>
      </c>
      <c r="H1947" s="15" t="str">
        <f ca="1">TEXT(Categorias_Registro[[#This Row],[Mínimo]],Formato_Rango_Categorias)&amp;" - "&amp;TEXT(Categorias_Registro[[#This Row],[Máximo]],Formato_Rango_Categorias)</f>
        <v>617 - 708</v>
      </c>
    </row>
    <row r="1948" spans="2:8">
      <c r="B1948" s="15">
        <f>Techo - ROW() + ROW(Categorias_Registro[])</f>
        <v>681</v>
      </c>
      <c r="C1948" s="15">
        <f>IF(Categorias_Registro[[#This Row],[Puntos]]&lt;=ROUND(Piso,0),Piso,IF(Categorias_Registro[[#This Row],[Puntos]]&lt;D1949,C1949,D1949+1))</f>
        <v>617</v>
      </c>
      <c r="D1948" s="15">
        <f>IF(Categorias_Registro[[#This Row],[Puntos]]=ROUND(Piso,0),ROUND(Categorias_Registro[[#This Row],[Puntos]]*(1+Categorias_Registro[[#This Row],[Amplitud]]),0),IF(Categorias_Registro[[#This Row],[Puntos]]&lt;D1949,D1949,ROUND(D1949*(1+Categorias_Registro[[#This Row],[Amplitud]]),0)))</f>
        <v>708</v>
      </c>
      <c r="E1948" s="15">
        <f>E1949+IF(D1949=Categorias_Registro[[#This Row],[Máximo]],0,1)</f>
        <v>15</v>
      </c>
      <c r="F1948" s="15">
        <f>ROUND(Categorias_Registro[[#This Row],[Mínimo]]+((Categorias_Registro[[#This Row],[Máximo]]-Categorias_Registro[[#This Row],[Mínimo]])/2),0)</f>
        <v>663</v>
      </c>
      <c r="G1948" s="78">
        <f>VLOOKUP(Categorias_Registro[[#This Row],[Puntos]],Categorias_Configuracion[],MATCH(Categorias_Configuracion[[#Headers],[% Amplitud]],Categorias_Configuracion[#Headers],0),TRUE)</f>
        <v>0.15</v>
      </c>
      <c r="H1948" s="15" t="str">
        <f ca="1">TEXT(Categorias_Registro[[#This Row],[Mínimo]],Formato_Rango_Categorias)&amp;" - "&amp;TEXT(Categorias_Registro[[#This Row],[Máximo]],Formato_Rango_Categorias)</f>
        <v>617 - 708</v>
      </c>
    </row>
    <row r="1949" spans="2:8">
      <c r="B1949" s="15">
        <f>Techo - ROW() + ROW(Categorias_Registro[])</f>
        <v>680</v>
      </c>
      <c r="C1949" s="15">
        <f>IF(Categorias_Registro[[#This Row],[Puntos]]&lt;=ROUND(Piso,0),Piso,IF(Categorias_Registro[[#This Row],[Puntos]]&lt;D1950,C1950,D1950+1))</f>
        <v>617</v>
      </c>
      <c r="D1949" s="15">
        <f>IF(Categorias_Registro[[#This Row],[Puntos]]=ROUND(Piso,0),ROUND(Categorias_Registro[[#This Row],[Puntos]]*(1+Categorias_Registro[[#This Row],[Amplitud]]),0),IF(Categorias_Registro[[#This Row],[Puntos]]&lt;D1950,D1950,ROUND(D1950*(1+Categorias_Registro[[#This Row],[Amplitud]]),0)))</f>
        <v>708</v>
      </c>
      <c r="E1949" s="15">
        <f>E1950+IF(D1950=Categorias_Registro[[#This Row],[Máximo]],0,1)</f>
        <v>15</v>
      </c>
      <c r="F1949" s="15">
        <f>ROUND(Categorias_Registro[[#This Row],[Mínimo]]+((Categorias_Registro[[#This Row],[Máximo]]-Categorias_Registro[[#This Row],[Mínimo]])/2),0)</f>
        <v>663</v>
      </c>
      <c r="G1949" s="78">
        <f>VLOOKUP(Categorias_Registro[[#This Row],[Puntos]],Categorias_Configuracion[],MATCH(Categorias_Configuracion[[#Headers],[% Amplitud]],Categorias_Configuracion[#Headers],0),TRUE)</f>
        <v>0.15</v>
      </c>
      <c r="H1949" s="15" t="str">
        <f ca="1">TEXT(Categorias_Registro[[#This Row],[Mínimo]],Formato_Rango_Categorias)&amp;" - "&amp;TEXT(Categorias_Registro[[#This Row],[Máximo]],Formato_Rango_Categorias)</f>
        <v>617 - 708</v>
      </c>
    </row>
    <row r="1950" spans="2:8">
      <c r="B1950" s="15">
        <f>Techo - ROW() + ROW(Categorias_Registro[])</f>
        <v>679</v>
      </c>
      <c r="C1950" s="15">
        <f>IF(Categorias_Registro[[#This Row],[Puntos]]&lt;=ROUND(Piso,0),Piso,IF(Categorias_Registro[[#This Row],[Puntos]]&lt;D1951,C1951,D1951+1))</f>
        <v>617</v>
      </c>
      <c r="D1950" s="15">
        <f>IF(Categorias_Registro[[#This Row],[Puntos]]=ROUND(Piso,0),ROUND(Categorias_Registro[[#This Row],[Puntos]]*(1+Categorias_Registro[[#This Row],[Amplitud]]),0),IF(Categorias_Registro[[#This Row],[Puntos]]&lt;D1951,D1951,ROUND(D1951*(1+Categorias_Registro[[#This Row],[Amplitud]]),0)))</f>
        <v>708</v>
      </c>
      <c r="E1950" s="15">
        <f>E1951+IF(D1951=Categorias_Registro[[#This Row],[Máximo]],0,1)</f>
        <v>15</v>
      </c>
      <c r="F1950" s="15">
        <f>ROUND(Categorias_Registro[[#This Row],[Mínimo]]+((Categorias_Registro[[#This Row],[Máximo]]-Categorias_Registro[[#This Row],[Mínimo]])/2),0)</f>
        <v>663</v>
      </c>
      <c r="G1950" s="78">
        <f>VLOOKUP(Categorias_Registro[[#This Row],[Puntos]],Categorias_Configuracion[],MATCH(Categorias_Configuracion[[#Headers],[% Amplitud]],Categorias_Configuracion[#Headers],0),TRUE)</f>
        <v>0.15</v>
      </c>
      <c r="H1950" s="15" t="str">
        <f ca="1">TEXT(Categorias_Registro[[#This Row],[Mínimo]],Formato_Rango_Categorias)&amp;" - "&amp;TEXT(Categorias_Registro[[#This Row],[Máximo]],Formato_Rango_Categorias)</f>
        <v>617 - 708</v>
      </c>
    </row>
    <row r="1951" spans="2:8">
      <c r="B1951" s="15">
        <f>Techo - ROW() + ROW(Categorias_Registro[])</f>
        <v>678</v>
      </c>
      <c r="C1951" s="15">
        <f>IF(Categorias_Registro[[#This Row],[Puntos]]&lt;=ROUND(Piso,0),Piso,IF(Categorias_Registro[[#This Row],[Puntos]]&lt;D1952,C1952,D1952+1))</f>
        <v>617</v>
      </c>
      <c r="D1951" s="15">
        <f>IF(Categorias_Registro[[#This Row],[Puntos]]=ROUND(Piso,0),ROUND(Categorias_Registro[[#This Row],[Puntos]]*(1+Categorias_Registro[[#This Row],[Amplitud]]),0),IF(Categorias_Registro[[#This Row],[Puntos]]&lt;D1952,D1952,ROUND(D1952*(1+Categorias_Registro[[#This Row],[Amplitud]]),0)))</f>
        <v>708</v>
      </c>
      <c r="E1951" s="15">
        <f>E1952+IF(D1952=Categorias_Registro[[#This Row],[Máximo]],0,1)</f>
        <v>15</v>
      </c>
      <c r="F1951" s="15">
        <f>ROUND(Categorias_Registro[[#This Row],[Mínimo]]+((Categorias_Registro[[#This Row],[Máximo]]-Categorias_Registro[[#This Row],[Mínimo]])/2),0)</f>
        <v>663</v>
      </c>
      <c r="G1951" s="78">
        <f>VLOOKUP(Categorias_Registro[[#This Row],[Puntos]],Categorias_Configuracion[],MATCH(Categorias_Configuracion[[#Headers],[% Amplitud]],Categorias_Configuracion[#Headers],0),TRUE)</f>
        <v>0.15</v>
      </c>
      <c r="H1951" s="15" t="str">
        <f ca="1">TEXT(Categorias_Registro[[#This Row],[Mínimo]],Formato_Rango_Categorias)&amp;" - "&amp;TEXT(Categorias_Registro[[#This Row],[Máximo]],Formato_Rango_Categorias)</f>
        <v>617 - 708</v>
      </c>
    </row>
    <row r="1952" spans="2:8">
      <c r="B1952" s="15">
        <f>Techo - ROW() + ROW(Categorias_Registro[])</f>
        <v>677</v>
      </c>
      <c r="C1952" s="15">
        <f>IF(Categorias_Registro[[#This Row],[Puntos]]&lt;=ROUND(Piso,0),Piso,IF(Categorias_Registro[[#This Row],[Puntos]]&lt;D1953,C1953,D1953+1))</f>
        <v>617</v>
      </c>
      <c r="D1952" s="15">
        <f>IF(Categorias_Registro[[#This Row],[Puntos]]=ROUND(Piso,0),ROUND(Categorias_Registro[[#This Row],[Puntos]]*(1+Categorias_Registro[[#This Row],[Amplitud]]),0),IF(Categorias_Registro[[#This Row],[Puntos]]&lt;D1953,D1953,ROUND(D1953*(1+Categorias_Registro[[#This Row],[Amplitud]]),0)))</f>
        <v>708</v>
      </c>
      <c r="E1952" s="15">
        <f>E1953+IF(D1953=Categorias_Registro[[#This Row],[Máximo]],0,1)</f>
        <v>15</v>
      </c>
      <c r="F1952" s="15">
        <f>ROUND(Categorias_Registro[[#This Row],[Mínimo]]+((Categorias_Registro[[#This Row],[Máximo]]-Categorias_Registro[[#This Row],[Mínimo]])/2),0)</f>
        <v>663</v>
      </c>
      <c r="G1952" s="78">
        <f>VLOOKUP(Categorias_Registro[[#This Row],[Puntos]],Categorias_Configuracion[],MATCH(Categorias_Configuracion[[#Headers],[% Amplitud]],Categorias_Configuracion[#Headers],0),TRUE)</f>
        <v>0.15</v>
      </c>
      <c r="H1952" s="15" t="str">
        <f ca="1">TEXT(Categorias_Registro[[#This Row],[Mínimo]],Formato_Rango_Categorias)&amp;" - "&amp;TEXT(Categorias_Registro[[#This Row],[Máximo]],Formato_Rango_Categorias)</f>
        <v>617 - 708</v>
      </c>
    </row>
    <row r="1953" spans="2:8">
      <c r="B1953" s="15">
        <f>Techo - ROW() + ROW(Categorias_Registro[])</f>
        <v>676</v>
      </c>
      <c r="C1953" s="15">
        <f>IF(Categorias_Registro[[#This Row],[Puntos]]&lt;=ROUND(Piso,0),Piso,IF(Categorias_Registro[[#This Row],[Puntos]]&lt;D1954,C1954,D1954+1))</f>
        <v>617</v>
      </c>
      <c r="D1953" s="15">
        <f>IF(Categorias_Registro[[#This Row],[Puntos]]=ROUND(Piso,0),ROUND(Categorias_Registro[[#This Row],[Puntos]]*(1+Categorias_Registro[[#This Row],[Amplitud]]),0),IF(Categorias_Registro[[#This Row],[Puntos]]&lt;D1954,D1954,ROUND(D1954*(1+Categorias_Registro[[#This Row],[Amplitud]]),0)))</f>
        <v>708</v>
      </c>
      <c r="E1953" s="15">
        <f>E1954+IF(D1954=Categorias_Registro[[#This Row],[Máximo]],0,1)</f>
        <v>15</v>
      </c>
      <c r="F1953" s="15">
        <f>ROUND(Categorias_Registro[[#This Row],[Mínimo]]+((Categorias_Registro[[#This Row],[Máximo]]-Categorias_Registro[[#This Row],[Mínimo]])/2),0)</f>
        <v>663</v>
      </c>
      <c r="G1953" s="78">
        <f>VLOOKUP(Categorias_Registro[[#This Row],[Puntos]],Categorias_Configuracion[],MATCH(Categorias_Configuracion[[#Headers],[% Amplitud]],Categorias_Configuracion[#Headers],0),TRUE)</f>
        <v>0.15</v>
      </c>
      <c r="H1953" s="15" t="str">
        <f ca="1">TEXT(Categorias_Registro[[#This Row],[Mínimo]],Formato_Rango_Categorias)&amp;" - "&amp;TEXT(Categorias_Registro[[#This Row],[Máximo]],Formato_Rango_Categorias)</f>
        <v>617 - 708</v>
      </c>
    </row>
    <row r="1954" spans="2:8">
      <c r="B1954" s="15">
        <f>Techo - ROW() + ROW(Categorias_Registro[])</f>
        <v>675</v>
      </c>
      <c r="C1954" s="15">
        <f>IF(Categorias_Registro[[#This Row],[Puntos]]&lt;=ROUND(Piso,0),Piso,IF(Categorias_Registro[[#This Row],[Puntos]]&lt;D1955,C1955,D1955+1))</f>
        <v>617</v>
      </c>
      <c r="D1954" s="15">
        <f>IF(Categorias_Registro[[#This Row],[Puntos]]=ROUND(Piso,0),ROUND(Categorias_Registro[[#This Row],[Puntos]]*(1+Categorias_Registro[[#This Row],[Amplitud]]),0),IF(Categorias_Registro[[#This Row],[Puntos]]&lt;D1955,D1955,ROUND(D1955*(1+Categorias_Registro[[#This Row],[Amplitud]]),0)))</f>
        <v>708</v>
      </c>
      <c r="E1954" s="15">
        <f>E1955+IF(D1955=Categorias_Registro[[#This Row],[Máximo]],0,1)</f>
        <v>15</v>
      </c>
      <c r="F1954" s="15">
        <f>ROUND(Categorias_Registro[[#This Row],[Mínimo]]+((Categorias_Registro[[#This Row],[Máximo]]-Categorias_Registro[[#This Row],[Mínimo]])/2),0)</f>
        <v>663</v>
      </c>
      <c r="G1954" s="78">
        <f>VLOOKUP(Categorias_Registro[[#This Row],[Puntos]],Categorias_Configuracion[],MATCH(Categorias_Configuracion[[#Headers],[% Amplitud]],Categorias_Configuracion[#Headers],0),TRUE)</f>
        <v>0.15</v>
      </c>
      <c r="H1954" s="15" t="str">
        <f ca="1">TEXT(Categorias_Registro[[#This Row],[Mínimo]],Formato_Rango_Categorias)&amp;" - "&amp;TEXT(Categorias_Registro[[#This Row],[Máximo]],Formato_Rango_Categorias)</f>
        <v>617 - 708</v>
      </c>
    </row>
    <row r="1955" spans="2:8">
      <c r="B1955" s="15">
        <f>Techo - ROW() + ROW(Categorias_Registro[])</f>
        <v>674</v>
      </c>
      <c r="C1955" s="15">
        <f>IF(Categorias_Registro[[#This Row],[Puntos]]&lt;=ROUND(Piso,0),Piso,IF(Categorias_Registro[[#This Row],[Puntos]]&lt;D1956,C1956,D1956+1))</f>
        <v>617</v>
      </c>
      <c r="D1955" s="15">
        <f>IF(Categorias_Registro[[#This Row],[Puntos]]=ROUND(Piso,0),ROUND(Categorias_Registro[[#This Row],[Puntos]]*(1+Categorias_Registro[[#This Row],[Amplitud]]),0),IF(Categorias_Registro[[#This Row],[Puntos]]&lt;D1956,D1956,ROUND(D1956*(1+Categorias_Registro[[#This Row],[Amplitud]]),0)))</f>
        <v>708</v>
      </c>
      <c r="E1955" s="15">
        <f>E1956+IF(D1956=Categorias_Registro[[#This Row],[Máximo]],0,1)</f>
        <v>15</v>
      </c>
      <c r="F1955" s="15">
        <f>ROUND(Categorias_Registro[[#This Row],[Mínimo]]+((Categorias_Registro[[#This Row],[Máximo]]-Categorias_Registro[[#This Row],[Mínimo]])/2),0)</f>
        <v>663</v>
      </c>
      <c r="G1955" s="78">
        <f>VLOOKUP(Categorias_Registro[[#This Row],[Puntos]],Categorias_Configuracion[],MATCH(Categorias_Configuracion[[#Headers],[% Amplitud]],Categorias_Configuracion[#Headers],0),TRUE)</f>
        <v>0.15</v>
      </c>
      <c r="H1955" s="15" t="str">
        <f ca="1">TEXT(Categorias_Registro[[#This Row],[Mínimo]],Formato_Rango_Categorias)&amp;" - "&amp;TEXT(Categorias_Registro[[#This Row],[Máximo]],Formato_Rango_Categorias)</f>
        <v>617 - 708</v>
      </c>
    </row>
    <row r="1956" spans="2:8">
      <c r="B1956" s="15">
        <f>Techo - ROW() + ROW(Categorias_Registro[])</f>
        <v>673</v>
      </c>
      <c r="C1956" s="15">
        <f>IF(Categorias_Registro[[#This Row],[Puntos]]&lt;=ROUND(Piso,0),Piso,IF(Categorias_Registro[[#This Row],[Puntos]]&lt;D1957,C1957,D1957+1))</f>
        <v>617</v>
      </c>
      <c r="D1956" s="15">
        <f>IF(Categorias_Registro[[#This Row],[Puntos]]=ROUND(Piso,0),ROUND(Categorias_Registro[[#This Row],[Puntos]]*(1+Categorias_Registro[[#This Row],[Amplitud]]),0),IF(Categorias_Registro[[#This Row],[Puntos]]&lt;D1957,D1957,ROUND(D1957*(1+Categorias_Registro[[#This Row],[Amplitud]]),0)))</f>
        <v>708</v>
      </c>
      <c r="E1956" s="15">
        <f>E1957+IF(D1957=Categorias_Registro[[#This Row],[Máximo]],0,1)</f>
        <v>15</v>
      </c>
      <c r="F1956" s="15">
        <f>ROUND(Categorias_Registro[[#This Row],[Mínimo]]+((Categorias_Registro[[#This Row],[Máximo]]-Categorias_Registro[[#This Row],[Mínimo]])/2),0)</f>
        <v>663</v>
      </c>
      <c r="G1956" s="78">
        <f>VLOOKUP(Categorias_Registro[[#This Row],[Puntos]],Categorias_Configuracion[],MATCH(Categorias_Configuracion[[#Headers],[% Amplitud]],Categorias_Configuracion[#Headers],0),TRUE)</f>
        <v>0.15</v>
      </c>
      <c r="H1956" s="15" t="str">
        <f ca="1">TEXT(Categorias_Registro[[#This Row],[Mínimo]],Formato_Rango_Categorias)&amp;" - "&amp;TEXT(Categorias_Registro[[#This Row],[Máximo]],Formato_Rango_Categorias)</f>
        <v>617 - 708</v>
      </c>
    </row>
    <row r="1957" spans="2:8">
      <c r="B1957" s="15">
        <f>Techo - ROW() + ROW(Categorias_Registro[])</f>
        <v>672</v>
      </c>
      <c r="C1957" s="15">
        <f>IF(Categorias_Registro[[#This Row],[Puntos]]&lt;=ROUND(Piso,0),Piso,IF(Categorias_Registro[[#This Row],[Puntos]]&lt;D1958,C1958,D1958+1))</f>
        <v>617</v>
      </c>
      <c r="D1957" s="15">
        <f>IF(Categorias_Registro[[#This Row],[Puntos]]=ROUND(Piso,0),ROUND(Categorias_Registro[[#This Row],[Puntos]]*(1+Categorias_Registro[[#This Row],[Amplitud]]),0),IF(Categorias_Registro[[#This Row],[Puntos]]&lt;D1958,D1958,ROUND(D1958*(1+Categorias_Registro[[#This Row],[Amplitud]]),0)))</f>
        <v>708</v>
      </c>
      <c r="E1957" s="15">
        <f>E1958+IF(D1958=Categorias_Registro[[#This Row],[Máximo]],0,1)</f>
        <v>15</v>
      </c>
      <c r="F1957" s="15">
        <f>ROUND(Categorias_Registro[[#This Row],[Mínimo]]+((Categorias_Registro[[#This Row],[Máximo]]-Categorias_Registro[[#This Row],[Mínimo]])/2),0)</f>
        <v>663</v>
      </c>
      <c r="G1957" s="78">
        <f>VLOOKUP(Categorias_Registro[[#This Row],[Puntos]],Categorias_Configuracion[],MATCH(Categorias_Configuracion[[#Headers],[% Amplitud]],Categorias_Configuracion[#Headers],0),TRUE)</f>
        <v>0.15</v>
      </c>
      <c r="H1957" s="15" t="str">
        <f ca="1">TEXT(Categorias_Registro[[#This Row],[Mínimo]],Formato_Rango_Categorias)&amp;" - "&amp;TEXT(Categorias_Registro[[#This Row],[Máximo]],Formato_Rango_Categorias)</f>
        <v>617 - 708</v>
      </c>
    </row>
    <row r="1958" spans="2:8">
      <c r="B1958" s="15">
        <f>Techo - ROW() + ROW(Categorias_Registro[])</f>
        <v>671</v>
      </c>
      <c r="C1958" s="15">
        <f>IF(Categorias_Registro[[#This Row],[Puntos]]&lt;=ROUND(Piso,0),Piso,IF(Categorias_Registro[[#This Row],[Puntos]]&lt;D1959,C1959,D1959+1))</f>
        <v>617</v>
      </c>
      <c r="D1958" s="15">
        <f>IF(Categorias_Registro[[#This Row],[Puntos]]=ROUND(Piso,0),ROUND(Categorias_Registro[[#This Row],[Puntos]]*(1+Categorias_Registro[[#This Row],[Amplitud]]),0),IF(Categorias_Registro[[#This Row],[Puntos]]&lt;D1959,D1959,ROUND(D1959*(1+Categorias_Registro[[#This Row],[Amplitud]]),0)))</f>
        <v>708</v>
      </c>
      <c r="E1958" s="15">
        <f>E1959+IF(D1959=Categorias_Registro[[#This Row],[Máximo]],0,1)</f>
        <v>15</v>
      </c>
      <c r="F1958" s="15">
        <f>ROUND(Categorias_Registro[[#This Row],[Mínimo]]+((Categorias_Registro[[#This Row],[Máximo]]-Categorias_Registro[[#This Row],[Mínimo]])/2),0)</f>
        <v>663</v>
      </c>
      <c r="G1958" s="78">
        <f>VLOOKUP(Categorias_Registro[[#This Row],[Puntos]],Categorias_Configuracion[],MATCH(Categorias_Configuracion[[#Headers],[% Amplitud]],Categorias_Configuracion[#Headers],0),TRUE)</f>
        <v>0.15</v>
      </c>
      <c r="H1958" s="15" t="str">
        <f ca="1">TEXT(Categorias_Registro[[#This Row],[Mínimo]],Formato_Rango_Categorias)&amp;" - "&amp;TEXT(Categorias_Registro[[#This Row],[Máximo]],Formato_Rango_Categorias)</f>
        <v>617 - 708</v>
      </c>
    </row>
    <row r="1959" spans="2:8">
      <c r="B1959" s="15">
        <f>Techo - ROW() + ROW(Categorias_Registro[])</f>
        <v>670</v>
      </c>
      <c r="C1959" s="15">
        <f>IF(Categorias_Registro[[#This Row],[Puntos]]&lt;=ROUND(Piso,0),Piso,IF(Categorias_Registro[[#This Row],[Puntos]]&lt;D1960,C1960,D1960+1))</f>
        <v>617</v>
      </c>
      <c r="D1959" s="15">
        <f>IF(Categorias_Registro[[#This Row],[Puntos]]=ROUND(Piso,0),ROUND(Categorias_Registro[[#This Row],[Puntos]]*(1+Categorias_Registro[[#This Row],[Amplitud]]),0),IF(Categorias_Registro[[#This Row],[Puntos]]&lt;D1960,D1960,ROUND(D1960*(1+Categorias_Registro[[#This Row],[Amplitud]]),0)))</f>
        <v>708</v>
      </c>
      <c r="E1959" s="15">
        <f>E1960+IF(D1960=Categorias_Registro[[#This Row],[Máximo]],0,1)</f>
        <v>15</v>
      </c>
      <c r="F1959" s="15">
        <f>ROUND(Categorias_Registro[[#This Row],[Mínimo]]+((Categorias_Registro[[#This Row],[Máximo]]-Categorias_Registro[[#This Row],[Mínimo]])/2),0)</f>
        <v>663</v>
      </c>
      <c r="G1959" s="78">
        <f>VLOOKUP(Categorias_Registro[[#This Row],[Puntos]],Categorias_Configuracion[],MATCH(Categorias_Configuracion[[#Headers],[% Amplitud]],Categorias_Configuracion[#Headers],0),TRUE)</f>
        <v>0.15</v>
      </c>
      <c r="H1959" s="15" t="str">
        <f ca="1">TEXT(Categorias_Registro[[#This Row],[Mínimo]],Formato_Rango_Categorias)&amp;" - "&amp;TEXT(Categorias_Registro[[#This Row],[Máximo]],Formato_Rango_Categorias)</f>
        <v>617 - 708</v>
      </c>
    </row>
    <row r="1960" spans="2:8">
      <c r="B1960" s="15">
        <f>Techo - ROW() + ROW(Categorias_Registro[])</f>
        <v>669</v>
      </c>
      <c r="C1960" s="15">
        <f>IF(Categorias_Registro[[#This Row],[Puntos]]&lt;=ROUND(Piso,0),Piso,IF(Categorias_Registro[[#This Row],[Puntos]]&lt;D1961,C1961,D1961+1))</f>
        <v>617</v>
      </c>
      <c r="D1960" s="15">
        <f>IF(Categorias_Registro[[#This Row],[Puntos]]=ROUND(Piso,0),ROUND(Categorias_Registro[[#This Row],[Puntos]]*(1+Categorias_Registro[[#This Row],[Amplitud]]),0),IF(Categorias_Registro[[#This Row],[Puntos]]&lt;D1961,D1961,ROUND(D1961*(1+Categorias_Registro[[#This Row],[Amplitud]]),0)))</f>
        <v>708</v>
      </c>
      <c r="E1960" s="15">
        <f>E1961+IF(D1961=Categorias_Registro[[#This Row],[Máximo]],0,1)</f>
        <v>15</v>
      </c>
      <c r="F1960" s="15">
        <f>ROUND(Categorias_Registro[[#This Row],[Mínimo]]+((Categorias_Registro[[#This Row],[Máximo]]-Categorias_Registro[[#This Row],[Mínimo]])/2),0)</f>
        <v>663</v>
      </c>
      <c r="G1960" s="78">
        <f>VLOOKUP(Categorias_Registro[[#This Row],[Puntos]],Categorias_Configuracion[],MATCH(Categorias_Configuracion[[#Headers],[% Amplitud]],Categorias_Configuracion[#Headers],0),TRUE)</f>
        <v>0.15</v>
      </c>
      <c r="H1960" s="15" t="str">
        <f ca="1">TEXT(Categorias_Registro[[#This Row],[Mínimo]],Formato_Rango_Categorias)&amp;" - "&amp;TEXT(Categorias_Registro[[#This Row],[Máximo]],Formato_Rango_Categorias)</f>
        <v>617 - 708</v>
      </c>
    </row>
    <row r="1961" spans="2:8">
      <c r="B1961" s="15">
        <f>Techo - ROW() + ROW(Categorias_Registro[])</f>
        <v>668</v>
      </c>
      <c r="C1961" s="15">
        <f>IF(Categorias_Registro[[#This Row],[Puntos]]&lt;=ROUND(Piso,0),Piso,IF(Categorias_Registro[[#This Row],[Puntos]]&lt;D1962,C1962,D1962+1))</f>
        <v>617</v>
      </c>
      <c r="D1961" s="15">
        <f>IF(Categorias_Registro[[#This Row],[Puntos]]=ROUND(Piso,0),ROUND(Categorias_Registro[[#This Row],[Puntos]]*(1+Categorias_Registro[[#This Row],[Amplitud]]),0),IF(Categorias_Registro[[#This Row],[Puntos]]&lt;D1962,D1962,ROUND(D1962*(1+Categorias_Registro[[#This Row],[Amplitud]]),0)))</f>
        <v>708</v>
      </c>
      <c r="E1961" s="15">
        <f>E1962+IF(D1962=Categorias_Registro[[#This Row],[Máximo]],0,1)</f>
        <v>15</v>
      </c>
      <c r="F1961" s="15">
        <f>ROUND(Categorias_Registro[[#This Row],[Mínimo]]+((Categorias_Registro[[#This Row],[Máximo]]-Categorias_Registro[[#This Row],[Mínimo]])/2),0)</f>
        <v>663</v>
      </c>
      <c r="G1961" s="78">
        <f>VLOOKUP(Categorias_Registro[[#This Row],[Puntos]],Categorias_Configuracion[],MATCH(Categorias_Configuracion[[#Headers],[% Amplitud]],Categorias_Configuracion[#Headers],0),TRUE)</f>
        <v>0.15</v>
      </c>
      <c r="H1961" s="15" t="str">
        <f ca="1">TEXT(Categorias_Registro[[#This Row],[Mínimo]],Formato_Rango_Categorias)&amp;" - "&amp;TEXT(Categorias_Registro[[#This Row],[Máximo]],Formato_Rango_Categorias)</f>
        <v>617 - 708</v>
      </c>
    </row>
    <row r="1962" spans="2:8">
      <c r="B1962" s="15">
        <f>Techo - ROW() + ROW(Categorias_Registro[])</f>
        <v>667</v>
      </c>
      <c r="C1962" s="15">
        <f>IF(Categorias_Registro[[#This Row],[Puntos]]&lt;=ROUND(Piso,0),Piso,IF(Categorias_Registro[[#This Row],[Puntos]]&lt;D1963,C1963,D1963+1))</f>
        <v>617</v>
      </c>
      <c r="D1962" s="15">
        <f>IF(Categorias_Registro[[#This Row],[Puntos]]=ROUND(Piso,0),ROUND(Categorias_Registro[[#This Row],[Puntos]]*(1+Categorias_Registro[[#This Row],[Amplitud]]),0),IF(Categorias_Registro[[#This Row],[Puntos]]&lt;D1963,D1963,ROUND(D1963*(1+Categorias_Registro[[#This Row],[Amplitud]]),0)))</f>
        <v>708</v>
      </c>
      <c r="E1962" s="15">
        <f>E1963+IF(D1963=Categorias_Registro[[#This Row],[Máximo]],0,1)</f>
        <v>15</v>
      </c>
      <c r="F1962" s="15">
        <f>ROUND(Categorias_Registro[[#This Row],[Mínimo]]+((Categorias_Registro[[#This Row],[Máximo]]-Categorias_Registro[[#This Row],[Mínimo]])/2),0)</f>
        <v>663</v>
      </c>
      <c r="G1962" s="78">
        <f>VLOOKUP(Categorias_Registro[[#This Row],[Puntos]],Categorias_Configuracion[],MATCH(Categorias_Configuracion[[#Headers],[% Amplitud]],Categorias_Configuracion[#Headers],0),TRUE)</f>
        <v>0.15</v>
      </c>
      <c r="H1962" s="15" t="str">
        <f ca="1">TEXT(Categorias_Registro[[#This Row],[Mínimo]],Formato_Rango_Categorias)&amp;" - "&amp;TEXT(Categorias_Registro[[#This Row],[Máximo]],Formato_Rango_Categorias)</f>
        <v>617 - 708</v>
      </c>
    </row>
    <row r="1963" spans="2:8">
      <c r="B1963" s="15">
        <f>Techo - ROW() + ROW(Categorias_Registro[])</f>
        <v>666</v>
      </c>
      <c r="C1963" s="15">
        <f>IF(Categorias_Registro[[#This Row],[Puntos]]&lt;=ROUND(Piso,0),Piso,IF(Categorias_Registro[[#This Row],[Puntos]]&lt;D1964,C1964,D1964+1))</f>
        <v>617</v>
      </c>
      <c r="D1963" s="15">
        <f>IF(Categorias_Registro[[#This Row],[Puntos]]=ROUND(Piso,0),ROUND(Categorias_Registro[[#This Row],[Puntos]]*(1+Categorias_Registro[[#This Row],[Amplitud]]),0),IF(Categorias_Registro[[#This Row],[Puntos]]&lt;D1964,D1964,ROUND(D1964*(1+Categorias_Registro[[#This Row],[Amplitud]]),0)))</f>
        <v>708</v>
      </c>
      <c r="E1963" s="15">
        <f>E1964+IF(D1964=Categorias_Registro[[#This Row],[Máximo]],0,1)</f>
        <v>15</v>
      </c>
      <c r="F1963" s="15">
        <f>ROUND(Categorias_Registro[[#This Row],[Mínimo]]+((Categorias_Registro[[#This Row],[Máximo]]-Categorias_Registro[[#This Row],[Mínimo]])/2),0)</f>
        <v>663</v>
      </c>
      <c r="G1963" s="78">
        <f>VLOOKUP(Categorias_Registro[[#This Row],[Puntos]],Categorias_Configuracion[],MATCH(Categorias_Configuracion[[#Headers],[% Amplitud]],Categorias_Configuracion[#Headers],0),TRUE)</f>
        <v>0.15</v>
      </c>
      <c r="H1963" s="15" t="str">
        <f ca="1">TEXT(Categorias_Registro[[#This Row],[Mínimo]],Formato_Rango_Categorias)&amp;" - "&amp;TEXT(Categorias_Registro[[#This Row],[Máximo]],Formato_Rango_Categorias)</f>
        <v>617 - 708</v>
      </c>
    </row>
    <row r="1964" spans="2:8">
      <c r="B1964" s="15">
        <f>Techo - ROW() + ROW(Categorias_Registro[])</f>
        <v>665</v>
      </c>
      <c r="C1964" s="15">
        <f>IF(Categorias_Registro[[#This Row],[Puntos]]&lt;=ROUND(Piso,0),Piso,IF(Categorias_Registro[[#This Row],[Puntos]]&lt;D1965,C1965,D1965+1))</f>
        <v>617</v>
      </c>
      <c r="D1964" s="15">
        <f>IF(Categorias_Registro[[#This Row],[Puntos]]=ROUND(Piso,0),ROUND(Categorias_Registro[[#This Row],[Puntos]]*(1+Categorias_Registro[[#This Row],[Amplitud]]),0),IF(Categorias_Registro[[#This Row],[Puntos]]&lt;D1965,D1965,ROUND(D1965*(1+Categorias_Registro[[#This Row],[Amplitud]]),0)))</f>
        <v>708</v>
      </c>
      <c r="E1964" s="15">
        <f>E1965+IF(D1965=Categorias_Registro[[#This Row],[Máximo]],0,1)</f>
        <v>15</v>
      </c>
      <c r="F1964" s="15">
        <f>ROUND(Categorias_Registro[[#This Row],[Mínimo]]+((Categorias_Registro[[#This Row],[Máximo]]-Categorias_Registro[[#This Row],[Mínimo]])/2),0)</f>
        <v>663</v>
      </c>
      <c r="G1964" s="78">
        <f>VLOOKUP(Categorias_Registro[[#This Row],[Puntos]],Categorias_Configuracion[],MATCH(Categorias_Configuracion[[#Headers],[% Amplitud]],Categorias_Configuracion[#Headers],0),TRUE)</f>
        <v>0.15</v>
      </c>
      <c r="H1964" s="15" t="str">
        <f ca="1">TEXT(Categorias_Registro[[#This Row],[Mínimo]],Formato_Rango_Categorias)&amp;" - "&amp;TEXT(Categorias_Registro[[#This Row],[Máximo]],Formato_Rango_Categorias)</f>
        <v>617 - 708</v>
      </c>
    </row>
    <row r="1965" spans="2:8">
      <c r="B1965" s="15">
        <f>Techo - ROW() + ROW(Categorias_Registro[])</f>
        <v>664</v>
      </c>
      <c r="C1965" s="15">
        <f>IF(Categorias_Registro[[#This Row],[Puntos]]&lt;=ROUND(Piso,0),Piso,IF(Categorias_Registro[[#This Row],[Puntos]]&lt;D1966,C1966,D1966+1))</f>
        <v>617</v>
      </c>
      <c r="D1965" s="15">
        <f>IF(Categorias_Registro[[#This Row],[Puntos]]=ROUND(Piso,0),ROUND(Categorias_Registro[[#This Row],[Puntos]]*(1+Categorias_Registro[[#This Row],[Amplitud]]),0),IF(Categorias_Registro[[#This Row],[Puntos]]&lt;D1966,D1966,ROUND(D1966*(1+Categorias_Registro[[#This Row],[Amplitud]]),0)))</f>
        <v>708</v>
      </c>
      <c r="E1965" s="15">
        <f>E1966+IF(D1966=Categorias_Registro[[#This Row],[Máximo]],0,1)</f>
        <v>15</v>
      </c>
      <c r="F1965" s="15">
        <f>ROUND(Categorias_Registro[[#This Row],[Mínimo]]+((Categorias_Registro[[#This Row],[Máximo]]-Categorias_Registro[[#This Row],[Mínimo]])/2),0)</f>
        <v>663</v>
      </c>
      <c r="G1965" s="78">
        <f>VLOOKUP(Categorias_Registro[[#This Row],[Puntos]],Categorias_Configuracion[],MATCH(Categorias_Configuracion[[#Headers],[% Amplitud]],Categorias_Configuracion[#Headers],0),TRUE)</f>
        <v>0.15</v>
      </c>
      <c r="H1965" s="15" t="str">
        <f ca="1">TEXT(Categorias_Registro[[#This Row],[Mínimo]],Formato_Rango_Categorias)&amp;" - "&amp;TEXT(Categorias_Registro[[#This Row],[Máximo]],Formato_Rango_Categorias)</f>
        <v>617 - 708</v>
      </c>
    </row>
    <row r="1966" spans="2:8">
      <c r="B1966" s="15">
        <f>Techo - ROW() + ROW(Categorias_Registro[])</f>
        <v>663</v>
      </c>
      <c r="C1966" s="15">
        <f>IF(Categorias_Registro[[#This Row],[Puntos]]&lt;=ROUND(Piso,0),Piso,IF(Categorias_Registro[[#This Row],[Puntos]]&lt;D1967,C1967,D1967+1))</f>
        <v>617</v>
      </c>
      <c r="D1966" s="15">
        <f>IF(Categorias_Registro[[#This Row],[Puntos]]=ROUND(Piso,0),ROUND(Categorias_Registro[[#This Row],[Puntos]]*(1+Categorias_Registro[[#This Row],[Amplitud]]),0),IF(Categorias_Registro[[#This Row],[Puntos]]&lt;D1967,D1967,ROUND(D1967*(1+Categorias_Registro[[#This Row],[Amplitud]]),0)))</f>
        <v>708</v>
      </c>
      <c r="E1966" s="15">
        <f>E1967+IF(D1967=Categorias_Registro[[#This Row],[Máximo]],0,1)</f>
        <v>15</v>
      </c>
      <c r="F1966" s="15">
        <f>ROUND(Categorias_Registro[[#This Row],[Mínimo]]+((Categorias_Registro[[#This Row],[Máximo]]-Categorias_Registro[[#This Row],[Mínimo]])/2),0)</f>
        <v>663</v>
      </c>
      <c r="G1966" s="78">
        <f>VLOOKUP(Categorias_Registro[[#This Row],[Puntos]],Categorias_Configuracion[],MATCH(Categorias_Configuracion[[#Headers],[% Amplitud]],Categorias_Configuracion[#Headers],0),TRUE)</f>
        <v>0.15</v>
      </c>
      <c r="H1966" s="15" t="str">
        <f ca="1">TEXT(Categorias_Registro[[#This Row],[Mínimo]],Formato_Rango_Categorias)&amp;" - "&amp;TEXT(Categorias_Registro[[#This Row],[Máximo]],Formato_Rango_Categorias)</f>
        <v>617 - 708</v>
      </c>
    </row>
    <row r="1967" spans="2:8">
      <c r="B1967" s="15">
        <f>Techo - ROW() + ROW(Categorias_Registro[])</f>
        <v>662</v>
      </c>
      <c r="C1967" s="15">
        <f>IF(Categorias_Registro[[#This Row],[Puntos]]&lt;=ROUND(Piso,0),Piso,IF(Categorias_Registro[[#This Row],[Puntos]]&lt;D1968,C1968,D1968+1))</f>
        <v>617</v>
      </c>
      <c r="D1967" s="15">
        <f>IF(Categorias_Registro[[#This Row],[Puntos]]=ROUND(Piso,0),ROUND(Categorias_Registro[[#This Row],[Puntos]]*(1+Categorias_Registro[[#This Row],[Amplitud]]),0),IF(Categorias_Registro[[#This Row],[Puntos]]&lt;D1968,D1968,ROUND(D1968*(1+Categorias_Registro[[#This Row],[Amplitud]]),0)))</f>
        <v>708</v>
      </c>
      <c r="E1967" s="15">
        <f>E1968+IF(D1968=Categorias_Registro[[#This Row],[Máximo]],0,1)</f>
        <v>15</v>
      </c>
      <c r="F1967" s="15">
        <f>ROUND(Categorias_Registro[[#This Row],[Mínimo]]+((Categorias_Registro[[#This Row],[Máximo]]-Categorias_Registro[[#This Row],[Mínimo]])/2),0)</f>
        <v>663</v>
      </c>
      <c r="G1967" s="78">
        <f>VLOOKUP(Categorias_Registro[[#This Row],[Puntos]],Categorias_Configuracion[],MATCH(Categorias_Configuracion[[#Headers],[% Amplitud]],Categorias_Configuracion[#Headers],0),TRUE)</f>
        <v>0.15</v>
      </c>
      <c r="H1967" s="15" t="str">
        <f ca="1">TEXT(Categorias_Registro[[#This Row],[Mínimo]],Formato_Rango_Categorias)&amp;" - "&amp;TEXT(Categorias_Registro[[#This Row],[Máximo]],Formato_Rango_Categorias)</f>
        <v>617 - 708</v>
      </c>
    </row>
    <row r="1968" spans="2:8">
      <c r="B1968" s="15">
        <f>Techo - ROW() + ROW(Categorias_Registro[])</f>
        <v>661</v>
      </c>
      <c r="C1968" s="15">
        <f>IF(Categorias_Registro[[#This Row],[Puntos]]&lt;=ROUND(Piso,0),Piso,IF(Categorias_Registro[[#This Row],[Puntos]]&lt;D1969,C1969,D1969+1))</f>
        <v>617</v>
      </c>
      <c r="D1968" s="15">
        <f>IF(Categorias_Registro[[#This Row],[Puntos]]=ROUND(Piso,0),ROUND(Categorias_Registro[[#This Row],[Puntos]]*(1+Categorias_Registro[[#This Row],[Amplitud]]),0),IF(Categorias_Registro[[#This Row],[Puntos]]&lt;D1969,D1969,ROUND(D1969*(1+Categorias_Registro[[#This Row],[Amplitud]]),0)))</f>
        <v>708</v>
      </c>
      <c r="E1968" s="15">
        <f>E1969+IF(D1969=Categorias_Registro[[#This Row],[Máximo]],0,1)</f>
        <v>15</v>
      </c>
      <c r="F1968" s="15">
        <f>ROUND(Categorias_Registro[[#This Row],[Mínimo]]+((Categorias_Registro[[#This Row],[Máximo]]-Categorias_Registro[[#This Row],[Mínimo]])/2),0)</f>
        <v>663</v>
      </c>
      <c r="G1968" s="78">
        <f>VLOOKUP(Categorias_Registro[[#This Row],[Puntos]],Categorias_Configuracion[],MATCH(Categorias_Configuracion[[#Headers],[% Amplitud]],Categorias_Configuracion[#Headers],0),TRUE)</f>
        <v>0.15</v>
      </c>
      <c r="H1968" s="15" t="str">
        <f ca="1">TEXT(Categorias_Registro[[#This Row],[Mínimo]],Formato_Rango_Categorias)&amp;" - "&amp;TEXT(Categorias_Registro[[#This Row],[Máximo]],Formato_Rango_Categorias)</f>
        <v>617 - 708</v>
      </c>
    </row>
    <row r="1969" spans="2:8">
      <c r="B1969" s="15">
        <f>Techo - ROW() + ROW(Categorias_Registro[])</f>
        <v>660</v>
      </c>
      <c r="C1969" s="15">
        <f>IF(Categorias_Registro[[#This Row],[Puntos]]&lt;=ROUND(Piso,0),Piso,IF(Categorias_Registro[[#This Row],[Puntos]]&lt;D1970,C1970,D1970+1))</f>
        <v>617</v>
      </c>
      <c r="D1969" s="15">
        <f>IF(Categorias_Registro[[#This Row],[Puntos]]=ROUND(Piso,0),ROUND(Categorias_Registro[[#This Row],[Puntos]]*(1+Categorias_Registro[[#This Row],[Amplitud]]),0),IF(Categorias_Registro[[#This Row],[Puntos]]&lt;D1970,D1970,ROUND(D1970*(1+Categorias_Registro[[#This Row],[Amplitud]]),0)))</f>
        <v>708</v>
      </c>
      <c r="E1969" s="15">
        <f>E1970+IF(D1970=Categorias_Registro[[#This Row],[Máximo]],0,1)</f>
        <v>15</v>
      </c>
      <c r="F1969" s="15">
        <f>ROUND(Categorias_Registro[[#This Row],[Mínimo]]+((Categorias_Registro[[#This Row],[Máximo]]-Categorias_Registro[[#This Row],[Mínimo]])/2),0)</f>
        <v>663</v>
      </c>
      <c r="G1969" s="78">
        <f>VLOOKUP(Categorias_Registro[[#This Row],[Puntos]],Categorias_Configuracion[],MATCH(Categorias_Configuracion[[#Headers],[% Amplitud]],Categorias_Configuracion[#Headers],0),TRUE)</f>
        <v>0.15</v>
      </c>
      <c r="H1969" s="15" t="str">
        <f ca="1">TEXT(Categorias_Registro[[#This Row],[Mínimo]],Formato_Rango_Categorias)&amp;" - "&amp;TEXT(Categorias_Registro[[#This Row],[Máximo]],Formato_Rango_Categorias)</f>
        <v>617 - 708</v>
      </c>
    </row>
    <row r="1970" spans="2:8">
      <c r="B1970" s="15">
        <f>Techo - ROW() + ROW(Categorias_Registro[])</f>
        <v>659</v>
      </c>
      <c r="C1970" s="15">
        <f>IF(Categorias_Registro[[#This Row],[Puntos]]&lt;=ROUND(Piso,0),Piso,IF(Categorias_Registro[[#This Row],[Puntos]]&lt;D1971,C1971,D1971+1))</f>
        <v>617</v>
      </c>
      <c r="D1970" s="15">
        <f>IF(Categorias_Registro[[#This Row],[Puntos]]=ROUND(Piso,0),ROUND(Categorias_Registro[[#This Row],[Puntos]]*(1+Categorias_Registro[[#This Row],[Amplitud]]),0),IF(Categorias_Registro[[#This Row],[Puntos]]&lt;D1971,D1971,ROUND(D1971*(1+Categorias_Registro[[#This Row],[Amplitud]]),0)))</f>
        <v>708</v>
      </c>
      <c r="E1970" s="15">
        <f>E1971+IF(D1971=Categorias_Registro[[#This Row],[Máximo]],0,1)</f>
        <v>15</v>
      </c>
      <c r="F1970" s="15">
        <f>ROUND(Categorias_Registro[[#This Row],[Mínimo]]+((Categorias_Registro[[#This Row],[Máximo]]-Categorias_Registro[[#This Row],[Mínimo]])/2),0)</f>
        <v>663</v>
      </c>
      <c r="G1970" s="78">
        <f>VLOOKUP(Categorias_Registro[[#This Row],[Puntos]],Categorias_Configuracion[],MATCH(Categorias_Configuracion[[#Headers],[% Amplitud]],Categorias_Configuracion[#Headers],0),TRUE)</f>
        <v>0.15</v>
      </c>
      <c r="H1970" s="15" t="str">
        <f ca="1">TEXT(Categorias_Registro[[#This Row],[Mínimo]],Formato_Rango_Categorias)&amp;" - "&amp;TEXT(Categorias_Registro[[#This Row],[Máximo]],Formato_Rango_Categorias)</f>
        <v>617 - 708</v>
      </c>
    </row>
    <row r="1971" spans="2:8">
      <c r="B1971" s="15">
        <f>Techo - ROW() + ROW(Categorias_Registro[])</f>
        <v>658</v>
      </c>
      <c r="C1971" s="15">
        <f>IF(Categorias_Registro[[#This Row],[Puntos]]&lt;=ROUND(Piso,0),Piso,IF(Categorias_Registro[[#This Row],[Puntos]]&lt;D1972,C1972,D1972+1))</f>
        <v>617</v>
      </c>
      <c r="D1971" s="15">
        <f>IF(Categorias_Registro[[#This Row],[Puntos]]=ROUND(Piso,0),ROUND(Categorias_Registro[[#This Row],[Puntos]]*(1+Categorias_Registro[[#This Row],[Amplitud]]),0),IF(Categorias_Registro[[#This Row],[Puntos]]&lt;D1972,D1972,ROUND(D1972*(1+Categorias_Registro[[#This Row],[Amplitud]]),0)))</f>
        <v>708</v>
      </c>
      <c r="E1971" s="15">
        <f>E1972+IF(D1972=Categorias_Registro[[#This Row],[Máximo]],0,1)</f>
        <v>15</v>
      </c>
      <c r="F1971" s="15">
        <f>ROUND(Categorias_Registro[[#This Row],[Mínimo]]+((Categorias_Registro[[#This Row],[Máximo]]-Categorias_Registro[[#This Row],[Mínimo]])/2),0)</f>
        <v>663</v>
      </c>
      <c r="G1971" s="78">
        <f>VLOOKUP(Categorias_Registro[[#This Row],[Puntos]],Categorias_Configuracion[],MATCH(Categorias_Configuracion[[#Headers],[% Amplitud]],Categorias_Configuracion[#Headers],0),TRUE)</f>
        <v>0.15</v>
      </c>
      <c r="H1971" s="15" t="str">
        <f ca="1">TEXT(Categorias_Registro[[#This Row],[Mínimo]],Formato_Rango_Categorias)&amp;" - "&amp;TEXT(Categorias_Registro[[#This Row],[Máximo]],Formato_Rango_Categorias)</f>
        <v>617 - 708</v>
      </c>
    </row>
    <row r="1972" spans="2:8">
      <c r="B1972" s="15">
        <f>Techo - ROW() + ROW(Categorias_Registro[])</f>
        <v>657</v>
      </c>
      <c r="C1972" s="15">
        <f>IF(Categorias_Registro[[#This Row],[Puntos]]&lt;=ROUND(Piso,0),Piso,IF(Categorias_Registro[[#This Row],[Puntos]]&lt;D1973,C1973,D1973+1))</f>
        <v>617</v>
      </c>
      <c r="D1972" s="15">
        <f>IF(Categorias_Registro[[#This Row],[Puntos]]=ROUND(Piso,0),ROUND(Categorias_Registro[[#This Row],[Puntos]]*(1+Categorias_Registro[[#This Row],[Amplitud]]),0),IF(Categorias_Registro[[#This Row],[Puntos]]&lt;D1973,D1973,ROUND(D1973*(1+Categorias_Registro[[#This Row],[Amplitud]]),0)))</f>
        <v>708</v>
      </c>
      <c r="E1972" s="15">
        <f>E1973+IF(D1973=Categorias_Registro[[#This Row],[Máximo]],0,1)</f>
        <v>15</v>
      </c>
      <c r="F1972" s="15">
        <f>ROUND(Categorias_Registro[[#This Row],[Mínimo]]+((Categorias_Registro[[#This Row],[Máximo]]-Categorias_Registro[[#This Row],[Mínimo]])/2),0)</f>
        <v>663</v>
      </c>
      <c r="G1972" s="78">
        <f>VLOOKUP(Categorias_Registro[[#This Row],[Puntos]],Categorias_Configuracion[],MATCH(Categorias_Configuracion[[#Headers],[% Amplitud]],Categorias_Configuracion[#Headers],0),TRUE)</f>
        <v>0.15</v>
      </c>
      <c r="H1972" s="15" t="str">
        <f ca="1">TEXT(Categorias_Registro[[#This Row],[Mínimo]],Formato_Rango_Categorias)&amp;" - "&amp;TEXT(Categorias_Registro[[#This Row],[Máximo]],Formato_Rango_Categorias)</f>
        <v>617 - 708</v>
      </c>
    </row>
    <row r="1973" spans="2:8">
      <c r="B1973" s="15">
        <f>Techo - ROW() + ROW(Categorias_Registro[])</f>
        <v>656</v>
      </c>
      <c r="C1973" s="15">
        <f>IF(Categorias_Registro[[#This Row],[Puntos]]&lt;=ROUND(Piso,0),Piso,IF(Categorias_Registro[[#This Row],[Puntos]]&lt;D1974,C1974,D1974+1))</f>
        <v>617</v>
      </c>
      <c r="D1973" s="15">
        <f>IF(Categorias_Registro[[#This Row],[Puntos]]=ROUND(Piso,0),ROUND(Categorias_Registro[[#This Row],[Puntos]]*(1+Categorias_Registro[[#This Row],[Amplitud]]),0),IF(Categorias_Registro[[#This Row],[Puntos]]&lt;D1974,D1974,ROUND(D1974*(1+Categorias_Registro[[#This Row],[Amplitud]]),0)))</f>
        <v>708</v>
      </c>
      <c r="E1973" s="15">
        <f>E1974+IF(D1974=Categorias_Registro[[#This Row],[Máximo]],0,1)</f>
        <v>15</v>
      </c>
      <c r="F1973" s="15">
        <f>ROUND(Categorias_Registro[[#This Row],[Mínimo]]+((Categorias_Registro[[#This Row],[Máximo]]-Categorias_Registro[[#This Row],[Mínimo]])/2),0)</f>
        <v>663</v>
      </c>
      <c r="G1973" s="78">
        <f>VLOOKUP(Categorias_Registro[[#This Row],[Puntos]],Categorias_Configuracion[],MATCH(Categorias_Configuracion[[#Headers],[% Amplitud]],Categorias_Configuracion[#Headers],0),TRUE)</f>
        <v>0.15</v>
      </c>
      <c r="H1973" s="15" t="str">
        <f ca="1">TEXT(Categorias_Registro[[#This Row],[Mínimo]],Formato_Rango_Categorias)&amp;" - "&amp;TEXT(Categorias_Registro[[#This Row],[Máximo]],Formato_Rango_Categorias)</f>
        <v>617 - 708</v>
      </c>
    </row>
    <row r="1974" spans="2:8">
      <c r="B1974" s="15">
        <f>Techo - ROW() + ROW(Categorias_Registro[])</f>
        <v>655</v>
      </c>
      <c r="C1974" s="15">
        <f>IF(Categorias_Registro[[#This Row],[Puntos]]&lt;=ROUND(Piso,0),Piso,IF(Categorias_Registro[[#This Row],[Puntos]]&lt;D1975,C1975,D1975+1))</f>
        <v>617</v>
      </c>
      <c r="D1974" s="15">
        <f>IF(Categorias_Registro[[#This Row],[Puntos]]=ROUND(Piso,0),ROUND(Categorias_Registro[[#This Row],[Puntos]]*(1+Categorias_Registro[[#This Row],[Amplitud]]),0),IF(Categorias_Registro[[#This Row],[Puntos]]&lt;D1975,D1975,ROUND(D1975*(1+Categorias_Registro[[#This Row],[Amplitud]]),0)))</f>
        <v>708</v>
      </c>
      <c r="E1974" s="15">
        <f>E1975+IF(D1975=Categorias_Registro[[#This Row],[Máximo]],0,1)</f>
        <v>15</v>
      </c>
      <c r="F1974" s="15">
        <f>ROUND(Categorias_Registro[[#This Row],[Mínimo]]+((Categorias_Registro[[#This Row],[Máximo]]-Categorias_Registro[[#This Row],[Mínimo]])/2),0)</f>
        <v>663</v>
      </c>
      <c r="G1974" s="78">
        <f>VLOOKUP(Categorias_Registro[[#This Row],[Puntos]],Categorias_Configuracion[],MATCH(Categorias_Configuracion[[#Headers],[% Amplitud]],Categorias_Configuracion[#Headers],0),TRUE)</f>
        <v>0.15</v>
      </c>
      <c r="H1974" s="15" t="str">
        <f ca="1">TEXT(Categorias_Registro[[#This Row],[Mínimo]],Formato_Rango_Categorias)&amp;" - "&amp;TEXT(Categorias_Registro[[#This Row],[Máximo]],Formato_Rango_Categorias)</f>
        <v>617 - 708</v>
      </c>
    </row>
    <row r="1975" spans="2:8">
      <c r="B1975" s="15">
        <f>Techo - ROW() + ROW(Categorias_Registro[])</f>
        <v>654</v>
      </c>
      <c r="C1975" s="15">
        <f>IF(Categorias_Registro[[#This Row],[Puntos]]&lt;=ROUND(Piso,0),Piso,IF(Categorias_Registro[[#This Row],[Puntos]]&lt;D1976,C1976,D1976+1))</f>
        <v>617</v>
      </c>
      <c r="D1975" s="15">
        <f>IF(Categorias_Registro[[#This Row],[Puntos]]=ROUND(Piso,0),ROUND(Categorias_Registro[[#This Row],[Puntos]]*(1+Categorias_Registro[[#This Row],[Amplitud]]),0),IF(Categorias_Registro[[#This Row],[Puntos]]&lt;D1976,D1976,ROUND(D1976*(1+Categorias_Registro[[#This Row],[Amplitud]]),0)))</f>
        <v>708</v>
      </c>
      <c r="E1975" s="15">
        <f>E1976+IF(D1976=Categorias_Registro[[#This Row],[Máximo]],0,1)</f>
        <v>15</v>
      </c>
      <c r="F1975" s="15">
        <f>ROUND(Categorias_Registro[[#This Row],[Mínimo]]+((Categorias_Registro[[#This Row],[Máximo]]-Categorias_Registro[[#This Row],[Mínimo]])/2),0)</f>
        <v>663</v>
      </c>
      <c r="G1975" s="78">
        <f>VLOOKUP(Categorias_Registro[[#This Row],[Puntos]],Categorias_Configuracion[],MATCH(Categorias_Configuracion[[#Headers],[% Amplitud]],Categorias_Configuracion[#Headers],0),TRUE)</f>
        <v>0.15</v>
      </c>
      <c r="H1975" s="15" t="str">
        <f ca="1">TEXT(Categorias_Registro[[#This Row],[Mínimo]],Formato_Rango_Categorias)&amp;" - "&amp;TEXT(Categorias_Registro[[#This Row],[Máximo]],Formato_Rango_Categorias)</f>
        <v>617 - 708</v>
      </c>
    </row>
    <row r="1976" spans="2:8">
      <c r="B1976" s="15">
        <f>Techo - ROW() + ROW(Categorias_Registro[])</f>
        <v>653</v>
      </c>
      <c r="C1976" s="15">
        <f>IF(Categorias_Registro[[#This Row],[Puntos]]&lt;=ROUND(Piso,0),Piso,IF(Categorias_Registro[[#This Row],[Puntos]]&lt;D1977,C1977,D1977+1))</f>
        <v>617</v>
      </c>
      <c r="D1976" s="15">
        <f>IF(Categorias_Registro[[#This Row],[Puntos]]=ROUND(Piso,0),ROUND(Categorias_Registro[[#This Row],[Puntos]]*(1+Categorias_Registro[[#This Row],[Amplitud]]),0),IF(Categorias_Registro[[#This Row],[Puntos]]&lt;D1977,D1977,ROUND(D1977*(1+Categorias_Registro[[#This Row],[Amplitud]]),0)))</f>
        <v>708</v>
      </c>
      <c r="E1976" s="15">
        <f>E1977+IF(D1977=Categorias_Registro[[#This Row],[Máximo]],0,1)</f>
        <v>15</v>
      </c>
      <c r="F1976" s="15">
        <f>ROUND(Categorias_Registro[[#This Row],[Mínimo]]+((Categorias_Registro[[#This Row],[Máximo]]-Categorias_Registro[[#This Row],[Mínimo]])/2),0)</f>
        <v>663</v>
      </c>
      <c r="G1976" s="78">
        <f>VLOOKUP(Categorias_Registro[[#This Row],[Puntos]],Categorias_Configuracion[],MATCH(Categorias_Configuracion[[#Headers],[% Amplitud]],Categorias_Configuracion[#Headers],0),TRUE)</f>
        <v>0.15</v>
      </c>
      <c r="H1976" s="15" t="str">
        <f ca="1">TEXT(Categorias_Registro[[#This Row],[Mínimo]],Formato_Rango_Categorias)&amp;" - "&amp;TEXT(Categorias_Registro[[#This Row],[Máximo]],Formato_Rango_Categorias)</f>
        <v>617 - 708</v>
      </c>
    </row>
    <row r="1977" spans="2:8">
      <c r="B1977" s="15">
        <f>Techo - ROW() + ROW(Categorias_Registro[])</f>
        <v>652</v>
      </c>
      <c r="C1977" s="15">
        <f>IF(Categorias_Registro[[#This Row],[Puntos]]&lt;=ROUND(Piso,0),Piso,IF(Categorias_Registro[[#This Row],[Puntos]]&lt;D1978,C1978,D1978+1))</f>
        <v>617</v>
      </c>
      <c r="D1977" s="15">
        <f>IF(Categorias_Registro[[#This Row],[Puntos]]=ROUND(Piso,0),ROUND(Categorias_Registro[[#This Row],[Puntos]]*(1+Categorias_Registro[[#This Row],[Amplitud]]),0),IF(Categorias_Registro[[#This Row],[Puntos]]&lt;D1978,D1978,ROUND(D1978*(1+Categorias_Registro[[#This Row],[Amplitud]]),0)))</f>
        <v>708</v>
      </c>
      <c r="E1977" s="15">
        <f>E1978+IF(D1978=Categorias_Registro[[#This Row],[Máximo]],0,1)</f>
        <v>15</v>
      </c>
      <c r="F1977" s="15">
        <f>ROUND(Categorias_Registro[[#This Row],[Mínimo]]+((Categorias_Registro[[#This Row],[Máximo]]-Categorias_Registro[[#This Row],[Mínimo]])/2),0)</f>
        <v>663</v>
      </c>
      <c r="G1977" s="78">
        <f>VLOOKUP(Categorias_Registro[[#This Row],[Puntos]],Categorias_Configuracion[],MATCH(Categorias_Configuracion[[#Headers],[% Amplitud]],Categorias_Configuracion[#Headers],0),TRUE)</f>
        <v>0.15</v>
      </c>
      <c r="H1977" s="15" t="str">
        <f ca="1">TEXT(Categorias_Registro[[#This Row],[Mínimo]],Formato_Rango_Categorias)&amp;" - "&amp;TEXT(Categorias_Registro[[#This Row],[Máximo]],Formato_Rango_Categorias)</f>
        <v>617 - 708</v>
      </c>
    </row>
    <row r="1978" spans="2:8">
      <c r="B1978" s="15">
        <f>Techo - ROW() + ROW(Categorias_Registro[])</f>
        <v>651</v>
      </c>
      <c r="C1978" s="15">
        <f>IF(Categorias_Registro[[#This Row],[Puntos]]&lt;=ROUND(Piso,0),Piso,IF(Categorias_Registro[[#This Row],[Puntos]]&lt;D1979,C1979,D1979+1))</f>
        <v>617</v>
      </c>
      <c r="D1978" s="15">
        <f>IF(Categorias_Registro[[#This Row],[Puntos]]=ROUND(Piso,0),ROUND(Categorias_Registro[[#This Row],[Puntos]]*(1+Categorias_Registro[[#This Row],[Amplitud]]),0),IF(Categorias_Registro[[#This Row],[Puntos]]&lt;D1979,D1979,ROUND(D1979*(1+Categorias_Registro[[#This Row],[Amplitud]]),0)))</f>
        <v>708</v>
      </c>
      <c r="E1978" s="15">
        <f>E1979+IF(D1979=Categorias_Registro[[#This Row],[Máximo]],0,1)</f>
        <v>15</v>
      </c>
      <c r="F1978" s="15">
        <f>ROUND(Categorias_Registro[[#This Row],[Mínimo]]+((Categorias_Registro[[#This Row],[Máximo]]-Categorias_Registro[[#This Row],[Mínimo]])/2),0)</f>
        <v>663</v>
      </c>
      <c r="G1978" s="78">
        <f>VLOOKUP(Categorias_Registro[[#This Row],[Puntos]],Categorias_Configuracion[],MATCH(Categorias_Configuracion[[#Headers],[% Amplitud]],Categorias_Configuracion[#Headers],0),TRUE)</f>
        <v>0.15</v>
      </c>
      <c r="H1978" s="15" t="str">
        <f ca="1">TEXT(Categorias_Registro[[#This Row],[Mínimo]],Formato_Rango_Categorias)&amp;" - "&amp;TEXT(Categorias_Registro[[#This Row],[Máximo]],Formato_Rango_Categorias)</f>
        <v>617 - 708</v>
      </c>
    </row>
    <row r="1979" spans="2:8">
      <c r="B1979" s="15">
        <f>Techo - ROW() + ROW(Categorias_Registro[])</f>
        <v>650</v>
      </c>
      <c r="C1979" s="15">
        <f>IF(Categorias_Registro[[#This Row],[Puntos]]&lt;=ROUND(Piso,0),Piso,IF(Categorias_Registro[[#This Row],[Puntos]]&lt;D1980,C1980,D1980+1))</f>
        <v>617</v>
      </c>
      <c r="D1979" s="15">
        <f>IF(Categorias_Registro[[#This Row],[Puntos]]=ROUND(Piso,0),ROUND(Categorias_Registro[[#This Row],[Puntos]]*(1+Categorias_Registro[[#This Row],[Amplitud]]),0),IF(Categorias_Registro[[#This Row],[Puntos]]&lt;D1980,D1980,ROUND(D1980*(1+Categorias_Registro[[#This Row],[Amplitud]]),0)))</f>
        <v>708</v>
      </c>
      <c r="E1979" s="15">
        <f>E1980+IF(D1980=Categorias_Registro[[#This Row],[Máximo]],0,1)</f>
        <v>15</v>
      </c>
      <c r="F1979" s="15">
        <f>ROUND(Categorias_Registro[[#This Row],[Mínimo]]+((Categorias_Registro[[#This Row],[Máximo]]-Categorias_Registro[[#This Row],[Mínimo]])/2),0)</f>
        <v>663</v>
      </c>
      <c r="G1979" s="78">
        <f>VLOOKUP(Categorias_Registro[[#This Row],[Puntos]],Categorias_Configuracion[],MATCH(Categorias_Configuracion[[#Headers],[% Amplitud]],Categorias_Configuracion[#Headers],0),TRUE)</f>
        <v>0.15</v>
      </c>
      <c r="H1979" s="15" t="str">
        <f ca="1">TEXT(Categorias_Registro[[#This Row],[Mínimo]],Formato_Rango_Categorias)&amp;" - "&amp;TEXT(Categorias_Registro[[#This Row],[Máximo]],Formato_Rango_Categorias)</f>
        <v>617 - 708</v>
      </c>
    </row>
    <row r="1980" spans="2:8">
      <c r="B1980" s="15">
        <f>Techo - ROW() + ROW(Categorias_Registro[])</f>
        <v>649</v>
      </c>
      <c r="C1980" s="15">
        <f>IF(Categorias_Registro[[#This Row],[Puntos]]&lt;=ROUND(Piso,0),Piso,IF(Categorias_Registro[[#This Row],[Puntos]]&lt;D1981,C1981,D1981+1))</f>
        <v>617</v>
      </c>
      <c r="D1980" s="15">
        <f>IF(Categorias_Registro[[#This Row],[Puntos]]=ROUND(Piso,0),ROUND(Categorias_Registro[[#This Row],[Puntos]]*(1+Categorias_Registro[[#This Row],[Amplitud]]),0),IF(Categorias_Registro[[#This Row],[Puntos]]&lt;D1981,D1981,ROUND(D1981*(1+Categorias_Registro[[#This Row],[Amplitud]]),0)))</f>
        <v>708</v>
      </c>
      <c r="E1980" s="15">
        <f>E1981+IF(D1981=Categorias_Registro[[#This Row],[Máximo]],0,1)</f>
        <v>15</v>
      </c>
      <c r="F1980" s="15">
        <f>ROUND(Categorias_Registro[[#This Row],[Mínimo]]+((Categorias_Registro[[#This Row],[Máximo]]-Categorias_Registro[[#This Row],[Mínimo]])/2),0)</f>
        <v>663</v>
      </c>
      <c r="G1980" s="78">
        <f>VLOOKUP(Categorias_Registro[[#This Row],[Puntos]],Categorias_Configuracion[],MATCH(Categorias_Configuracion[[#Headers],[% Amplitud]],Categorias_Configuracion[#Headers],0),TRUE)</f>
        <v>0.15</v>
      </c>
      <c r="H1980" s="15" t="str">
        <f ca="1">TEXT(Categorias_Registro[[#This Row],[Mínimo]],Formato_Rango_Categorias)&amp;" - "&amp;TEXT(Categorias_Registro[[#This Row],[Máximo]],Formato_Rango_Categorias)</f>
        <v>617 - 708</v>
      </c>
    </row>
    <row r="1981" spans="2:8">
      <c r="B1981" s="15">
        <f>Techo - ROW() + ROW(Categorias_Registro[])</f>
        <v>648</v>
      </c>
      <c r="C1981" s="15">
        <f>IF(Categorias_Registro[[#This Row],[Puntos]]&lt;=ROUND(Piso,0),Piso,IF(Categorias_Registro[[#This Row],[Puntos]]&lt;D1982,C1982,D1982+1))</f>
        <v>617</v>
      </c>
      <c r="D1981" s="15">
        <f>IF(Categorias_Registro[[#This Row],[Puntos]]=ROUND(Piso,0),ROUND(Categorias_Registro[[#This Row],[Puntos]]*(1+Categorias_Registro[[#This Row],[Amplitud]]),0),IF(Categorias_Registro[[#This Row],[Puntos]]&lt;D1982,D1982,ROUND(D1982*(1+Categorias_Registro[[#This Row],[Amplitud]]),0)))</f>
        <v>708</v>
      </c>
      <c r="E1981" s="15">
        <f>E1982+IF(D1982=Categorias_Registro[[#This Row],[Máximo]],0,1)</f>
        <v>15</v>
      </c>
      <c r="F1981" s="15">
        <f>ROUND(Categorias_Registro[[#This Row],[Mínimo]]+((Categorias_Registro[[#This Row],[Máximo]]-Categorias_Registro[[#This Row],[Mínimo]])/2),0)</f>
        <v>663</v>
      </c>
      <c r="G1981" s="78">
        <f>VLOOKUP(Categorias_Registro[[#This Row],[Puntos]],Categorias_Configuracion[],MATCH(Categorias_Configuracion[[#Headers],[% Amplitud]],Categorias_Configuracion[#Headers],0),TRUE)</f>
        <v>0.15</v>
      </c>
      <c r="H1981" s="15" t="str">
        <f ca="1">TEXT(Categorias_Registro[[#This Row],[Mínimo]],Formato_Rango_Categorias)&amp;" - "&amp;TEXT(Categorias_Registro[[#This Row],[Máximo]],Formato_Rango_Categorias)</f>
        <v>617 - 708</v>
      </c>
    </row>
    <row r="1982" spans="2:8">
      <c r="B1982" s="15">
        <f>Techo - ROW() + ROW(Categorias_Registro[])</f>
        <v>647</v>
      </c>
      <c r="C1982" s="15">
        <f>IF(Categorias_Registro[[#This Row],[Puntos]]&lt;=ROUND(Piso,0),Piso,IF(Categorias_Registro[[#This Row],[Puntos]]&lt;D1983,C1983,D1983+1))</f>
        <v>617</v>
      </c>
      <c r="D1982" s="15">
        <f>IF(Categorias_Registro[[#This Row],[Puntos]]=ROUND(Piso,0),ROUND(Categorias_Registro[[#This Row],[Puntos]]*(1+Categorias_Registro[[#This Row],[Amplitud]]),0),IF(Categorias_Registro[[#This Row],[Puntos]]&lt;D1983,D1983,ROUND(D1983*(1+Categorias_Registro[[#This Row],[Amplitud]]),0)))</f>
        <v>708</v>
      </c>
      <c r="E1982" s="15">
        <f>E1983+IF(D1983=Categorias_Registro[[#This Row],[Máximo]],0,1)</f>
        <v>15</v>
      </c>
      <c r="F1982" s="15">
        <f>ROUND(Categorias_Registro[[#This Row],[Mínimo]]+((Categorias_Registro[[#This Row],[Máximo]]-Categorias_Registro[[#This Row],[Mínimo]])/2),0)</f>
        <v>663</v>
      </c>
      <c r="G1982" s="78">
        <f>VLOOKUP(Categorias_Registro[[#This Row],[Puntos]],Categorias_Configuracion[],MATCH(Categorias_Configuracion[[#Headers],[% Amplitud]],Categorias_Configuracion[#Headers],0),TRUE)</f>
        <v>0.15</v>
      </c>
      <c r="H1982" s="15" t="str">
        <f ca="1">TEXT(Categorias_Registro[[#This Row],[Mínimo]],Formato_Rango_Categorias)&amp;" - "&amp;TEXT(Categorias_Registro[[#This Row],[Máximo]],Formato_Rango_Categorias)</f>
        <v>617 - 708</v>
      </c>
    </row>
    <row r="1983" spans="2:8">
      <c r="B1983" s="15">
        <f>Techo - ROW() + ROW(Categorias_Registro[])</f>
        <v>646</v>
      </c>
      <c r="C1983" s="15">
        <f>IF(Categorias_Registro[[#This Row],[Puntos]]&lt;=ROUND(Piso,0),Piso,IF(Categorias_Registro[[#This Row],[Puntos]]&lt;D1984,C1984,D1984+1))</f>
        <v>617</v>
      </c>
      <c r="D1983" s="15">
        <f>IF(Categorias_Registro[[#This Row],[Puntos]]=ROUND(Piso,0),ROUND(Categorias_Registro[[#This Row],[Puntos]]*(1+Categorias_Registro[[#This Row],[Amplitud]]),0),IF(Categorias_Registro[[#This Row],[Puntos]]&lt;D1984,D1984,ROUND(D1984*(1+Categorias_Registro[[#This Row],[Amplitud]]),0)))</f>
        <v>708</v>
      </c>
      <c r="E1983" s="15">
        <f>E1984+IF(D1984=Categorias_Registro[[#This Row],[Máximo]],0,1)</f>
        <v>15</v>
      </c>
      <c r="F1983" s="15">
        <f>ROUND(Categorias_Registro[[#This Row],[Mínimo]]+((Categorias_Registro[[#This Row],[Máximo]]-Categorias_Registro[[#This Row],[Mínimo]])/2),0)</f>
        <v>663</v>
      </c>
      <c r="G1983" s="78">
        <f>VLOOKUP(Categorias_Registro[[#This Row],[Puntos]],Categorias_Configuracion[],MATCH(Categorias_Configuracion[[#Headers],[% Amplitud]],Categorias_Configuracion[#Headers],0),TRUE)</f>
        <v>0.15</v>
      </c>
      <c r="H1983" s="15" t="str">
        <f ca="1">TEXT(Categorias_Registro[[#This Row],[Mínimo]],Formato_Rango_Categorias)&amp;" - "&amp;TEXT(Categorias_Registro[[#This Row],[Máximo]],Formato_Rango_Categorias)</f>
        <v>617 - 708</v>
      </c>
    </row>
    <row r="1984" spans="2:8">
      <c r="B1984" s="15">
        <f>Techo - ROW() + ROW(Categorias_Registro[])</f>
        <v>645</v>
      </c>
      <c r="C1984" s="15">
        <f>IF(Categorias_Registro[[#This Row],[Puntos]]&lt;=ROUND(Piso,0),Piso,IF(Categorias_Registro[[#This Row],[Puntos]]&lt;D1985,C1985,D1985+1))</f>
        <v>617</v>
      </c>
      <c r="D1984" s="15">
        <f>IF(Categorias_Registro[[#This Row],[Puntos]]=ROUND(Piso,0),ROUND(Categorias_Registro[[#This Row],[Puntos]]*(1+Categorias_Registro[[#This Row],[Amplitud]]),0),IF(Categorias_Registro[[#This Row],[Puntos]]&lt;D1985,D1985,ROUND(D1985*(1+Categorias_Registro[[#This Row],[Amplitud]]),0)))</f>
        <v>708</v>
      </c>
      <c r="E1984" s="15">
        <f>E1985+IF(D1985=Categorias_Registro[[#This Row],[Máximo]],0,1)</f>
        <v>15</v>
      </c>
      <c r="F1984" s="15">
        <f>ROUND(Categorias_Registro[[#This Row],[Mínimo]]+((Categorias_Registro[[#This Row],[Máximo]]-Categorias_Registro[[#This Row],[Mínimo]])/2),0)</f>
        <v>663</v>
      </c>
      <c r="G1984" s="78">
        <f>VLOOKUP(Categorias_Registro[[#This Row],[Puntos]],Categorias_Configuracion[],MATCH(Categorias_Configuracion[[#Headers],[% Amplitud]],Categorias_Configuracion[#Headers],0),TRUE)</f>
        <v>0.15</v>
      </c>
      <c r="H1984" s="15" t="str">
        <f ca="1">TEXT(Categorias_Registro[[#This Row],[Mínimo]],Formato_Rango_Categorias)&amp;" - "&amp;TEXT(Categorias_Registro[[#This Row],[Máximo]],Formato_Rango_Categorias)</f>
        <v>617 - 708</v>
      </c>
    </row>
    <row r="1985" spans="2:8">
      <c r="B1985" s="15">
        <f>Techo - ROW() + ROW(Categorias_Registro[])</f>
        <v>644</v>
      </c>
      <c r="C1985" s="15">
        <f>IF(Categorias_Registro[[#This Row],[Puntos]]&lt;=ROUND(Piso,0),Piso,IF(Categorias_Registro[[#This Row],[Puntos]]&lt;D1986,C1986,D1986+1))</f>
        <v>617</v>
      </c>
      <c r="D1985" s="15">
        <f>IF(Categorias_Registro[[#This Row],[Puntos]]=ROUND(Piso,0),ROUND(Categorias_Registro[[#This Row],[Puntos]]*(1+Categorias_Registro[[#This Row],[Amplitud]]),0),IF(Categorias_Registro[[#This Row],[Puntos]]&lt;D1986,D1986,ROUND(D1986*(1+Categorias_Registro[[#This Row],[Amplitud]]),0)))</f>
        <v>708</v>
      </c>
      <c r="E1985" s="15">
        <f>E1986+IF(D1986=Categorias_Registro[[#This Row],[Máximo]],0,1)</f>
        <v>15</v>
      </c>
      <c r="F1985" s="15">
        <f>ROUND(Categorias_Registro[[#This Row],[Mínimo]]+((Categorias_Registro[[#This Row],[Máximo]]-Categorias_Registro[[#This Row],[Mínimo]])/2),0)</f>
        <v>663</v>
      </c>
      <c r="G1985" s="78">
        <f>VLOOKUP(Categorias_Registro[[#This Row],[Puntos]],Categorias_Configuracion[],MATCH(Categorias_Configuracion[[#Headers],[% Amplitud]],Categorias_Configuracion[#Headers],0),TRUE)</f>
        <v>0.15</v>
      </c>
      <c r="H1985" s="15" t="str">
        <f ca="1">TEXT(Categorias_Registro[[#This Row],[Mínimo]],Formato_Rango_Categorias)&amp;" - "&amp;TEXT(Categorias_Registro[[#This Row],[Máximo]],Formato_Rango_Categorias)</f>
        <v>617 - 708</v>
      </c>
    </row>
    <row r="1986" spans="2:8">
      <c r="B1986" s="15">
        <f>Techo - ROW() + ROW(Categorias_Registro[])</f>
        <v>643</v>
      </c>
      <c r="C1986" s="15">
        <f>IF(Categorias_Registro[[#This Row],[Puntos]]&lt;=ROUND(Piso,0),Piso,IF(Categorias_Registro[[#This Row],[Puntos]]&lt;D1987,C1987,D1987+1))</f>
        <v>617</v>
      </c>
      <c r="D1986" s="15">
        <f>IF(Categorias_Registro[[#This Row],[Puntos]]=ROUND(Piso,0),ROUND(Categorias_Registro[[#This Row],[Puntos]]*(1+Categorias_Registro[[#This Row],[Amplitud]]),0),IF(Categorias_Registro[[#This Row],[Puntos]]&lt;D1987,D1987,ROUND(D1987*(1+Categorias_Registro[[#This Row],[Amplitud]]),0)))</f>
        <v>708</v>
      </c>
      <c r="E1986" s="15">
        <f>E1987+IF(D1987=Categorias_Registro[[#This Row],[Máximo]],0,1)</f>
        <v>15</v>
      </c>
      <c r="F1986" s="15">
        <f>ROUND(Categorias_Registro[[#This Row],[Mínimo]]+((Categorias_Registro[[#This Row],[Máximo]]-Categorias_Registro[[#This Row],[Mínimo]])/2),0)</f>
        <v>663</v>
      </c>
      <c r="G1986" s="78">
        <f>VLOOKUP(Categorias_Registro[[#This Row],[Puntos]],Categorias_Configuracion[],MATCH(Categorias_Configuracion[[#Headers],[% Amplitud]],Categorias_Configuracion[#Headers],0),TRUE)</f>
        <v>0.15</v>
      </c>
      <c r="H1986" s="15" t="str">
        <f ca="1">TEXT(Categorias_Registro[[#This Row],[Mínimo]],Formato_Rango_Categorias)&amp;" - "&amp;TEXT(Categorias_Registro[[#This Row],[Máximo]],Formato_Rango_Categorias)</f>
        <v>617 - 708</v>
      </c>
    </row>
    <row r="1987" spans="2:8">
      <c r="B1987" s="15">
        <f>Techo - ROW() + ROW(Categorias_Registro[])</f>
        <v>642</v>
      </c>
      <c r="C1987" s="15">
        <f>IF(Categorias_Registro[[#This Row],[Puntos]]&lt;=ROUND(Piso,0),Piso,IF(Categorias_Registro[[#This Row],[Puntos]]&lt;D1988,C1988,D1988+1))</f>
        <v>617</v>
      </c>
      <c r="D1987" s="15">
        <f>IF(Categorias_Registro[[#This Row],[Puntos]]=ROUND(Piso,0),ROUND(Categorias_Registro[[#This Row],[Puntos]]*(1+Categorias_Registro[[#This Row],[Amplitud]]),0),IF(Categorias_Registro[[#This Row],[Puntos]]&lt;D1988,D1988,ROUND(D1988*(1+Categorias_Registro[[#This Row],[Amplitud]]),0)))</f>
        <v>708</v>
      </c>
      <c r="E1987" s="15">
        <f>E1988+IF(D1988=Categorias_Registro[[#This Row],[Máximo]],0,1)</f>
        <v>15</v>
      </c>
      <c r="F1987" s="15">
        <f>ROUND(Categorias_Registro[[#This Row],[Mínimo]]+((Categorias_Registro[[#This Row],[Máximo]]-Categorias_Registro[[#This Row],[Mínimo]])/2),0)</f>
        <v>663</v>
      </c>
      <c r="G1987" s="78">
        <f>VLOOKUP(Categorias_Registro[[#This Row],[Puntos]],Categorias_Configuracion[],MATCH(Categorias_Configuracion[[#Headers],[% Amplitud]],Categorias_Configuracion[#Headers],0),TRUE)</f>
        <v>0.15</v>
      </c>
      <c r="H1987" s="15" t="str">
        <f ca="1">TEXT(Categorias_Registro[[#This Row],[Mínimo]],Formato_Rango_Categorias)&amp;" - "&amp;TEXT(Categorias_Registro[[#This Row],[Máximo]],Formato_Rango_Categorias)</f>
        <v>617 - 708</v>
      </c>
    </row>
    <row r="1988" spans="2:8">
      <c r="B1988" s="15">
        <f>Techo - ROW() + ROW(Categorias_Registro[])</f>
        <v>641</v>
      </c>
      <c r="C1988" s="15">
        <f>IF(Categorias_Registro[[#This Row],[Puntos]]&lt;=ROUND(Piso,0),Piso,IF(Categorias_Registro[[#This Row],[Puntos]]&lt;D1989,C1989,D1989+1))</f>
        <v>617</v>
      </c>
      <c r="D1988" s="15">
        <f>IF(Categorias_Registro[[#This Row],[Puntos]]=ROUND(Piso,0),ROUND(Categorias_Registro[[#This Row],[Puntos]]*(1+Categorias_Registro[[#This Row],[Amplitud]]),0),IF(Categorias_Registro[[#This Row],[Puntos]]&lt;D1989,D1989,ROUND(D1989*(1+Categorias_Registro[[#This Row],[Amplitud]]),0)))</f>
        <v>708</v>
      </c>
      <c r="E1988" s="15">
        <f>E1989+IF(D1989=Categorias_Registro[[#This Row],[Máximo]],0,1)</f>
        <v>15</v>
      </c>
      <c r="F1988" s="15">
        <f>ROUND(Categorias_Registro[[#This Row],[Mínimo]]+((Categorias_Registro[[#This Row],[Máximo]]-Categorias_Registro[[#This Row],[Mínimo]])/2),0)</f>
        <v>663</v>
      </c>
      <c r="G1988" s="78">
        <f>VLOOKUP(Categorias_Registro[[#This Row],[Puntos]],Categorias_Configuracion[],MATCH(Categorias_Configuracion[[#Headers],[% Amplitud]],Categorias_Configuracion[#Headers],0),TRUE)</f>
        <v>0.15</v>
      </c>
      <c r="H1988" s="15" t="str">
        <f ca="1">TEXT(Categorias_Registro[[#This Row],[Mínimo]],Formato_Rango_Categorias)&amp;" - "&amp;TEXT(Categorias_Registro[[#This Row],[Máximo]],Formato_Rango_Categorias)</f>
        <v>617 - 708</v>
      </c>
    </row>
    <row r="1989" spans="2:8">
      <c r="B1989" s="15">
        <f>Techo - ROW() + ROW(Categorias_Registro[])</f>
        <v>640</v>
      </c>
      <c r="C1989" s="15">
        <f>IF(Categorias_Registro[[#This Row],[Puntos]]&lt;=ROUND(Piso,0),Piso,IF(Categorias_Registro[[#This Row],[Puntos]]&lt;D1990,C1990,D1990+1))</f>
        <v>617</v>
      </c>
      <c r="D1989" s="15">
        <f>IF(Categorias_Registro[[#This Row],[Puntos]]=ROUND(Piso,0),ROUND(Categorias_Registro[[#This Row],[Puntos]]*(1+Categorias_Registro[[#This Row],[Amplitud]]),0),IF(Categorias_Registro[[#This Row],[Puntos]]&lt;D1990,D1990,ROUND(D1990*(1+Categorias_Registro[[#This Row],[Amplitud]]),0)))</f>
        <v>708</v>
      </c>
      <c r="E1989" s="15">
        <f>E1990+IF(D1990=Categorias_Registro[[#This Row],[Máximo]],0,1)</f>
        <v>15</v>
      </c>
      <c r="F1989" s="15">
        <f>ROUND(Categorias_Registro[[#This Row],[Mínimo]]+((Categorias_Registro[[#This Row],[Máximo]]-Categorias_Registro[[#This Row],[Mínimo]])/2),0)</f>
        <v>663</v>
      </c>
      <c r="G1989" s="78">
        <f>VLOOKUP(Categorias_Registro[[#This Row],[Puntos]],Categorias_Configuracion[],MATCH(Categorias_Configuracion[[#Headers],[% Amplitud]],Categorias_Configuracion[#Headers],0),TRUE)</f>
        <v>0.15</v>
      </c>
      <c r="H1989" s="15" t="str">
        <f ca="1">TEXT(Categorias_Registro[[#This Row],[Mínimo]],Formato_Rango_Categorias)&amp;" - "&amp;TEXT(Categorias_Registro[[#This Row],[Máximo]],Formato_Rango_Categorias)</f>
        <v>617 - 708</v>
      </c>
    </row>
    <row r="1990" spans="2:8">
      <c r="B1990" s="15">
        <f>Techo - ROW() + ROW(Categorias_Registro[])</f>
        <v>639</v>
      </c>
      <c r="C1990" s="15">
        <f>IF(Categorias_Registro[[#This Row],[Puntos]]&lt;=ROUND(Piso,0),Piso,IF(Categorias_Registro[[#This Row],[Puntos]]&lt;D1991,C1991,D1991+1))</f>
        <v>617</v>
      </c>
      <c r="D1990" s="15">
        <f>IF(Categorias_Registro[[#This Row],[Puntos]]=ROUND(Piso,0),ROUND(Categorias_Registro[[#This Row],[Puntos]]*(1+Categorias_Registro[[#This Row],[Amplitud]]),0),IF(Categorias_Registro[[#This Row],[Puntos]]&lt;D1991,D1991,ROUND(D1991*(1+Categorias_Registro[[#This Row],[Amplitud]]),0)))</f>
        <v>708</v>
      </c>
      <c r="E1990" s="15">
        <f>E1991+IF(D1991=Categorias_Registro[[#This Row],[Máximo]],0,1)</f>
        <v>15</v>
      </c>
      <c r="F1990" s="15">
        <f>ROUND(Categorias_Registro[[#This Row],[Mínimo]]+((Categorias_Registro[[#This Row],[Máximo]]-Categorias_Registro[[#This Row],[Mínimo]])/2),0)</f>
        <v>663</v>
      </c>
      <c r="G1990" s="78">
        <f>VLOOKUP(Categorias_Registro[[#This Row],[Puntos]],Categorias_Configuracion[],MATCH(Categorias_Configuracion[[#Headers],[% Amplitud]],Categorias_Configuracion[#Headers],0),TRUE)</f>
        <v>0.15</v>
      </c>
      <c r="H1990" s="15" t="str">
        <f ca="1">TEXT(Categorias_Registro[[#This Row],[Mínimo]],Formato_Rango_Categorias)&amp;" - "&amp;TEXT(Categorias_Registro[[#This Row],[Máximo]],Formato_Rango_Categorias)</f>
        <v>617 - 708</v>
      </c>
    </row>
    <row r="1991" spans="2:8">
      <c r="B1991" s="15">
        <f>Techo - ROW() + ROW(Categorias_Registro[])</f>
        <v>638</v>
      </c>
      <c r="C1991" s="15">
        <f>IF(Categorias_Registro[[#This Row],[Puntos]]&lt;=ROUND(Piso,0),Piso,IF(Categorias_Registro[[#This Row],[Puntos]]&lt;D1992,C1992,D1992+1))</f>
        <v>617</v>
      </c>
      <c r="D1991" s="15">
        <f>IF(Categorias_Registro[[#This Row],[Puntos]]=ROUND(Piso,0),ROUND(Categorias_Registro[[#This Row],[Puntos]]*(1+Categorias_Registro[[#This Row],[Amplitud]]),0),IF(Categorias_Registro[[#This Row],[Puntos]]&lt;D1992,D1992,ROUND(D1992*(1+Categorias_Registro[[#This Row],[Amplitud]]),0)))</f>
        <v>708</v>
      </c>
      <c r="E1991" s="15">
        <f>E1992+IF(D1992=Categorias_Registro[[#This Row],[Máximo]],0,1)</f>
        <v>15</v>
      </c>
      <c r="F1991" s="15">
        <f>ROUND(Categorias_Registro[[#This Row],[Mínimo]]+((Categorias_Registro[[#This Row],[Máximo]]-Categorias_Registro[[#This Row],[Mínimo]])/2),0)</f>
        <v>663</v>
      </c>
      <c r="G1991" s="78">
        <f>VLOOKUP(Categorias_Registro[[#This Row],[Puntos]],Categorias_Configuracion[],MATCH(Categorias_Configuracion[[#Headers],[% Amplitud]],Categorias_Configuracion[#Headers],0),TRUE)</f>
        <v>0.15</v>
      </c>
      <c r="H1991" s="15" t="str">
        <f ca="1">TEXT(Categorias_Registro[[#This Row],[Mínimo]],Formato_Rango_Categorias)&amp;" - "&amp;TEXT(Categorias_Registro[[#This Row],[Máximo]],Formato_Rango_Categorias)</f>
        <v>617 - 708</v>
      </c>
    </row>
    <row r="1992" spans="2:8">
      <c r="B1992" s="15">
        <f>Techo - ROW() + ROW(Categorias_Registro[])</f>
        <v>637</v>
      </c>
      <c r="C1992" s="15">
        <f>IF(Categorias_Registro[[#This Row],[Puntos]]&lt;=ROUND(Piso,0),Piso,IF(Categorias_Registro[[#This Row],[Puntos]]&lt;D1993,C1993,D1993+1))</f>
        <v>617</v>
      </c>
      <c r="D1992" s="15">
        <f>IF(Categorias_Registro[[#This Row],[Puntos]]=ROUND(Piso,0),ROUND(Categorias_Registro[[#This Row],[Puntos]]*(1+Categorias_Registro[[#This Row],[Amplitud]]),0),IF(Categorias_Registro[[#This Row],[Puntos]]&lt;D1993,D1993,ROUND(D1993*(1+Categorias_Registro[[#This Row],[Amplitud]]),0)))</f>
        <v>708</v>
      </c>
      <c r="E1992" s="15">
        <f>E1993+IF(D1993=Categorias_Registro[[#This Row],[Máximo]],0,1)</f>
        <v>15</v>
      </c>
      <c r="F1992" s="15">
        <f>ROUND(Categorias_Registro[[#This Row],[Mínimo]]+((Categorias_Registro[[#This Row],[Máximo]]-Categorias_Registro[[#This Row],[Mínimo]])/2),0)</f>
        <v>663</v>
      </c>
      <c r="G1992" s="78">
        <f>VLOOKUP(Categorias_Registro[[#This Row],[Puntos]],Categorias_Configuracion[],MATCH(Categorias_Configuracion[[#Headers],[% Amplitud]],Categorias_Configuracion[#Headers],0),TRUE)</f>
        <v>0.15</v>
      </c>
      <c r="H1992" s="15" t="str">
        <f ca="1">TEXT(Categorias_Registro[[#This Row],[Mínimo]],Formato_Rango_Categorias)&amp;" - "&amp;TEXT(Categorias_Registro[[#This Row],[Máximo]],Formato_Rango_Categorias)</f>
        <v>617 - 708</v>
      </c>
    </row>
    <row r="1993" spans="2:8">
      <c r="B1993" s="15">
        <f>Techo - ROW() + ROW(Categorias_Registro[])</f>
        <v>636</v>
      </c>
      <c r="C1993" s="15">
        <f>IF(Categorias_Registro[[#This Row],[Puntos]]&lt;=ROUND(Piso,0),Piso,IF(Categorias_Registro[[#This Row],[Puntos]]&lt;D1994,C1994,D1994+1))</f>
        <v>617</v>
      </c>
      <c r="D1993" s="15">
        <f>IF(Categorias_Registro[[#This Row],[Puntos]]=ROUND(Piso,0),ROUND(Categorias_Registro[[#This Row],[Puntos]]*(1+Categorias_Registro[[#This Row],[Amplitud]]),0),IF(Categorias_Registro[[#This Row],[Puntos]]&lt;D1994,D1994,ROUND(D1994*(1+Categorias_Registro[[#This Row],[Amplitud]]),0)))</f>
        <v>708</v>
      </c>
      <c r="E1993" s="15">
        <f>E1994+IF(D1994=Categorias_Registro[[#This Row],[Máximo]],0,1)</f>
        <v>15</v>
      </c>
      <c r="F1993" s="15">
        <f>ROUND(Categorias_Registro[[#This Row],[Mínimo]]+((Categorias_Registro[[#This Row],[Máximo]]-Categorias_Registro[[#This Row],[Mínimo]])/2),0)</f>
        <v>663</v>
      </c>
      <c r="G1993" s="78">
        <f>VLOOKUP(Categorias_Registro[[#This Row],[Puntos]],Categorias_Configuracion[],MATCH(Categorias_Configuracion[[#Headers],[% Amplitud]],Categorias_Configuracion[#Headers],0),TRUE)</f>
        <v>0.15</v>
      </c>
      <c r="H1993" s="15" t="str">
        <f ca="1">TEXT(Categorias_Registro[[#This Row],[Mínimo]],Formato_Rango_Categorias)&amp;" - "&amp;TEXT(Categorias_Registro[[#This Row],[Máximo]],Formato_Rango_Categorias)</f>
        <v>617 - 708</v>
      </c>
    </row>
    <row r="1994" spans="2:8">
      <c r="B1994" s="15">
        <f>Techo - ROW() + ROW(Categorias_Registro[])</f>
        <v>635</v>
      </c>
      <c r="C1994" s="15">
        <f>IF(Categorias_Registro[[#This Row],[Puntos]]&lt;=ROUND(Piso,0),Piso,IF(Categorias_Registro[[#This Row],[Puntos]]&lt;D1995,C1995,D1995+1))</f>
        <v>617</v>
      </c>
      <c r="D1994" s="15">
        <f>IF(Categorias_Registro[[#This Row],[Puntos]]=ROUND(Piso,0),ROUND(Categorias_Registro[[#This Row],[Puntos]]*(1+Categorias_Registro[[#This Row],[Amplitud]]),0),IF(Categorias_Registro[[#This Row],[Puntos]]&lt;D1995,D1995,ROUND(D1995*(1+Categorias_Registro[[#This Row],[Amplitud]]),0)))</f>
        <v>708</v>
      </c>
      <c r="E1994" s="15">
        <f>E1995+IF(D1995=Categorias_Registro[[#This Row],[Máximo]],0,1)</f>
        <v>15</v>
      </c>
      <c r="F1994" s="15">
        <f>ROUND(Categorias_Registro[[#This Row],[Mínimo]]+((Categorias_Registro[[#This Row],[Máximo]]-Categorias_Registro[[#This Row],[Mínimo]])/2),0)</f>
        <v>663</v>
      </c>
      <c r="G1994" s="78">
        <f>VLOOKUP(Categorias_Registro[[#This Row],[Puntos]],Categorias_Configuracion[],MATCH(Categorias_Configuracion[[#Headers],[% Amplitud]],Categorias_Configuracion[#Headers],0),TRUE)</f>
        <v>0.15</v>
      </c>
      <c r="H1994" s="15" t="str">
        <f ca="1">TEXT(Categorias_Registro[[#This Row],[Mínimo]],Formato_Rango_Categorias)&amp;" - "&amp;TEXT(Categorias_Registro[[#This Row],[Máximo]],Formato_Rango_Categorias)</f>
        <v>617 - 708</v>
      </c>
    </row>
    <row r="1995" spans="2:8">
      <c r="B1995" s="15">
        <f>Techo - ROW() + ROW(Categorias_Registro[])</f>
        <v>634</v>
      </c>
      <c r="C1995" s="15">
        <f>IF(Categorias_Registro[[#This Row],[Puntos]]&lt;=ROUND(Piso,0),Piso,IF(Categorias_Registro[[#This Row],[Puntos]]&lt;D1996,C1996,D1996+1))</f>
        <v>617</v>
      </c>
      <c r="D1995" s="15">
        <f>IF(Categorias_Registro[[#This Row],[Puntos]]=ROUND(Piso,0),ROUND(Categorias_Registro[[#This Row],[Puntos]]*(1+Categorias_Registro[[#This Row],[Amplitud]]),0),IF(Categorias_Registro[[#This Row],[Puntos]]&lt;D1996,D1996,ROUND(D1996*(1+Categorias_Registro[[#This Row],[Amplitud]]),0)))</f>
        <v>708</v>
      </c>
      <c r="E1995" s="15">
        <f>E1996+IF(D1996=Categorias_Registro[[#This Row],[Máximo]],0,1)</f>
        <v>15</v>
      </c>
      <c r="F1995" s="15">
        <f>ROUND(Categorias_Registro[[#This Row],[Mínimo]]+((Categorias_Registro[[#This Row],[Máximo]]-Categorias_Registro[[#This Row],[Mínimo]])/2),0)</f>
        <v>663</v>
      </c>
      <c r="G1995" s="78">
        <f>VLOOKUP(Categorias_Registro[[#This Row],[Puntos]],Categorias_Configuracion[],MATCH(Categorias_Configuracion[[#Headers],[% Amplitud]],Categorias_Configuracion[#Headers],0),TRUE)</f>
        <v>0.15</v>
      </c>
      <c r="H1995" s="15" t="str">
        <f ca="1">TEXT(Categorias_Registro[[#This Row],[Mínimo]],Formato_Rango_Categorias)&amp;" - "&amp;TEXT(Categorias_Registro[[#This Row],[Máximo]],Formato_Rango_Categorias)</f>
        <v>617 - 708</v>
      </c>
    </row>
    <row r="1996" spans="2:8">
      <c r="B1996" s="15">
        <f>Techo - ROW() + ROW(Categorias_Registro[])</f>
        <v>633</v>
      </c>
      <c r="C1996" s="15">
        <f>IF(Categorias_Registro[[#This Row],[Puntos]]&lt;=ROUND(Piso,0),Piso,IF(Categorias_Registro[[#This Row],[Puntos]]&lt;D1997,C1997,D1997+1))</f>
        <v>617</v>
      </c>
      <c r="D1996" s="15">
        <f>IF(Categorias_Registro[[#This Row],[Puntos]]=ROUND(Piso,0),ROUND(Categorias_Registro[[#This Row],[Puntos]]*(1+Categorias_Registro[[#This Row],[Amplitud]]),0),IF(Categorias_Registro[[#This Row],[Puntos]]&lt;D1997,D1997,ROUND(D1997*(1+Categorias_Registro[[#This Row],[Amplitud]]),0)))</f>
        <v>708</v>
      </c>
      <c r="E1996" s="15">
        <f>E1997+IF(D1997=Categorias_Registro[[#This Row],[Máximo]],0,1)</f>
        <v>15</v>
      </c>
      <c r="F1996" s="15">
        <f>ROUND(Categorias_Registro[[#This Row],[Mínimo]]+((Categorias_Registro[[#This Row],[Máximo]]-Categorias_Registro[[#This Row],[Mínimo]])/2),0)</f>
        <v>663</v>
      </c>
      <c r="G1996" s="78">
        <f>VLOOKUP(Categorias_Registro[[#This Row],[Puntos]],Categorias_Configuracion[],MATCH(Categorias_Configuracion[[#Headers],[% Amplitud]],Categorias_Configuracion[#Headers],0),TRUE)</f>
        <v>0.15</v>
      </c>
      <c r="H1996" s="15" t="str">
        <f ca="1">TEXT(Categorias_Registro[[#This Row],[Mínimo]],Formato_Rango_Categorias)&amp;" - "&amp;TEXT(Categorias_Registro[[#This Row],[Máximo]],Formato_Rango_Categorias)</f>
        <v>617 - 708</v>
      </c>
    </row>
    <row r="1997" spans="2:8">
      <c r="B1997" s="15">
        <f>Techo - ROW() + ROW(Categorias_Registro[])</f>
        <v>632</v>
      </c>
      <c r="C1997" s="15">
        <f>IF(Categorias_Registro[[#This Row],[Puntos]]&lt;=ROUND(Piso,0),Piso,IF(Categorias_Registro[[#This Row],[Puntos]]&lt;D1998,C1998,D1998+1))</f>
        <v>617</v>
      </c>
      <c r="D1997" s="15">
        <f>IF(Categorias_Registro[[#This Row],[Puntos]]=ROUND(Piso,0),ROUND(Categorias_Registro[[#This Row],[Puntos]]*(1+Categorias_Registro[[#This Row],[Amplitud]]),0),IF(Categorias_Registro[[#This Row],[Puntos]]&lt;D1998,D1998,ROUND(D1998*(1+Categorias_Registro[[#This Row],[Amplitud]]),0)))</f>
        <v>708</v>
      </c>
      <c r="E1997" s="15">
        <f>E1998+IF(D1998=Categorias_Registro[[#This Row],[Máximo]],0,1)</f>
        <v>15</v>
      </c>
      <c r="F1997" s="15">
        <f>ROUND(Categorias_Registro[[#This Row],[Mínimo]]+((Categorias_Registro[[#This Row],[Máximo]]-Categorias_Registro[[#This Row],[Mínimo]])/2),0)</f>
        <v>663</v>
      </c>
      <c r="G1997" s="78">
        <f>VLOOKUP(Categorias_Registro[[#This Row],[Puntos]],Categorias_Configuracion[],MATCH(Categorias_Configuracion[[#Headers],[% Amplitud]],Categorias_Configuracion[#Headers],0),TRUE)</f>
        <v>0.15</v>
      </c>
      <c r="H1997" s="15" t="str">
        <f ca="1">TEXT(Categorias_Registro[[#This Row],[Mínimo]],Formato_Rango_Categorias)&amp;" - "&amp;TEXT(Categorias_Registro[[#This Row],[Máximo]],Formato_Rango_Categorias)</f>
        <v>617 - 708</v>
      </c>
    </row>
    <row r="1998" spans="2:8">
      <c r="B1998" s="15">
        <f>Techo - ROW() + ROW(Categorias_Registro[])</f>
        <v>631</v>
      </c>
      <c r="C1998" s="15">
        <f>IF(Categorias_Registro[[#This Row],[Puntos]]&lt;=ROUND(Piso,0),Piso,IF(Categorias_Registro[[#This Row],[Puntos]]&lt;D1999,C1999,D1999+1))</f>
        <v>617</v>
      </c>
      <c r="D1998" s="15">
        <f>IF(Categorias_Registro[[#This Row],[Puntos]]=ROUND(Piso,0),ROUND(Categorias_Registro[[#This Row],[Puntos]]*(1+Categorias_Registro[[#This Row],[Amplitud]]),0),IF(Categorias_Registro[[#This Row],[Puntos]]&lt;D1999,D1999,ROUND(D1999*(1+Categorias_Registro[[#This Row],[Amplitud]]),0)))</f>
        <v>708</v>
      </c>
      <c r="E1998" s="15">
        <f>E1999+IF(D1999=Categorias_Registro[[#This Row],[Máximo]],0,1)</f>
        <v>15</v>
      </c>
      <c r="F1998" s="15">
        <f>ROUND(Categorias_Registro[[#This Row],[Mínimo]]+((Categorias_Registro[[#This Row],[Máximo]]-Categorias_Registro[[#This Row],[Mínimo]])/2),0)</f>
        <v>663</v>
      </c>
      <c r="G1998" s="78">
        <f>VLOOKUP(Categorias_Registro[[#This Row],[Puntos]],Categorias_Configuracion[],MATCH(Categorias_Configuracion[[#Headers],[% Amplitud]],Categorias_Configuracion[#Headers],0),TRUE)</f>
        <v>0.15</v>
      </c>
      <c r="H1998" s="15" t="str">
        <f ca="1">TEXT(Categorias_Registro[[#This Row],[Mínimo]],Formato_Rango_Categorias)&amp;" - "&amp;TEXT(Categorias_Registro[[#This Row],[Máximo]],Formato_Rango_Categorias)</f>
        <v>617 - 708</v>
      </c>
    </row>
    <row r="1999" spans="2:8">
      <c r="B1999" s="15">
        <f>Techo - ROW() + ROW(Categorias_Registro[])</f>
        <v>630</v>
      </c>
      <c r="C1999" s="15">
        <f>IF(Categorias_Registro[[#This Row],[Puntos]]&lt;=ROUND(Piso,0),Piso,IF(Categorias_Registro[[#This Row],[Puntos]]&lt;D2000,C2000,D2000+1))</f>
        <v>617</v>
      </c>
      <c r="D1999" s="15">
        <f>IF(Categorias_Registro[[#This Row],[Puntos]]=ROUND(Piso,0),ROUND(Categorias_Registro[[#This Row],[Puntos]]*(1+Categorias_Registro[[#This Row],[Amplitud]]),0),IF(Categorias_Registro[[#This Row],[Puntos]]&lt;D2000,D2000,ROUND(D2000*(1+Categorias_Registro[[#This Row],[Amplitud]]),0)))</f>
        <v>708</v>
      </c>
      <c r="E1999" s="15">
        <f>E2000+IF(D2000=Categorias_Registro[[#This Row],[Máximo]],0,1)</f>
        <v>15</v>
      </c>
      <c r="F1999" s="15">
        <f>ROUND(Categorias_Registro[[#This Row],[Mínimo]]+((Categorias_Registro[[#This Row],[Máximo]]-Categorias_Registro[[#This Row],[Mínimo]])/2),0)</f>
        <v>663</v>
      </c>
      <c r="G1999" s="78">
        <f>VLOOKUP(Categorias_Registro[[#This Row],[Puntos]],Categorias_Configuracion[],MATCH(Categorias_Configuracion[[#Headers],[% Amplitud]],Categorias_Configuracion[#Headers],0),TRUE)</f>
        <v>0.15</v>
      </c>
      <c r="H1999" s="15" t="str">
        <f ca="1">TEXT(Categorias_Registro[[#This Row],[Mínimo]],Formato_Rango_Categorias)&amp;" - "&amp;TEXT(Categorias_Registro[[#This Row],[Máximo]],Formato_Rango_Categorias)</f>
        <v>617 - 708</v>
      </c>
    </row>
    <row r="2000" spans="2:8">
      <c r="B2000" s="15">
        <f>Techo - ROW() + ROW(Categorias_Registro[])</f>
        <v>629</v>
      </c>
      <c r="C2000" s="15">
        <f>IF(Categorias_Registro[[#This Row],[Puntos]]&lt;=ROUND(Piso,0),Piso,IF(Categorias_Registro[[#This Row],[Puntos]]&lt;D2001,C2001,D2001+1))</f>
        <v>617</v>
      </c>
      <c r="D2000" s="15">
        <f>IF(Categorias_Registro[[#This Row],[Puntos]]=ROUND(Piso,0),ROUND(Categorias_Registro[[#This Row],[Puntos]]*(1+Categorias_Registro[[#This Row],[Amplitud]]),0),IF(Categorias_Registro[[#This Row],[Puntos]]&lt;D2001,D2001,ROUND(D2001*(1+Categorias_Registro[[#This Row],[Amplitud]]),0)))</f>
        <v>708</v>
      </c>
      <c r="E2000" s="15">
        <f>E2001+IF(D2001=Categorias_Registro[[#This Row],[Máximo]],0,1)</f>
        <v>15</v>
      </c>
      <c r="F2000" s="15">
        <f>ROUND(Categorias_Registro[[#This Row],[Mínimo]]+((Categorias_Registro[[#This Row],[Máximo]]-Categorias_Registro[[#This Row],[Mínimo]])/2),0)</f>
        <v>663</v>
      </c>
      <c r="G2000" s="78">
        <f>VLOOKUP(Categorias_Registro[[#This Row],[Puntos]],Categorias_Configuracion[],MATCH(Categorias_Configuracion[[#Headers],[% Amplitud]],Categorias_Configuracion[#Headers],0),TRUE)</f>
        <v>0.15</v>
      </c>
      <c r="H2000" s="15" t="str">
        <f ca="1">TEXT(Categorias_Registro[[#This Row],[Mínimo]],Formato_Rango_Categorias)&amp;" - "&amp;TEXT(Categorias_Registro[[#This Row],[Máximo]],Formato_Rango_Categorias)</f>
        <v>617 - 708</v>
      </c>
    </row>
    <row r="2001" spans="2:8">
      <c r="B2001" s="15">
        <f>Techo - ROW() + ROW(Categorias_Registro[])</f>
        <v>628</v>
      </c>
      <c r="C2001" s="15">
        <f>IF(Categorias_Registro[[#This Row],[Puntos]]&lt;=ROUND(Piso,0),Piso,IF(Categorias_Registro[[#This Row],[Puntos]]&lt;D2002,C2002,D2002+1))</f>
        <v>617</v>
      </c>
      <c r="D2001" s="15">
        <f>IF(Categorias_Registro[[#This Row],[Puntos]]=ROUND(Piso,0),ROUND(Categorias_Registro[[#This Row],[Puntos]]*(1+Categorias_Registro[[#This Row],[Amplitud]]),0),IF(Categorias_Registro[[#This Row],[Puntos]]&lt;D2002,D2002,ROUND(D2002*(1+Categorias_Registro[[#This Row],[Amplitud]]),0)))</f>
        <v>708</v>
      </c>
      <c r="E2001" s="15">
        <f>E2002+IF(D2002=Categorias_Registro[[#This Row],[Máximo]],0,1)</f>
        <v>15</v>
      </c>
      <c r="F2001" s="15">
        <f>ROUND(Categorias_Registro[[#This Row],[Mínimo]]+((Categorias_Registro[[#This Row],[Máximo]]-Categorias_Registro[[#This Row],[Mínimo]])/2),0)</f>
        <v>663</v>
      </c>
      <c r="G2001" s="78">
        <f>VLOOKUP(Categorias_Registro[[#This Row],[Puntos]],Categorias_Configuracion[],MATCH(Categorias_Configuracion[[#Headers],[% Amplitud]],Categorias_Configuracion[#Headers],0),TRUE)</f>
        <v>0.15</v>
      </c>
      <c r="H2001" s="15" t="str">
        <f ca="1">TEXT(Categorias_Registro[[#This Row],[Mínimo]],Formato_Rango_Categorias)&amp;" - "&amp;TEXT(Categorias_Registro[[#This Row],[Máximo]],Formato_Rango_Categorias)</f>
        <v>617 - 708</v>
      </c>
    </row>
    <row r="2002" spans="2:8">
      <c r="B2002" s="15">
        <f>Techo - ROW() + ROW(Categorias_Registro[])</f>
        <v>627</v>
      </c>
      <c r="C2002" s="15">
        <f>IF(Categorias_Registro[[#This Row],[Puntos]]&lt;=ROUND(Piso,0),Piso,IF(Categorias_Registro[[#This Row],[Puntos]]&lt;D2003,C2003,D2003+1))</f>
        <v>617</v>
      </c>
      <c r="D2002" s="15">
        <f>IF(Categorias_Registro[[#This Row],[Puntos]]=ROUND(Piso,0),ROUND(Categorias_Registro[[#This Row],[Puntos]]*(1+Categorias_Registro[[#This Row],[Amplitud]]),0),IF(Categorias_Registro[[#This Row],[Puntos]]&lt;D2003,D2003,ROUND(D2003*(1+Categorias_Registro[[#This Row],[Amplitud]]),0)))</f>
        <v>708</v>
      </c>
      <c r="E2002" s="15">
        <f>E2003+IF(D2003=Categorias_Registro[[#This Row],[Máximo]],0,1)</f>
        <v>15</v>
      </c>
      <c r="F2002" s="15">
        <f>ROUND(Categorias_Registro[[#This Row],[Mínimo]]+((Categorias_Registro[[#This Row],[Máximo]]-Categorias_Registro[[#This Row],[Mínimo]])/2),0)</f>
        <v>663</v>
      </c>
      <c r="G2002" s="78">
        <f>VLOOKUP(Categorias_Registro[[#This Row],[Puntos]],Categorias_Configuracion[],MATCH(Categorias_Configuracion[[#Headers],[% Amplitud]],Categorias_Configuracion[#Headers],0),TRUE)</f>
        <v>0.15</v>
      </c>
      <c r="H2002" s="15" t="str">
        <f ca="1">TEXT(Categorias_Registro[[#This Row],[Mínimo]],Formato_Rango_Categorias)&amp;" - "&amp;TEXT(Categorias_Registro[[#This Row],[Máximo]],Formato_Rango_Categorias)</f>
        <v>617 - 708</v>
      </c>
    </row>
    <row r="2003" spans="2:8">
      <c r="B2003" s="15">
        <f>Techo - ROW() + ROW(Categorias_Registro[])</f>
        <v>626</v>
      </c>
      <c r="C2003" s="15">
        <f>IF(Categorias_Registro[[#This Row],[Puntos]]&lt;=ROUND(Piso,0),Piso,IF(Categorias_Registro[[#This Row],[Puntos]]&lt;D2004,C2004,D2004+1))</f>
        <v>617</v>
      </c>
      <c r="D2003" s="15">
        <f>IF(Categorias_Registro[[#This Row],[Puntos]]=ROUND(Piso,0),ROUND(Categorias_Registro[[#This Row],[Puntos]]*(1+Categorias_Registro[[#This Row],[Amplitud]]),0),IF(Categorias_Registro[[#This Row],[Puntos]]&lt;D2004,D2004,ROUND(D2004*(1+Categorias_Registro[[#This Row],[Amplitud]]),0)))</f>
        <v>708</v>
      </c>
      <c r="E2003" s="15">
        <f>E2004+IF(D2004=Categorias_Registro[[#This Row],[Máximo]],0,1)</f>
        <v>15</v>
      </c>
      <c r="F2003" s="15">
        <f>ROUND(Categorias_Registro[[#This Row],[Mínimo]]+((Categorias_Registro[[#This Row],[Máximo]]-Categorias_Registro[[#This Row],[Mínimo]])/2),0)</f>
        <v>663</v>
      </c>
      <c r="G2003" s="78">
        <f>VLOOKUP(Categorias_Registro[[#This Row],[Puntos]],Categorias_Configuracion[],MATCH(Categorias_Configuracion[[#Headers],[% Amplitud]],Categorias_Configuracion[#Headers],0),TRUE)</f>
        <v>0.15</v>
      </c>
      <c r="H2003" s="15" t="str">
        <f ca="1">TEXT(Categorias_Registro[[#This Row],[Mínimo]],Formato_Rango_Categorias)&amp;" - "&amp;TEXT(Categorias_Registro[[#This Row],[Máximo]],Formato_Rango_Categorias)</f>
        <v>617 - 708</v>
      </c>
    </row>
    <row r="2004" spans="2:8">
      <c r="B2004" s="15">
        <f>Techo - ROW() + ROW(Categorias_Registro[])</f>
        <v>625</v>
      </c>
      <c r="C2004" s="15">
        <f>IF(Categorias_Registro[[#This Row],[Puntos]]&lt;=ROUND(Piso,0),Piso,IF(Categorias_Registro[[#This Row],[Puntos]]&lt;D2005,C2005,D2005+1))</f>
        <v>617</v>
      </c>
      <c r="D2004" s="15">
        <f>IF(Categorias_Registro[[#This Row],[Puntos]]=ROUND(Piso,0),ROUND(Categorias_Registro[[#This Row],[Puntos]]*(1+Categorias_Registro[[#This Row],[Amplitud]]),0),IF(Categorias_Registro[[#This Row],[Puntos]]&lt;D2005,D2005,ROUND(D2005*(1+Categorias_Registro[[#This Row],[Amplitud]]),0)))</f>
        <v>708</v>
      </c>
      <c r="E2004" s="15">
        <f>E2005+IF(D2005=Categorias_Registro[[#This Row],[Máximo]],0,1)</f>
        <v>15</v>
      </c>
      <c r="F2004" s="15">
        <f>ROUND(Categorias_Registro[[#This Row],[Mínimo]]+((Categorias_Registro[[#This Row],[Máximo]]-Categorias_Registro[[#This Row],[Mínimo]])/2),0)</f>
        <v>663</v>
      </c>
      <c r="G2004" s="78">
        <f>VLOOKUP(Categorias_Registro[[#This Row],[Puntos]],Categorias_Configuracion[],MATCH(Categorias_Configuracion[[#Headers],[% Amplitud]],Categorias_Configuracion[#Headers],0),TRUE)</f>
        <v>0.15</v>
      </c>
      <c r="H2004" s="15" t="str">
        <f ca="1">TEXT(Categorias_Registro[[#This Row],[Mínimo]],Formato_Rango_Categorias)&amp;" - "&amp;TEXT(Categorias_Registro[[#This Row],[Máximo]],Formato_Rango_Categorias)</f>
        <v>617 - 708</v>
      </c>
    </row>
    <row r="2005" spans="2:8">
      <c r="B2005" s="15">
        <f>Techo - ROW() + ROW(Categorias_Registro[])</f>
        <v>624</v>
      </c>
      <c r="C2005" s="15">
        <f>IF(Categorias_Registro[[#This Row],[Puntos]]&lt;=ROUND(Piso,0),Piso,IF(Categorias_Registro[[#This Row],[Puntos]]&lt;D2006,C2006,D2006+1))</f>
        <v>617</v>
      </c>
      <c r="D2005" s="15">
        <f>IF(Categorias_Registro[[#This Row],[Puntos]]=ROUND(Piso,0),ROUND(Categorias_Registro[[#This Row],[Puntos]]*(1+Categorias_Registro[[#This Row],[Amplitud]]),0),IF(Categorias_Registro[[#This Row],[Puntos]]&lt;D2006,D2006,ROUND(D2006*(1+Categorias_Registro[[#This Row],[Amplitud]]),0)))</f>
        <v>708</v>
      </c>
      <c r="E2005" s="15">
        <f>E2006+IF(D2006=Categorias_Registro[[#This Row],[Máximo]],0,1)</f>
        <v>15</v>
      </c>
      <c r="F2005" s="15">
        <f>ROUND(Categorias_Registro[[#This Row],[Mínimo]]+((Categorias_Registro[[#This Row],[Máximo]]-Categorias_Registro[[#This Row],[Mínimo]])/2),0)</f>
        <v>663</v>
      </c>
      <c r="G2005" s="78">
        <f>VLOOKUP(Categorias_Registro[[#This Row],[Puntos]],Categorias_Configuracion[],MATCH(Categorias_Configuracion[[#Headers],[% Amplitud]],Categorias_Configuracion[#Headers],0),TRUE)</f>
        <v>0.15</v>
      </c>
      <c r="H2005" s="15" t="str">
        <f ca="1">TEXT(Categorias_Registro[[#This Row],[Mínimo]],Formato_Rango_Categorias)&amp;" - "&amp;TEXT(Categorias_Registro[[#This Row],[Máximo]],Formato_Rango_Categorias)</f>
        <v>617 - 708</v>
      </c>
    </row>
    <row r="2006" spans="2:8">
      <c r="B2006" s="15">
        <f>Techo - ROW() + ROW(Categorias_Registro[])</f>
        <v>623</v>
      </c>
      <c r="C2006" s="15">
        <f>IF(Categorias_Registro[[#This Row],[Puntos]]&lt;=ROUND(Piso,0),Piso,IF(Categorias_Registro[[#This Row],[Puntos]]&lt;D2007,C2007,D2007+1))</f>
        <v>617</v>
      </c>
      <c r="D2006" s="15">
        <f>IF(Categorias_Registro[[#This Row],[Puntos]]=ROUND(Piso,0),ROUND(Categorias_Registro[[#This Row],[Puntos]]*(1+Categorias_Registro[[#This Row],[Amplitud]]),0),IF(Categorias_Registro[[#This Row],[Puntos]]&lt;D2007,D2007,ROUND(D2007*(1+Categorias_Registro[[#This Row],[Amplitud]]),0)))</f>
        <v>708</v>
      </c>
      <c r="E2006" s="15">
        <f>E2007+IF(D2007=Categorias_Registro[[#This Row],[Máximo]],0,1)</f>
        <v>15</v>
      </c>
      <c r="F2006" s="15">
        <f>ROUND(Categorias_Registro[[#This Row],[Mínimo]]+((Categorias_Registro[[#This Row],[Máximo]]-Categorias_Registro[[#This Row],[Mínimo]])/2),0)</f>
        <v>663</v>
      </c>
      <c r="G2006" s="78">
        <f>VLOOKUP(Categorias_Registro[[#This Row],[Puntos]],Categorias_Configuracion[],MATCH(Categorias_Configuracion[[#Headers],[% Amplitud]],Categorias_Configuracion[#Headers],0),TRUE)</f>
        <v>0.15</v>
      </c>
      <c r="H2006" s="15" t="str">
        <f ca="1">TEXT(Categorias_Registro[[#This Row],[Mínimo]],Formato_Rango_Categorias)&amp;" - "&amp;TEXT(Categorias_Registro[[#This Row],[Máximo]],Formato_Rango_Categorias)</f>
        <v>617 - 708</v>
      </c>
    </row>
    <row r="2007" spans="2:8">
      <c r="B2007" s="15">
        <f>Techo - ROW() + ROW(Categorias_Registro[])</f>
        <v>622</v>
      </c>
      <c r="C2007" s="15">
        <f>IF(Categorias_Registro[[#This Row],[Puntos]]&lt;=ROUND(Piso,0),Piso,IF(Categorias_Registro[[#This Row],[Puntos]]&lt;D2008,C2008,D2008+1))</f>
        <v>617</v>
      </c>
      <c r="D2007" s="15">
        <f>IF(Categorias_Registro[[#This Row],[Puntos]]=ROUND(Piso,0),ROUND(Categorias_Registro[[#This Row],[Puntos]]*(1+Categorias_Registro[[#This Row],[Amplitud]]),0),IF(Categorias_Registro[[#This Row],[Puntos]]&lt;D2008,D2008,ROUND(D2008*(1+Categorias_Registro[[#This Row],[Amplitud]]),0)))</f>
        <v>708</v>
      </c>
      <c r="E2007" s="15">
        <f>E2008+IF(D2008=Categorias_Registro[[#This Row],[Máximo]],0,1)</f>
        <v>15</v>
      </c>
      <c r="F2007" s="15">
        <f>ROUND(Categorias_Registro[[#This Row],[Mínimo]]+((Categorias_Registro[[#This Row],[Máximo]]-Categorias_Registro[[#This Row],[Mínimo]])/2),0)</f>
        <v>663</v>
      </c>
      <c r="G2007" s="78">
        <f>VLOOKUP(Categorias_Registro[[#This Row],[Puntos]],Categorias_Configuracion[],MATCH(Categorias_Configuracion[[#Headers],[% Amplitud]],Categorias_Configuracion[#Headers],0),TRUE)</f>
        <v>0.15</v>
      </c>
      <c r="H2007" s="15" t="str">
        <f ca="1">TEXT(Categorias_Registro[[#This Row],[Mínimo]],Formato_Rango_Categorias)&amp;" - "&amp;TEXT(Categorias_Registro[[#This Row],[Máximo]],Formato_Rango_Categorias)</f>
        <v>617 - 708</v>
      </c>
    </row>
    <row r="2008" spans="2:8">
      <c r="B2008" s="15">
        <f>Techo - ROW() + ROW(Categorias_Registro[])</f>
        <v>621</v>
      </c>
      <c r="C2008" s="15">
        <f>IF(Categorias_Registro[[#This Row],[Puntos]]&lt;=ROUND(Piso,0),Piso,IF(Categorias_Registro[[#This Row],[Puntos]]&lt;D2009,C2009,D2009+1))</f>
        <v>617</v>
      </c>
      <c r="D2008" s="15">
        <f>IF(Categorias_Registro[[#This Row],[Puntos]]=ROUND(Piso,0),ROUND(Categorias_Registro[[#This Row],[Puntos]]*(1+Categorias_Registro[[#This Row],[Amplitud]]),0),IF(Categorias_Registro[[#This Row],[Puntos]]&lt;D2009,D2009,ROUND(D2009*(1+Categorias_Registro[[#This Row],[Amplitud]]),0)))</f>
        <v>708</v>
      </c>
      <c r="E2008" s="15">
        <f>E2009+IF(D2009=Categorias_Registro[[#This Row],[Máximo]],0,1)</f>
        <v>15</v>
      </c>
      <c r="F2008" s="15">
        <f>ROUND(Categorias_Registro[[#This Row],[Mínimo]]+((Categorias_Registro[[#This Row],[Máximo]]-Categorias_Registro[[#This Row],[Mínimo]])/2),0)</f>
        <v>663</v>
      </c>
      <c r="G2008" s="78">
        <f>VLOOKUP(Categorias_Registro[[#This Row],[Puntos]],Categorias_Configuracion[],MATCH(Categorias_Configuracion[[#Headers],[% Amplitud]],Categorias_Configuracion[#Headers],0),TRUE)</f>
        <v>0.15</v>
      </c>
      <c r="H2008" s="15" t="str">
        <f ca="1">TEXT(Categorias_Registro[[#This Row],[Mínimo]],Formato_Rango_Categorias)&amp;" - "&amp;TEXT(Categorias_Registro[[#This Row],[Máximo]],Formato_Rango_Categorias)</f>
        <v>617 - 708</v>
      </c>
    </row>
    <row r="2009" spans="2:8">
      <c r="B2009" s="15">
        <f>Techo - ROW() + ROW(Categorias_Registro[])</f>
        <v>620</v>
      </c>
      <c r="C2009" s="15">
        <f>IF(Categorias_Registro[[#This Row],[Puntos]]&lt;=ROUND(Piso,0),Piso,IF(Categorias_Registro[[#This Row],[Puntos]]&lt;D2010,C2010,D2010+1))</f>
        <v>617</v>
      </c>
      <c r="D2009" s="15">
        <f>IF(Categorias_Registro[[#This Row],[Puntos]]=ROUND(Piso,0),ROUND(Categorias_Registro[[#This Row],[Puntos]]*(1+Categorias_Registro[[#This Row],[Amplitud]]),0),IF(Categorias_Registro[[#This Row],[Puntos]]&lt;D2010,D2010,ROUND(D2010*(1+Categorias_Registro[[#This Row],[Amplitud]]),0)))</f>
        <v>708</v>
      </c>
      <c r="E2009" s="15">
        <f>E2010+IF(D2010=Categorias_Registro[[#This Row],[Máximo]],0,1)</f>
        <v>15</v>
      </c>
      <c r="F2009" s="15">
        <f>ROUND(Categorias_Registro[[#This Row],[Mínimo]]+((Categorias_Registro[[#This Row],[Máximo]]-Categorias_Registro[[#This Row],[Mínimo]])/2),0)</f>
        <v>663</v>
      </c>
      <c r="G2009" s="78">
        <f>VLOOKUP(Categorias_Registro[[#This Row],[Puntos]],Categorias_Configuracion[],MATCH(Categorias_Configuracion[[#Headers],[% Amplitud]],Categorias_Configuracion[#Headers],0),TRUE)</f>
        <v>0.15</v>
      </c>
      <c r="H2009" s="15" t="str">
        <f ca="1">TEXT(Categorias_Registro[[#This Row],[Mínimo]],Formato_Rango_Categorias)&amp;" - "&amp;TEXT(Categorias_Registro[[#This Row],[Máximo]],Formato_Rango_Categorias)</f>
        <v>617 - 708</v>
      </c>
    </row>
    <row r="2010" spans="2:8">
      <c r="B2010" s="15">
        <f>Techo - ROW() + ROW(Categorias_Registro[])</f>
        <v>619</v>
      </c>
      <c r="C2010" s="15">
        <f>IF(Categorias_Registro[[#This Row],[Puntos]]&lt;=ROUND(Piso,0),Piso,IF(Categorias_Registro[[#This Row],[Puntos]]&lt;D2011,C2011,D2011+1))</f>
        <v>617</v>
      </c>
      <c r="D2010" s="15">
        <f>IF(Categorias_Registro[[#This Row],[Puntos]]=ROUND(Piso,0),ROUND(Categorias_Registro[[#This Row],[Puntos]]*(1+Categorias_Registro[[#This Row],[Amplitud]]),0),IF(Categorias_Registro[[#This Row],[Puntos]]&lt;D2011,D2011,ROUND(D2011*(1+Categorias_Registro[[#This Row],[Amplitud]]),0)))</f>
        <v>708</v>
      </c>
      <c r="E2010" s="15">
        <f>E2011+IF(D2011=Categorias_Registro[[#This Row],[Máximo]],0,1)</f>
        <v>15</v>
      </c>
      <c r="F2010" s="15">
        <f>ROUND(Categorias_Registro[[#This Row],[Mínimo]]+((Categorias_Registro[[#This Row],[Máximo]]-Categorias_Registro[[#This Row],[Mínimo]])/2),0)</f>
        <v>663</v>
      </c>
      <c r="G2010" s="78">
        <f>VLOOKUP(Categorias_Registro[[#This Row],[Puntos]],Categorias_Configuracion[],MATCH(Categorias_Configuracion[[#Headers],[% Amplitud]],Categorias_Configuracion[#Headers],0),TRUE)</f>
        <v>0.15</v>
      </c>
      <c r="H2010" s="15" t="str">
        <f ca="1">TEXT(Categorias_Registro[[#This Row],[Mínimo]],Formato_Rango_Categorias)&amp;" - "&amp;TEXT(Categorias_Registro[[#This Row],[Máximo]],Formato_Rango_Categorias)</f>
        <v>617 - 708</v>
      </c>
    </row>
    <row r="2011" spans="2:8">
      <c r="B2011" s="15">
        <f>Techo - ROW() + ROW(Categorias_Registro[])</f>
        <v>618</v>
      </c>
      <c r="C2011" s="15">
        <f>IF(Categorias_Registro[[#This Row],[Puntos]]&lt;=ROUND(Piso,0),Piso,IF(Categorias_Registro[[#This Row],[Puntos]]&lt;D2012,C2012,D2012+1))</f>
        <v>617</v>
      </c>
      <c r="D2011" s="15">
        <f>IF(Categorias_Registro[[#This Row],[Puntos]]=ROUND(Piso,0),ROUND(Categorias_Registro[[#This Row],[Puntos]]*(1+Categorias_Registro[[#This Row],[Amplitud]]),0),IF(Categorias_Registro[[#This Row],[Puntos]]&lt;D2012,D2012,ROUND(D2012*(1+Categorias_Registro[[#This Row],[Amplitud]]),0)))</f>
        <v>708</v>
      </c>
      <c r="E2011" s="15">
        <f>E2012+IF(D2012=Categorias_Registro[[#This Row],[Máximo]],0,1)</f>
        <v>15</v>
      </c>
      <c r="F2011" s="15">
        <f>ROUND(Categorias_Registro[[#This Row],[Mínimo]]+((Categorias_Registro[[#This Row],[Máximo]]-Categorias_Registro[[#This Row],[Mínimo]])/2),0)</f>
        <v>663</v>
      </c>
      <c r="G2011" s="78">
        <f>VLOOKUP(Categorias_Registro[[#This Row],[Puntos]],Categorias_Configuracion[],MATCH(Categorias_Configuracion[[#Headers],[% Amplitud]],Categorias_Configuracion[#Headers],0),TRUE)</f>
        <v>0.15</v>
      </c>
      <c r="H2011" s="15" t="str">
        <f ca="1">TEXT(Categorias_Registro[[#This Row],[Mínimo]],Formato_Rango_Categorias)&amp;" - "&amp;TEXT(Categorias_Registro[[#This Row],[Máximo]],Formato_Rango_Categorias)</f>
        <v>617 - 708</v>
      </c>
    </row>
    <row r="2012" spans="2:8">
      <c r="B2012" s="15">
        <f>Techo - ROW() + ROW(Categorias_Registro[])</f>
        <v>617</v>
      </c>
      <c r="C2012" s="15">
        <f>IF(Categorias_Registro[[#This Row],[Puntos]]&lt;=ROUND(Piso,0),Piso,IF(Categorias_Registro[[#This Row],[Puntos]]&lt;D2013,C2013,D2013+1))</f>
        <v>617</v>
      </c>
      <c r="D2012" s="15">
        <f>IF(Categorias_Registro[[#This Row],[Puntos]]=ROUND(Piso,0),ROUND(Categorias_Registro[[#This Row],[Puntos]]*(1+Categorias_Registro[[#This Row],[Amplitud]]),0),IF(Categorias_Registro[[#This Row],[Puntos]]&lt;D2013,D2013,ROUND(D2013*(1+Categorias_Registro[[#This Row],[Amplitud]]),0)))</f>
        <v>708</v>
      </c>
      <c r="E2012" s="15">
        <f>E2013+IF(D2013=Categorias_Registro[[#This Row],[Máximo]],0,1)</f>
        <v>15</v>
      </c>
      <c r="F2012" s="15">
        <f>ROUND(Categorias_Registro[[#This Row],[Mínimo]]+((Categorias_Registro[[#This Row],[Máximo]]-Categorias_Registro[[#This Row],[Mínimo]])/2),0)</f>
        <v>663</v>
      </c>
      <c r="G2012" s="78">
        <f>VLOOKUP(Categorias_Registro[[#This Row],[Puntos]],Categorias_Configuracion[],MATCH(Categorias_Configuracion[[#Headers],[% Amplitud]],Categorias_Configuracion[#Headers],0),TRUE)</f>
        <v>0.15</v>
      </c>
      <c r="H2012" s="15" t="str">
        <f ca="1">TEXT(Categorias_Registro[[#This Row],[Mínimo]],Formato_Rango_Categorias)&amp;" - "&amp;TEXT(Categorias_Registro[[#This Row],[Máximo]],Formato_Rango_Categorias)</f>
        <v>617 - 708</v>
      </c>
    </row>
    <row r="2013" spans="2:8">
      <c r="B2013" s="15">
        <f>Techo - ROW() + ROW(Categorias_Registro[])</f>
        <v>616</v>
      </c>
      <c r="C2013" s="15">
        <f>IF(Categorias_Registro[[#This Row],[Puntos]]&lt;=ROUND(Piso,0),Piso,IF(Categorias_Registro[[#This Row],[Puntos]]&lt;D2014,C2014,D2014+1))</f>
        <v>617</v>
      </c>
      <c r="D2013" s="15">
        <f>IF(Categorias_Registro[[#This Row],[Puntos]]=ROUND(Piso,0),ROUND(Categorias_Registro[[#This Row],[Puntos]]*(1+Categorias_Registro[[#This Row],[Amplitud]]),0),IF(Categorias_Registro[[#This Row],[Puntos]]&lt;D2014,D2014,ROUND(D2014*(1+Categorias_Registro[[#This Row],[Amplitud]]),0)))</f>
        <v>708</v>
      </c>
      <c r="E2013" s="15">
        <f>E2014+IF(D2014=Categorias_Registro[[#This Row],[Máximo]],0,1)</f>
        <v>15</v>
      </c>
      <c r="F2013" s="15">
        <f>ROUND(Categorias_Registro[[#This Row],[Mínimo]]+((Categorias_Registro[[#This Row],[Máximo]]-Categorias_Registro[[#This Row],[Mínimo]])/2),0)</f>
        <v>663</v>
      </c>
      <c r="G2013" s="78">
        <f>VLOOKUP(Categorias_Registro[[#This Row],[Puntos]],Categorias_Configuracion[],MATCH(Categorias_Configuracion[[#Headers],[% Amplitud]],Categorias_Configuracion[#Headers],0),TRUE)</f>
        <v>0.15</v>
      </c>
      <c r="H2013" s="15" t="str">
        <f ca="1">TEXT(Categorias_Registro[[#This Row],[Mínimo]],Formato_Rango_Categorias)&amp;" - "&amp;TEXT(Categorias_Registro[[#This Row],[Máximo]],Formato_Rango_Categorias)</f>
        <v>617 - 708</v>
      </c>
    </row>
    <row r="2014" spans="2:8">
      <c r="B2014" s="15">
        <f>Techo - ROW() + ROW(Categorias_Registro[])</f>
        <v>615</v>
      </c>
      <c r="C2014" s="15">
        <f>IF(Categorias_Registro[[#This Row],[Puntos]]&lt;=ROUND(Piso,0),Piso,IF(Categorias_Registro[[#This Row],[Puntos]]&lt;D2015,C2015,D2015+1))</f>
        <v>537</v>
      </c>
      <c r="D2014" s="15">
        <f>IF(Categorias_Registro[[#This Row],[Puntos]]=ROUND(Piso,0),ROUND(Categorias_Registro[[#This Row],[Puntos]]*(1+Categorias_Registro[[#This Row],[Amplitud]]),0),IF(Categorias_Registro[[#This Row],[Puntos]]&lt;D2015,D2015,ROUND(D2015*(1+Categorias_Registro[[#This Row],[Amplitud]]),0)))</f>
        <v>616</v>
      </c>
      <c r="E2014" s="15">
        <f>E2015+IF(D2015=Categorias_Registro[[#This Row],[Máximo]],0,1)</f>
        <v>14</v>
      </c>
      <c r="F2014" s="15">
        <f>ROUND(Categorias_Registro[[#This Row],[Mínimo]]+((Categorias_Registro[[#This Row],[Máximo]]-Categorias_Registro[[#This Row],[Mínimo]])/2),0)</f>
        <v>577</v>
      </c>
      <c r="G2014" s="78">
        <f>VLOOKUP(Categorias_Registro[[#This Row],[Puntos]],Categorias_Configuracion[],MATCH(Categorias_Configuracion[[#Headers],[% Amplitud]],Categorias_Configuracion[#Headers],0),TRUE)</f>
        <v>0.15</v>
      </c>
      <c r="H2014" s="15" t="str">
        <f ca="1">TEXT(Categorias_Registro[[#This Row],[Mínimo]],Formato_Rango_Categorias)&amp;" - "&amp;TEXT(Categorias_Registro[[#This Row],[Máximo]],Formato_Rango_Categorias)</f>
        <v>537 - 616</v>
      </c>
    </row>
    <row r="2015" spans="2:8">
      <c r="B2015" s="15">
        <f>Techo - ROW() + ROW(Categorias_Registro[])</f>
        <v>614</v>
      </c>
      <c r="C2015" s="15">
        <f>IF(Categorias_Registro[[#This Row],[Puntos]]&lt;=ROUND(Piso,0),Piso,IF(Categorias_Registro[[#This Row],[Puntos]]&lt;D2016,C2016,D2016+1))</f>
        <v>537</v>
      </c>
      <c r="D2015" s="15">
        <f>IF(Categorias_Registro[[#This Row],[Puntos]]=ROUND(Piso,0),ROUND(Categorias_Registro[[#This Row],[Puntos]]*(1+Categorias_Registro[[#This Row],[Amplitud]]),0),IF(Categorias_Registro[[#This Row],[Puntos]]&lt;D2016,D2016,ROUND(D2016*(1+Categorias_Registro[[#This Row],[Amplitud]]),0)))</f>
        <v>616</v>
      </c>
      <c r="E2015" s="15">
        <f>E2016+IF(D2016=Categorias_Registro[[#This Row],[Máximo]],0,1)</f>
        <v>14</v>
      </c>
      <c r="F2015" s="15">
        <f>ROUND(Categorias_Registro[[#This Row],[Mínimo]]+((Categorias_Registro[[#This Row],[Máximo]]-Categorias_Registro[[#This Row],[Mínimo]])/2),0)</f>
        <v>577</v>
      </c>
      <c r="G2015" s="78">
        <f>VLOOKUP(Categorias_Registro[[#This Row],[Puntos]],Categorias_Configuracion[],MATCH(Categorias_Configuracion[[#Headers],[% Amplitud]],Categorias_Configuracion[#Headers],0),TRUE)</f>
        <v>0.15</v>
      </c>
      <c r="H2015" s="15" t="str">
        <f ca="1">TEXT(Categorias_Registro[[#This Row],[Mínimo]],Formato_Rango_Categorias)&amp;" - "&amp;TEXT(Categorias_Registro[[#This Row],[Máximo]],Formato_Rango_Categorias)</f>
        <v>537 - 616</v>
      </c>
    </row>
    <row r="2016" spans="2:8">
      <c r="B2016" s="15">
        <f>Techo - ROW() + ROW(Categorias_Registro[])</f>
        <v>613</v>
      </c>
      <c r="C2016" s="15">
        <f>IF(Categorias_Registro[[#This Row],[Puntos]]&lt;=ROUND(Piso,0),Piso,IF(Categorias_Registro[[#This Row],[Puntos]]&lt;D2017,C2017,D2017+1))</f>
        <v>537</v>
      </c>
      <c r="D2016" s="15">
        <f>IF(Categorias_Registro[[#This Row],[Puntos]]=ROUND(Piso,0),ROUND(Categorias_Registro[[#This Row],[Puntos]]*(1+Categorias_Registro[[#This Row],[Amplitud]]),0),IF(Categorias_Registro[[#This Row],[Puntos]]&lt;D2017,D2017,ROUND(D2017*(1+Categorias_Registro[[#This Row],[Amplitud]]),0)))</f>
        <v>616</v>
      </c>
      <c r="E2016" s="15">
        <f>E2017+IF(D2017=Categorias_Registro[[#This Row],[Máximo]],0,1)</f>
        <v>14</v>
      </c>
      <c r="F2016" s="15">
        <f>ROUND(Categorias_Registro[[#This Row],[Mínimo]]+((Categorias_Registro[[#This Row],[Máximo]]-Categorias_Registro[[#This Row],[Mínimo]])/2),0)</f>
        <v>577</v>
      </c>
      <c r="G2016" s="78">
        <f>VLOOKUP(Categorias_Registro[[#This Row],[Puntos]],Categorias_Configuracion[],MATCH(Categorias_Configuracion[[#Headers],[% Amplitud]],Categorias_Configuracion[#Headers],0),TRUE)</f>
        <v>0.15</v>
      </c>
      <c r="H2016" s="15" t="str">
        <f ca="1">TEXT(Categorias_Registro[[#This Row],[Mínimo]],Formato_Rango_Categorias)&amp;" - "&amp;TEXT(Categorias_Registro[[#This Row],[Máximo]],Formato_Rango_Categorias)</f>
        <v>537 - 616</v>
      </c>
    </row>
    <row r="2017" spans="2:8">
      <c r="B2017" s="15">
        <f>Techo - ROW() + ROW(Categorias_Registro[])</f>
        <v>612</v>
      </c>
      <c r="C2017" s="15">
        <f>IF(Categorias_Registro[[#This Row],[Puntos]]&lt;=ROUND(Piso,0),Piso,IF(Categorias_Registro[[#This Row],[Puntos]]&lt;D2018,C2018,D2018+1))</f>
        <v>537</v>
      </c>
      <c r="D2017" s="15">
        <f>IF(Categorias_Registro[[#This Row],[Puntos]]=ROUND(Piso,0),ROUND(Categorias_Registro[[#This Row],[Puntos]]*(1+Categorias_Registro[[#This Row],[Amplitud]]),0),IF(Categorias_Registro[[#This Row],[Puntos]]&lt;D2018,D2018,ROUND(D2018*(1+Categorias_Registro[[#This Row],[Amplitud]]),0)))</f>
        <v>616</v>
      </c>
      <c r="E2017" s="15">
        <f>E2018+IF(D2018=Categorias_Registro[[#This Row],[Máximo]],0,1)</f>
        <v>14</v>
      </c>
      <c r="F2017" s="15">
        <f>ROUND(Categorias_Registro[[#This Row],[Mínimo]]+((Categorias_Registro[[#This Row],[Máximo]]-Categorias_Registro[[#This Row],[Mínimo]])/2),0)</f>
        <v>577</v>
      </c>
      <c r="G2017" s="78">
        <f>VLOOKUP(Categorias_Registro[[#This Row],[Puntos]],Categorias_Configuracion[],MATCH(Categorias_Configuracion[[#Headers],[% Amplitud]],Categorias_Configuracion[#Headers],0),TRUE)</f>
        <v>0.15</v>
      </c>
      <c r="H2017" s="15" t="str">
        <f ca="1">TEXT(Categorias_Registro[[#This Row],[Mínimo]],Formato_Rango_Categorias)&amp;" - "&amp;TEXT(Categorias_Registro[[#This Row],[Máximo]],Formato_Rango_Categorias)</f>
        <v>537 - 616</v>
      </c>
    </row>
    <row r="2018" spans="2:8">
      <c r="B2018" s="15">
        <f>Techo - ROW() + ROW(Categorias_Registro[])</f>
        <v>611</v>
      </c>
      <c r="C2018" s="15">
        <f>IF(Categorias_Registro[[#This Row],[Puntos]]&lt;=ROUND(Piso,0),Piso,IF(Categorias_Registro[[#This Row],[Puntos]]&lt;D2019,C2019,D2019+1))</f>
        <v>537</v>
      </c>
      <c r="D2018" s="15">
        <f>IF(Categorias_Registro[[#This Row],[Puntos]]=ROUND(Piso,0),ROUND(Categorias_Registro[[#This Row],[Puntos]]*(1+Categorias_Registro[[#This Row],[Amplitud]]),0),IF(Categorias_Registro[[#This Row],[Puntos]]&lt;D2019,D2019,ROUND(D2019*(1+Categorias_Registro[[#This Row],[Amplitud]]),0)))</f>
        <v>616</v>
      </c>
      <c r="E2018" s="15">
        <f>E2019+IF(D2019=Categorias_Registro[[#This Row],[Máximo]],0,1)</f>
        <v>14</v>
      </c>
      <c r="F2018" s="15">
        <f>ROUND(Categorias_Registro[[#This Row],[Mínimo]]+((Categorias_Registro[[#This Row],[Máximo]]-Categorias_Registro[[#This Row],[Mínimo]])/2),0)</f>
        <v>577</v>
      </c>
      <c r="G2018" s="78">
        <f>VLOOKUP(Categorias_Registro[[#This Row],[Puntos]],Categorias_Configuracion[],MATCH(Categorias_Configuracion[[#Headers],[% Amplitud]],Categorias_Configuracion[#Headers],0),TRUE)</f>
        <v>0.15</v>
      </c>
      <c r="H2018" s="15" t="str">
        <f ca="1">TEXT(Categorias_Registro[[#This Row],[Mínimo]],Formato_Rango_Categorias)&amp;" - "&amp;TEXT(Categorias_Registro[[#This Row],[Máximo]],Formato_Rango_Categorias)</f>
        <v>537 - 616</v>
      </c>
    </row>
    <row r="2019" spans="2:8">
      <c r="B2019" s="15">
        <f>Techo - ROW() + ROW(Categorias_Registro[])</f>
        <v>610</v>
      </c>
      <c r="C2019" s="15">
        <f>IF(Categorias_Registro[[#This Row],[Puntos]]&lt;=ROUND(Piso,0),Piso,IF(Categorias_Registro[[#This Row],[Puntos]]&lt;D2020,C2020,D2020+1))</f>
        <v>537</v>
      </c>
      <c r="D2019" s="15">
        <f>IF(Categorias_Registro[[#This Row],[Puntos]]=ROUND(Piso,0),ROUND(Categorias_Registro[[#This Row],[Puntos]]*(1+Categorias_Registro[[#This Row],[Amplitud]]),0),IF(Categorias_Registro[[#This Row],[Puntos]]&lt;D2020,D2020,ROUND(D2020*(1+Categorias_Registro[[#This Row],[Amplitud]]),0)))</f>
        <v>616</v>
      </c>
      <c r="E2019" s="15">
        <f>E2020+IF(D2020=Categorias_Registro[[#This Row],[Máximo]],0,1)</f>
        <v>14</v>
      </c>
      <c r="F2019" s="15">
        <f>ROUND(Categorias_Registro[[#This Row],[Mínimo]]+((Categorias_Registro[[#This Row],[Máximo]]-Categorias_Registro[[#This Row],[Mínimo]])/2),0)</f>
        <v>577</v>
      </c>
      <c r="G2019" s="78">
        <f>VLOOKUP(Categorias_Registro[[#This Row],[Puntos]],Categorias_Configuracion[],MATCH(Categorias_Configuracion[[#Headers],[% Amplitud]],Categorias_Configuracion[#Headers],0),TRUE)</f>
        <v>0.15</v>
      </c>
      <c r="H2019" s="15" t="str">
        <f ca="1">TEXT(Categorias_Registro[[#This Row],[Mínimo]],Formato_Rango_Categorias)&amp;" - "&amp;TEXT(Categorias_Registro[[#This Row],[Máximo]],Formato_Rango_Categorias)</f>
        <v>537 - 616</v>
      </c>
    </row>
    <row r="2020" spans="2:8">
      <c r="B2020" s="15">
        <f>Techo - ROW() + ROW(Categorias_Registro[])</f>
        <v>609</v>
      </c>
      <c r="C2020" s="15">
        <f>IF(Categorias_Registro[[#This Row],[Puntos]]&lt;=ROUND(Piso,0),Piso,IF(Categorias_Registro[[#This Row],[Puntos]]&lt;D2021,C2021,D2021+1))</f>
        <v>537</v>
      </c>
      <c r="D2020" s="15">
        <f>IF(Categorias_Registro[[#This Row],[Puntos]]=ROUND(Piso,0),ROUND(Categorias_Registro[[#This Row],[Puntos]]*(1+Categorias_Registro[[#This Row],[Amplitud]]),0),IF(Categorias_Registro[[#This Row],[Puntos]]&lt;D2021,D2021,ROUND(D2021*(1+Categorias_Registro[[#This Row],[Amplitud]]),0)))</f>
        <v>616</v>
      </c>
      <c r="E2020" s="15">
        <f>E2021+IF(D2021=Categorias_Registro[[#This Row],[Máximo]],0,1)</f>
        <v>14</v>
      </c>
      <c r="F2020" s="15">
        <f>ROUND(Categorias_Registro[[#This Row],[Mínimo]]+((Categorias_Registro[[#This Row],[Máximo]]-Categorias_Registro[[#This Row],[Mínimo]])/2),0)</f>
        <v>577</v>
      </c>
      <c r="G2020" s="78">
        <f>VLOOKUP(Categorias_Registro[[#This Row],[Puntos]],Categorias_Configuracion[],MATCH(Categorias_Configuracion[[#Headers],[% Amplitud]],Categorias_Configuracion[#Headers],0),TRUE)</f>
        <v>0.15</v>
      </c>
      <c r="H2020" s="15" t="str">
        <f ca="1">TEXT(Categorias_Registro[[#This Row],[Mínimo]],Formato_Rango_Categorias)&amp;" - "&amp;TEXT(Categorias_Registro[[#This Row],[Máximo]],Formato_Rango_Categorias)</f>
        <v>537 - 616</v>
      </c>
    </row>
    <row r="2021" spans="2:8">
      <c r="B2021" s="15">
        <f>Techo - ROW() + ROW(Categorias_Registro[])</f>
        <v>608</v>
      </c>
      <c r="C2021" s="15">
        <f>IF(Categorias_Registro[[#This Row],[Puntos]]&lt;=ROUND(Piso,0),Piso,IF(Categorias_Registro[[#This Row],[Puntos]]&lt;D2022,C2022,D2022+1))</f>
        <v>537</v>
      </c>
      <c r="D2021" s="15">
        <f>IF(Categorias_Registro[[#This Row],[Puntos]]=ROUND(Piso,0),ROUND(Categorias_Registro[[#This Row],[Puntos]]*(1+Categorias_Registro[[#This Row],[Amplitud]]),0),IF(Categorias_Registro[[#This Row],[Puntos]]&lt;D2022,D2022,ROUND(D2022*(1+Categorias_Registro[[#This Row],[Amplitud]]),0)))</f>
        <v>616</v>
      </c>
      <c r="E2021" s="15">
        <f>E2022+IF(D2022=Categorias_Registro[[#This Row],[Máximo]],0,1)</f>
        <v>14</v>
      </c>
      <c r="F2021" s="15">
        <f>ROUND(Categorias_Registro[[#This Row],[Mínimo]]+((Categorias_Registro[[#This Row],[Máximo]]-Categorias_Registro[[#This Row],[Mínimo]])/2),0)</f>
        <v>577</v>
      </c>
      <c r="G2021" s="78">
        <f>VLOOKUP(Categorias_Registro[[#This Row],[Puntos]],Categorias_Configuracion[],MATCH(Categorias_Configuracion[[#Headers],[% Amplitud]],Categorias_Configuracion[#Headers],0),TRUE)</f>
        <v>0.15</v>
      </c>
      <c r="H2021" s="15" t="str">
        <f ca="1">TEXT(Categorias_Registro[[#This Row],[Mínimo]],Formato_Rango_Categorias)&amp;" - "&amp;TEXT(Categorias_Registro[[#This Row],[Máximo]],Formato_Rango_Categorias)</f>
        <v>537 - 616</v>
      </c>
    </row>
    <row r="2022" spans="2:8">
      <c r="B2022" s="15">
        <f>Techo - ROW() + ROW(Categorias_Registro[])</f>
        <v>607</v>
      </c>
      <c r="C2022" s="15">
        <f>IF(Categorias_Registro[[#This Row],[Puntos]]&lt;=ROUND(Piso,0),Piso,IF(Categorias_Registro[[#This Row],[Puntos]]&lt;D2023,C2023,D2023+1))</f>
        <v>537</v>
      </c>
      <c r="D2022" s="15">
        <f>IF(Categorias_Registro[[#This Row],[Puntos]]=ROUND(Piso,0),ROUND(Categorias_Registro[[#This Row],[Puntos]]*(1+Categorias_Registro[[#This Row],[Amplitud]]),0),IF(Categorias_Registro[[#This Row],[Puntos]]&lt;D2023,D2023,ROUND(D2023*(1+Categorias_Registro[[#This Row],[Amplitud]]),0)))</f>
        <v>616</v>
      </c>
      <c r="E2022" s="15">
        <f>E2023+IF(D2023=Categorias_Registro[[#This Row],[Máximo]],0,1)</f>
        <v>14</v>
      </c>
      <c r="F2022" s="15">
        <f>ROUND(Categorias_Registro[[#This Row],[Mínimo]]+((Categorias_Registro[[#This Row],[Máximo]]-Categorias_Registro[[#This Row],[Mínimo]])/2),0)</f>
        <v>577</v>
      </c>
      <c r="G2022" s="78">
        <f>VLOOKUP(Categorias_Registro[[#This Row],[Puntos]],Categorias_Configuracion[],MATCH(Categorias_Configuracion[[#Headers],[% Amplitud]],Categorias_Configuracion[#Headers],0),TRUE)</f>
        <v>0.15</v>
      </c>
      <c r="H2022" s="15" t="str">
        <f ca="1">TEXT(Categorias_Registro[[#This Row],[Mínimo]],Formato_Rango_Categorias)&amp;" - "&amp;TEXT(Categorias_Registro[[#This Row],[Máximo]],Formato_Rango_Categorias)</f>
        <v>537 - 616</v>
      </c>
    </row>
    <row r="2023" spans="2:8">
      <c r="B2023" s="15">
        <f>Techo - ROW() + ROW(Categorias_Registro[])</f>
        <v>606</v>
      </c>
      <c r="C2023" s="15">
        <f>IF(Categorias_Registro[[#This Row],[Puntos]]&lt;=ROUND(Piso,0),Piso,IF(Categorias_Registro[[#This Row],[Puntos]]&lt;D2024,C2024,D2024+1))</f>
        <v>537</v>
      </c>
      <c r="D2023" s="15">
        <f>IF(Categorias_Registro[[#This Row],[Puntos]]=ROUND(Piso,0),ROUND(Categorias_Registro[[#This Row],[Puntos]]*(1+Categorias_Registro[[#This Row],[Amplitud]]),0),IF(Categorias_Registro[[#This Row],[Puntos]]&lt;D2024,D2024,ROUND(D2024*(1+Categorias_Registro[[#This Row],[Amplitud]]),0)))</f>
        <v>616</v>
      </c>
      <c r="E2023" s="15">
        <f>E2024+IF(D2024=Categorias_Registro[[#This Row],[Máximo]],0,1)</f>
        <v>14</v>
      </c>
      <c r="F2023" s="15">
        <f>ROUND(Categorias_Registro[[#This Row],[Mínimo]]+((Categorias_Registro[[#This Row],[Máximo]]-Categorias_Registro[[#This Row],[Mínimo]])/2),0)</f>
        <v>577</v>
      </c>
      <c r="G2023" s="78">
        <f>VLOOKUP(Categorias_Registro[[#This Row],[Puntos]],Categorias_Configuracion[],MATCH(Categorias_Configuracion[[#Headers],[% Amplitud]],Categorias_Configuracion[#Headers],0),TRUE)</f>
        <v>0.15</v>
      </c>
      <c r="H2023" s="15" t="str">
        <f ca="1">TEXT(Categorias_Registro[[#This Row],[Mínimo]],Formato_Rango_Categorias)&amp;" - "&amp;TEXT(Categorias_Registro[[#This Row],[Máximo]],Formato_Rango_Categorias)</f>
        <v>537 - 616</v>
      </c>
    </row>
    <row r="2024" spans="2:8">
      <c r="B2024" s="15">
        <f>Techo - ROW() + ROW(Categorias_Registro[])</f>
        <v>605</v>
      </c>
      <c r="C2024" s="15">
        <f>IF(Categorias_Registro[[#This Row],[Puntos]]&lt;=ROUND(Piso,0),Piso,IF(Categorias_Registro[[#This Row],[Puntos]]&lt;D2025,C2025,D2025+1))</f>
        <v>537</v>
      </c>
      <c r="D2024" s="15">
        <f>IF(Categorias_Registro[[#This Row],[Puntos]]=ROUND(Piso,0),ROUND(Categorias_Registro[[#This Row],[Puntos]]*(1+Categorias_Registro[[#This Row],[Amplitud]]),0),IF(Categorias_Registro[[#This Row],[Puntos]]&lt;D2025,D2025,ROUND(D2025*(1+Categorias_Registro[[#This Row],[Amplitud]]),0)))</f>
        <v>616</v>
      </c>
      <c r="E2024" s="15">
        <f>E2025+IF(D2025=Categorias_Registro[[#This Row],[Máximo]],0,1)</f>
        <v>14</v>
      </c>
      <c r="F2024" s="15">
        <f>ROUND(Categorias_Registro[[#This Row],[Mínimo]]+((Categorias_Registro[[#This Row],[Máximo]]-Categorias_Registro[[#This Row],[Mínimo]])/2),0)</f>
        <v>577</v>
      </c>
      <c r="G2024" s="78">
        <f>VLOOKUP(Categorias_Registro[[#This Row],[Puntos]],Categorias_Configuracion[],MATCH(Categorias_Configuracion[[#Headers],[% Amplitud]],Categorias_Configuracion[#Headers],0),TRUE)</f>
        <v>0.15</v>
      </c>
      <c r="H2024" s="15" t="str">
        <f ca="1">TEXT(Categorias_Registro[[#This Row],[Mínimo]],Formato_Rango_Categorias)&amp;" - "&amp;TEXT(Categorias_Registro[[#This Row],[Máximo]],Formato_Rango_Categorias)</f>
        <v>537 - 616</v>
      </c>
    </row>
    <row r="2025" spans="2:8">
      <c r="B2025" s="15">
        <f>Techo - ROW() + ROW(Categorias_Registro[])</f>
        <v>604</v>
      </c>
      <c r="C2025" s="15">
        <f>IF(Categorias_Registro[[#This Row],[Puntos]]&lt;=ROUND(Piso,0),Piso,IF(Categorias_Registro[[#This Row],[Puntos]]&lt;D2026,C2026,D2026+1))</f>
        <v>537</v>
      </c>
      <c r="D2025" s="15">
        <f>IF(Categorias_Registro[[#This Row],[Puntos]]=ROUND(Piso,0),ROUND(Categorias_Registro[[#This Row],[Puntos]]*(1+Categorias_Registro[[#This Row],[Amplitud]]),0),IF(Categorias_Registro[[#This Row],[Puntos]]&lt;D2026,D2026,ROUND(D2026*(1+Categorias_Registro[[#This Row],[Amplitud]]),0)))</f>
        <v>616</v>
      </c>
      <c r="E2025" s="15">
        <f>E2026+IF(D2026=Categorias_Registro[[#This Row],[Máximo]],0,1)</f>
        <v>14</v>
      </c>
      <c r="F2025" s="15">
        <f>ROUND(Categorias_Registro[[#This Row],[Mínimo]]+((Categorias_Registro[[#This Row],[Máximo]]-Categorias_Registro[[#This Row],[Mínimo]])/2),0)</f>
        <v>577</v>
      </c>
      <c r="G2025" s="78">
        <f>VLOOKUP(Categorias_Registro[[#This Row],[Puntos]],Categorias_Configuracion[],MATCH(Categorias_Configuracion[[#Headers],[% Amplitud]],Categorias_Configuracion[#Headers],0),TRUE)</f>
        <v>0.15</v>
      </c>
      <c r="H2025" s="15" t="str">
        <f ca="1">TEXT(Categorias_Registro[[#This Row],[Mínimo]],Formato_Rango_Categorias)&amp;" - "&amp;TEXT(Categorias_Registro[[#This Row],[Máximo]],Formato_Rango_Categorias)</f>
        <v>537 - 616</v>
      </c>
    </row>
    <row r="2026" spans="2:8">
      <c r="B2026" s="15">
        <f>Techo - ROW() + ROW(Categorias_Registro[])</f>
        <v>603</v>
      </c>
      <c r="C2026" s="15">
        <f>IF(Categorias_Registro[[#This Row],[Puntos]]&lt;=ROUND(Piso,0),Piso,IF(Categorias_Registro[[#This Row],[Puntos]]&lt;D2027,C2027,D2027+1))</f>
        <v>537</v>
      </c>
      <c r="D2026" s="15">
        <f>IF(Categorias_Registro[[#This Row],[Puntos]]=ROUND(Piso,0),ROUND(Categorias_Registro[[#This Row],[Puntos]]*(1+Categorias_Registro[[#This Row],[Amplitud]]),0),IF(Categorias_Registro[[#This Row],[Puntos]]&lt;D2027,D2027,ROUND(D2027*(1+Categorias_Registro[[#This Row],[Amplitud]]),0)))</f>
        <v>616</v>
      </c>
      <c r="E2026" s="15">
        <f>E2027+IF(D2027=Categorias_Registro[[#This Row],[Máximo]],0,1)</f>
        <v>14</v>
      </c>
      <c r="F2026" s="15">
        <f>ROUND(Categorias_Registro[[#This Row],[Mínimo]]+((Categorias_Registro[[#This Row],[Máximo]]-Categorias_Registro[[#This Row],[Mínimo]])/2),0)</f>
        <v>577</v>
      </c>
      <c r="G2026" s="78">
        <f>VLOOKUP(Categorias_Registro[[#This Row],[Puntos]],Categorias_Configuracion[],MATCH(Categorias_Configuracion[[#Headers],[% Amplitud]],Categorias_Configuracion[#Headers],0),TRUE)</f>
        <v>0.15</v>
      </c>
      <c r="H2026" s="15" t="str">
        <f ca="1">TEXT(Categorias_Registro[[#This Row],[Mínimo]],Formato_Rango_Categorias)&amp;" - "&amp;TEXT(Categorias_Registro[[#This Row],[Máximo]],Formato_Rango_Categorias)</f>
        <v>537 - 616</v>
      </c>
    </row>
    <row r="2027" spans="2:8">
      <c r="B2027" s="15">
        <f>Techo - ROW() + ROW(Categorias_Registro[])</f>
        <v>602</v>
      </c>
      <c r="C2027" s="15">
        <f>IF(Categorias_Registro[[#This Row],[Puntos]]&lt;=ROUND(Piso,0),Piso,IF(Categorias_Registro[[#This Row],[Puntos]]&lt;D2028,C2028,D2028+1))</f>
        <v>537</v>
      </c>
      <c r="D2027" s="15">
        <f>IF(Categorias_Registro[[#This Row],[Puntos]]=ROUND(Piso,0),ROUND(Categorias_Registro[[#This Row],[Puntos]]*(1+Categorias_Registro[[#This Row],[Amplitud]]),0),IF(Categorias_Registro[[#This Row],[Puntos]]&lt;D2028,D2028,ROUND(D2028*(1+Categorias_Registro[[#This Row],[Amplitud]]),0)))</f>
        <v>616</v>
      </c>
      <c r="E2027" s="15">
        <f>E2028+IF(D2028=Categorias_Registro[[#This Row],[Máximo]],0,1)</f>
        <v>14</v>
      </c>
      <c r="F2027" s="15">
        <f>ROUND(Categorias_Registro[[#This Row],[Mínimo]]+((Categorias_Registro[[#This Row],[Máximo]]-Categorias_Registro[[#This Row],[Mínimo]])/2),0)</f>
        <v>577</v>
      </c>
      <c r="G2027" s="78">
        <f>VLOOKUP(Categorias_Registro[[#This Row],[Puntos]],Categorias_Configuracion[],MATCH(Categorias_Configuracion[[#Headers],[% Amplitud]],Categorias_Configuracion[#Headers],0),TRUE)</f>
        <v>0.15</v>
      </c>
      <c r="H2027" s="15" t="str">
        <f ca="1">TEXT(Categorias_Registro[[#This Row],[Mínimo]],Formato_Rango_Categorias)&amp;" - "&amp;TEXT(Categorias_Registro[[#This Row],[Máximo]],Formato_Rango_Categorias)</f>
        <v>537 - 616</v>
      </c>
    </row>
    <row r="2028" spans="2:8">
      <c r="B2028" s="15">
        <f>Techo - ROW() + ROW(Categorias_Registro[])</f>
        <v>601</v>
      </c>
      <c r="C2028" s="15">
        <f>IF(Categorias_Registro[[#This Row],[Puntos]]&lt;=ROUND(Piso,0),Piso,IF(Categorias_Registro[[#This Row],[Puntos]]&lt;D2029,C2029,D2029+1))</f>
        <v>537</v>
      </c>
      <c r="D2028" s="15">
        <f>IF(Categorias_Registro[[#This Row],[Puntos]]=ROUND(Piso,0),ROUND(Categorias_Registro[[#This Row],[Puntos]]*(1+Categorias_Registro[[#This Row],[Amplitud]]),0),IF(Categorias_Registro[[#This Row],[Puntos]]&lt;D2029,D2029,ROUND(D2029*(1+Categorias_Registro[[#This Row],[Amplitud]]),0)))</f>
        <v>616</v>
      </c>
      <c r="E2028" s="15">
        <f>E2029+IF(D2029=Categorias_Registro[[#This Row],[Máximo]],0,1)</f>
        <v>14</v>
      </c>
      <c r="F2028" s="15">
        <f>ROUND(Categorias_Registro[[#This Row],[Mínimo]]+((Categorias_Registro[[#This Row],[Máximo]]-Categorias_Registro[[#This Row],[Mínimo]])/2),0)</f>
        <v>577</v>
      </c>
      <c r="G2028" s="78">
        <f>VLOOKUP(Categorias_Registro[[#This Row],[Puntos]],Categorias_Configuracion[],MATCH(Categorias_Configuracion[[#Headers],[% Amplitud]],Categorias_Configuracion[#Headers],0),TRUE)</f>
        <v>0.15</v>
      </c>
      <c r="H2028" s="15" t="str">
        <f ca="1">TEXT(Categorias_Registro[[#This Row],[Mínimo]],Formato_Rango_Categorias)&amp;" - "&amp;TEXT(Categorias_Registro[[#This Row],[Máximo]],Formato_Rango_Categorias)</f>
        <v>537 - 616</v>
      </c>
    </row>
    <row r="2029" spans="2:8">
      <c r="B2029" s="15">
        <f>Techo - ROW() + ROW(Categorias_Registro[])</f>
        <v>600</v>
      </c>
      <c r="C2029" s="15">
        <f>IF(Categorias_Registro[[#This Row],[Puntos]]&lt;=ROUND(Piso,0),Piso,IF(Categorias_Registro[[#This Row],[Puntos]]&lt;D2030,C2030,D2030+1))</f>
        <v>537</v>
      </c>
      <c r="D2029" s="15">
        <f>IF(Categorias_Registro[[#This Row],[Puntos]]=ROUND(Piso,0),ROUND(Categorias_Registro[[#This Row],[Puntos]]*(1+Categorias_Registro[[#This Row],[Amplitud]]),0),IF(Categorias_Registro[[#This Row],[Puntos]]&lt;D2030,D2030,ROUND(D2030*(1+Categorias_Registro[[#This Row],[Amplitud]]),0)))</f>
        <v>616</v>
      </c>
      <c r="E2029" s="15">
        <f>E2030+IF(D2030=Categorias_Registro[[#This Row],[Máximo]],0,1)</f>
        <v>14</v>
      </c>
      <c r="F2029" s="15">
        <f>ROUND(Categorias_Registro[[#This Row],[Mínimo]]+((Categorias_Registro[[#This Row],[Máximo]]-Categorias_Registro[[#This Row],[Mínimo]])/2),0)</f>
        <v>577</v>
      </c>
      <c r="G2029" s="78">
        <f>VLOOKUP(Categorias_Registro[[#This Row],[Puntos]],Categorias_Configuracion[],MATCH(Categorias_Configuracion[[#Headers],[% Amplitud]],Categorias_Configuracion[#Headers],0),TRUE)</f>
        <v>0.15</v>
      </c>
      <c r="H2029" s="15" t="str">
        <f ca="1">TEXT(Categorias_Registro[[#This Row],[Mínimo]],Formato_Rango_Categorias)&amp;" - "&amp;TEXT(Categorias_Registro[[#This Row],[Máximo]],Formato_Rango_Categorias)</f>
        <v>537 - 616</v>
      </c>
    </row>
    <row r="2030" spans="2:8">
      <c r="B2030" s="15">
        <f>Techo - ROW() + ROW(Categorias_Registro[])</f>
        <v>599</v>
      </c>
      <c r="C2030" s="15">
        <f>IF(Categorias_Registro[[#This Row],[Puntos]]&lt;=ROUND(Piso,0),Piso,IF(Categorias_Registro[[#This Row],[Puntos]]&lt;D2031,C2031,D2031+1))</f>
        <v>537</v>
      </c>
      <c r="D2030" s="15">
        <f>IF(Categorias_Registro[[#This Row],[Puntos]]=ROUND(Piso,0),ROUND(Categorias_Registro[[#This Row],[Puntos]]*(1+Categorias_Registro[[#This Row],[Amplitud]]),0),IF(Categorias_Registro[[#This Row],[Puntos]]&lt;D2031,D2031,ROUND(D2031*(1+Categorias_Registro[[#This Row],[Amplitud]]),0)))</f>
        <v>616</v>
      </c>
      <c r="E2030" s="15">
        <f>E2031+IF(D2031=Categorias_Registro[[#This Row],[Máximo]],0,1)</f>
        <v>14</v>
      </c>
      <c r="F2030" s="15">
        <f>ROUND(Categorias_Registro[[#This Row],[Mínimo]]+((Categorias_Registro[[#This Row],[Máximo]]-Categorias_Registro[[#This Row],[Mínimo]])/2),0)</f>
        <v>577</v>
      </c>
      <c r="G2030" s="78">
        <f>VLOOKUP(Categorias_Registro[[#This Row],[Puntos]],Categorias_Configuracion[],MATCH(Categorias_Configuracion[[#Headers],[% Amplitud]],Categorias_Configuracion[#Headers],0),TRUE)</f>
        <v>0.15</v>
      </c>
      <c r="H2030" s="15" t="str">
        <f ca="1">TEXT(Categorias_Registro[[#This Row],[Mínimo]],Formato_Rango_Categorias)&amp;" - "&amp;TEXT(Categorias_Registro[[#This Row],[Máximo]],Formato_Rango_Categorias)</f>
        <v>537 - 616</v>
      </c>
    </row>
    <row r="2031" spans="2:8">
      <c r="B2031" s="15">
        <f>Techo - ROW() + ROW(Categorias_Registro[])</f>
        <v>598</v>
      </c>
      <c r="C2031" s="15">
        <f>IF(Categorias_Registro[[#This Row],[Puntos]]&lt;=ROUND(Piso,0),Piso,IF(Categorias_Registro[[#This Row],[Puntos]]&lt;D2032,C2032,D2032+1))</f>
        <v>537</v>
      </c>
      <c r="D2031" s="15">
        <f>IF(Categorias_Registro[[#This Row],[Puntos]]=ROUND(Piso,0),ROUND(Categorias_Registro[[#This Row],[Puntos]]*(1+Categorias_Registro[[#This Row],[Amplitud]]),0),IF(Categorias_Registro[[#This Row],[Puntos]]&lt;D2032,D2032,ROUND(D2032*(1+Categorias_Registro[[#This Row],[Amplitud]]),0)))</f>
        <v>616</v>
      </c>
      <c r="E2031" s="15">
        <f>E2032+IF(D2032=Categorias_Registro[[#This Row],[Máximo]],0,1)</f>
        <v>14</v>
      </c>
      <c r="F2031" s="15">
        <f>ROUND(Categorias_Registro[[#This Row],[Mínimo]]+((Categorias_Registro[[#This Row],[Máximo]]-Categorias_Registro[[#This Row],[Mínimo]])/2),0)</f>
        <v>577</v>
      </c>
      <c r="G2031" s="78">
        <f>VLOOKUP(Categorias_Registro[[#This Row],[Puntos]],Categorias_Configuracion[],MATCH(Categorias_Configuracion[[#Headers],[% Amplitud]],Categorias_Configuracion[#Headers],0),TRUE)</f>
        <v>0.15</v>
      </c>
      <c r="H2031" s="15" t="str">
        <f ca="1">TEXT(Categorias_Registro[[#This Row],[Mínimo]],Formato_Rango_Categorias)&amp;" - "&amp;TEXT(Categorias_Registro[[#This Row],[Máximo]],Formato_Rango_Categorias)</f>
        <v>537 - 616</v>
      </c>
    </row>
    <row r="2032" spans="2:8">
      <c r="B2032" s="15">
        <f>Techo - ROW() + ROW(Categorias_Registro[])</f>
        <v>597</v>
      </c>
      <c r="C2032" s="15">
        <f>IF(Categorias_Registro[[#This Row],[Puntos]]&lt;=ROUND(Piso,0),Piso,IF(Categorias_Registro[[#This Row],[Puntos]]&lt;D2033,C2033,D2033+1))</f>
        <v>537</v>
      </c>
      <c r="D2032" s="15">
        <f>IF(Categorias_Registro[[#This Row],[Puntos]]=ROUND(Piso,0),ROUND(Categorias_Registro[[#This Row],[Puntos]]*(1+Categorias_Registro[[#This Row],[Amplitud]]),0),IF(Categorias_Registro[[#This Row],[Puntos]]&lt;D2033,D2033,ROUND(D2033*(1+Categorias_Registro[[#This Row],[Amplitud]]),0)))</f>
        <v>616</v>
      </c>
      <c r="E2032" s="15">
        <f>E2033+IF(D2033=Categorias_Registro[[#This Row],[Máximo]],0,1)</f>
        <v>14</v>
      </c>
      <c r="F2032" s="15">
        <f>ROUND(Categorias_Registro[[#This Row],[Mínimo]]+((Categorias_Registro[[#This Row],[Máximo]]-Categorias_Registro[[#This Row],[Mínimo]])/2),0)</f>
        <v>577</v>
      </c>
      <c r="G2032" s="78">
        <f>VLOOKUP(Categorias_Registro[[#This Row],[Puntos]],Categorias_Configuracion[],MATCH(Categorias_Configuracion[[#Headers],[% Amplitud]],Categorias_Configuracion[#Headers],0),TRUE)</f>
        <v>0.15</v>
      </c>
      <c r="H2032" s="15" t="str">
        <f ca="1">TEXT(Categorias_Registro[[#This Row],[Mínimo]],Formato_Rango_Categorias)&amp;" - "&amp;TEXT(Categorias_Registro[[#This Row],[Máximo]],Formato_Rango_Categorias)</f>
        <v>537 - 616</v>
      </c>
    </row>
    <row r="2033" spans="2:8">
      <c r="B2033" s="15">
        <f>Techo - ROW() + ROW(Categorias_Registro[])</f>
        <v>596</v>
      </c>
      <c r="C2033" s="15">
        <f>IF(Categorias_Registro[[#This Row],[Puntos]]&lt;=ROUND(Piso,0),Piso,IF(Categorias_Registro[[#This Row],[Puntos]]&lt;D2034,C2034,D2034+1))</f>
        <v>537</v>
      </c>
      <c r="D2033" s="15">
        <f>IF(Categorias_Registro[[#This Row],[Puntos]]=ROUND(Piso,0),ROUND(Categorias_Registro[[#This Row],[Puntos]]*(1+Categorias_Registro[[#This Row],[Amplitud]]),0),IF(Categorias_Registro[[#This Row],[Puntos]]&lt;D2034,D2034,ROUND(D2034*(1+Categorias_Registro[[#This Row],[Amplitud]]),0)))</f>
        <v>616</v>
      </c>
      <c r="E2033" s="15">
        <f>E2034+IF(D2034=Categorias_Registro[[#This Row],[Máximo]],0,1)</f>
        <v>14</v>
      </c>
      <c r="F2033" s="15">
        <f>ROUND(Categorias_Registro[[#This Row],[Mínimo]]+((Categorias_Registro[[#This Row],[Máximo]]-Categorias_Registro[[#This Row],[Mínimo]])/2),0)</f>
        <v>577</v>
      </c>
      <c r="G2033" s="78">
        <f>VLOOKUP(Categorias_Registro[[#This Row],[Puntos]],Categorias_Configuracion[],MATCH(Categorias_Configuracion[[#Headers],[% Amplitud]],Categorias_Configuracion[#Headers],0),TRUE)</f>
        <v>0.15</v>
      </c>
      <c r="H2033" s="15" t="str">
        <f ca="1">TEXT(Categorias_Registro[[#This Row],[Mínimo]],Formato_Rango_Categorias)&amp;" - "&amp;TEXT(Categorias_Registro[[#This Row],[Máximo]],Formato_Rango_Categorias)</f>
        <v>537 - 616</v>
      </c>
    </row>
    <row r="2034" spans="2:8">
      <c r="B2034" s="15">
        <f>Techo - ROW() + ROW(Categorias_Registro[])</f>
        <v>595</v>
      </c>
      <c r="C2034" s="15">
        <f>IF(Categorias_Registro[[#This Row],[Puntos]]&lt;=ROUND(Piso,0),Piso,IF(Categorias_Registro[[#This Row],[Puntos]]&lt;D2035,C2035,D2035+1))</f>
        <v>537</v>
      </c>
      <c r="D2034" s="15">
        <f>IF(Categorias_Registro[[#This Row],[Puntos]]=ROUND(Piso,0),ROUND(Categorias_Registro[[#This Row],[Puntos]]*(1+Categorias_Registro[[#This Row],[Amplitud]]),0),IF(Categorias_Registro[[#This Row],[Puntos]]&lt;D2035,D2035,ROUND(D2035*(1+Categorias_Registro[[#This Row],[Amplitud]]),0)))</f>
        <v>616</v>
      </c>
      <c r="E2034" s="15">
        <f>E2035+IF(D2035=Categorias_Registro[[#This Row],[Máximo]],0,1)</f>
        <v>14</v>
      </c>
      <c r="F2034" s="15">
        <f>ROUND(Categorias_Registro[[#This Row],[Mínimo]]+((Categorias_Registro[[#This Row],[Máximo]]-Categorias_Registro[[#This Row],[Mínimo]])/2),0)</f>
        <v>577</v>
      </c>
      <c r="G2034" s="78">
        <f>VLOOKUP(Categorias_Registro[[#This Row],[Puntos]],Categorias_Configuracion[],MATCH(Categorias_Configuracion[[#Headers],[% Amplitud]],Categorias_Configuracion[#Headers],0),TRUE)</f>
        <v>0.15</v>
      </c>
      <c r="H2034" s="15" t="str">
        <f ca="1">TEXT(Categorias_Registro[[#This Row],[Mínimo]],Formato_Rango_Categorias)&amp;" - "&amp;TEXT(Categorias_Registro[[#This Row],[Máximo]],Formato_Rango_Categorias)</f>
        <v>537 - 616</v>
      </c>
    </row>
    <row r="2035" spans="2:8">
      <c r="B2035" s="15">
        <f>Techo - ROW() + ROW(Categorias_Registro[])</f>
        <v>594</v>
      </c>
      <c r="C2035" s="15">
        <f>IF(Categorias_Registro[[#This Row],[Puntos]]&lt;=ROUND(Piso,0),Piso,IF(Categorias_Registro[[#This Row],[Puntos]]&lt;D2036,C2036,D2036+1))</f>
        <v>537</v>
      </c>
      <c r="D2035" s="15">
        <f>IF(Categorias_Registro[[#This Row],[Puntos]]=ROUND(Piso,0),ROUND(Categorias_Registro[[#This Row],[Puntos]]*(1+Categorias_Registro[[#This Row],[Amplitud]]),0),IF(Categorias_Registro[[#This Row],[Puntos]]&lt;D2036,D2036,ROUND(D2036*(1+Categorias_Registro[[#This Row],[Amplitud]]),0)))</f>
        <v>616</v>
      </c>
      <c r="E2035" s="15">
        <f>E2036+IF(D2036=Categorias_Registro[[#This Row],[Máximo]],0,1)</f>
        <v>14</v>
      </c>
      <c r="F2035" s="15">
        <f>ROUND(Categorias_Registro[[#This Row],[Mínimo]]+((Categorias_Registro[[#This Row],[Máximo]]-Categorias_Registro[[#This Row],[Mínimo]])/2),0)</f>
        <v>577</v>
      </c>
      <c r="G2035" s="78">
        <f>VLOOKUP(Categorias_Registro[[#This Row],[Puntos]],Categorias_Configuracion[],MATCH(Categorias_Configuracion[[#Headers],[% Amplitud]],Categorias_Configuracion[#Headers],0),TRUE)</f>
        <v>0.15</v>
      </c>
      <c r="H2035" s="15" t="str">
        <f ca="1">TEXT(Categorias_Registro[[#This Row],[Mínimo]],Formato_Rango_Categorias)&amp;" - "&amp;TEXT(Categorias_Registro[[#This Row],[Máximo]],Formato_Rango_Categorias)</f>
        <v>537 - 616</v>
      </c>
    </row>
    <row r="2036" spans="2:8">
      <c r="B2036" s="15">
        <f>Techo - ROW() + ROW(Categorias_Registro[])</f>
        <v>593</v>
      </c>
      <c r="C2036" s="15">
        <f>IF(Categorias_Registro[[#This Row],[Puntos]]&lt;=ROUND(Piso,0),Piso,IF(Categorias_Registro[[#This Row],[Puntos]]&lt;D2037,C2037,D2037+1))</f>
        <v>537</v>
      </c>
      <c r="D2036" s="15">
        <f>IF(Categorias_Registro[[#This Row],[Puntos]]=ROUND(Piso,0),ROUND(Categorias_Registro[[#This Row],[Puntos]]*(1+Categorias_Registro[[#This Row],[Amplitud]]),0),IF(Categorias_Registro[[#This Row],[Puntos]]&lt;D2037,D2037,ROUND(D2037*(1+Categorias_Registro[[#This Row],[Amplitud]]),0)))</f>
        <v>616</v>
      </c>
      <c r="E2036" s="15">
        <f>E2037+IF(D2037=Categorias_Registro[[#This Row],[Máximo]],0,1)</f>
        <v>14</v>
      </c>
      <c r="F2036" s="15">
        <f>ROUND(Categorias_Registro[[#This Row],[Mínimo]]+((Categorias_Registro[[#This Row],[Máximo]]-Categorias_Registro[[#This Row],[Mínimo]])/2),0)</f>
        <v>577</v>
      </c>
      <c r="G2036" s="78">
        <f>VLOOKUP(Categorias_Registro[[#This Row],[Puntos]],Categorias_Configuracion[],MATCH(Categorias_Configuracion[[#Headers],[% Amplitud]],Categorias_Configuracion[#Headers],0),TRUE)</f>
        <v>0.15</v>
      </c>
      <c r="H2036" s="15" t="str">
        <f ca="1">TEXT(Categorias_Registro[[#This Row],[Mínimo]],Formato_Rango_Categorias)&amp;" - "&amp;TEXT(Categorias_Registro[[#This Row],[Máximo]],Formato_Rango_Categorias)</f>
        <v>537 - 616</v>
      </c>
    </row>
    <row r="2037" spans="2:8">
      <c r="B2037" s="15">
        <f>Techo - ROW() + ROW(Categorias_Registro[])</f>
        <v>592</v>
      </c>
      <c r="C2037" s="15">
        <f>IF(Categorias_Registro[[#This Row],[Puntos]]&lt;=ROUND(Piso,0),Piso,IF(Categorias_Registro[[#This Row],[Puntos]]&lt;D2038,C2038,D2038+1))</f>
        <v>537</v>
      </c>
      <c r="D2037" s="15">
        <f>IF(Categorias_Registro[[#This Row],[Puntos]]=ROUND(Piso,0),ROUND(Categorias_Registro[[#This Row],[Puntos]]*(1+Categorias_Registro[[#This Row],[Amplitud]]),0),IF(Categorias_Registro[[#This Row],[Puntos]]&lt;D2038,D2038,ROUND(D2038*(1+Categorias_Registro[[#This Row],[Amplitud]]),0)))</f>
        <v>616</v>
      </c>
      <c r="E2037" s="15">
        <f>E2038+IF(D2038=Categorias_Registro[[#This Row],[Máximo]],0,1)</f>
        <v>14</v>
      </c>
      <c r="F2037" s="15">
        <f>ROUND(Categorias_Registro[[#This Row],[Mínimo]]+((Categorias_Registro[[#This Row],[Máximo]]-Categorias_Registro[[#This Row],[Mínimo]])/2),0)</f>
        <v>577</v>
      </c>
      <c r="G2037" s="78">
        <f>VLOOKUP(Categorias_Registro[[#This Row],[Puntos]],Categorias_Configuracion[],MATCH(Categorias_Configuracion[[#Headers],[% Amplitud]],Categorias_Configuracion[#Headers],0),TRUE)</f>
        <v>0.15</v>
      </c>
      <c r="H2037" s="15" t="str">
        <f ca="1">TEXT(Categorias_Registro[[#This Row],[Mínimo]],Formato_Rango_Categorias)&amp;" - "&amp;TEXT(Categorias_Registro[[#This Row],[Máximo]],Formato_Rango_Categorias)</f>
        <v>537 - 616</v>
      </c>
    </row>
    <row r="2038" spans="2:8">
      <c r="B2038" s="15">
        <f>Techo - ROW() + ROW(Categorias_Registro[])</f>
        <v>591</v>
      </c>
      <c r="C2038" s="15">
        <f>IF(Categorias_Registro[[#This Row],[Puntos]]&lt;=ROUND(Piso,0),Piso,IF(Categorias_Registro[[#This Row],[Puntos]]&lt;D2039,C2039,D2039+1))</f>
        <v>537</v>
      </c>
      <c r="D2038" s="15">
        <f>IF(Categorias_Registro[[#This Row],[Puntos]]=ROUND(Piso,0),ROUND(Categorias_Registro[[#This Row],[Puntos]]*(1+Categorias_Registro[[#This Row],[Amplitud]]),0),IF(Categorias_Registro[[#This Row],[Puntos]]&lt;D2039,D2039,ROUND(D2039*(1+Categorias_Registro[[#This Row],[Amplitud]]),0)))</f>
        <v>616</v>
      </c>
      <c r="E2038" s="15">
        <f>E2039+IF(D2039=Categorias_Registro[[#This Row],[Máximo]],0,1)</f>
        <v>14</v>
      </c>
      <c r="F2038" s="15">
        <f>ROUND(Categorias_Registro[[#This Row],[Mínimo]]+((Categorias_Registro[[#This Row],[Máximo]]-Categorias_Registro[[#This Row],[Mínimo]])/2),0)</f>
        <v>577</v>
      </c>
      <c r="G2038" s="78">
        <f>VLOOKUP(Categorias_Registro[[#This Row],[Puntos]],Categorias_Configuracion[],MATCH(Categorias_Configuracion[[#Headers],[% Amplitud]],Categorias_Configuracion[#Headers],0),TRUE)</f>
        <v>0.15</v>
      </c>
      <c r="H2038" s="15" t="str">
        <f ca="1">TEXT(Categorias_Registro[[#This Row],[Mínimo]],Formato_Rango_Categorias)&amp;" - "&amp;TEXT(Categorias_Registro[[#This Row],[Máximo]],Formato_Rango_Categorias)</f>
        <v>537 - 616</v>
      </c>
    </row>
    <row r="2039" spans="2:8">
      <c r="B2039" s="15">
        <f>Techo - ROW() + ROW(Categorias_Registro[])</f>
        <v>590</v>
      </c>
      <c r="C2039" s="15">
        <f>IF(Categorias_Registro[[#This Row],[Puntos]]&lt;=ROUND(Piso,0),Piso,IF(Categorias_Registro[[#This Row],[Puntos]]&lt;D2040,C2040,D2040+1))</f>
        <v>537</v>
      </c>
      <c r="D2039" s="15">
        <f>IF(Categorias_Registro[[#This Row],[Puntos]]=ROUND(Piso,0),ROUND(Categorias_Registro[[#This Row],[Puntos]]*(1+Categorias_Registro[[#This Row],[Amplitud]]),0),IF(Categorias_Registro[[#This Row],[Puntos]]&lt;D2040,D2040,ROUND(D2040*(1+Categorias_Registro[[#This Row],[Amplitud]]),0)))</f>
        <v>616</v>
      </c>
      <c r="E2039" s="15">
        <f>E2040+IF(D2040=Categorias_Registro[[#This Row],[Máximo]],0,1)</f>
        <v>14</v>
      </c>
      <c r="F2039" s="15">
        <f>ROUND(Categorias_Registro[[#This Row],[Mínimo]]+((Categorias_Registro[[#This Row],[Máximo]]-Categorias_Registro[[#This Row],[Mínimo]])/2),0)</f>
        <v>577</v>
      </c>
      <c r="G2039" s="78">
        <f>VLOOKUP(Categorias_Registro[[#This Row],[Puntos]],Categorias_Configuracion[],MATCH(Categorias_Configuracion[[#Headers],[% Amplitud]],Categorias_Configuracion[#Headers],0),TRUE)</f>
        <v>0.15</v>
      </c>
      <c r="H2039" s="15" t="str">
        <f ca="1">TEXT(Categorias_Registro[[#This Row],[Mínimo]],Formato_Rango_Categorias)&amp;" - "&amp;TEXT(Categorias_Registro[[#This Row],[Máximo]],Formato_Rango_Categorias)</f>
        <v>537 - 616</v>
      </c>
    </row>
    <row r="2040" spans="2:8">
      <c r="B2040" s="15">
        <f>Techo - ROW() + ROW(Categorias_Registro[])</f>
        <v>589</v>
      </c>
      <c r="C2040" s="15">
        <f>IF(Categorias_Registro[[#This Row],[Puntos]]&lt;=ROUND(Piso,0),Piso,IF(Categorias_Registro[[#This Row],[Puntos]]&lt;D2041,C2041,D2041+1))</f>
        <v>537</v>
      </c>
      <c r="D2040" s="15">
        <f>IF(Categorias_Registro[[#This Row],[Puntos]]=ROUND(Piso,0),ROUND(Categorias_Registro[[#This Row],[Puntos]]*(1+Categorias_Registro[[#This Row],[Amplitud]]),0),IF(Categorias_Registro[[#This Row],[Puntos]]&lt;D2041,D2041,ROUND(D2041*(1+Categorias_Registro[[#This Row],[Amplitud]]),0)))</f>
        <v>616</v>
      </c>
      <c r="E2040" s="15">
        <f>E2041+IF(D2041=Categorias_Registro[[#This Row],[Máximo]],0,1)</f>
        <v>14</v>
      </c>
      <c r="F2040" s="15">
        <f>ROUND(Categorias_Registro[[#This Row],[Mínimo]]+((Categorias_Registro[[#This Row],[Máximo]]-Categorias_Registro[[#This Row],[Mínimo]])/2),0)</f>
        <v>577</v>
      </c>
      <c r="G2040" s="78">
        <f>VLOOKUP(Categorias_Registro[[#This Row],[Puntos]],Categorias_Configuracion[],MATCH(Categorias_Configuracion[[#Headers],[% Amplitud]],Categorias_Configuracion[#Headers],0),TRUE)</f>
        <v>0.15</v>
      </c>
      <c r="H2040" s="15" t="str">
        <f ca="1">TEXT(Categorias_Registro[[#This Row],[Mínimo]],Formato_Rango_Categorias)&amp;" - "&amp;TEXT(Categorias_Registro[[#This Row],[Máximo]],Formato_Rango_Categorias)</f>
        <v>537 - 616</v>
      </c>
    </row>
    <row r="2041" spans="2:8">
      <c r="B2041" s="15">
        <f>Techo - ROW() + ROW(Categorias_Registro[])</f>
        <v>588</v>
      </c>
      <c r="C2041" s="15">
        <f>IF(Categorias_Registro[[#This Row],[Puntos]]&lt;=ROUND(Piso,0),Piso,IF(Categorias_Registro[[#This Row],[Puntos]]&lt;D2042,C2042,D2042+1))</f>
        <v>537</v>
      </c>
      <c r="D2041" s="15">
        <f>IF(Categorias_Registro[[#This Row],[Puntos]]=ROUND(Piso,0),ROUND(Categorias_Registro[[#This Row],[Puntos]]*(1+Categorias_Registro[[#This Row],[Amplitud]]),0),IF(Categorias_Registro[[#This Row],[Puntos]]&lt;D2042,D2042,ROUND(D2042*(1+Categorias_Registro[[#This Row],[Amplitud]]),0)))</f>
        <v>616</v>
      </c>
      <c r="E2041" s="15">
        <f>E2042+IF(D2042=Categorias_Registro[[#This Row],[Máximo]],0,1)</f>
        <v>14</v>
      </c>
      <c r="F2041" s="15">
        <f>ROUND(Categorias_Registro[[#This Row],[Mínimo]]+((Categorias_Registro[[#This Row],[Máximo]]-Categorias_Registro[[#This Row],[Mínimo]])/2),0)</f>
        <v>577</v>
      </c>
      <c r="G2041" s="78">
        <f>VLOOKUP(Categorias_Registro[[#This Row],[Puntos]],Categorias_Configuracion[],MATCH(Categorias_Configuracion[[#Headers],[% Amplitud]],Categorias_Configuracion[#Headers],0),TRUE)</f>
        <v>0.15</v>
      </c>
      <c r="H2041" s="15" t="str">
        <f ca="1">TEXT(Categorias_Registro[[#This Row],[Mínimo]],Formato_Rango_Categorias)&amp;" - "&amp;TEXT(Categorias_Registro[[#This Row],[Máximo]],Formato_Rango_Categorias)</f>
        <v>537 - 616</v>
      </c>
    </row>
    <row r="2042" spans="2:8">
      <c r="B2042" s="15">
        <f>Techo - ROW() + ROW(Categorias_Registro[])</f>
        <v>587</v>
      </c>
      <c r="C2042" s="15">
        <f>IF(Categorias_Registro[[#This Row],[Puntos]]&lt;=ROUND(Piso,0),Piso,IF(Categorias_Registro[[#This Row],[Puntos]]&lt;D2043,C2043,D2043+1))</f>
        <v>537</v>
      </c>
      <c r="D2042" s="15">
        <f>IF(Categorias_Registro[[#This Row],[Puntos]]=ROUND(Piso,0),ROUND(Categorias_Registro[[#This Row],[Puntos]]*(1+Categorias_Registro[[#This Row],[Amplitud]]),0),IF(Categorias_Registro[[#This Row],[Puntos]]&lt;D2043,D2043,ROUND(D2043*(1+Categorias_Registro[[#This Row],[Amplitud]]),0)))</f>
        <v>616</v>
      </c>
      <c r="E2042" s="15">
        <f>E2043+IF(D2043=Categorias_Registro[[#This Row],[Máximo]],0,1)</f>
        <v>14</v>
      </c>
      <c r="F2042" s="15">
        <f>ROUND(Categorias_Registro[[#This Row],[Mínimo]]+((Categorias_Registro[[#This Row],[Máximo]]-Categorias_Registro[[#This Row],[Mínimo]])/2),0)</f>
        <v>577</v>
      </c>
      <c r="G2042" s="78">
        <f>VLOOKUP(Categorias_Registro[[#This Row],[Puntos]],Categorias_Configuracion[],MATCH(Categorias_Configuracion[[#Headers],[% Amplitud]],Categorias_Configuracion[#Headers],0),TRUE)</f>
        <v>0.15</v>
      </c>
      <c r="H2042" s="15" t="str">
        <f ca="1">TEXT(Categorias_Registro[[#This Row],[Mínimo]],Formato_Rango_Categorias)&amp;" - "&amp;TEXT(Categorias_Registro[[#This Row],[Máximo]],Formato_Rango_Categorias)</f>
        <v>537 - 616</v>
      </c>
    </row>
    <row r="2043" spans="2:8">
      <c r="B2043" s="15">
        <f>Techo - ROW() + ROW(Categorias_Registro[])</f>
        <v>586</v>
      </c>
      <c r="C2043" s="15">
        <f>IF(Categorias_Registro[[#This Row],[Puntos]]&lt;=ROUND(Piso,0),Piso,IF(Categorias_Registro[[#This Row],[Puntos]]&lt;D2044,C2044,D2044+1))</f>
        <v>537</v>
      </c>
      <c r="D2043" s="15">
        <f>IF(Categorias_Registro[[#This Row],[Puntos]]=ROUND(Piso,0),ROUND(Categorias_Registro[[#This Row],[Puntos]]*(1+Categorias_Registro[[#This Row],[Amplitud]]),0),IF(Categorias_Registro[[#This Row],[Puntos]]&lt;D2044,D2044,ROUND(D2044*(1+Categorias_Registro[[#This Row],[Amplitud]]),0)))</f>
        <v>616</v>
      </c>
      <c r="E2043" s="15">
        <f>E2044+IF(D2044=Categorias_Registro[[#This Row],[Máximo]],0,1)</f>
        <v>14</v>
      </c>
      <c r="F2043" s="15">
        <f>ROUND(Categorias_Registro[[#This Row],[Mínimo]]+((Categorias_Registro[[#This Row],[Máximo]]-Categorias_Registro[[#This Row],[Mínimo]])/2),0)</f>
        <v>577</v>
      </c>
      <c r="G2043" s="78">
        <f>VLOOKUP(Categorias_Registro[[#This Row],[Puntos]],Categorias_Configuracion[],MATCH(Categorias_Configuracion[[#Headers],[% Amplitud]],Categorias_Configuracion[#Headers],0),TRUE)</f>
        <v>0.15</v>
      </c>
      <c r="H2043" s="15" t="str">
        <f ca="1">TEXT(Categorias_Registro[[#This Row],[Mínimo]],Formato_Rango_Categorias)&amp;" - "&amp;TEXT(Categorias_Registro[[#This Row],[Máximo]],Formato_Rango_Categorias)</f>
        <v>537 - 616</v>
      </c>
    </row>
    <row r="2044" spans="2:8">
      <c r="B2044" s="15">
        <f>Techo - ROW() + ROW(Categorias_Registro[])</f>
        <v>585</v>
      </c>
      <c r="C2044" s="15">
        <f>IF(Categorias_Registro[[#This Row],[Puntos]]&lt;=ROUND(Piso,0),Piso,IF(Categorias_Registro[[#This Row],[Puntos]]&lt;D2045,C2045,D2045+1))</f>
        <v>537</v>
      </c>
      <c r="D2044" s="15">
        <f>IF(Categorias_Registro[[#This Row],[Puntos]]=ROUND(Piso,0),ROUND(Categorias_Registro[[#This Row],[Puntos]]*(1+Categorias_Registro[[#This Row],[Amplitud]]),0),IF(Categorias_Registro[[#This Row],[Puntos]]&lt;D2045,D2045,ROUND(D2045*(1+Categorias_Registro[[#This Row],[Amplitud]]),0)))</f>
        <v>616</v>
      </c>
      <c r="E2044" s="15">
        <f>E2045+IF(D2045=Categorias_Registro[[#This Row],[Máximo]],0,1)</f>
        <v>14</v>
      </c>
      <c r="F2044" s="15">
        <f>ROUND(Categorias_Registro[[#This Row],[Mínimo]]+((Categorias_Registro[[#This Row],[Máximo]]-Categorias_Registro[[#This Row],[Mínimo]])/2),0)</f>
        <v>577</v>
      </c>
      <c r="G2044" s="78">
        <f>VLOOKUP(Categorias_Registro[[#This Row],[Puntos]],Categorias_Configuracion[],MATCH(Categorias_Configuracion[[#Headers],[% Amplitud]],Categorias_Configuracion[#Headers],0),TRUE)</f>
        <v>0.15</v>
      </c>
      <c r="H2044" s="15" t="str">
        <f ca="1">TEXT(Categorias_Registro[[#This Row],[Mínimo]],Formato_Rango_Categorias)&amp;" - "&amp;TEXT(Categorias_Registro[[#This Row],[Máximo]],Formato_Rango_Categorias)</f>
        <v>537 - 616</v>
      </c>
    </row>
    <row r="2045" spans="2:8">
      <c r="B2045" s="15">
        <f>Techo - ROW() + ROW(Categorias_Registro[])</f>
        <v>584</v>
      </c>
      <c r="C2045" s="15">
        <f>IF(Categorias_Registro[[#This Row],[Puntos]]&lt;=ROUND(Piso,0),Piso,IF(Categorias_Registro[[#This Row],[Puntos]]&lt;D2046,C2046,D2046+1))</f>
        <v>537</v>
      </c>
      <c r="D2045" s="15">
        <f>IF(Categorias_Registro[[#This Row],[Puntos]]=ROUND(Piso,0),ROUND(Categorias_Registro[[#This Row],[Puntos]]*(1+Categorias_Registro[[#This Row],[Amplitud]]),0),IF(Categorias_Registro[[#This Row],[Puntos]]&lt;D2046,D2046,ROUND(D2046*(1+Categorias_Registro[[#This Row],[Amplitud]]),0)))</f>
        <v>616</v>
      </c>
      <c r="E2045" s="15">
        <f>E2046+IF(D2046=Categorias_Registro[[#This Row],[Máximo]],0,1)</f>
        <v>14</v>
      </c>
      <c r="F2045" s="15">
        <f>ROUND(Categorias_Registro[[#This Row],[Mínimo]]+((Categorias_Registro[[#This Row],[Máximo]]-Categorias_Registro[[#This Row],[Mínimo]])/2),0)</f>
        <v>577</v>
      </c>
      <c r="G2045" s="78">
        <f>VLOOKUP(Categorias_Registro[[#This Row],[Puntos]],Categorias_Configuracion[],MATCH(Categorias_Configuracion[[#Headers],[% Amplitud]],Categorias_Configuracion[#Headers],0),TRUE)</f>
        <v>0.15</v>
      </c>
      <c r="H2045" s="15" t="str">
        <f ca="1">TEXT(Categorias_Registro[[#This Row],[Mínimo]],Formato_Rango_Categorias)&amp;" - "&amp;TEXT(Categorias_Registro[[#This Row],[Máximo]],Formato_Rango_Categorias)</f>
        <v>537 - 616</v>
      </c>
    </row>
    <row r="2046" spans="2:8">
      <c r="B2046" s="15">
        <f>Techo - ROW() + ROW(Categorias_Registro[])</f>
        <v>583</v>
      </c>
      <c r="C2046" s="15">
        <f>IF(Categorias_Registro[[#This Row],[Puntos]]&lt;=ROUND(Piso,0),Piso,IF(Categorias_Registro[[#This Row],[Puntos]]&lt;D2047,C2047,D2047+1))</f>
        <v>537</v>
      </c>
      <c r="D2046" s="15">
        <f>IF(Categorias_Registro[[#This Row],[Puntos]]=ROUND(Piso,0),ROUND(Categorias_Registro[[#This Row],[Puntos]]*(1+Categorias_Registro[[#This Row],[Amplitud]]),0),IF(Categorias_Registro[[#This Row],[Puntos]]&lt;D2047,D2047,ROUND(D2047*(1+Categorias_Registro[[#This Row],[Amplitud]]),0)))</f>
        <v>616</v>
      </c>
      <c r="E2046" s="15">
        <f>E2047+IF(D2047=Categorias_Registro[[#This Row],[Máximo]],0,1)</f>
        <v>14</v>
      </c>
      <c r="F2046" s="15">
        <f>ROUND(Categorias_Registro[[#This Row],[Mínimo]]+((Categorias_Registro[[#This Row],[Máximo]]-Categorias_Registro[[#This Row],[Mínimo]])/2),0)</f>
        <v>577</v>
      </c>
      <c r="G2046" s="78">
        <f>VLOOKUP(Categorias_Registro[[#This Row],[Puntos]],Categorias_Configuracion[],MATCH(Categorias_Configuracion[[#Headers],[% Amplitud]],Categorias_Configuracion[#Headers],0),TRUE)</f>
        <v>0.15</v>
      </c>
      <c r="H2046" s="15" t="str">
        <f ca="1">TEXT(Categorias_Registro[[#This Row],[Mínimo]],Formato_Rango_Categorias)&amp;" - "&amp;TEXT(Categorias_Registro[[#This Row],[Máximo]],Formato_Rango_Categorias)</f>
        <v>537 - 616</v>
      </c>
    </row>
    <row r="2047" spans="2:8">
      <c r="B2047" s="15">
        <f>Techo - ROW() + ROW(Categorias_Registro[])</f>
        <v>582</v>
      </c>
      <c r="C2047" s="15">
        <f>IF(Categorias_Registro[[#This Row],[Puntos]]&lt;=ROUND(Piso,0),Piso,IF(Categorias_Registro[[#This Row],[Puntos]]&lt;D2048,C2048,D2048+1))</f>
        <v>537</v>
      </c>
      <c r="D2047" s="15">
        <f>IF(Categorias_Registro[[#This Row],[Puntos]]=ROUND(Piso,0),ROUND(Categorias_Registro[[#This Row],[Puntos]]*(1+Categorias_Registro[[#This Row],[Amplitud]]),0),IF(Categorias_Registro[[#This Row],[Puntos]]&lt;D2048,D2048,ROUND(D2048*(1+Categorias_Registro[[#This Row],[Amplitud]]),0)))</f>
        <v>616</v>
      </c>
      <c r="E2047" s="15">
        <f>E2048+IF(D2048=Categorias_Registro[[#This Row],[Máximo]],0,1)</f>
        <v>14</v>
      </c>
      <c r="F2047" s="15">
        <f>ROUND(Categorias_Registro[[#This Row],[Mínimo]]+((Categorias_Registro[[#This Row],[Máximo]]-Categorias_Registro[[#This Row],[Mínimo]])/2),0)</f>
        <v>577</v>
      </c>
      <c r="G2047" s="78">
        <f>VLOOKUP(Categorias_Registro[[#This Row],[Puntos]],Categorias_Configuracion[],MATCH(Categorias_Configuracion[[#Headers],[% Amplitud]],Categorias_Configuracion[#Headers],0),TRUE)</f>
        <v>0.15</v>
      </c>
      <c r="H2047" s="15" t="str">
        <f ca="1">TEXT(Categorias_Registro[[#This Row],[Mínimo]],Formato_Rango_Categorias)&amp;" - "&amp;TEXT(Categorias_Registro[[#This Row],[Máximo]],Formato_Rango_Categorias)</f>
        <v>537 - 616</v>
      </c>
    </row>
    <row r="2048" spans="2:8">
      <c r="B2048" s="15">
        <f>Techo - ROW() + ROW(Categorias_Registro[])</f>
        <v>581</v>
      </c>
      <c r="C2048" s="15">
        <f>IF(Categorias_Registro[[#This Row],[Puntos]]&lt;=ROUND(Piso,0),Piso,IF(Categorias_Registro[[#This Row],[Puntos]]&lt;D2049,C2049,D2049+1))</f>
        <v>537</v>
      </c>
      <c r="D2048" s="15">
        <f>IF(Categorias_Registro[[#This Row],[Puntos]]=ROUND(Piso,0),ROUND(Categorias_Registro[[#This Row],[Puntos]]*(1+Categorias_Registro[[#This Row],[Amplitud]]),0),IF(Categorias_Registro[[#This Row],[Puntos]]&lt;D2049,D2049,ROUND(D2049*(1+Categorias_Registro[[#This Row],[Amplitud]]),0)))</f>
        <v>616</v>
      </c>
      <c r="E2048" s="15">
        <f>E2049+IF(D2049=Categorias_Registro[[#This Row],[Máximo]],0,1)</f>
        <v>14</v>
      </c>
      <c r="F2048" s="15">
        <f>ROUND(Categorias_Registro[[#This Row],[Mínimo]]+((Categorias_Registro[[#This Row],[Máximo]]-Categorias_Registro[[#This Row],[Mínimo]])/2),0)</f>
        <v>577</v>
      </c>
      <c r="G2048" s="78">
        <f>VLOOKUP(Categorias_Registro[[#This Row],[Puntos]],Categorias_Configuracion[],MATCH(Categorias_Configuracion[[#Headers],[% Amplitud]],Categorias_Configuracion[#Headers],0),TRUE)</f>
        <v>0.15</v>
      </c>
      <c r="H2048" s="15" t="str">
        <f ca="1">TEXT(Categorias_Registro[[#This Row],[Mínimo]],Formato_Rango_Categorias)&amp;" - "&amp;TEXT(Categorias_Registro[[#This Row],[Máximo]],Formato_Rango_Categorias)</f>
        <v>537 - 616</v>
      </c>
    </row>
    <row r="2049" spans="2:8">
      <c r="B2049" s="15">
        <f>Techo - ROW() + ROW(Categorias_Registro[])</f>
        <v>580</v>
      </c>
      <c r="C2049" s="15">
        <f>IF(Categorias_Registro[[#This Row],[Puntos]]&lt;=ROUND(Piso,0),Piso,IF(Categorias_Registro[[#This Row],[Puntos]]&lt;D2050,C2050,D2050+1))</f>
        <v>537</v>
      </c>
      <c r="D2049" s="15">
        <f>IF(Categorias_Registro[[#This Row],[Puntos]]=ROUND(Piso,0),ROUND(Categorias_Registro[[#This Row],[Puntos]]*(1+Categorias_Registro[[#This Row],[Amplitud]]),0),IF(Categorias_Registro[[#This Row],[Puntos]]&lt;D2050,D2050,ROUND(D2050*(1+Categorias_Registro[[#This Row],[Amplitud]]),0)))</f>
        <v>616</v>
      </c>
      <c r="E2049" s="15">
        <f>E2050+IF(D2050=Categorias_Registro[[#This Row],[Máximo]],0,1)</f>
        <v>14</v>
      </c>
      <c r="F2049" s="15">
        <f>ROUND(Categorias_Registro[[#This Row],[Mínimo]]+((Categorias_Registro[[#This Row],[Máximo]]-Categorias_Registro[[#This Row],[Mínimo]])/2),0)</f>
        <v>577</v>
      </c>
      <c r="G2049" s="78">
        <f>VLOOKUP(Categorias_Registro[[#This Row],[Puntos]],Categorias_Configuracion[],MATCH(Categorias_Configuracion[[#Headers],[% Amplitud]],Categorias_Configuracion[#Headers],0),TRUE)</f>
        <v>0.15</v>
      </c>
      <c r="H2049" s="15" t="str">
        <f ca="1">TEXT(Categorias_Registro[[#This Row],[Mínimo]],Formato_Rango_Categorias)&amp;" - "&amp;TEXT(Categorias_Registro[[#This Row],[Máximo]],Formato_Rango_Categorias)</f>
        <v>537 - 616</v>
      </c>
    </row>
    <row r="2050" spans="2:8">
      <c r="B2050" s="15">
        <f>Techo - ROW() + ROW(Categorias_Registro[])</f>
        <v>579</v>
      </c>
      <c r="C2050" s="15">
        <f>IF(Categorias_Registro[[#This Row],[Puntos]]&lt;=ROUND(Piso,0),Piso,IF(Categorias_Registro[[#This Row],[Puntos]]&lt;D2051,C2051,D2051+1))</f>
        <v>537</v>
      </c>
      <c r="D2050" s="15">
        <f>IF(Categorias_Registro[[#This Row],[Puntos]]=ROUND(Piso,0),ROUND(Categorias_Registro[[#This Row],[Puntos]]*(1+Categorias_Registro[[#This Row],[Amplitud]]),0),IF(Categorias_Registro[[#This Row],[Puntos]]&lt;D2051,D2051,ROUND(D2051*(1+Categorias_Registro[[#This Row],[Amplitud]]),0)))</f>
        <v>616</v>
      </c>
      <c r="E2050" s="15">
        <f>E2051+IF(D2051=Categorias_Registro[[#This Row],[Máximo]],0,1)</f>
        <v>14</v>
      </c>
      <c r="F2050" s="15">
        <f>ROUND(Categorias_Registro[[#This Row],[Mínimo]]+((Categorias_Registro[[#This Row],[Máximo]]-Categorias_Registro[[#This Row],[Mínimo]])/2),0)</f>
        <v>577</v>
      </c>
      <c r="G2050" s="78">
        <f>VLOOKUP(Categorias_Registro[[#This Row],[Puntos]],Categorias_Configuracion[],MATCH(Categorias_Configuracion[[#Headers],[% Amplitud]],Categorias_Configuracion[#Headers],0),TRUE)</f>
        <v>0.15</v>
      </c>
      <c r="H2050" s="15" t="str">
        <f ca="1">TEXT(Categorias_Registro[[#This Row],[Mínimo]],Formato_Rango_Categorias)&amp;" - "&amp;TEXT(Categorias_Registro[[#This Row],[Máximo]],Formato_Rango_Categorias)</f>
        <v>537 - 616</v>
      </c>
    </row>
    <row r="2051" spans="2:8">
      <c r="B2051" s="15">
        <f>Techo - ROW() + ROW(Categorias_Registro[])</f>
        <v>578</v>
      </c>
      <c r="C2051" s="15">
        <f>IF(Categorias_Registro[[#This Row],[Puntos]]&lt;=ROUND(Piso,0),Piso,IF(Categorias_Registro[[#This Row],[Puntos]]&lt;D2052,C2052,D2052+1))</f>
        <v>537</v>
      </c>
      <c r="D2051" s="15">
        <f>IF(Categorias_Registro[[#This Row],[Puntos]]=ROUND(Piso,0),ROUND(Categorias_Registro[[#This Row],[Puntos]]*(1+Categorias_Registro[[#This Row],[Amplitud]]),0),IF(Categorias_Registro[[#This Row],[Puntos]]&lt;D2052,D2052,ROUND(D2052*(1+Categorias_Registro[[#This Row],[Amplitud]]),0)))</f>
        <v>616</v>
      </c>
      <c r="E2051" s="15">
        <f>E2052+IF(D2052=Categorias_Registro[[#This Row],[Máximo]],0,1)</f>
        <v>14</v>
      </c>
      <c r="F2051" s="15">
        <f>ROUND(Categorias_Registro[[#This Row],[Mínimo]]+((Categorias_Registro[[#This Row],[Máximo]]-Categorias_Registro[[#This Row],[Mínimo]])/2),0)</f>
        <v>577</v>
      </c>
      <c r="G2051" s="78">
        <f>VLOOKUP(Categorias_Registro[[#This Row],[Puntos]],Categorias_Configuracion[],MATCH(Categorias_Configuracion[[#Headers],[% Amplitud]],Categorias_Configuracion[#Headers],0),TRUE)</f>
        <v>0.15</v>
      </c>
      <c r="H2051" s="15" t="str">
        <f ca="1">TEXT(Categorias_Registro[[#This Row],[Mínimo]],Formato_Rango_Categorias)&amp;" - "&amp;TEXT(Categorias_Registro[[#This Row],[Máximo]],Formato_Rango_Categorias)</f>
        <v>537 - 616</v>
      </c>
    </row>
    <row r="2052" spans="2:8">
      <c r="B2052" s="15">
        <f>Techo - ROW() + ROW(Categorias_Registro[])</f>
        <v>577</v>
      </c>
      <c r="C2052" s="15">
        <f>IF(Categorias_Registro[[#This Row],[Puntos]]&lt;=ROUND(Piso,0),Piso,IF(Categorias_Registro[[#This Row],[Puntos]]&lt;D2053,C2053,D2053+1))</f>
        <v>537</v>
      </c>
      <c r="D2052" s="15">
        <f>IF(Categorias_Registro[[#This Row],[Puntos]]=ROUND(Piso,0),ROUND(Categorias_Registro[[#This Row],[Puntos]]*(1+Categorias_Registro[[#This Row],[Amplitud]]),0),IF(Categorias_Registro[[#This Row],[Puntos]]&lt;D2053,D2053,ROUND(D2053*(1+Categorias_Registro[[#This Row],[Amplitud]]),0)))</f>
        <v>616</v>
      </c>
      <c r="E2052" s="15">
        <f>E2053+IF(D2053=Categorias_Registro[[#This Row],[Máximo]],0,1)</f>
        <v>14</v>
      </c>
      <c r="F2052" s="15">
        <f>ROUND(Categorias_Registro[[#This Row],[Mínimo]]+((Categorias_Registro[[#This Row],[Máximo]]-Categorias_Registro[[#This Row],[Mínimo]])/2),0)</f>
        <v>577</v>
      </c>
      <c r="G2052" s="78">
        <f>VLOOKUP(Categorias_Registro[[#This Row],[Puntos]],Categorias_Configuracion[],MATCH(Categorias_Configuracion[[#Headers],[% Amplitud]],Categorias_Configuracion[#Headers],0),TRUE)</f>
        <v>0.15</v>
      </c>
      <c r="H2052" s="15" t="str">
        <f ca="1">TEXT(Categorias_Registro[[#This Row],[Mínimo]],Formato_Rango_Categorias)&amp;" - "&amp;TEXT(Categorias_Registro[[#This Row],[Máximo]],Formato_Rango_Categorias)</f>
        <v>537 - 616</v>
      </c>
    </row>
    <row r="2053" spans="2:8">
      <c r="B2053" s="15">
        <f>Techo - ROW() + ROW(Categorias_Registro[])</f>
        <v>576</v>
      </c>
      <c r="C2053" s="15">
        <f>IF(Categorias_Registro[[#This Row],[Puntos]]&lt;=ROUND(Piso,0),Piso,IF(Categorias_Registro[[#This Row],[Puntos]]&lt;D2054,C2054,D2054+1))</f>
        <v>537</v>
      </c>
      <c r="D2053" s="15">
        <f>IF(Categorias_Registro[[#This Row],[Puntos]]=ROUND(Piso,0),ROUND(Categorias_Registro[[#This Row],[Puntos]]*(1+Categorias_Registro[[#This Row],[Amplitud]]),0),IF(Categorias_Registro[[#This Row],[Puntos]]&lt;D2054,D2054,ROUND(D2054*(1+Categorias_Registro[[#This Row],[Amplitud]]),0)))</f>
        <v>616</v>
      </c>
      <c r="E2053" s="15">
        <f>E2054+IF(D2054=Categorias_Registro[[#This Row],[Máximo]],0,1)</f>
        <v>14</v>
      </c>
      <c r="F2053" s="15">
        <f>ROUND(Categorias_Registro[[#This Row],[Mínimo]]+((Categorias_Registro[[#This Row],[Máximo]]-Categorias_Registro[[#This Row],[Mínimo]])/2),0)</f>
        <v>577</v>
      </c>
      <c r="G2053" s="78">
        <f>VLOOKUP(Categorias_Registro[[#This Row],[Puntos]],Categorias_Configuracion[],MATCH(Categorias_Configuracion[[#Headers],[% Amplitud]],Categorias_Configuracion[#Headers],0),TRUE)</f>
        <v>0.15</v>
      </c>
      <c r="H2053" s="15" t="str">
        <f ca="1">TEXT(Categorias_Registro[[#This Row],[Mínimo]],Formato_Rango_Categorias)&amp;" - "&amp;TEXT(Categorias_Registro[[#This Row],[Máximo]],Formato_Rango_Categorias)</f>
        <v>537 - 616</v>
      </c>
    </row>
    <row r="2054" spans="2:8">
      <c r="B2054" s="15">
        <f>Techo - ROW() + ROW(Categorias_Registro[])</f>
        <v>575</v>
      </c>
      <c r="C2054" s="15">
        <f>IF(Categorias_Registro[[#This Row],[Puntos]]&lt;=ROUND(Piso,0),Piso,IF(Categorias_Registro[[#This Row],[Puntos]]&lt;D2055,C2055,D2055+1))</f>
        <v>537</v>
      </c>
      <c r="D2054" s="15">
        <f>IF(Categorias_Registro[[#This Row],[Puntos]]=ROUND(Piso,0),ROUND(Categorias_Registro[[#This Row],[Puntos]]*(1+Categorias_Registro[[#This Row],[Amplitud]]),0),IF(Categorias_Registro[[#This Row],[Puntos]]&lt;D2055,D2055,ROUND(D2055*(1+Categorias_Registro[[#This Row],[Amplitud]]),0)))</f>
        <v>616</v>
      </c>
      <c r="E2054" s="15">
        <f>E2055+IF(D2055=Categorias_Registro[[#This Row],[Máximo]],0,1)</f>
        <v>14</v>
      </c>
      <c r="F2054" s="15">
        <f>ROUND(Categorias_Registro[[#This Row],[Mínimo]]+((Categorias_Registro[[#This Row],[Máximo]]-Categorias_Registro[[#This Row],[Mínimo]])/2),0)</f>
        <v>577</v>
      </c>
      <c r="G2054" s="78">
        <f>VLOOKUP(Categorias_Registro[[#This Row],[Puntos]],Categorias_Configuracion[],MATCH(Categorias_Configuracion[[#Headers],[% Amplitud]],Categorias_Configuracion[#Headers],0),TRUE)</f>
        <v>0.15</v>
      </c>
      <c r="H2054" s="15" t="str">
        <f ca="1">TEXT(Categorias_Registro[[#This Row],[Mínimo]],Formato_Rango_Categorias)&amp;" - "&amp;TEXT(Categorias_Registro[[#This Row],[Máximo]],Formato_Rango_Categorias)</f>
        <v>537 - 616</v>
      </c>
    </row>
    <row r="2055" spans="2:8">
      <c r="B2055" s="15">
        <f>Techo - ROW() + ROW(Categorias_Registro[])</f>
        <v>574</v>
      </c>
      <c r="C2055" s="15">
        <f>IF(Categorias_Registro[[#This Row],[Puntos]]&lt;=ROUND(Piso,0),Piso,IF(Categorias_Registro[[#This Row],[Puntos]]&lt;D2056,C2056,D2056+1))</f>
        <v>537</v>
      </c>
      <c r="D2055" s="15">
        <f>IF(Categorias_Registro[[#This Row],[Puntos]]=ROUND(Piso,0),ROUND(Categorias_Registro[[#This Row],[Puntos]]*(1+Categorias_Registro[[#This Row],[Amplitud]]),0),IF(Categorias_Registro[[#This Row],[Puntos]]&lt;D2056,D2056,ROUND(D2056*(1+Categorias_Registro[[#This Row],[Amplitud]]),0)))</f>
        <v>616</v>
      </c>
      <c r="E2055" s="15">
        <f>E2056+IF(D2056=Categorias_Registro[[#This Row],[Máximo]],0,1)</f>
        <v>14</v>
      </c>
      <c r="F2055" s="15">
        <f>ROUND(Categorias_Registro[[#This Row],[Mínimo]]+((Categorias_Registro[[#This Row],[Máximo]]-Categorias_Registro[[#This Row],[Mínimo]])/2),0)</f>
        <v>577</v>
      </c>
      <c r="G2055" s="78">
        <f>VLOOKUP(Categorias_Registro[[#This Row],[Puntos]],Categorias_Configuracion[],MATCH(Categorias_Configuracion[[#Headers],[% Amplitud]],Categorias_Configuracion[#Headers],0),TRUE)</f>
        <v>0.15</v>
      </c>
      <c r="H2055" s="15" t="str">
        <f ca="1">TEXT(Categorias_Registro[[#This Row],[Mínimo]],Formato_Rango_Categorias)&amp;" - "&amp;TEXT(Categorias_Registro[[#This Row],[Máximo]],Formato_Rango_Categorias)</f>
        <v>537 - 616</v>
      </c>
    </row>
    <row r="2056" spans="2:8">
      <c r="B2056" s="15">
        <f>Techo - ROW() + ROW(Categorias_Registro[])</f>
        <v>573</v>
      </c>
      <c r="C2056" s="15">
        <f>IF(Categorias_Registro[[#This Row],[Puntos]]&lt;=ROUND(Piso,0),Piso,IF(Categorias_Registro[[#This Row],[Puntos]]&lt;D2057,C2057,D2057+1))</f>
        <v>537</v>
      </c>
      <c r="D2056" s="15">
        <f>IF(Categorias_Registro[[#This Row],[Puntos]]=ROUND(Piso,0),ROUND(Categorias_Registro[[#This Row],[Puntos]]*(1+Categorias_Registro[[#This Row],[Amplitud]]),0),IF(Categorias_Registro[[#This Row],[Puntos]]&lt;D2057,D2057,ROUND(D2057*(1+Categorias_Registro[[#This Row],[Amplitud]]),0)))</f>
        <v>616</v>
      </c>
      <c r="E2056" s="15">
        <f>E2057+IF(D2057=Categorias_Registro[[#This Row],[Máximo]],0,1)</f>
        <v>14</v>
      </c>
      <c r="F2056" s="15">
        <f>ROUND(Categorias_Registro[[#This Row],[Mínimo]]+((Categorias_Registro[[#This Row],[Máximo]]-Categorias_Registro[[#This Row],[Mínimo]])/2),0)</f>
        <v>577</v>
      </c>
      <c r="G2056" s="78">
        <f>VLOOKUP(Categorias_Registro[[#This Row],[Puntos]],Categorias_Configuracion[],MATCH(Categorias_Configuracion[[#Headers],[% Amplitud]],Categorias_Configuracion[#Headers],0),TRUE)</f>
        <v>0.15</v>
      </c>
      <c r="H2056" s="15" t="str">
        <f ca="1">TEXT(Categorias_Registro[[#This Row],[Mínimo]],Formato_Rango_Categorias)&amp;" - "&amp;TEXT(Categorias_Registro[[#This Row],[Máximo]],Formato_Rango_Categorias)</f>
        <v>537 - 616</v>
      </c>
    </row>
    <row r="2057" spans="2:8">
      <c r="B2057" s="15">
        <f>Techo - ROW() + ROW(Categorias_Registro[])</f>
        <v>572</v>
      </c>
      <c r="C2057" s="15">
        <f>IF(Categorias_Registro[[#This Row],[Puntos]]&lt;=ROUND(Piso,0),Piso,IF(Categorias_Registro[[#This Row],[Puntos]]&lt;D2058,C2058,D2058+1))</f>
        <v>537</v>
      </c>
      <c r="D2057" s="15">
        <f>IF(Categorias_Registro[[#This Row],[Puntos]]=ROUND(Piso,0),ROUND(Categorias_Registro[[#This Row],[Puntos]]*(1+Categorias_Registro[[#This Row],[Amplitud]]),0),IF(Categorias_Registro[[#This Row],[Puntos]]&lt;D2058,D2058,ROUND(D2058*(1+Categorias_Registro[[#This Row],[Amplitud]]),0)))</f>
        <v>616</v>
      </c>
      <c r="E2057" s="15">
        <f>E2058+IF(D2058=Categorias_Registro[[#This Row],[Máximo]],0,1)</f>
        <v>14</v>
      </c>
      <c r="F2057" s="15">
        <f>ROUND(Categorias_Registro[[#This Row],[Mínimo]]+((Categorias_Registro[[#This Row],[Máximo]]-Categorias_Registro[[#This Row],[Mínimo]])/2),0)</f>
        <v>577</v>
      </c>
      <c r="G2057" s="78">
        <f>VLOOKUP(Categorias_Registro[[#This Row],[Puntos]],Categorias_Configuracion[],MATCH(Categorias_Configuracion[[#Headers],[% Amplitud]],Categorias_Configuracion[#Headers],0),TRUE)</f>
        <v>0.15</v>
      </c>
      <c r="H2057" s="15" t="str">
        <f ca="1">TEXT(Categorias_Registro[[#This Row],[Mínimo]],Formato_Rango_Categorias)&amp;" - "&amp;TEXT(Categorias_Registro[[#This Row],[Máximo]],Formato_Rango_Categorias)</f>
        <v>537 - 616</v>
      </c>
    </row>
    <row r="2058" spans="2:8">
      <c r="B2058" s="15">
        <f>Techo - ROW() + ROW(Categorias_Registro[])</f>
        <v>571</v>
      </c>
      <c r="C2058" s="15">
        <f>IF(Categorias_Registro[[#This Row],[Puntos]]&lt;=ROUND(Piso,0),Piso,IF(Categorias_Registro[[#This Row],[Puntos]]&lt;D2059,C2059,D2059+1))</f>
        <v>537</v>
      </c>
      <c r="D2058" s="15">
        <f>IF(Categorias_Registro[[#This Row],[Puntos]]=ROUND(Piso,0),ROUND(Categorias_Registro[[#This Row],[Puntos]]*(1+Categorias_Registro[[#This Row],[Amplitud]]),0),IF(Categorias_Registro[[#This Row],[Puntos]]&lt;D2059,D2059,ROUND(D2059*(1+Categorias_Registro[[#This Row],[Amplitud]]),0)))</f>
        <v>616</v>
      </c>
      <c r="E2058" s="15">
        <f>E2059+IF(D2059=Categorias_Registro[[#This Row],[Máximo]],0,1)</f>
        <v>14</v>
      </c>
      <c r="F2058" s="15">
        <f>ROUND(Categorias_Registro[[#This Row],[Mínimo]]+((Categorias_Registro[[#This Row],[Máximo]]-Categorias_Registro[[#This Row],[Mínimo]])/2),0)</f>
        <v>577</v>
      </c>
      <c r="G2058" s="78">
        <f>VLOOKUP(Categorias_Registro[[#This Row],[Puntos]],Categorias_Configuracion[],MATCH(Categorias_Configuracion[[#Headers],[% Amplitud]],Categorias_Configuracion[#Headers],0),TRUE)</f>
        <v>0.15</v>
      </c>
      <c r="H2058" s="15" t="str">
        <f ca="1">TEXT(Categorias_Registro[[#This Row],[Mínimo]],Formato_Rango_Categorias)&amp;" - "&amp;TEXT(Categorias_Registro[[#This Row],[Máximo]],Formato_Rango_Categorias)</f>
        <v>537 - 616</v>
      </c>
    </row>
    <row r="2059" spans="2:8">
      <c r="B2059" s="15">
        <f>Techo - ROW() + ROW(Categorias_Registro[])</f>
        <v>570</v>
      </c>
      <c r="C2059" s="15">
        <f>IF(Categorias_Registro[[#This Row],[Puntos]]&lt;=ROUND(Piso,0),Piso,IF(Categorias_Registro[[#This Row],[Puntos]]&lt;D2060,C2060,D2060+1))</f>
        <v>537</v>
      </c>
      <c r="D2059" s="15">
        <f>IF(Categorias_Registro[[#This Row],[Puntos]]=ROUND(Piso,0),ROUND(Categorias_Registro[[#This Row],[Puntos]]*(1+Categorias_Registro[[#This Row],[Amplitud]]),0),IF(Categorias_Registro[[#This Row],[Puntos]]&lt;D2060,D2060,ROUND(D2060*(1+Categorias_Registro[[#This Row],[Amplitud]]),0)))</f>
        <v>616</v>
      </c>
      <c r="E2059" s="15">
        <f>E2060+IF(D2060=Categorias_Registro[[#This Row],[Máximo]],0,1)</f>
        <v>14</v>
      </c>
      <c r="F2059" s="15">
        <f>ROUND(Categorias_Registro[[#This Row],[Mínimo]]+((Categorias_Registro[[#This Row],[Máximo]]-Categorias_Registro[[#This Row],[Mínimo]])/2),0)</f>
        <v>577</v>
      </c>
      <c r="G2059" s="78">
        <f>VLOOKUP(Categorias_Registro[[#This Row],[Puntos]],Categorias_Configuracion[],MATCH(Categorias_Configuracion[[#Headers],[% Amplitud]],Categorias_Configuracion[#Headers],0),TRUE)</f>
        <v>0.15</v>
      </c>
      <c r="H2059" s="15" t="str">
        <f ca="1">TEXT(Categorias_Registro[[#This Row],[Mínimo]],Formato_Rango_Categorias)&amp;" - "&amp;TEXT(Categorias_Registro[[#This Row],[Máximo]],Formato_Rango_Categorias)</f>
        <v>537 - 616</v>
      </c>
    </row>
    <row r="2060" spans="2:8">
      <c r="B2060" s="15">
        <f>Techo - ROW() + ROW(Categorias_Registro[])</f>
        <v>569</v>
      </c>
      <c r="C2060" s="15">
        <f>IF(Categorias_Registro[[#This Row],[Puntos]]&lt;=ROUND(Piso,0),Piso,IF(Categorias_Registro[[#This Row],[Puntos]]&lt;D2061,C2061,D2061+1))</f>
        <v>537</v>
      </c>
      <c r="D2060" s="15">
        <f>IF(Categorias_Registro[[#This Row],[Puntos]]=ROUND(Piso,0),ROUND(Categorias_Registro[[#This Row],[Puntos]]*(1+Categorias_Registro[[#This Row],[Amplitud]]),0),IF(Categorias_Registro[[#This Row],[Puntos]]&lt;D2061,D2061,ROUND(D2061*(1+Categorias_Registro[[#This Row],[Amplitud]]),0)))</f>
        <v>616</v>
      </c>
      <c r="E2060" s="15">
        <f>E2061+IF(D2061=Categorias_Registro[[#This Row],[Máximo]],0,1)</f>
        <v>14</v>
      </c>
      <c r="F2060" s="15">
        <f>ROUND(Categorias_Registro[[#This Row],[Mínimo]]+((Categorias_Registro[[#This Row],[Máximo]]-Categorias_Registro[[#This Row],[Mínimo]])/2),0)</f>
        <v>577</v>
      </c>
      <c r="G2060" s="78">
        <f>VLOOKUP(Categorias_Registro[[#This Row],[Puntos]],Categorias_Configuracion[],MATCH(Categorias_Configuracion[[#Headers],[% Amplitud]],Categorias_Configuracion[#Headers],0),TRUE)</f>
        <v>0.15</v>
      </c>
      <c r="H2060" s="15" t="str">
        <f ca="1">TEXT(Categorias_Registro[[#This Row],[Mínimo]],Formato_Rango_Categorias)&amp;" - "&amp;TEXT(Categorias_Registro[[#This Row],[Máximo]],Formato_Rango_Categorias)</f>
        <v>537 - 616</v>
      </c>
    </row>
    <row r="2061" spans="2:8">
      <c r="B2061" s="15">
        <f>Techo - ROW() + ROW(Categorias_Registro[])</f>
        <v>568</v>
      </c>
      <c r="C2061" s="15">
        <f>IF(Categorias_Registro[[#This Row],[Puntos]]&lt;=ROUND(Piso,0),Piso,IF(Categorias_Registro[[#This Row],[Puntos]]&lt;D2062,C2062,D2062+1))</f>
        <v>537</v>
      </c>
      <c r="D2061" s="15">
        <f>IF(Categorias_Registro[[#This Row],[Puntos]]=ROUND(Piso,0),ROUND(Categorias_Registro[[#This Row],[Puntos]]*(1+Categorias_Registro[[#This Row],[Amplitud]]),0),IF(Categorias_Registro[[#This Row],[Puntos]]&lt;D2062,D2062,ROUND(D2062*(1+Categorias_Registro[[#This Row],[Amplitud]]),0)))</f>
        <v>616</v>
      </c>
      <c r="E2061" s="15">
        <f>E2062+IF(D2062=Categorias_Registro[[#This Row],[Máximo]],0,1)</f>
        <v>14</v>
      </c>
      <c r="F2061" s="15">
        <f>ROUND(Categorias_Registro[[#This Row],[Mínimo]]+((Categorias_Registro[[#This Row],[Máximo]]-Categorias_Registro[[#This Row],[Mínimo]])/2),0)</f>
        <v>577</v>
      </c>
      <c r="G2061" s="78">
        <f>VLOOKUP(Categorias_Registro[[#This Row],[Puntos]],Categorias_Configuracion[],MATCH(Categorias_Configuracion[[#Headers],[% Amplitud]],Categorias_Configuracion[#Headers],0),TRUE)</f>
        <v>0.15</v>
      </c>
      <c r="H2061" s="15" t="str">
        <f ca="1">TEXT(Categorias_Registro[[#This Row],[Mínimo]],Formato_Rango_Categorias)&amp;" - "&amp;TEXT(Categorias_Registro[[#This Row],[Máximo]],Formato_Rango_Categorias)</f>
        <v>537 - 616</v>
      </c>
    </row>
    <row r="2062" spans="2:8">
      <c r="B2062" s="15">
        <f>Techo - ROW() + ROW(Categorias_Registro[])</f>
        <v>567</v>
      </c>
      <c r="C2062" s="15">
        <f>IF(Categorias_Registro[[#This Row],[Puntos]]&lt;=ROUND(Piso,0),Piso,IF(Categorias_Registro[[#This Row],[Puntos]]&lt;D2063,C2063,D2063+1))</f>
        <v>537</v>
      </c>
      <c r="D2062" s="15">
        <f>IF(Categorias_Registro[[#This Row],[Puntos]]=ROUND(Piso,0),ROUND(Categorias_Registro[[#This Row],[Puntos]]*(1+Categorias_Registro[[#This Row],[Amplitud]]),0),IF(Categorias_Registro[[#This Row],[Puntos]]&lt;D2063,D2063,ROUND(D2063*(1+Categorias_Registro[[#This Row],[Amplitud]]),0)))</f>
        <v>616</v>
      </c>
      <c r="E2062" s="15">
        <f>E2063+IF(D2063=Categorias_Registro[[#This Row],[Máximo]],0,1)</f>
        <v>14</v>
      </c>
      <c r="F2062" s="15">
        <f>ROUND(Categorias_Registro[[#This Row],[Mínimo]]+((Categorias_Registro[[#This Row],[Máximo]]-Categorias_Registro[[#This Row],[Mínimo]])/2),0)</f>
        <v>577</v>
      </c>
      <c r="G2062" s="78">
        <f>VLOOKUP(Categorias_Registro[[#This Row],[Puntos]],Categorias_Configuracion[],MATCH(Categorias_Configuracion[[#Headers],[% Amplitud]],Categorias_Configuracion[#Headers],0),TRUE)</f>
        <v>0.15</v>
      </c>
      <c r="H2062" s="15" t="str">
        <f ca="1">TEXT(Categorias_Registro[[#This Row],[Mínimo]],Formato_Rango_Categorias)&amp;" - "&amp;TEXT(Categorias_Registro[[#This Row],[Máximo]],Formato_Rango_Categorias)</f>
        <v>537 - 616</v>
      </c>
    </row>
    <row r="2063" spans="2:8">
      <c r="B2063" s="15">
        <f>Techo - ROW() + ROW(Categorias_Registro[])</f>
        <v>566</v>
      </c>
      <c r="C2063" s="15">
        <f>IF(Categorias_Registro[[#This Row],[Puntos]]&lt;=ROUND(Piso,0),Piso,IF(Categorias_Registro[[#This Row],[Puntos]]&lt;D2064,C2064,D2064+1))</f>
        <v>537</v>
      </c>
      <c r="D2063" s="15">
        <f>IF(Categorias_Registro[[#This Row],[Puntos]]=ROUND(Piso,0),ROUND(Categorias_Registro[[#This Row],[Puntos]]*(1+Categorias_Registro[[#This Row],[Amplitud]]),0),IF(Categorias_Registro[[#This Row],[Puntos]]&lt;D2064,D2064,ROUND(D2064*(1+Categorias_Registro[[#This Row],[Amplitud]]),0)))</f>
        <v>616</v>
      </c>
      <c r="E2063" s="15">
        <f>E2064+IF(D2064=Categorias_Registro[[#This Row],[Máximo]],0,1)</f>
        <v>14</v>
      </c>
      <c r="F2063" s="15">
        <f>ROUND(Categorias_Registro[[#This Row],[Mínimo]]+((Categorias_Registro[[#This Row],[Máximo]]-Categorias_Registro[[#This Row],[Mínimo]])/2),0)</f>
        <v>577</v>
      </c>
      <c r="G2063" s="78">
        <f>VLOOKUP(Categorias_Registro[[#This Row],[Puntos]],Categorias_Configuracion[],MATCH(Categorias_Configuracion[[#Headers],[% Amplitud]],Categorias_Configuracion[#Headers],0),TRUE)</f>
        <v>0.15</v>
      </c>
      <c r="H2063" s="15" t="str">
        <f ca="1">TEXT(Categorias_Registro[[#This Row],[Mínimo]],Formato_Rango_Categorias)&amp;" - "&amp;TEXT(Categorias_Registro[[#This Row],[Máximo]],Formato_Rango_Categorias)</f>
        <v>537 - 616</v>
      </c>
    </row>
    <row r="2064" spans="2:8">
      <c r="B2064" s="15">
        <f>Techo - ROW() + ROW(Categorias_Registro[])</f>
        <v>565</v>
      </c>
      <c r="C2064" s="15">
        <f>IF(Categorias_Registro[[#This Row],[Puntos]]&lt;=ROUND(Piso,0),Piso,IF(Categorias_Registro[[#This Row],[Puntos]]&lt;D2065,C2065,D2065+1))</f>
        <v>537</v>
      </c>
      <c r="D2064" s="15">
        <f>IF(Categorias_Registro[[#This Row],[Puntos]]=ROUND(Piso,0),ROUND(Categorias_Registro[[#This Row],[Puntos]]*(1+Categorias_Registro[[#This Row],[Amplitud]]),0),IF(Categorias_Registro[[#This Row],[Puntos]]&lt;D2065,D2065,ROUND(D2065*(1+Categorias_Registro[[#This Row],[Amplitud]]),0)))</f>
        <v>616</v>
      </c>
      <c r="E2064" s="15">
        <f>E2065+IF(D2065=Categorias_Registro[[#This Row],[Máximo]],0,1)</f>
        <v>14</v>
      </c>
      <c r="F2064" s="15">
        <f>ROUND(Categorias_Registro[[#This Row],[Mínimo]]+((Categorias_Registro[[#This Row],[Máximo]]-Categorias_Registro[[#This Row],[Mínimo]])/2),0)</f>
        <v>577</v>
      </c>
      <c r="G2064" s="78">
        <f>VLOOKUP(Categorias_Registro[[#This Row],[Puntos]],Categorias_Configuracion[],MATCH(Categorias_Configuracion[[#Headers],[% Amplitud]],Categorias_Configuracion[#Headers],0),TRUE)</f>
        <v>0.15</v>
      </c>
      <c r="H2064" s="15" t="str">
        <f ca="1">TEXT(Categorias_Registro[[#This Row],[Mínimo]],Formato_Rango_Categorias)&amp;" - "&amp;TEXT(Categorias_Registro[[#This Row],[Máximo]],Formato_Rango_Categorias)</f>
        <v>537 - 616</v>
      </c>
    </row>
    <row r="2065" spans="2:8">
      <c r="B2065" s="15">
        <f>Techo - ROW() + ROW(Categorias_Registro[])</f>
        <v>564</v>
      </c>
      <c r="C2065" s="15">
        <f>IF(Categorias_Registro[[#This Row],[Puntos]]&lt;=ROUND(Piso,0),Piso,IF(Categorias_Registro[[#This Row],[Puntos]]&lt;D2066,C2066,D2066+1))</f>
        <v>537</v>
      </c>
      <c r="D2065" s="15">
        <f>IF(Categorias_Registro[[#This Row],[Puntos]]=ROUND(Piso,0),ROUND(Categorias_Registro[[#This Row],[Puntos]]*(1+Categorias_Registro[[#This Row],[Amplitud]]),0),IF(Categorias_Registro[[#This Row],[Puntos]]&lt;D2066,D2066,ROUND(D2066*(1+Categorias_Registro[[#This Row],[Amplitud]]),0)))</f>
        <v>616</v>
      </c>
      <c r="E2065" s="15">
        <f>E2066+IF(D2066=Categorias_Registro[[#This Row],[Máximo]],0,1)</f>
        <v>14</v>
      </c>
      <c r="F2065" s="15">
        <f>ROUND(Categorias_Registro[[#This Row],[Mínimo]]+((Categorias_Registro[[#This Row],[Máximo]]-Categorias_Registro[[#This Row],[Mínimo]])/2),0)</f>
        <v>577</v>
      </c>
      <c r="G2065" s="78">
        <f>VLOOKUP(Categorias_Registro[[#This Row],[Puntos]],Categorias_Configuracion[],MATCH(Categorias_Configuracion[[#Headers],[% Amplitud]],Categorias_Configuracion[#Headers],0),TRUE)</f>
        <v>0.15</v>
      </c>
      <c r="H2065" s="15" t="str">
        <f ca="1">TEXT(Categorias_Registro[[#This Row],[Mínimo]],Formato_Rango_Categorias)&amp;" - "&amp;TEXT(Categorias_Registro[[#This Row],[Máximo]],Formato_Rango_Categorias)</f>
        <v>537 - 616</v>
      </c>
    </row>
    <row r="2066" spans="2:8">
      <c r="B2066" s="15">
        <f>Techo - ROW() + ROW(Categorias_Registro[])</f>
        <v>563</v>
      </c>
      <c r="C2066" s="15">
        <f>IF(Categorias_Registro[[#This Row],[Puntos]]&lt;=ROUND(Piso,0),Piso,IF(Categorias_Registro[[#This Row],[Puntos]]&lt;D2067,C2067,D2067+1))</f>
        <v>537</v>
      </c>
      <c r="D2066" s="15">
        <f>IF(Categorias_Registro[[#This Row],[Puntos]]=ROUND(Piso,0),ROUND(Categorias_Registro[[#This Row],[Puntos]]*(1+Categorias_Registro[[#This Row],[Amplitud]]),0),IF(Categorias_Registro[[#This Row],[Puntos]]&lt;D2067,D2067,ROUND(D2067*(1+Categorias_Registro[[#This Row],[Amplitud]]),0)))</f>
        <v>616</v>
      </c>
      <c r="E2066" s="15">
        <f>E2067+IF(D2067=Categorias_Registro[[#This Row],[Máximo]],0,1)</f>
        <v>14</v>
      </c>
      <c r="F2066" s="15">
        <f>ROUND(Categorias_Registro[[#This Row],[Mínimo]]+((Categorias_Registro[[#This Row],[Máximo]]-Categorias_Registro[[#This Row],[Mínimo]])/2),0)</f>
        <v>577</v>
      </c>
      <c r="G2066" s="78">
        <f>VLOOKUP(Categorias_Registro[[#This Row],[Puntos]],Categorias_Configuracion[],MATCH(Categorias_Configuracion[[#Headers],[% Amplitud]],Categorias_Configuracion[#Headers],0),TRUE)</f>
        <v>0.15</v>
      </c>
      <c r="H2066" s="15" t="str">
        <f ca="1">TEXT(Categorias_Registro[[#This Row],[Mínimo]],Formato_Rango_Categorias)&amp;" - "&amp;TEXT(Categorias_Registro[[#This Row],[Máximo]],Formato_Rango_Categorias)</f>
        <v>537 - 616</v>
      </c>
    </row>
    <row r="2067" spans="2:8">
      <c r="B2067" s="15">
        <f>Techo - ROW() + ROW(Categorias_Registro[])</f>
        <v>562</v>
      </c>
      <c r="C2067" s="15">
        <f>IF(Categorias_Registro[[#This Row],[Puntos]]&lt;=ROUND(Piso,0),Piso,IF(Categorias_Registro[[#This Row],[Puntos]]&lt;D2068,C2068,D2068+1))</f>
        <v>537</v>
      </c>
      <c r="D2067" s="15">
        <f>IF(Categorias_Registro[[#This Row],[Puntos]]=ROUND(Piso,0),ROUND(Categorias_Registro[[#This Row],[Puntos]]*(1+Categorias_Registro[[#This Row],[Amplitud]]),0),IF(Categorias_Registro[[#This Row],[Puntos]]&lt;D2068,D2068,ROUND(D2068*(1+Categorias_Registro[[#This Row],[Amplitud]]),0)))</f>
        <v>616</v>
      </c>
      <c r="E2067" s="15">
        <f>E2068+IF(D2068=Categorias_Registro[[#This Row],[Máximo]],0,1)</f>
        <v>14</v>
      </c>
      <c r="F2067" s="15">
        <f>ROUND(Categorias_Registro[[#This Row],[Mínimo]]+((Categorias_Registro[[#This Row],[Máximo]]-Categorias_Registro[[#This Row],[Mínimo]])/2),0)</f>
        <v>577</v>
      </c>
      <c r="G2067" s="78">
        <f>VLOOKUP(Categorias_Registro[[#This Row],[Puntos]],Categorias_Configuracion[],MATCH(Categorias_Configuracion[[#Headers],[% Amplitud]],Categorias_Configuracion[#Headers],0),TRUE)</f>
        <v>0.15</v>
      </c>
      <c r="H2067" s="15" t="str">
        <f ca="1">TEXT(Categorias_Registro[[#This Row],[Mínimo]],Formato_Rango_Categorias)&amp;" - "&amp;TEXT(Categorias_Registro[[#This Row],[Máximo]],Formato_Rango_Categorias)</f>
        <v>537 - 616</v>
      </c>
    </row>
    <row r="2068" spans="2:8">
      <c r="B2068" s="15">
        <f>Techo - ROW() + ROW(Categorias_Registro[])</f>
        <v>561</v>
      </c>
      <c r="C2068" s="15">
        <f>IF(Categorias_Registro[[#This Row],[Puntos]]&lt;=ROUND(Piso,0),Piso,IF(Categorias_Registro[[#This Row],[Puntos]]&lt;D2069,C2069,D2069+1))</f>
        <v>537</v>
      </c>
      <c r="D2068" s="15">
        <f>IF(Categorias_Registro[[#This Row],[Puntos]]=ROUND(Piso,0),ROUND(Categorias_Registro[[#This Row],[Puntos]]*(1+Categorias_Registro[[#This Row],[Amplitud]]),0),IF(Categorias_Registro[[#This Row],[Puntos]]&lt;D2069,D2069,ROUND(D2069*(1+Categorias_Registro[[#This Row],[Amplitud]]),0)))</f>
        <v>616</v>
      </c>
      <c r="E2068" s="15">
        <f>E2069+IF(D2069=Categorias_Registro[[#This Row],[Máximo]],0,1)</f>
        <v>14</v>
      </c>
      <c r="F2068" s="15">
        <f>ROUND(Categorias_Registro[[#This Row],[Mínimo]]+((Categorias_Registro[[#This Row],[Máximo]]-Categorias_Registro[[#This Row],[Mínimo]])/2),0)</f>
        <v>577</v>
      </c>
      <c r="G2068" s="78">
        <f>VLOOKUP(Categorias_Registro[[#This Row],[Puntos]],Categorias_Configuracion[],MATCH(Categorias_Configuracion[[#Headers],[% Amplitud]],Categorias_Configuracion[#Headers],0),TRUE)</f>
        <v>0.15</v>
      </c>
      <c r="H2068" s="15" t="str">
        <f ca="1">TEXT(Categorias_Registro[[#This Row],[Mínimo]],Formato_Rango_Categorias)&amp;" - "&amp;TEXT(Categorias_Registro[[#This Row],[Máximo]],Formato_Rango_Categorias)</f>
        <v>537 - 616</v>
      </c>
    </row>
    <row r="2069" spans="2:8">
      <c r="B2069" s="15">
        <f>Techo - ROW() + ROW(Categorias_Registro[])</f>
        <v>560</v>
      </c>
      <c r="C2069" s="15">
        <f>IF(Categorias_Registro[[#This Row],[Puntos]]&lt;=ROUND(Piso,0),Piso,IF(Categorias_Registro[[#This Row],[Puntos]]&lt;D2070,C2070,D2070+1))</f>
        <v>537</v>
      </c>
      <c r="D2069" s="15">
        <f>IF(Categorias_Registro[[#This Row],[Puntos]]=ROUND(Piso,0),ROUND(Categorias_Registro[[#This Row],[Puntos]]*(1+Categorias_Registro[[#This Row],[Amplitud]]),0),IF(Categorias_Registro[[#This Row],[Puntos]]&lt;D2070,D2070,ROUND(D2070*(1+Categorias_Registro[[#This Row],[Amplitud]]),0)))</f>
        <v>616</v>
      </c>
      <c r="E2069" s="15">
        <f>E2070+IF(D2070=Categorias_Registro[[#This Row],[Máximo]],0,1)</f>
        <v>14</v>
      </c>
      <c r="F2069" s="15">
        <f>ROUND(Categorias_Registro[[#This Row],[Mínimo]]+((Categorias_Registro[[#This Row],[Máximo]]-Categorias_Registro[[#This Row],[Mínimo]])/2),0)</f>
        <v>577</v>
      </c>
      <c r="G2069" s="78">
        <f>VLOOKUP(Categorias_Registro[[#This Row],[Puntos]],Categorias_Configuracion[],MATCH(Categorias_Configuracion[[#Headers],[% Amplitud]],Categorias_Configuracion[#Headers],0),TRUE)</f>
        <v>0.15</v>
      </c>
      <c r="H2069" s="15" t="str">
        <f ca="1">TEXT(Categorias_Registro[[#This Row],[Mínimo]],Formato_Rango_Categorias)&amp;" - "&amp;TEXT(Categorias_Registro[[#This Row],[Máximo]],Formato_Rango_Categorias)</f>
        <v>537 - 616</v>
      </c>
    </row>
    <row r="2070" spans="2:8">
      <c r="B2070" s="15">
        <f>Techo - ROW() + ROW(Categorias_Registro[])</f>
        <v>559</v>
      </c>
      <c r="C2070" s="15">
        <f>IF(Categorias_Registro[[#This Row],[Puntos]]&lt;=ROUND(Piso,0),Piso,IF(Categorias_Registro[[#This Row],[Puntos]]&lt;D2071,C2071,D2071+1))</f>
        <v>537</v>
      </c>
      <c r="D2070" s="15">
        <f>IF(Categorias_Registro[[#This Row],[Puntos]]=ROUND(Piso,0),ROUND(Categorias_Registro[[#This Row],[Puntos]]*(1+Categorias_Registro[[#This Row],[Amplitud]]),0),IF(Categorias_Registro[[#This Row],[Puntos]]&lt;D2071,D2071,ROUND(D2071*(1+Categorias_Registro[[#This Row],[Amplitud]]),0)))</f>
        <v>616</v>
      </c>
      <c r="E2070" s="15">
        <f>E2071+IF(D2071=Categorias_Registro[[#This Row],[Máximo]],0,1)</f>
        <v>14</v>
      </c>
      <c r="F2070" s="15">
        <f>ROUND(Categorias_Registro[[#This Row],[Mínimo]]+((Categorias_Registro[[#This Row],[Máximo]]-Categorias_Registro[[#This Row],[Mínimo]])/2),0)</f>
        <v>577</v>
      </c>
      <c r="G2070" s="78">
        <f>VLOOKUP(Categorias_Registro[[#This Row],[Puntos]],Categorias_Configuracion[],MATCH(Categorias_Configuracion[[#Headers],[% Amplitud]],Categorias_Configuracion[#Headers],0),TRUE)</f>
        <v>0.15</v>
      </c>
      <c r="H2070" s="15" t="str">
        <f ca="1">TEXT(Categorias_Registro[[#This Row],[Mínimo]],Formato_Rango_Categorias)&amp;" - "&amp;TEXT(Categorias_Registro[[#This Row],[Máximo]],Formato_Rango_Categorias)</f>
        <v>537 - 616</v>
      </c>
    </row>
    <row r="2071" spans="2:8">
      <c r="B2071" s="15">
        <f>Techo - ROW() + ROW(Categorias_Registro[])</f>
        <v>558</v>
      </c>
      <c r="C2071" s="15">
        <f>IF(Categorias_Registro[[#This Row],[Puntos]]&lt;=ROUND(Piso,0),Piso,IF(Categorias_Registro[[#This Row],[Puntos]]&lt;D2072,C2072,D2072+1))</f>
        <v>537</v>
      </c>
      <c r="D2071" s="15">
        <f>IF(Categorias_Registro[[#This Row],[Puntos]]=ROUND(Piso,0),ROUND(Categorias_Registro[[#This Row],[Puntos]]*(1+Categorias_Registro[[#This Row],[Amplitud]]),0),IF(Categorias_Registro[[#This Row],[Puntos]]&lt;D2072,D2072,ROUND(D2072*(1+Categorias_Registro[[#This Row],[Amplitud]]),0)))</f>
        <v>616</v>
      </c>
      <c r="E2071" s="15">
        <f>E2072+IF(D2072=Categorias_Registro[[#This Row],[Máximo]],0,1)</f>
        <v>14</v>
      </c>
      <c r="F2071" s="15">
        <f>ROUND(Categorias_Registro[[#This Row],[Mínimo]]+((Categorias_Registro[[#This Row],[Máximo]]-Categorias_Registro[[#This Row],[Mínimo]])/2),0)</f>
        <v>577</v>
      </c>
      <c r="G2071" s="78">
        <f>VLOOKUP(Categorias_Registro[[#This Row],[Puntos]],Categorias_Configuracion[],MATCH(Categorias_Configuracion[[#Headers],[% Amplitud]],Categorias_Configuracion[#Headers],0),TRUE)</f>
        <v>0.15</v>
      </c>
      <c r="H2071" s="15" t="str">
        <f ca="1">TEXT(Categorias_Registro[[#This Row],[Mínimo]],Formato_Rango_Categorias)&amp;" - "&amp;TEXT(Categorias_Registro[[#This Row],[Máximo]],Formato_Rango_Categorias)</f>
        <v>537 - 616</v>
      </c>
    </row>
    <row r="2072" spans="2:8">
      <c r="B2072" s="15">
        <f>Techo - ROW() + ROW(Categorias_Registro[])</f>
        <v>557</v>
      </c>
      <c r="C2072" s="15">
        <f>IF(Categorias_Registro[[#This Row],[Puntos]]&lt;=ROUND(Piso,0),Piso,IF(Categorias_Registro[[#This Row],[Puntos]]&lt;D2073,C2073,D2073+1))</f>
        <v>537</v>
      </c>
      <c r="D2072" s="15">
        <f>IF(Categorias_Registro[[#This Row],[Puntos]]=ROUND(Piso,0),ROUND(Categorias_Registro[[#This Row],[Puntos]]*(1+Categorias_Registro[[#This Row],[Amplitud]]),0),IF(Categorias_Registro[[#This Row],[Puntos]]&lt;D2073,D2073,ROUND(D2073*(1+Categorias_Registro[[#This Row],[Amplitud]]),0)))</f>
        <v>616</v>
      </c>
      <c r="E2072" s="15">
        <f>E2073+IF(D2073=Categorias_Registro[[#This Row],[Máximo]],0,1)</f>
        <v>14</v>
      </c>
      <c r="F2072" s="15">
        <f>ROUND(Categorias_Registro[[#This Row],[Mínimo]]+((Categorias_Registro[[#This Row],[Máximo]]-Categorias_Registro[[#This Row],[Mínimo]])/2),0)</f>
        <v>577</v>
      </c>
      <c r="G2072" s="78">
        <f>VLOOKUP(Categorias_Registro[[#This Row],[Puntos]],Categorias_Configuracion[],MATCH(Categorias_Configuracion[[#Headers],[% Amplitud]],Categorias_Configuracion[#Headers],0),TRUE)</f>
        <v>0.15</v>
      </c>
      <c r="H2072" s="15" t="str">
        <f ca="1">TEXT(Categorias_Registro[[#This Row],[Mínimo]],Formato_Rango_Categorias)&amp;" - "&amp;TEXT(Categorias_Registro[[#This Row],[Máximo]],Formato_Rango_Categorias)</f>
        <v>537 - 616</v>
      </c>
    </row>
    <row r="2073" spans="2:8">
      <c r="B2073" s="15">
        <f>Techo - ROW() + ROW(Categorias_Registro[])</f>
        <v>556</v>
      </c>
      <c r="C2073" s="15">
        <f>IF(Categorias_Registro[[#This Row],[Puntos]]&lt;=ROUND(Piso,0),Piso,IF(Categorias_Registro[[#This Row],[Puntos]]&lt;D2074,C2074,D2074+1))</f>
        <v>537</v>
      </c>
      <c r="D2073" s="15">
        <f>IF(Categorias_Registro[[#This Row],[Puntos]]=ROUND(Piso,0),ROUND(Categorias_Registro[[#This Row],[Puntos]]*(1+Categorias_Registro[[#This Row],[Amplitud]]),0),IF(Categorias_Registro[[#This Row],[Puntos]]&lt;D2074,D2074,ROUND(D2074*(1+Categorias_Registro[[#This Row],[Amplitud]]),0)))</f>
        <v>616</v>
      </c>
      <c r="E2073" s="15">
        <f>E2074+IF(D2074=Categorias_Registro[[#This Row],[Máximo]],0,1)</f>
        <v>14</v>
      </c>
      <c r="F2073" s="15">
        <f>ROUND(Categorias_Registro[[#This Row],[Mínimo]]+((Categorias_Registro[[#This Row],[Máximo]]-Categorias_Registro[[#This Row],[Mínimo]])/2),0)</f>
        <v>577</v>
      </c>
      <c r="G2073" s="78">
        <f>VLOOKUP(Categorias_Registro[[#This Row],[Puntos]],Categorias_Configuracion[],MATCH(Categorias_Configuracion[[#Headers],[% Amplitud]],Categorias_Configuracion[#Headers],0),TRUE)</f>
        <v>0.15</v>
      </c>
      <c r="H2073" s="15" t="str">
        <f ca="1">TEXT(Categorias_Registro[[#This Row],[Mínimo]],Formato_Rango_Categorias)&amp;" - "&amp;TEXT(Categorias_Registro[[#This Row],[Máximo]],Formato_Rango_Categorias)</f>
        <v>537 - 616</v>
      </c>
    </row>
    <row r="2074" spans="2:8">
      <c r="B2074" s="15">
        <f>Techo - ROW() + ROW(Categorias_Registro[])</f>
        <v>555</v>
      </c>
      <c r="C2074" s="15">
        <f>IF(Categorias_Registro[[#This Row],[Puntos]]&lt;=ROUND(Piso,0),Piso,IF(Categorias_Registro[[#This Row],[Puntos]]&lt;D2075,C2075,D2075+1))</f>
        <v>537</v>
      </c>
      <c r="D2074" s="15">
        <f>IF(Categorias_Registro[[#This Row],[Puntos]]=ROUND(Piso,0),ROUND(Categorias_Registro[[#This Row],[Puntos]]*(1+Categorias_Registro[[#This Row],[Amplitud]]),0),IF(Categorias_Registro[[#This Row],[Puntos]]&lt;D2075,D2075,ROUND(D2075*(1+Categorias_Registro[[#This Row],[Amplitud]]),0)))</f>
        <v>616</v>
      </c>
      <c r="E2074" s="15">
        <f>E2075+IF(D2075=Categorias_Registro[[#This Row],[Máximo]],0,1)</f>
        <v>14</v>
      </c>
      <c r="F2074" s="15">
        <f>ROUND(Categorias_Registro[[#This Row],[Mínimo]]+((Categorias_Registro[[#This Row],[Máximo]]-Categorias_Registro[[#This Row],[Mínimo]])/2),0)</f>
        <v>577</v>
      </c>
      <c r="G2074" s="78">
        <f>VLOOKUP(Categorias_Registro[[#This Row],[Puntos]],Categorias_Configuracion[],MATCH(Categorias_Configuracion[[#Headers],[% Amplitud]],Categorias_Configuracion[#Headers],0),TRUE)</f>
        <v>0.15</v>
      </c>
      <c r="H2074" s="15" t="str">
        <f ca="1">TEXT(Categorias_Registro[[#This Row],[Mínimo]],Formato_Rango_Categorias)&amp;" - "&amp;TEXT(Categorias_Registro[[#This Row],[Máximo]],Formato_Rango_Categorias)</f>
        <v>537 - 616</v>
      </c>
    </row>
    <row r="2075" spans="2:8">
      <c r="B2075" s="15">
        <f>Techo - ROW() + ROW(Categorias_Registro[])</f>
        <v>554</v>
      </c>
      <c r="C2075" s="15">
        <f>IF(Categorias_Registro[[#This Row],[Puntos]]&lt;=ROUND(Piso,0),Piso,IF(Categorias_Registro[[#This Row],[Puntos]]&lt;D2076,C2076,D2076+1))</f>
        <v>537</v>
      </c>
      <c r="D2075" s="15">
        <f>IF(Categorias_Registro[[#This Row],[Puntos]]=ROUND(Piso,0),ROUND(Categorias_Registro[[#This Row],[Puntos]]*(1+Categorias_Registro[[#This Row],[Amplitud]]),0),IF(Categorias_Registro[[#This Row],[Puntos]]&lt;D2076,D2076,ROUND(D2076*(1+Categorias_Registro[[#This Row],[Amplitud]]),0)))</f>
        <v>616</v>
      </c>
      <c r="E2075" s="15">
        <f>E2076+IF(D2076=Categorias_Registro[[#This Row],[Máximo]],0,1)</f>
        <v>14</v>
      </c>
      <c r="F2075" s="15">
        <f>ROUND(Categorias_Registro[[#This Row],[Mínimo]]+((Categorias_Registro[[#This Row],[Máximo]]-Categorias_Registro[[#This Row],[Mínimo]])/2),0)</f>
        <v>577</v>
      </c>
      <c r="G2075" s="78">
        <f>VLOOKUP(Categorias_Registro[[#This Row],[Puntos]],Categorias_Configuracion[],MATCH(Categorias_Configuracion[[#Headers],[% Amplitud]],Categorias_Configuracion[#Headers],0),TRUE)</f>
        <v>0.15</v>
      </c>
      <c r="H2075" s="15" t="str">
        <f ca="1">TEXT(Categorias_Registro[[#This Row],[Mínimo]],Formato_Rango_Categorias)&amp;" - "&amp;TEXT(Categorias_Registro[[#This Row],[Máximo]],Formato_Rango_Categorias)</f>
        <v>537 - 616</v>
      </c>
    </row>
    <row r="2076" spans="2:8">
      <c r="B2076" s="15">
        <f>Techo - ROW() + ROW(Categorias_Registro[])</f>
        <v>553</v>
      </c>
      <c r="C2076" s="15">
        <f>IF(Categorias_Registro[[#This Row],[Puntos]]&lt;=ROUND(Piso,0),Piso,IF(Categorias_Registro[[#This Row],[Puntos]]&lt;D2077,C2077,D2077+1))</f>
        <v>537</v>
      </c>
      <c r="D2076" s="15">
        <f>IF(Categorias_Registro[[#This Row],[Puntos]]=ROUND(Piso,0),ROUND(Categorias_Registro[[#This Row],[Puntos]]*(1+Categorias_Registro[[#This Row],[Amplitud]]),0),IF(Categorias_Registro[[#This Row],[Puntos]]&lt;D2077,D2077,ROUND(D2077*(1+Categorias_Registro[[#This Row],[Amplitud]]),0)))</f>
        <v>616</v>
      </c>
      <c r="E2076" s="15">
        <f>E2077+IF(D2077=Categorias_Registro[[#This Row],[Máximo]],0,1)</f>
        <v>14</v>
      </c>
      <c r="F2076" s="15">
        <f>ROUND(Categorias_Registro[[#This Row],[Mínimo]]+((Categorias_Registro[[#This Row],[Máximo]]-Categorias_Registro[[#This Row],[Mínimo]])/2),0)</f>
        <v>577</v>
      </c>
      <c r="G2076" s="78">
        <f>VLOOKUP(Categorias_Registro[[#This Row],[Puntos]],Categorias_Configuracion[],MATCH(Categorias_Configuracion[[#Headers],[% Amplitud]],Categorias_Configuracion[#Headers],0),TRUE)</f>
        <v>0.15</v>
      </c>
      <c r="H2076" s="15" t="str">
        <f ca="1">TEXT(Categorias_Registro[[#This Row],[Mínimo]],Formato_Rango_Categorias)&amp;" - "&amp;TEXT(Categorias_Registro[[#This Row],[Máximo]],Formato_Rango_Categorias)</f>
        <v>537 - 616</v>
      </c>
    </row>
    <row r="2077" spans="2:8">
      <c r="B2077" s="15">
        <f>Techo - ROW() + ROW(Categorias_Registro[])</f>
        <v>552</v>
      </c>
      <c r="C2077" s="15">
        <f>IF(Categorias_Registro[[#This Row],[Puntos]]&lt;=ROUND(Piso,0),Piso,IF(Categorias_Registro[[#This Row],[Puntos]]&lt;D2078,C2078,D2078+1))</f>
        <v>537</v>
      </c>
      <c r="D2077" s="15">
        <f>IF(Categorias_Registro[[#This Row],[Puntos]]=ROUND(Piso,0),ROUND(Categorias_Registro[[#This Row],[Puntos]]*(1+Categorias_Registro[[#This Row],[Amplitud]]),0),IF(Categorias_Registro[[#This Row],[Puntos]]&lt;D2078,D2078,ROUND(D2078*(1+Categorias_Registro[[#This Row],[Amplitud]]),0)))</f>
        <v>616</v>
      </c>
      <c r="E2077" s="15">
        <f>E2078+IF(D2078=Categorias_Registro[[#This Row],[Máximo]],0,1)</f>
        <v>14</v>
      </c>
      <c r="F2077" s="15">
        <f>ROUND(Categorias_Registro[[#This Row],[Mínimo]]+((Categorias_Registro[[#This Row],[Máximo]]-Categorias_Registro[[#This Row],[Mínimo]])/2),0)</f>
        <v>577</v>
      </c>
      <c r="G2077" s="78">
        <f>VLOOKUP(Categorias_Registro[[#This Row],[Puntos]],Categorias_Configuracion[],MATCH(Categorias_Configuracion[[#Headers],[% Amplitud]],Categorias_Configuracion[#Headers],0),TRUE)</f>
        <v>0.15</v>
      </c>
      <c r="H2077" s="15" t="str">
        <f ca="1">TEXT(Categorias_Registro[[#This Row],[Mínimo]],Formato_Rango_Categorias)&amp;" - "&amp;TEXT(Categorias_Registro[[#This Row],[Máximo]],Formato_Rango_Categorias)</f>
        <v>537 - 616</v>
      </c>
    </row>
    <row r="2078" spans="2:8">
      <c r="B2078" s="15">
        <f>Techo - ROW() + ROW(Categorias_Registro[])</f>
        <v>551</v>
      </c>
      <c r="C2078" s="15">
        <f>IF(Categorias_Registro[[#This Row],[Puntos]]&lt;=ROUND(Piso,0),Piso,IF(Categorias_Registro[[#This Row],[Puntos]]&lt;D2079,C2079,D2079+1))</f>
        <v>537</v>
      </c>
      <c r="D2078" s="15">
        <f>IF(Categorias_Registro[[#This Row],[Puntos]]=ROUND(Piso,0),ROUND(Categorias_Registro[[#This Row],[Puntos]]*(1+Categorias_Registro[[#This Row],[Amplitud]]),0),IF(Categorias_Registro[[#This Row],[Puntos]]&lt;D2079,D2079,ROUND(D2079*(1+Categorias_Registro[[#This Row],[Amplitud]]),0)))</f>
        <v>616</v>
      </c>
      <c r="E2078" s="15">
        <f>E2079+IF(D2079=Categorias_Registro[[#This Row],[Máximo]],0,1)</f>
        <v>14</v>
      </c>
      <c r="F2078" s="15">
        <f>ROUND(Categorias_Registro[[#This Row],[Mínimo]]+((Categorias_Registro[[#This Row],[Máximo]]-Categorias_Registro[[#This Row],[Mínimo]])/2),0)</f>
        <v>577</v>
      </c>
      <c r="G2078" s="78">
        <f>VLOOKUP(Categorias_Registro[[#This Row],[Puntos]],Categorias_Configuracion[],MATCH(Categorias_Configuracion[[#Headers],[% Amplitud]],Categorias_Configuracion[#Headers],0),TRUE)</f>
        <v>0.15</v>
      </c>
      <c r="H2078" s="15" t="str">
        <f ca="1">TEXT(Categorias_Registro[[#This Row],[Mínimo]],Formato_Rango_Categorias)&amp;" - "&amp;TEXT(Categorias_Registro[[#This Row],[Máximo]],Formato_Rango_Categorias)</f>
        <v>537 - 616</v>
      </c>
    </row>
    <row r="2079" spans="2:8">
      <c r="B2079" s="15">
        <f>Techo - ROW() + ROW(Categorias_Registro[])</f>
        <v>550</v>
      </c>
      <c r="C2079" s="15">
        <f>IF(Categorias_Registro[[#This Row],[Puntos]]&lt;=ROUND(Piso,0),Piso,IF(Categorias_Registro[[#This Row],[Puntos]]&lt;D2080,C2080,D2080+1))</f>
        <v>537</v>
      </c>
      <c r="D2079" s="15">
        <f>IF(Categorias_Registro[[#This Row],[Puntos]]=ROUND(Piso,0),ROUND(Categorias_Registro[[#This Row],[Puntos]]*(1+Categorias_Registro[[#This Row],[Amplitud]]),0),IF(Categorias_Registro[[#This Row],[Puntos]]&lt;D2080,D2080,ROUND(D2080*(1+Categorias_Registro[[#This Row],[Amplitud]]),0)))</f>
        <v>616</v>
      </c>
      <c r="E2079" s="15">
        <f>E2080+IF(D2080=Categorias_Registro[[#This Row],[Máximo]],0,1)</f>
        <v>14</v>
      </c>
      <c r="F2079" s="15">
        <f>ROUND(Categorias_Registro[[#This Row],[Mínimo]]+((Categorias_Registro[[#This Row],[Máximo]]-Categorias_Registro[[#This Row],[Mínimo]])/2),0)</f>
        <v>577</v>
      </c>
      <c r="G2079" s="78">
        <f>VLOOKUP(Categorias_Registro[[#This Row],[Puntos]],Categorias_Configuracion[],MATCH(Categorias_Configuracion[[#Headers],[% Amplitud]],Categorias_Configuracion[#Headers],0),TRUE)</f>
        <v>0.15</v>
      </c>
      <c r="H2079" s="15" t="str">
        <f ca="1">TEXT(Categorias_Registro[[#This Row],[Mínimo]],Formato_Rango_Categorias)&amp;" - "&amp;TEXT(Categorias_Registro[[#This Row],[Máximo]],Formato_Rango_Categorias)</f>
        <v>537 - 616</v>
      </c>
    </row>
    <row r="2080" spans="2:8">
      <c r="B2080" s="15">
        <f>Techo - ROW() + ROW(Categorias_Registro[])</f>
        <v>549</v>
      </c>
      <c r="C2080" s="15">
        <f>IF(Categorias_Registro[[#This Row],[Puntos]]&lt;=ROUND(Piso,0),Piso,IF(Categorias_Registro[[#This Row],[Puntos]]&lt;D2081,C2081,D2081+1))</f>
        <v>537</v>
      </c>
      <c r="D2080" s="15">
        <f>IF(Categorias_Registro[[#This Row],[Puntos]]=ROUND(Piso,0),ROUND(Categorias_Registro[[#This Row],[Puntos]]*(1+Categorias_Registro[[#This Row],[Amplitud]]),0),IF(Categorias_Registro[[#This Row],[Puntos]]&lt;D2081,D2081,ROUND(D2081*(1+Categorias_Registro[[#This Row],[Amplitud]]),0)))</f>
        <v>616</v>
      </c>
      <c r="E2080" s="15">
        <f>E2081+IF(D2081=Categorias_Registro[[#This Row],[Máximo]],0,1)</f>
        <v>14</v>
      </c>
      <c r="F2080" s="15">
        <f>ROUND(Categorias_Registro[[#This Row],[Mínimo]]+((Categorias_Registro[[#This Row],[Máximo]]-Categorias_Registro[[#This Row],[Mínimo]])/2),0)</f>
        <v>577</v>
      </c>
      <c r="G2080" s="78">
        <f>VLOOKUP(Categorias_Registro[[#This Row],[Puntos]],Categorias_Configuracion[],MATCH(Categorias_Configuracion[[#Headers],[% Amplitud]],Categorias_Configuracion[#Headers],0),TRUE)</f>
        <v>0.15</v>
      </c>
      <c r="H2080" s="15" t="str">
        <f ca="1">TEXT(Categorias_Registro[[#This Row],[Mínimo]],Formato_Rango_Categorias)&amp;" - "&amp;TEXT(Categorias_Registro[[#This Row],[Máximo]],Formato_Rango_Categorias)</f>
        <v>537 - 616</v>
      </c>
    </row>
    <row r="2081" spans="2:8">
      <c r="B2081" s="15">
        <f>Techo - ROW() + ROW(Categorias_Registro[])</f>
        <v>548</v>
      </c>
      <c r="C2081" s="15">
        <f>IF(Categorias_Registro[[#This Row],[Puntos]]&lt;=ROUND(Piso,0),Piso,IF(Categorias_Registro[[#This Row],[Puntos]]&lt;D2082,C2082,D2082+1))</f>
        <v>537</v>
      </c>
      <c r="D2081" s="15">
        <f>IF(Categorias_Registro[[#This Row],[Puntos]]=ROUND(Piso,0),ROUND(Categorias_Registro[[#This Row],[Puntos]]*(1+Categorias_Registro[[#This Row],[Amplitud]]),0),IF(Categorias_Registro[[#This Row],[Puntos]]&lt;D2082,D2082,ROUND(D2082*(1+Categorias_Registro[[#This Row],[Amplitud]]),0)))</f>
        <v>616</v>
      </c>
      <c r="E2081" s="15">
        <f>E2082+IF(D2082=Categorias_Registro[[#This Row],[Máximo]],0,1)</f>
        <v>14</v>
      </c>
      <c r="F2081" s="15">
        <f>ROUND(Categorias_Registro[[#This Row],[Mínimo]]+((Categorias_Registro[[#This Row],[Máximo]]-Categorias_Registro[[#This Row],[Mínimo]])/2),0)</f>
        <v>577</v>
      </c>
      <c r="G2081" s="78">
        <f>VLOOKUP(Categorias_Registro[[#This Row],[Puntos]],Categorias_Configuracion[],MATCH(Categorias_Configuracion[[#Headers],[% Amplitud]],Categorias_Configuracion[#Headers],0),TRUE)</f>
        <v>0.15</v>
      </c>
      <c r="H2081" s="15" t="str">
        <f ca="1">TEXT(Categorias_Registro[[#This Row],[Mínimo]],Formato_Rango_Categorias)&amp;" - "&amp;TEXT(Categorias_Registro[[#This Row],[Máximo]],Formato_Rango_Categorias)</f>
        <v>537 - 616</v>
      </c>
    </row>
    <row r="2082" spans="2:8">
      <c r="B2082" s="15">
        <f>Techo - ROW() + ROW(Categorias_Registro[])</f>
        <v>547</v>
      </c>
      <c r="C2082" s="15">
        <f>IF(Categorias_Registro[[#This Row],[Puntos]]&lt;=ROUND(Piso,0),Piso,IF(Categorias_Registro[[#This Row],[Puntos]]&lt;D2083,C2083,D2083+1))</f>
        <v>537</v>
      </c>
      <c r="D2082" s="15">
        <f>IF(Categorias_Registro[[#This Row],[Puntos]]=ROUND(Piso,0),ROUND(Categorias_Registro[[#This Row],[Puntos]]*(1+Categorias_Registro[[#This Row],[Amplitud]]),0),IF(Categorias_Registro[[#This Row],[Puntos]]&lt;D2083,D2083,ROUND(D2083*(1+Categorias_Registro[[#This Row],[Amplitud]]),0)))</f>
        <v>616</v>
      </c>
      <c r="E2082" s="15">
        <f>E2083+IF(D2083=Categorias_Registro[[#This Row],[Máximo]],0,1)</f>
        <v>14</v>
      </c>
      <c r="F2082" s="15">
        <f>ROUND(Categorias_Registro[[#This Row],[Mínimo]]+((Categorias_Registro[[#This Row],[Máximo]]-Categorias_Registro[[#This Row],[Mínimo]])/2),0)</f>
        <v>577</v>
      </c>
      <c r="G2082" s="78">
        <f>VLOOKUP(Categorias_Registro[[#This Row],[Puntos]],Categorias_Configuracion[],MATCH(Categorias_Configuracion[[#Headers],[% Amplitud]],Categorias_Configuracion[#Headers],0),TRUE)</f>
        <v>0.15</v>
      </c>
      <c r="H2082" s="15" t="str">
        <f ca="1">TEXT(Categorias_Registro[[#This Row],[Mínimo]],Formato_Rango_Categorias)&amp;" - "&amp;TEXT(Categorias_Registro[[#This Row],[Máximo]],Formato_Rango_Categorias)</f>
        <v>537 - 616</v>
      </c>
    </row>
    <row r="2083" spans="2:8">
      <c r="B2083" s="15">
        <f>Techo - ROW() + ROW(Categorias_Registro[])</f>
        <v>546</v>
      </c>
      <c r="C2083" s="15">
        <f>IF(Categorias_Registro[[#This Row],[Puntos]]&lt;=ROUND(Piso,0),Piso,IF(Categorias_Registro[[#This Row],[Puntos]]&lt;D2084,C2084,D2084+1))</f>
        <v>537</v>
      </c>
      <c r="D2083" s="15">
        <f>IF(Categorias_Registro[[#This Row],[Puntos]]=ROUND(Piso,0),ROUND(Categorias_Registro[[#This Row],[Puntos]]*(1+Categorias_Registro[[#This Row],[Amplitud]]),0),IF(Categorias_Registro[[#This Row],[Puntos]]&lt;D2084,D2084,ROUND(D2084*(1+Categorias_Registro[[#This Row],[Amplitud]]),0)))</f>
        <v>616</v>
      </c>
      <c r="E2083" s="15">
        <f>E2084+IF(D2084=Categorias_Registro[[#This Row],[Máximo]],0,1)</f>
        <v>14</v>
      </c>
      <c r="F2083" s="15">
        <f>ROUND(Categorias_Registro[[#This Row],[Mínimo]]+((Categorias_Registro[[#This Row],[Máximo]]-Categorias_Registro[[#This Row],[Mínimo]])/2),0)</f>
        <v>577</v>
      </c>
      <c r="G2083" s="78">
        <f>VLOOKUP(Categorias_Registro[[#This Row],[Puntos]],Categorias_Configuracion[],MATCH(Categorias_Configuracion[[#Headers],[% Amplitud]],Categorias_Configuracion[#Headers],0),TRUE)</f>
        <v>0.15</v>
      </c>
      <c r="H2083" s="15" t="str">
        <f ca="1">TEXT(Categorias_Registro[[#This Row],[Mínimo]],Formato_Rango_Categorias)&amp;" - "&amp;TEXT(Categorias_Registro[[#This Row],[Máximo]],Formato_Rango_Categorias)</f>
        <v>537 - 616</v>
      </c>
    </row>
    <row r="2084" spans="2:8">
      <c r="B2084" s="15">
        <f>Techo - ROW() + ROW(Categorias_Registro[])</f>
        <v>545</v>
      </c>
      <c r="C2084" s="15">
        <f>IF(Categorias_Registro[[#This Row],[Puntos]]&lt;=ROUND(Piso,0),Piso,IF(Categorias_Registro[[#This Row],[Puntos]]&lt;D2085,C2085,D2085+1))</f>
        <v>537</v>
      </c>
      <c r="D2084" s="15">
        <f>IF(Categorias_Registro[[#This Row],[Puntos]]=ROUND(Piso,0),ROUND(Categorias_Registro[[#This Row],[Puntos]]*(1+Categorias_Registro[[#This Row],[Amplitud]]),0),IF(Categorias_Registro[[#This Row],[Puntos]]&lt;D2085,D2085,ROUND(D2085*(1+Categorias_Registro[[#This Row],[Amplitud]]),0)))</f>
        <v>616</v>
      </c>
      <c r="E2084" s="15">
        <f>E2085+IF(D2085=Categorias_Registro[[#This Row],[Máximo]],0,1)</f>
        <v>14</v>
      </c>
      <c r="F2084" s="15">
        <f>ROUND(Categorias_Registro[[#This Row],[Mínimo]]+((Categorias_Registro[[#This Row],[Máximo]]-Categorias_Registro[[#This Row],[Mínimo]])/2),0)</f>
        <v>577</v>
      </c>
      <c r="G2084" s="78">
        <f>VLOOKUP(Categorias_Registro[[#This Row],[Puntos]],Categorias_Configuracion[],MATCH(Categorias_Configuracion[[#Headers],[% Amplitud]],Categorias_Configuracion[#Headers],0),TRUE)</f>
        <v>0.15</v>
      </c>
      <c r="H2084" s="15" t="str">
        <f ca="1">TEXT(Categorias_Registro[[#This Row],[Mínimo]],Formato_Rango_Categorias)&amp;" - "&amp;TEXT(Categorias_Registro[[#This Row],[Máximo]],Formato_Rango_Categorias)</f>
        <v>537 - 616</v>
      </c>
    </row>
    <row r="2085" spans="2:8">
      <c r="B2085" s="15">
        <f>Techo - ROW() + ROW(Categorias_Registro[])</f>
        <v>544</v>
      </c>
      <c r="C2085" s="15">
        <f>IF(Categorias_Registro[[#This Row],[Puntos]]&lt;=ROUND(Piso,0),Piso,IF(Categorias_Registro[[#This Row],[Puntos]]&lt;D2086,C2086,D2086+1))</f>
        <v>537</v>
      </c>
      <c r="D2085" s="15">
        <f>IF(Categorias_Registro[[#This Row],[Puntos]]=ROUND(Piso,0),ROUND(Categorias_Registro[[#This Row],[Puntos]]*(1+Categorias_Registro[[#This Row],[Amplitud]]),0),IF(Categorias_Registro[[#This Row],[Puntos]]&lt;D2086,D2086,ROUND(D2086*(1+Categorias_Registro[[#This Row],[Amplitud]]),0)))</f>
        <v>616</v>
      </c>
      <c r="E2085" s="15">
        <f>E2086+IF(D2086=Categorias_Registro[[#This Row],[Máximo]],0,1)</f>
        <v>14</v>
      </c>
      <c r="F2085" s="15">
        <f>ROUND(Categorias_Registro[[#This Row],[Mínimo]]+((Categorias_Registro[[#This Row],[Máximo]]-Categorias_Registro[[#This Row],[Mínimo]])/2),0)</f>
        <v>577</v>
      </c>
      <c r="G2085" s="78">
        <f>VLOOKUP(Categorias_Registro[[#This Row],[Puntos]],Categorias_Configuracion[],MATCH(Categorias_Configuracion[[#Headers],[% Amplitud]],Categorias_Configuracion[#Headers],0),TRUE)</f>
        <v>0.15</v>
      </c>
      <c r="H2085" s="15" t="str">
        <f ca="1">TEXT(Categorias_Registro[[#This Row],[Mínimo]],Formato_Rango_Categorias)&amp;" - "&amp;TEXT(Categorias_Registro[[#This Row],[Máximo]],Formato_Rango_Categorias)</f>
        <v>537 - 616</v>
      </c>
    </row>
    <row r="2086" spans="2:8">
      <c r="B2086" s="15">
        <f>Techo - ROW() + ROW(Categorias_Registro[])</f>
        <v>543</v>
      </c>
      <c r="C2086" s="15">
        <f>IF(Categorias_Registro[[#This Row],[Puntos]]&lt;=ROUND(Piso,0),Piso,IF(Categorias_Registro[[#This Row],[Puntos]]&lt;D2087,C2087,D2087+1))</f>
        <v>537</v>
      </c>
      <c r="D2086" s="15">
        <f>IF(Categorias_Registro[[#This Row],[Puntos]]=ROUND(Piso,0),ROUND(Categorias_Registro[[#This Row],[Puntos]]*(1+Categorias_Registro[[#This Row],[Amplitud]]),0),IF(Categorias_Registro[[#This Row],[Puntos]]&lt;D2087,D2087,ROUND(D2087*(1+Categorias_Registro[[#This Row],[Amplitud]]),0)))</f>
        <v>616</v>
      </c>
      <c r="E2086" s="15">
        <f>E2087+IF(D2087=Categorias_Registro[[#This Row],[Máximo]],0,1)</f>
        <v>14</v>
      </c>
      <c r="F2086" s="15">
        <f>ROUND(Categorias_Registro[[#This Row],[Mínimo]]+((Categorias_Registro[[#This Row],[Máximo]]-Categorias_Registro[[#This Row],[Mínimo]])/2),0)</f>
        <v>577</v>
      </c>
      <c r="G2086" s="78">
        <f>VLOOKUP(Categorias_Registro[[#This Row],[Puntos]],Categorias_Configuracion[],MATCH(Categorias_Configuracion[[#Headers],[% Amplitud]],Categorias_Configuracion[#Headers],0),TRUE)</f>
        <v>0.15</v>
      </c>
      <c r="H2086" s="15" t="str">
        <f ca="1">TEXT(Categorias_Registro[[#This Row],[Mínimo]],Formato_Rango_Categorias)&amp;" - "&amp;TEXT(Categorias_Registro[[#This Row],[Máximo]],Formato_Rango_Categorias)</f>
        <v>537 - 616</v>
      </c>
    </row>
    <row r="2087" spans="2:8">
      <c r="B2087" s="15">
        <f>Techo - ROW() + ROW(Categorias_Registro[])</f>
        <v>542</v>
      </c>
      <c r="C2087" s="15">
        <f>IF(Categorias_Registro[[#This Row],[Puntos]]&lt;=ROUND(Piso,0),Piso,IF(Categorias_Registro[[#This Row],[Puntos]]&lt;D2088,C2088,D2088+1))</f>
        <v>537</v>
      </c>
      <c r="D2087" s="15">
        <f>IF(Categorias_Registro[[#This Row],[Puntos]]=ROUND(Piso,0),ROUND(Categorias_Registro[[#This Row],[Puntos]]*(1+Categorias_Registro[[#This Row],[Amplitud]]),0),IF(Categorias_Registro[[#This Row],[Puntos]]&lt;D2088,D2088,ROUND(D2088*(1+Categorias_Registro[[#This Row],[Amplitud]]),0)))</f>
        <v>616</v>
      </c>
      <c r="E2087" s="15">
        <f>E2088+IF(D2088=Categorias_Registro[[#This Row],[Máximo]],0,1)</f>
        <v>14</v>
      </c>
      <c r="F2087" s="15">
        <f>ROUND(Categorias_Registro[[#This Row],[Mínimo]]+((Categorias_Registro[[#This Row],[Máximo]]-Categorias_Registro[[#This Row],[Mínimo]])/2),0)</f>
        <v>577</v>
      </c>
      <c r="G2087" s="78">
        <f>VLOOKUP(Categorias_Registro[[#This Row],[Puntos]],Categorias_Configuracion[],MATCH(Categorias_Configuracion[[#Headers],[% Amplitud]],Categorias_Configuracion[#Headers],0),TRUE)</f>
        <v>0.15</v>
      </c>
      <c r="H2087" s="15" t="str">
        <f ca="1">TEXT(Categorias_Registro[[#This Row],[Mínimo]],Formato_Rango_Categorias)&amp;" - "&amp;TEXT(Categorias_Registro[[#This Row],[Máximo]],Formato_Rango_Categorias)</f>
        <v>537 - 616</v>
      </c>
    </row>
    <row r="2088" spans="2:8">
      <c r="B2088" s="15">
        <f>Techo - ROW() + ROW(Categorias_Registro[])</f>
        <v>541</v>
      </c>
      <c r="C2088" s="15">
        <f>IF(Categorias_Registro[[#This Row],[Puntos]]&lt;=ROUND(Piso,0),Piso,IF(Categorias_Registro[[#This Row],[Puntos]]&lt;D2089,C2089,D2089+1))</f>
        <v>537</v>
      </c>
      <c r="D2088" s="15">
        <f>IF(Categorias_Registro[[#This Row],[Puntos]]=ROUND(Piso,0),ROUND(Categorias_Registro[[#This Row],[Puntos]]*(1+Categorias_Registro[[#This Row],[Amplitud]]),0),IF(Categorias_Registro[[#This Row],[Puntos]]&lt;D2089,D2089,ROUND(D2089*(1+Categorias_Registro[[#This Row],[Amplitud]]),0)))</f>
        <v>616</v>
      </c>
      <c r="E2088" s="15">
        <f>E2089+IF(D2089=Categorias_Registro[[#This Row],[Máximo]],0,1)</f>
        <v>14</v>
      </c>
      <c r="F2088" s="15">
        <f>ROUND(Categorias_Registro[[#This Row],[Mínimo]]+((Categorias_Registro[[#This Row],[Máximo]]-Categorias_Registro[[#This Row],[Mínimo]])/2),0)</f>
        <v>577</v>
      </c>
      <c r="G2088" s="78">
        <f>VLOOKUP(Categorias_Registro[[#This Row],[Puntos]],Categorias_Configuracion[],MATCH(Categorias_Configuracion[[#Headers],[% Amplitud]],Categorias_Configuracion[#Headers],0),TRUE)</f>
        <v>0.15</v>
      </c>
      <c r="H2088" s="15" t="str">
        <f ca="1">TEXT(Categorias_Registro[[#This Row],[Mínimo]],Formato_Rango_Categorias)&amp;" - "&amp;TEXT(Categorias_Registro[[#This Row],[Máximo]],Formato_Rango_Categorias)</f>
        <v>537 - 616</v>
      </c>
    </row>
    <row r="2089" spans="2:8">
      <c r="B2089" s="15">
        <f>Techo - ROW() + ROW(Categorias_Registro[])</f>
        <v>540</v>
      </c>
      <c r="C2089" s="15">
        <f>IF(Categorias_Registro[[#This Row],[Puntos]]&lt;=ROUND(Piso,0),Piso,IF(Categorias_Registro[[#This Row],[Puntos]]&lt;D2090,C2090,D2090+1))</f>
        <v>537</v>
      </c>
      <c r="D2089" s="15">
        <f>IF(Categorias_Registro[[#This Row],[Puntos]]=ROUND(Piso,0),ROUND(Categorias_Registro[[#This Row],[Puntos]]*(1+Categorias_Registro[[#This Row],[Amplitud]]),0),IF(Categorias_Registro[[#This Row],[Puntos]]&lt;D2090,D2090,ROUND(D2090*(1+Categorias_Registro[[#This Row],[Amplitud]]),0)))</f>
        <v>616</v>
      </c>
      <c r="E2089" s="15">
        <f>E2090+IF(D2090=Categorias_Registro[[#This Row],[Máximo]],0,1)</f>
        <v>14</v>
      </c>
      <c r="F2089" s="15">
        <f>ROUND(Categorias_Registro[[#This Row],[Mínimo]]+((Categorias_Registro[[#This Row],[Máximo]]-Categorias_Registro[[#This Row],[Mínimo]])/2),0)</f>
        <v>577</v>
      </c>
      <c r="G2089" s="78">
        <f>VLOOKUP(Categorias_Registro[[#This Row],[Puntos]],Categorias_Configuracion[],MATCH(Categorias_Configuracion[[#Headers],[% Amplitud]],Categorias_Configuracion[#Headers],0),TRUE)</f>
        <v>0.15</v>
      </c>
      <c r="H2089" s="15" t="str">
        <f ca="1">TEXT(Categorias_Registro[[#This Row],[Mínimo]],Formato_Rango_Categorias)&amp;" - "&amp;TEXT(Categorias_Registro[[#This Row],[Máximo]],Formato_Rango_Categorias)</f>
        <v>537 - 616</v>
      </c>
    </row>
    <row r="2090" spans="2:8">
      <c r="B2090" s="15">
        <f>Techo - ROW() + ROW(Categorias_Registro[])</f>
        <v>539</v>
      </c>
      <c r="C2090" s="15">
        <f>IF(Categorias_Registro[[#This Row],[Puntos]]&lt;=ROUND(Piso,0),Piso,IF(Categorias_Registro[[#This Row],[Puntos]]&lt;D2091,C2091,D2091+1))</f>
        <v>537</v>
      </c>
      <c r="D2090" s="15">
        <f>IF(Categorias_Registro[[#This Row],[Puntos]]=ROUND(Piso,0),ROUND(Categorias_Registro[[#This Row],[Puntos]]*(1+Categorias_Registro[[#This Row],[Amplitud]]),0),IF(Categorias_Registro[[#This Row],[Puntos]]&lt;D2091,D2091,ROUND(D2091*(1+Categorias_Registro[[#This Row],[Amplitud]]),0)))</f>
        <v>616</v>
      </c>
      <c r="E2090" s="15">
        <f>E2091+IF(D2091=Categorias_Registro[[#This Row],[Máximo]],0,1)</f>
        <v>14</v>
      </c>
      <c r="F2090" s="15">
        <f>ROUND(Categorias_Registro[[#This Row],[Mínimo]]+((Categorias_Registro[[#This Row],[Máximo]]-Categorias_Registro[[#This Row],[Mínimo]])/2),0)</f>
        <v>577</v>
      </c>
      <c r="G2090" s="78">
        <f>VLOOKUP(Categorias_Registro[[#This Row],[Puntos]],Categorias_Configuracion[],MATCH(Categorias_Configuracion[[#Headers],[% Amplitud]],Categorias_Configuracion[#Headers],0),TRUE)</f>
        <v>0.15</v>
      </c>
      <c r="H2090" s="15" t="str">
        <f ca="1">TEXT(Categorias_Registro[[#This Row],[Mínimo]],Formato_Rango_Categorias)&amp;" - "&amp;TEXT(Categorias_Registro[[#This Row],[Máximo]],Formato_Rango_Categorias)</f>
        <v>537 - 616</v>
      </c>
    </row>
    <row r="2091" spans="2:8">
      <c r="B2091" s="15">
        <f>Techo - ROW() + ROW(Categorias_Registro[])</f>
        <v>538</v>
      </c>
      <c r="C2091" s="15">
        <f>IF(Categorias_Registro[[#This Row],[Puntos]]&lt;=ROUND(Piso,0),Piso,IF(Categorias_Registro[[#This Row],[Puntos]]&lt;D2092,C2092,D2092+1))</f>
        <v>537</v>
      </c>
      <c r="D2091" s="15">
        <f>IF(Categorias_Registro[[#This Row],[Puntos]]=ROUND(Piso,0),ROUND(Categorias_Registro[[#This Row],[Puntos]]*(1+Categorias_Registro[[#This Row],[Amplitud]]),0),IF(Categorias_Registro[[#This Row],[Puntos]]&lt;D2092,D2092,ROUND(D2092*(1+Categorias_Registro[[#This Row],[Amplitud]]),0)))</f>
        <v>616</v>
      </c>
      <c r="E2091" s="15">
        <f>E2092+IF(D2092=Categorias_Registro[[#This Row],[Máximo]],0,1)</f>
        <v>14</v>
      </c>
      <c r="F2091" s="15">
        <f>ROUND(Categorias_Registro[[#This Row],[Mínimo]]+((Categorias_Registro[[#This Row],[Máximo]]-Categorias_Registro[[#This Row],[Mínimo]])/2),0)</f>
        <v>577</v>
      </c>
      <c r="G2091" s="78">
        <f>VLOOKUP(Categorias_Registro[[#This Row],[Puntos]],Categorias_Configuracion[],MATCH(Categorias_Configuracion[[#Headers],[% Amplitud]],Categorias_Configuracion[#Headers],0),TRUE)</f>
        <v>0.15</v>
      </c>
      <c r="H2091" s="15" t="str">
        <f ca="1">TEXT(Categorias_Registro[[#This Row],[Mínimo]],Formato_Rango_Categorias)&amp;" - "&amp;TEXT(Categorias_Registro[[#This Row],[Máximo]],Formato_Rango_Categorias)</f>
        <v>537 - 616</v>
      </c>
    </row>
    <row r="2092" spans="2:8">
      <c r="B2092" s="15">
        <f>Techo - ROW() + ROW(Categorias_Registro[])</f>
        <v>537</v>
      </c>
      <c r="C2092" s="15">
        <f>IF(Categorias_Registro[[#This Row],[Puntos]]&lt;=ROUND(Piso,0),Piso,IF(Categorias_Registro[[#This Row],[Puntos]]&lt;D2093,C2093,D2093+1))</f>
        <v>537</v>
      </c>
      <c r="D2092" s="15">
        <f>IF(Categorias_Registro[[#This Row],[Puntos]]=ROUND(Piso,0),ROUND(Categorias_Registro[[#This Row],[Puntos]]*(1+Categorias_Registro[[#This Row],[Amplitud]]),0),IF(Categorias_Registro[[#This Row],[Puntos]]&lt;D2093,D2093,ROUND(D2093*(1+Categorias_Registro[[#This Row],[Amplitud]]),0)))</f>
        <v>616</v>
      </c>
      <c r="E2092" s="15">
        <f>E2093+IF(D2093=Categorias_Registro[[#This Row],[Máximo]],0,1)</f>
        <v>14</v>
      </c>
      <c r="F2092" s="15">
        <f>ROUND(Categorias_Registro[[#This Row],[Mínimo]]+((Categorias_Registro[[#This Row],[Máximo]]-Categorias_Registro[[#This Row],[Mínimo]])/2),0)</f>
        <v>577</v>
      </c>
      <c r="G2092" s="78">
        <f>VLOOKUP(Categorias_Registro[[#This Row],[Puntos]],Categorias_Configuracion[],MATCH(Categorias_Configuracion[[#Headers],[% Amplitud]],Categorias_Configuracion[#Headers],0),TRUE)</f>
        <v>0.15</v>
      </c>
      <c r="H2092" s="15" t="str">
        <f ca="1">TEXT(Categorias_Registro[[#This Row],[Mínimo]],Formato_Rango_Categorias)&amp;" - "&amp;TEXT(Categorias_Registro[[#This Row],[Máximo]],Formato_Rango_Categorias)</f>
        <v>537 - 616</v>
      </c>
    </row>
    <row r="2093" spans="2:8">
      <c r="B2093" s="15">
        <f>Techo - ROW() + ROW(Categorias_Registro[])</f>
        <v>536</v>
      </c>
      <c r="C2093" s="15">
        <f>IF(Categorias_Registro[[#This Row],[Puntos]]&lt;=ROUND(Piso,0),Piso,IF(Categorias_Registro[[#This Row],[Puntos]]&lt;D2094,C2094,D2094+1))</f>
        <v>537</v>
      </c>
      <c r="D2093" s="15">
        <f>IF(Categorias_Registro[[#This Row],[Puntos]]=ROUND(Piso,0),ROUND(Categorias_Registro[[#This Row],[Puntos]]*(1+Categorias_Registro[[#This Row],[Amplitud]]),0),IF(Categorias_Registro[[#This Row],[Puntos]]&lt;D2094,D2094,ROUND(D2094*(1+Categorias_Registro[[#This Row],[Amplitud]]),0)))</f>
        <v>616</v>
      </c>
      <c r="E2093" s="15">
        <f>E2094+IF(D2094=Categorias_Registro[[#This Row],[Máximo]],0,1)</f>
        <v>14</v>
      </c>
      <c r="F2093" s="15">
        <f>ROUND(Categorias_Registro[[#This Row],[Mínimo]]+((Categorias_Registro[[#This Row],[Máximo]]-Categorias_Registro[[#This Row],[Mínimo]])/2),0)</f>
        <v>577</v>
      </c>
      <c r="G2093" s="78">
        <f>VLOOKUP(Categorias_Registro[[#This Row],[Puntos]],Categorias_Configuracion[],MATCH(Categorias_Configuracion[[#Headers],[% Amplitud]],Categorias_Configuracion[#Headers],0),TRUE)</f>
        <v>0.15</v>
      </c>
      <c r="H2093" s="15" t="str">
        <f ca="1">TEXT(Categorias_Registro[[#This Row],[Mínimo]],Formato_Rango_Categorias)&amp;" - "&amp;TEXT(Categorias_Registro[[#This Row],[Máximo]],Formato_Rango_Categorias)</f>
        <v>537 - 616</v>
      </c>
    </row>
    <row r="2094" spans="2:8">
      <c r="B2094" s="15">
        <f>Techo - ROW() + ROW(Categorias_Registro[])</f>
        <v>535</v>
      </c>
      <c r="C2094" s="15">
        <f>IF(Categorias_Registro[[#This Row],[Puntos]]&lt;=ROUND(Piso,0),Piso,IF(Categorias_Registro[[#This Row],[Puntos]]&lt;D2095,C2095,D2095+1))</f>
        <v>467</v>
      </c>
      <c r="D2094" s="15">
        <f>IF(Categorias_Registro[[#This Row],[Puntos]]=ROUND(Piso,0),ROUND(Categorias_Registro[[#This Row],[Puntos]]*(1+Categorias_Registro[[#This Row],[Amplitud]]),0),IF(Categorias_Registro[[#This Row],[Puntos]]&lt;D2095,D2095,ROUND(D2095*(1+Categorias_Registro[[#This Row],[Amplitud]]),0)))</f>
        <v>536</v>
      </c>
      <c r="E2094" s="15">
        <f>E2095+IF(D2095=Categorias_Registro[[#This Row],[Máximo]],0,1)</f>
        <v>13</v>
      </c>
      <c r="F2094" s="15">
        <f>ROUND(Categorias_Registro[[#This Row],[Mínimo]]+((Categorias_Registro[[#This Row],[Máximo]]-Categorias_Registro[[#This Row],[Mínimo]])/2),0)</f>
        <v>502</v>
      </c>
      <c r="G2094" s="78">
        <f>VLOOKUP(Categorias_Registro[[#This Row],[Puntos]],Categorias_Configuracion[],MATCH(Categorias_Configuracion[[#Headers],[% Amplitud]],Categorias_Configuracion[#Headers],0),TRUE)</f>
        <v>0.15</v>
      </c>
      <c r="H2094" s="15" t="str">
        <f ca="1">TEXT(Categorias_Registro[[#This Row],[Mínimo]],Formato_Rango_Categorias)&amp;" - "&amp;TEXT(Categorias_Registro[[#This Row],[Máximo]],Formato_Rango_Categorias)</f>
        <v>467 - 536</v>
      </c>
    </row>
    <row r="2095" spans="2:8">
      <c r="B2095" s="15">
        <f>Techo - ROW() + ROW(Categorias_Registro[])</f>
        <v>534</v>
      </c>
      <c r="C2095" s="15">
        <f>IF(Categorias_Registro[[#This Row],[Puntos]]&lt;=ROUND(Piso,0),Piso,IF(Categorias_Registro[[#This Row],[Puntos]]&lt;D2096,C2096,D2096+1))</f>
        <v>467</v>
      </c>
      <c r="D2095" s="15">
        <f>IF(Categorias_Registro[[#This Row],[Puntos]]=ROUND(Piso,0),ROUND(Categorias_Registro[[#This Row],[Puntos]]*(1+Categorias_Registro[[#This Row],[Amplitud]]),0),IF(Categorias_Registro[[#This Row],[Puntos]]&lt;D2096,D2096,ROUND(D2096*(1+Categorias_Registro[[#This Row],[Amplitud]]),0)))</f>
        <v>536</v>
      </c>
      <c r="E2095" s="15">
        <f>E2096+IF(D2096=Categorias_Registro[[#This Row],[Máximo]],0,1)</f>
        <v>13</v>
      </c>
      <c r="F2095" s="15">
        <f>ROUND(Categorias_Registro[[#This Row],[Mínimo]]+((Categorias_Registro[[#This Row],[Máximo]]-Categorias_Registro[[#This Row],[Mínimo]])/2),0)</f>
        <v>502</v>
      </c>
      <c r="G2095" s="78">
        <f>VLOOKUP(Categorias_Registro[[#This Row],[Puntos]],Categorias_Configuracion[],MATCH(Categorias_Configuracion[[#Headers],[% Amplitud]],Categorias_Configuracion[#Headers],0),TRUE)</f>
        <v>0.15</v>
      </c>
      <c r="H2095" s="15" t="str">
        <f ca="1">TEXT(Categorias_Registro[[#This Row],[Mínimo]],Formato_Rango_Categorias)&amp;" - "&amp;TEXT(Categorias_Registro[[#This Row],[Máximo]],Formato_Rango_Categorias)</f>
        <v>467 - 536</v>
      </c>
    </row>
    <row r="2096" spans="2:8">
      <c r="B2096" s="15">
        <f>Techo - ROW() + ROW(Categorias_Registro[])</f>
        <v>533</v>
      </c>
      <c r="C2096" s="15">
        <f>IF(Categorias_Registro[[#This Row],[Puntos]]&lt;=ROUND(Piso,0),Piso,IF(Categorias_Registro[[#This Row],[Puntos]]&lt;D2097,C2097,D2097+1))</f>
        <v>467</v>
      </c>
      <c r="D2096" s="15">
        <f>IF(Categorias_Registro[[#This Row],[Puntos]]=ROUND(Piso,0),ROUND(Categorias_Registro[[#This Row],[Puntos]]*(1+Categorias_Registro[[#This Row],[Amplitud]]),0),IF(Categorias_Registro[[#This Row],[Puntos]]&lt;D2097,D2097,ROUND(D2097*(1+Categorias_Registro[[#This Row],[Amplitud]]),0)))</f>
        <v>536</v>
      </c>
      <c r="E2096" s="15">
        <f>E2097+IF(D2097=Categorias_Registro[[#This Row],[Máximo]],0,1)</f>
        <v>13</v>
      </c>
      <c r="F2096" s="15">
        <f>ROUND(Categorias_Registro[[#This Row],[Mínimo]]+((Categorias_Registro[[#This Row],[Máximo]]-Categorias_Registro[[#This Row],[Mínimo]])/2),0)</f>
        <v>502</v>
      </c>
      <c r="G2096" s="78">
        <f>VLOOKUP(Categorias_Registro[[#This Row],[Puntos]],Categorias_Configuracion[],MATCH(Categorias_Configuracion[[#Headers],[% Amplitud]],Categorias_Configuracion[#Headers],0),TRUE)</f>
        <v>0.15</v>
      </c>
      <c r="H2096" s="15" t="str">
        <f ca="1">TEXT(Categorias_Registro[[#This Row],[Mínimo]],Formato_Rango_Categorias)&amp;" - "&amp;TEXT(Categorias_Registro[[#This Row],[Máximo]],Formato_Rango_Categorias)</f>
        <v>467 - 536</v>
      </c>
    </row>
    <row r="2097" spans="2:8">
      <c r="B2097" s="15">
        <f>Techo - ROW() + ROW(Categorias_Registro[])</f>
        <v>532</v>
      </c>
      <c r="C2097" s="15">
        <f>IF(Categorias_Registro[[#This Row],[Puntos]]&lt;=ROUND(Piso,0),Piso,IF(Categorias_Registro[[#This Row],[Puntos]]&lt;D2098,C2098,D2098+1))</f>
        <v>467</v>
      </c>
      <c r="D2097" s="15">
        <f>IF(Categorias_Registro[[#This Row],[Puntos]]=ROUND(Piso,0),ROUND(Categorias_Registro[[#This Row],[Puntos]]*(1+Categorias_Registro[[#This Row],[Amplitud]]),0),IF(Categorias_Registro[[#This Row],[Puntos]]&lt;D2098,D2098,ROUND(D2098*(1+Categorias_Registro[[#This Row],[Amplitud]]),0)))</f>
        <v>536</v>
      </c>
      <c r="E2097" s="15">
        <f>E2098+IF(D2098=Categorias_Registro[[#This Row],[Máximo]],0,1)</f>
        <v>13</v>
      </c>
      <c r="F2097" s="15">
        <f>ROUND(Categorias_Registro[[#This Row],[Mínimo]]+((Categorias_Registro[[#This Row],[Máximo]]-Categorias_Registro[[#This Row],[Mínimo]])/2),0)</f>
        <v>502</v>
      </c>
      <c r="G2097" s="78">
        <f>VLOOKUP(Categorias_Registro[[#This Row],[Puntos]],Categorias_Configuracion[],MATCH(Categorias_Configuracion[[#Headers],[% Amplitud]],Categorias_Configuracion[#Headers],0),TRUE)</f>
        <v>0.15</v>
      </c>
      <c r="H2097" s="15" t="str">
        <f ca="1">TEXT(Categorias_Registro[[#This Row],[Mínimo]],Formato_Rango_Categorias)&amp;" - "&amp;TEXT(Categorias_Registro[[#This Row],[Máximo]],Formato_Rango_Categorias)</f>
        <v>467 - 536</v>
      </c>
    </row>
    <row r="2098" spans="2:8">
      <c r="B2098" s="15">
        <f>Techo - ROW() + ROW(Categorias_Registro[])</f>
        <v>531</v>
      </c>
      <c r="C2098" s="15">
        <f>IF(Categorias_Registro[[#This Row],[Puntos]]&lt;=ROUND(Piso,0),Piso,IF(Categorias_Registro[[#This Row],[Puntos]]&lt;D2099,C2099,D2099+1))</f>
        <v>467</v>
      </c>
      <c r="D2098" s="15">
        <f>IF(Categorias_Registro[[#This Row],[Puntos]]=ROUND(Piso,0),ROUND(Categorias_Registro[[#This Row],[Puntos]]*(1+Categorias_Registro[[#This Row],[Amplitud]]),0),IF(Categorias_Registro[[#This Row],[Puntos]]&lt;D2099,D2099,ROUND(D2099*(1+Categorias_Registro[[#This Row],[Amplitud]]),0)))</f>
        <v>536</v>
      </c>
      <c r="E2098" s="15">
        <f>E2099+IF(D2099=Categorias_Registro[[#This Row],[Máximo]],0,1)</f>
        <v>13</v>
      </c>
      <c r="F2098" s="15">
        <f>ROUND(Categorias_Registro[[#This Row],[Mínimo]]+((Categorias_Registro[[#This Row],[Máximo]]-Categorias_Registro[[#This Row],[Mínimo]])/2),0)</f>
        <v>502</v>
      </c>
      <c r="G2098" s="78">
        <f>VLOOKUP(Categorias_Registro[[#This Row],[Puntos]],Categorias_Configuracion[],MATCH(Categorias_Configuracion[[#Headers],[% Amplitud]],Categorias_Configuracion[#Headers],0),TRUE)</f>
        <v>0.15</v>
      </c>
      <c r="H2098" s="15" t="str">
        <f ca="1">TEXT(Categorias_Registro[[#This Row],[Mínimo]],Formato_Rango_Categorias)&amp;" - "&amp;TEXT(Categorias_Registro[[#This Row],[Máximo]],Formato_Rango_Categorias)</f>
        <v>467 - 536</v>
      </c>
    </row>
    <row r="2099" spans="2:8">
      <c r="B2099" s="15">
        <f>Techo - ROW() + ROW(Categorias_Registro[])</f>
        <v>530</v>
      </c>
      <c r="C2099" s="15">
        <f>IF(Categorias_Registro[[#This Row],[Puntos]]&lt;=ROUND(Piso,0),Piso,IF(Categorias_Registro[[#This Row],[Puntos]]&lt;D2100,C2100,D2100+1))</f>
        <v>467</v>
      </c>
      <c r="D2099" s="15">
        <f>IF(Categorias_Registro[[#This Row],[Puntos]]=ROUND(Piso,0),ROUND(Categorias_Registro[[#This Row],[Puntos]]*(1+Categorias_Registro[[#This Row],[Amplitud]]),0),IF(Categorias_Registro[[#This Row],[Puntos]]&lt;D2100,D2100,ROUND(D2100*(1+Categorias_Registro[[#This Row],[Amplitud]]),0)))</f>
        <v>536</v>
      </c>
      <c r="E2099" s="15">
        <f>E2100+IF(D2100=Categorias_Registro[[#This Row],[Máximo]],0,1)</f>
        <v>13</v>
      </c>
      <c r="F2099" s="15">
        <f>ROUND(Categorias_Registro[[#This Row],[Mínimo]]+((Categorias_Registro[[#This Row],[Máximo]]-Categorias_Registro[[#This Row],[Mínimo]])/2),0)</f>
        <v>502</v>
      </c>
      <c r="G2099" s="78">
        <f>VLOOKUP(Categorias_Registro[[#This Row],[Puntos]],Categorias_Configuracion[],MATCH(Categorias_Configuracion[[#Headers],[% Amplitud]],Categorias_Configuracion[#Headers],0),TRUE)</f>
        <v>0.15</v>
      </c>
      <c r="H2099" s="15" t="str">
        <f ca="1">TEXT(Categorias_Registro[[#This Row],[Mínimo]],Formato_Rango_Categorias)&amp;" - "&amp;TEXT(Categorias_Registro[[#This Row],[Máximo]],Formato_Rango_Categorias)</f>
        <v>467 - 536</v>
      </c>
    </row>
    <row r="2100" spans="2:8">
      <c r="B2100" s="15">
        <f>Techo - ROW() + ROW(Categorias_Registro[])</f>
        <v>529</v>
      </c>
      <c r="C2100" s="15">
        <f>IF(Categorias_Registro[[#This Row],[Puntos]]&lt;=ROUND(Piso,0),Piso,IF(Categorias_Registro[[#This Row],[Puntos]]&lt;D2101,C2101,D2101+1))</f>
        <v>467</v>
      </c>
      <c r="D2100" s="15">
        <f>IF(Categorias_Registro[[#This Row],[Puntos]]=ROUND(Piso,0),ROUND(Categorias_Registro[[#This Row],[Puntos]]*(1+Categorias_Registro[[#This Row],[Amplitud]]),0),IF(Categorias_Registro[[#This Row],[Puntos]]&lt;D2101,D2101,ROUND(D2101*(1+Categorias_Registro[[#This Row],[Amplitud]]),0)))</f>
        <v>536</v>
      </c>
      <c r="E2100" s="15">
        <f>E2101+IF(D2101=Categorias_Registro[[#This Row],[Máximo]],0,1)</f>
        <v>13</v>
      </c>
      <c r="F2100" s="15">
        <f>ROUND(Categorias_Registro[[#This Row],[Mínimo]]+((Categorias_Registro[[#This Row],[Máximo]]-Categorias_Registro[[#This Row],[Mínimo]])/2),0)</f>
        <v>502</v>
      </c>
      <c r="G2100" s="78">
        <f>VLOOKUP(Categorias_Registro[[#This Row],[Puntos]],Categorias_Configuracion[],MATCH(Categorias_Configuracion[[#Headers],[% Amplitud]],Categorias_Configuracion[#Headers],0),TRUE)</f>
        <v>0.15</v>
      </c>
      <c r="H2100" s="15" t="str">
        <f ca="1">TEXT(Categorias_Registro[[#This Row],[Mínimo]],Formato_Rango_Categorias)&amp;" - "&amp;TEXT(Categorias_Registro[[#This Row],[Máximo]],Formato_Rango_Categorias)</f>
        <v>467 - 536</v>
      </c>
    </row>
    <row r="2101" spans="2:8">
      <c r="B2101" s="15">
        <f>Techo - ROW() + ROW(Categorias_Registro[])</f>
        <v>528</v>
      </c>
      <c r="C2101" s="15">
        <f>IF(Categorias_Registro[[#This Row],[Puntos]]&lt;=ROUND(Piso,0),Piso,IF(Categorias_Registro[[#This Row],[Puntos]]&lt;D2102,C2102,D2102+1))</f>
        <v>467</v>
      </c>
      <c r="D2101" s="15">
        <f>IF(Categorias_Registro[[#This Row],[Puntos]]=ROUND(Piso,0),ROUND(Categorias_Registro[[#This Row],[Puntos]]*(1+Categorias_Registro[[#This Row],[Amplitud]]),0),IF(Categorias_Registro[[#This Row],[Puntos]]&lt;D2102,D2102,ROUND(D2102*(1+Categorias_Registro[[#This Row],[Amplitud]]),0)))</f>
        <v>536</v>
      </c>
      <c r="E2101" s="15">
        <f>E2102+IF(D2102=Categorias_Registro[[#This Row],[Máximo]],0,1)</f>
        <v>13</v>
      </c>
      <c r="F2101" s="15">
        <f>ROUND(Categorias_Registro[[#This Row],[Mínimo]]+((Categorias_Registro[[#This Row],[Máximo]]-Categorias_Registro[[#This Row],[Mínimo]])/2),0)</f>
        <v>502</v>
      </c>
      <c r="G2101" s="78">
        <f>VLOOKUP(Categorias_Registro[[#This Row],[Puntos]],Categorias_Configuracion[],MATCH(Categorias_Configuracion[[#Headers],[% Amplitud]],Categorias_Configuracion[#Headers],0),TRUE)</f>
        <v>0.15</v>
      </c>
      <c r="H2101" s="15" t="str">
        <f ca="1">TEXT(Categorias_Registro[[#This Row],[Mínimo]],Formato_Rango_Categorias)&amp;" - "&amp;TEXT(Categorias_Registro[[#This Row],[Máximo]],Formato_Rango_Categorias)</f>
        <v>467 - 536</v>
      </c>
    </row>
    <row r="2102" spans="2:8">
      <c r="B2102" s="15">
        <f>Techo - ROW() + ROW(Categorias_Registro[])</f>
        <v>527</v>
      </c>
      <c r="C2102" s="15">
        <f>IF(Categorias_Registro[[#This Row],[Puntos]]&lt;=ROUND(Piso,0),Piso,IF(Categorias_Registro[[#This Row],[Puntos]]&lt;D2103,C2103,D2103+1))</f>
        <v>467</v>
      </c>
      <c r="D2102" s="15">
        <f>IF(Categorias_Registro[[#This Row],[Puntos]]=ROUND(Piso,0),ROUND(Categorias_Registro[[#This Row],[Puntos]]*(1+Categorias_Registro[[#This Row],[Amplitud]]),0),IF(Categorias_Registro[[#This Row],[Puntos]]&lt;D2103,D2103,ROUND(D2103*(1+Categorias_Registro[[#This Row],[Amplitud]]),0)))</f>
        <v>536</v>
      </c>
      <c r="E2102" s="15">
        <f>E2103+IF(D2103=Categorias_Registro[[#This Row],[Máximo]],0,1)</f>
        <v>13</v>
      </c>
      <c r="F2102" s="15">
        <f>ROUND(Categorias_Registro[[#This Row],[Mínimo]]+((Categorias_Registro[[#This Row],[Máximo]]-Categorias_Registro[[#This Row],[Mínimo]])/2),0)</f>
        <v>502</v>
      </c>
      <c r="G2102" s="78">
        <f>VLOOKUP(Categorias_Registro[[#This Row],[Puntos]],Categorias_Configuracion[],MATCH(Categorias_Configuracion[[#Headers],[% Amplitud]],Categorias_Configuracion[#Headers],0),TRUE)</f>
        <v>0.15</v>
      </c>
      <c r="H2102" s="15" t="str">
        <f ca="1">TEXT(Categorias_Registro[[#This Row],[Mínimo]],Formato_Rango_Categorias)&amp;" - "&amp;TEXT(Categorias_Registro[[#This Row],[Máximo]],Formato_Rango_Categorias)</f>
        <v>467 - 536</v>
      </c>
    </row>
    <row r="2103" spans="2:8">
      <c r="B2103" s="15">
        <f>Techo - ROW() + ROW(Categorias_Registro[])</f>
        <v>526</v>
      </c>
      <c r="C2103" s="15">
        <f>IF(Categorias_Registro[[#This Row],[Puntos]]&lt;=ROUND(Piso,0),Piso,IF(Categorias_Registro[[#This Row],[Puntos]]&lt;D2104,C2104,D2104+1))</f>
        <v>467</v>
      </c>
      <c r="D2103" s="15">
        <f>IF(Categorias_Registro[[#This Row],[Puntos]]=ROUND(Piso,0),ROUND(Categorias_Registro[[#This Row],[Puntos]]*(1+Categorias_Registro[[#This Row],[Amplitud]]),0),IF(Categorias_Registro[[#This Row],[Puntos]]&lt;D2104,D2104,ROUND(D2104*(1+Categorias_Registro[[#This Row],[Amplitud]]),0)))</f>
        <v>536</v>
      </c>
      <c r="E2103" s="15">
        <f>E2104+IF(D2104=Categorias_Registro[[#This Row],[Máximo]],0,1)</f>
        <v>13</v>
      </c>
      <c r="F2103" s="15">
        <f>ROUND(Categorias_Registro[[#This Row],[Mínimo]]+((Categorias_Registro[[#This Row],[Máximo]]-Categorias_Registro[[#This Row],[Mínimo]])/2),0)</f>
        <v>502</v>
      </c>
      <c r="G2103" s="78">
        <f>VLOOKUP(Categorias_Registro[[#This Row],[Puntos]],Categorias_Configuracion[],MATCH(Categorias_Configuracion[[#Headers],[% Amplitud]],Categorias_Configuracion[#Headers],0),TRUE)</f>
        <v>0.15</v>
      </c>
      <c r="H2103" s="15" t="str">
        <f ca="1">TEXT(Categorias_Registro[[#This Row],[Mínimo]],Formato_Rango_Categorias)&amp;" - "&amp;TEXT(Categorias_Registro[[#This Row],[Máximo]],Formato_Rango_Categorias)</f>
        <v>467 - 536</v>
      </c>
    </row>
    <row r="2104" spans="2:8">
      <c r="B2104" s="15">
        <f>Techo - ROW() + ROW(Categorias_Registro[])</f>
        <v>525</v>
      </c>
      <c r="C2104" s="15">
        <f>IF(Categorias_Registro[[#This Row],[Puntos]]&lt;=ROUND(Piso,0),Piso,IF(Categorias_Registro[[#This Row],[Puntos]]&lt;D2105,C2105,D2105+1))</f>
        <v>467</v>
      </c>
      <c r="D2104" s="15">
        <f>IF(Categorias_Registro[[#This Row],[Puntos]]=ROUND(Piso,0),ROUND(Categorias_Registro[[#This Row],[Puntos]]*(1+Categorias_Registro[[#This Row],[Amplitud]]),0),IF(Categorias_Registro[[#This Row],[Puntos]]&lt;D2105,D2105,ROUND(D2105*(1+Categorias_Registro[[#This Row],[Amplitud]]),0)))</f>
        <v>536</v>
      </c>
      <c r="E2104" s="15">
        <f>E2105+IF(D2105=Categorias_Registro[[#This Row],[Máximo]],0,1)</f>
        <v>13</v>
      </c>
      <c r="F2104" s="15">
        <f>ROUND(Categorias_Registro[[#This Row],[Mínimo]]+((Categorias_Registro[[#This Row],[Máximo]]-Categorias_Registro[[#This Row],[Mínimo]])/2),0)</f>
        <v>502</v>
      </c>
      <c r="G2104" s="78">
        <f>VLOOKUP(Categorias_Registro[[#This Row],[Puntos]],Categorias_Configuracion[],MATCH(Categorias_Configuracion[[#Headers],[% Amplitud]],Categorias_Configuracion[#Headers],0),TRUE)</f>
        <v>0.15</v>
      </c>
      <c r="H2104" s="15" t="str">
        <f ca="1">TEXT(Categorias_Registro[[#This Row],[Mínimo]],Formato_Rango_Categorias)&amp;" - "&amp;TEXT(Categorias_Registro[[#This Row],[Máximo]],Formato_Rango_Categorias)</f>
        <v>467 - 536</v>
      </c>
    </row>
    <row r="2105" spans="2:8">
      <c r="B2105" s="15">
        <f>Techo - ROW() + ROW(Categorias_Registro[])</f>
        <v>524</v>
      </c>
      <c r="C2105" s="15">
        <f>IF(Categorias_Registro[[#This Row],[Puntos]]&lt;=ROUND(Piso,0),Piso,IF(Categorias_Registro[[#This Row],[Puntos]]&lt;D2106,C2106,D2106+1))</f>
        <v>467</v>
      </c>
      <c r="D2105" s="15">
        <f>IF(Categorias_Registro[[#This Row],[Puntos]]=ROUND(Piso,0),ROUND(Categorias_Registro[[#This Row],[Puntos]]*(1+Categorias_Registro[[#This Row],[Amplitud]]),0),IF(Categorias_Registro[[#This Row],[Puntos]]&lt;D2106,D2106,ROUND(D2106*(1+Categorias_Registro[[#This Row],[Amplitud]]),0)))</f>
        <v>536</v>
      </c>
      <c r="E2105" s="15">
        <f>E2106+IF(D2106=Categorias_Registro[[#This Row],[Máximo]],0,1)</f>
        <v>13</v>
      </c>
      <c r="F2105" s="15">
        <f>ROUND(Categorias_Registro[[#This Row],[Mínimo]]+((Categorias_Registro[[#This Row],[Máximo]]-Categorias_Registro[[#This Row],[Mínimo]])/2),0)</f>
        <v>502</v>
      </c>
      <c r="G2105" s="78">
        <f>VLOOKUP(Categorias_Registro[[#This Row],[Puntos]],Categorias_Configuracion[],MATCH(Categorias_Configuracion[[#Headers],[% Amplitud]],Categorias_Configuracion[#Headers],0),TRUE)</f>
        <v>0.15</v>
      </c>
      <c r="H2105" s="15" t="str">
        <f ca="1">TEXT(Categorias_Registro[[#This Row],[Mínimo]],Formato_Rango_Categorias)&amp;" - "&amp;TEXT(Categorias_Registro[[#This Row],[Máximo]],Formato_Rango_Categorias)</f>
        <v>467 - 536</v>
      </c>
    </row>
    <row r="2106" spans="2:8">
      <c r="B2106" s="15">
        <f>Techo - ROW() + ROW(Categorias_Registro[])</f>
        <v>523</v>
      </c>
      <c r="C2106" s="15">
        <f>IF(Categorias_Registro[[#This Row],[Puntos]]&lt;=ROUND(Piso,0),Piso,IF(Categorias_Registro[[#This Row],[Puntos]]&lt;D2107,C2107,D2107+1))</f>
        <v>467</v>
      </c>
      <c r="D2106" s="15">
        <f>IF(Categorias_Registro[[#This Row],[Puntos]]=ROUND(Piso,0),ROUND(Categorias_Registro[[#This Row],[Puntos]]*(1+Categorias_Registro[[#This Row],[Amplitud]]),0),IF(Categorias_Registro[[#This Row],[Puntos]]&lt;D2107,D2107,ROUND(D2107*(1+Categorias_Registro[[#This Row],[Amplitud]]),0)))</f>
        <v>536</v>
      </c>
      <c r="E2106" s="15">
        <f>E2107+IF(D2107=Categorias_Registro[[#This Row],[Máximo]],0,1)</f>
        <v>13</v>
      </c>
      <c r="F2106" s="15">
        <f>ROUND(Categorias_Registro[[#This Row],[Mínimo]]+((Categorias_Registro[[#This Row],[Máximo]]-Categorias_Registro[[#This Row],[Mínimo]])/2),0)</f>
        <v>502</v>
      </c>
      <c r="G2106" s="78">
        <f>VLOOKUP(Categorias_Registro[[#This Row],[Puntos]],Categorias_Configuracion[],MATCH(Categorias_Configuracion[[#Headers],[% Amplitud]],Categorias_Configuracion[#Headers],0),TRUE)</f>
        <v>0.15</v>
      </c>
      <c r="H2106" s="15" t="str">
        <f ca="1">TEXT(Categorias_Registro[[#This Row],[Mínimo]],Formato_Rango_Categorias)&amp;" - "&amp;TEXT(Categorias_Registro[[#This Row],[Máximo]],Formato_Rango_Categorias)</f>
        <v>467 - 536</v>
      </c>
    </row>
    <row r="2107" spans="2:8">
      <c r="B2107" s="15">
        <f>Techo - ROW() + ROW(Categorias_Registro[])</f>
        <v>522</v>
      </c>
      <c r="C2107" s="15">
        <f>IF(Categorias_Registro[[#This Row],[Puntos]]&lt;=ROUND(Piso,0),Piso,IF(Categorias_Registro[[#This Row],[Puntos]]&lt;D2108,C2108,D2108+1))</f>
        <v>467</v>
      </c>
      <c r="D2107" s="15">
        <f>IF(Categorias_Registro[[#This Row],[Puntos]]=ROUND(Piso,0),ROUND(Categorias_Registro[[#This Row],[Puntos]]*(1+Categorias_Registro[[#This Row],[Amplitud]]),0),IF(Categorias_Registro[[#This Row],[Puntos]]&lt;D2108,D2108,ROUND(D2108*(1+Categorias_Registro[[#This Row],[Amplitud]]),0)))</f>
        <v>536</v>
      </c>
      <c r="E2107" s="15">
        <f>E2108+IF(D2108=Categorias_Registro[[#This Row],[Máximo]],0,1)</f>
        <v>13</v>
      </c>
      <c r="F2107" s="15">
        <f>ROUND(Categorias_Registro[[#This Row],[Mínimo]]+((Categorias_Registro[[#This Row],[Máximo]]-Categorias_Registro[[#This Row],[Mínimo]])/2),0)</f>
        <v>502</v>
      </c>
      <c r="G2107" s="78">
        <f>VLOOKUP(Categorias_Registro[[#This Row],[Puntos]],Categorias_Configuracion[],MATCH(Categorias_Configuracion[[#Headers],[% Amplitud]],Categorias_Configuracion[#Headers],0),TRUE)</f>
        <v>0.15</v>
      </c>
      <c r="H2107" s="15" t="str">
        <f ca="1">TEXT(Categorias_Registro[[#This Row],[Mínimo]],Formato_Rango_Categorias)&amp;" - "&amp;TEXT(Categorias_Registro[[#This Row],[Máximo]],Formato_Rango_Categorias)</f>
        <v>467 - 536</v>
      </c>
    </row>
    <row r="2108" spans="2:8">
      <c r="B2108" s="15">
        <f>Techo - ROW() + ROW(Categorias_Registro[])</f>
        <v>521</v>
      </c>
      <c r="C2108" s="15">
        <f>IF(Categorias_Registro[[#This Row],[Puntos]]&lt;=ROUND(Piso,0),Piso,IF(Categorias_Registro[[#This Row],[Puntos]]&lt;D2109,C2109,D2109+1))</f>
        <v>467</v>
      </c>
      <c r="D2108" s="15">
        <f>IF(Categorias_Registro[[#This Row],[Puntos]]=ROUND(Piso,0),ROUND(Categorias_Registro[[#This Row],[Puntos]]*(1+Categorias_Registro[[#This Row],[Amplitud]]),0),IF(Categorias_Registro[[#This Row],[Puntos]]&lt;D2109,D2109,ROUND(D2109*(1+Categorias_Registro[[#This Row],[Amplitud]]),0)))</f>
        <v>536</v>
      </c>
      <c r="E2108" s="15">
        <f>E2109+IF(D2109=Categorias_Registro[[#This Row],[Máximo]],0,1)</f>
        <v>13</v>
      </c>
      <c r="F2108" s="15">
        <f>ROUND(Categorias_Registro[[#This Row],[Mínimo]]+((Categorias_Registro[[#This Row],[Máximo]]-Categorias_Registro[[#This Row],[Mínimo]])/2),0)</f>
        <v>502</v>
      </c>
      <c r="G2108" s="78">
        <f>VLOOKUP(Categorias_Registro[[#This Row],[Puntos]],Categorias_Configuracion[],MATCH(Categorias_Configuracion[[#Headers],[% Amplitud]],Categorias_Configuracion[#Headers],0),TRUE)</f>
        <v>0.15</v>
      </c>
      <c r="H2108" s="15" t="str">
        <f ca="1">TEXT(Categorias_Registro[[#This Row],[Mínimo]],Formato_Rango_Categorias)&amp;" - "&amp;TEXT(Categorias_Registro[[#This Row],[Máximo]],Formato_Rango_Categorias)</f>
        <v>467 - 536</v>
      </c>
    </row>
    <row r="2109" spans="2:8">
      <c r="B2109" s="15">
        <f>Techo - ROW() + ROW(Categorias_Registro[])</f>
        <v>520</v>
      </c>
      <c r="C2109" s="15">
        <f>IF(Categorias_Registro[[#This Row],[Puntos]]&lt;=ROUND(Piso,0),Piso,IF(Categorias_Registro[[#This Row],[Puntos]]&lt;D2110,C2110,D2110+1))</f>
        <v>467</v>
      </c>
      <c r="D2109" s="15">
        <f>IF(Categorias_Registro[[#This Row],[Puntos]]=ROUND(Piso,0),ROUND(Categorias_Registro[[#This Row],[Puntos]]*(1+Categorias_Registro[[#This Row],[Amplitud]]),0),IF(Categorias_Registro[[#This Row],[Puntos]]&lt;D2110,D2110,ROUND(D2110*(1+Categorias_Registro[[#This Row],[Amplitud]]),0)))</f>
        <v>536</v>
      </c>
      <c r="E2109" s="15">
        <f>E2110+IF(D2110=Categorias_Registro[[#This Row],[Máximo]],0,1)</f>
        <v>13</v>
      </c>
      <c r="F2109" s="15">
        <f>ROUND(Categorias_Registro[[#This Row],[Mínimo]]+((Categorias_Registro[[#This Row],[Máximo]]-Categorias_Registro[[#This Row],[Mínimo]])/2),0)</f>
        <v>502</v>
      </c>
      <c r="G2109" s="78">
        <f>VLOOKUP(Categorias_Registro[[#This Row],[Puntos]],Categorias_Configuracion[],MATCH(Categorias_Configuracion[[#Headers],[% Amplitud]],Categorias_Configuracion[#Headers],0),TRUE)</f>
        <v>0.15</v>
      </c>
      <c r="H2109" s="15" t="str">
        <f ca="1">TEXT(Categorias_Registro[[#This Row],[Mínimo]],Formato_Rango_Categorias)&amp;" - "&amp;TEXT(Categorias_Registro[[#This Row],[Máximo]],Formato_Rango_Categorias)</f>
        <v>467 - 536</v>
      </c>
    </row>
    <row r="2110" spans="2:8">
      <c r="B2110" s="15">
        <f>Techo - ROW() + ROW(Categorias_Registro[])</f>
        <v>519</v>
      </c>
      <c r="C2110" s="15">
        <f>IF(Categorias_Registro[[#This Row],[Puntos]]&lt;=ROUND(Piso,0),Piso,IF(Categorias_Registro[[#This Row],[Puntos]]&lt;D2111,C2111,D2111+1))</f>
        <v>467</v>
      </c>
      <c r="D2110" s="15">
        <f>IF(Categorias_Registro[[#This Row],[Puntos]]=ROUND(Piso,0),ROUND(Categorias_Registro[[#This Row],[Puntos]]*(1+Categorias_Registro[[#This Row],[Amplitud]]),0),IF(Categorias_Registro[[#This Row],[Puntos]]&lt;D2111,D2111,ROUND(D2111*(1+Categorias_Registro[[#This Row],[Amplitud]]),0)))</f>
        <v>536</v>
      </c>
      <c r="E2110" s="15">
        <f>E2111+IF(D2111=Categorias_Registro[[#This Row],[Máximo]],0,1)</f>
        <v>13</v>
      </c>
      <c r="F2110" s="15">
        <f>ROUND(Categorias_Registro[[#This Row],[Mínimo]]+((Categorias_Registro[[#This Row],[Máximo]]-Categorias_Registro[[#This Row],[Mínimo]])/2),0)</f>
        <v>502</v>
      </c>
      <c r="G2110" s="78">
        <f>VLOOKUP(Categorias_Registro[[#This Row],[Puntos]],Categorias_Configuracion[],MATCH(Categorias_Configuracion[[#Headers],[% Amplitud]],Categorias_Configuracion[#Headers],0),TRUE)</f>
        <v>0.15</v>
      </c>
      <c r="H2110" s="15" t="str">
        <f ca="1">TEXT(Categorias_Registro[[#This Row],[Mínimo]],Formato_Rango_Categorias)&amp;" - "&amp;TEXT(Categorias_Registro[[#This Row],[Máximo]],Formato_Rango_Categorias)</f>
        <v>467 - 536</v>
      </c>
    </row>
    <row r="2111" spans="2:8">
      <c r="B2111" s="15">
        <f>Techo - ROW() + ROW(Categorias_Registro[])</f>
        <v>518</v>
      </c>
      <c r="C2111" s="15">
        <f>IF(Categorias_Registro[[#This Row],[Puntos]]&lt;=ROUND(Piso,0),Piso,IF(Categorias_Registro[[#This Row],[Puntos]]&lt;D2112,C2112,D2112+1))</f>
        <v>467</v>
      </c>
      <c r="D2111" s="15">
        <f>IF(Categorias_Registro[[#This Row],[Puntos]]=ROUND(Piso,0),ROUND(Categorias_Registro[[#This Row],[Puntos]]*(1+Categorias_Registro[[#This Row],[Amplitud]]),0),IF(Categorias_Registro[[#This Row],[Puntos]]&lt;D2112,D2112,ROUND(D2112*(1+Categorias_Registro[[#This Row],[Amplitud]]),0)))</f>
        <v>536</v>
      </c>
      <c r="E2111" s="15">
        <f>E2112+IF(D2112=Categorias_Registro[[#This Row],[Máximo]],0,1)</f>
        <v>13</v>
      </c>
      <c r="F2111" s="15">
        <f>ROUND(Categorias_Registro[[#This Row],[Mínimo]]+((Categorias_Registro[[#This Row],[Máximo]]-Categorias_Registro[[#This Row],[Mínimo]])/2),0)</f>
        <v>502</v>
      </c>
      <c r="G2111" s="78">
        <f>VLOOKUP(Categorias_Registro[[#This Row],[Puntos]],Categorias_Configuracion[],MATCH(Categorias_Configuracion[[#Headers],[% Amplitud]],Categorias_Configuracion[#Headers],0),TRUE)</f>
        <v>0.15</v>
      </c>
      <c r="H2111" s="15" t="str">
        <f ca="1">TEXT(Categorias_Registro[[#This Row],[Mínimo]],Formato_Rango_Categorias)&amp;" - "&amp;TEXT(Categorias_Registro[[#This Row],[Máximo]],Formato_Rango_Categorias)</f>
        <v>467 - 536</v>
      </c>
    </row>
    <row r="2112" spans="2:8">
      <c r="B2112" s="15">
        <f>Techo - ROW() + ROW(Categorias_Registro[])</f>
        <v>517</v>
      </c>
      <c r="C2112" s="15">
        <f>IF(Categorias_Registro[[#This Row],[Puntos]]&lt;=ROUND(Piso,0),Piso,IF(Categorias_Registro[[#This Row],[Puntos]]&lt;D2113,C2113,D2113+1))</f>
        <v>467</v>
      </c>
      <c r="D2112" s="15">
        <f>IF(Categorias_Registro[[#This Row],[Puntos]]=ROUND(Piso,0),ROUND(Categorias_Registro[[#This Row],[Puntos]]*(1+Categorias_Registro[[#This Row],[Amplitud]]),0),IF(Categorias_Registro[[#This Row],[Puntos]]&lt;D2113,D2113,ROUND(D2113*(1+Categorias_Registro[[#This Row],[Amplitud]]),0)))</f>
        <v>536</v>
      </c>
      <c r="E2112" s="15">
        <f>E2113+IF(D2113=Categorias_Registro[[#This Row],[Máximo]],0,1)</f>
        <v>13</v>
      </c>
      <c r="F2112" s="15">
        <f>ROUND(Categorias_Registro[[#This Row],[Mínimo]]+((Categorias_Registro[[#This Row],[Máximo]]-Categorias_Registro[[#This Row],[Mínimo]])/2),0)</f>
        <v>502</v>
      </c>
      <c r="G2112" s="78">
        <f>VLOOKUP(Categorias_Registro[[#This Row],[Puntos]],Categorias_Configuracion[],MATCH(Categorias_Configuracion[[#Headers],[% Amplitud]],Categorias_Configuracion[#Headers],0),TRUE)</f>
        <v>0.15</v>
      </c>
      <c r="H2112" s="15" t="str">
        <f ca="1">TEXT(Categorias_Registro[[#This Row],[Mínimo]],Formato_Rango_Categorias)&amp;" - "&amp;TEXT(Categorias_Registro[[#This Row],[Máximo]],Formato_Rango_Categorias)</f>
        <v>467 - 536</v>
      </c>
    </row>
    <row r="2113" spans="2:8">
      <c r="B2113" s="15">
        <f>Techo - ROW() + ROW(Categorias_Registro[])</f>
        <v>516</v>
      </c>
      <c r="C2113" s="15">
        <f>IF(Categorias_Registro[[#This Row],[Puntos]]&lt;=ROUND(Piso,0),Piso,IF(Categorias_Registro[[#This Row],[Puntos]]&lt;D2114,C2114,D2114+1))</f>
        <v>467</v>
      </c>
      <c r="D2113" s="15">
        <f>IF(Categorias_Registro[[#This Row],[Puntos]]=ROUND(Piso,0),ROUND(Categorias_Registro[[#This Row],[Puntos]]*(1+Categorias_Registro[[#This Row],[Amplitud]]),0),IF(Categorias_Registro[[#This Row],[Puntos]]&lt;D2114,D2114,ROUND(D2114*(1+Categorias_Registro[[#This Row],[Amplitud]]),0)))</f>
        <v>536</v>
      </c>
      <c r="E2113" s="15">
        <f>E2114+IF(D2114=Categorias_Registro[[#This Row],[Máximo]],0,1)</f>
        <v>13</v>
      </c>
      <c r="F2113" s="15">
        <f>ROUND(Categorias_Registro[[#This Row],[Mínimo]]+((Categorias_Registro[[#This Row],[Máximo]]-Categorias_Registro[[#This Row],[Mínimo]])/2),0)</f>
        <v>502</v>
      </c>
      <c r="G2113" s="78">
        <f>VLOOKUP(Categorias_Registro[[#This Row],[Puntos]],Categorias_Configuracion[],MATCH(Categorias_Configuracion[[#Headers],[% Amplitud]],Categorias_Configuracion[#Headers],0),TRUE)</f>
        <v>0.15</v>
      </c>
      <c r="H2113" s="15" t="str">
        <f ca="1">TEXT(Categorias_Registro[[#This Row],[Mínimo]],Formato_Rango_Categorias)&amp;" - "&amp;TEXT(Categorias_Registro[[#This Row],[Máximo]],Formato_Rango_Categorias)</f>
        <v>467 - 536</v>
      </c>
    </row>
    <row r="2114" spans="2:8">
      <c r="B2114" s="15">
        <f>Techo - ROW() + ROW(Categorias_Registro[])</f>
        <v>515</v>
      </c>
      <c r="C2114" s="15">
        <f>IF(Categorias_Registro[[#This Row],[Puntos]]&lt;=ROUND(Piso,0),Piso,IF(Categorias_Registro[[#This Row],[Puntos]]&lt;D2115,C2115,D2115+1))</f>
        <v>467</v>
      </c>
      <c r="D2114" s="15">
        <f>IF(Categorias_Registro[[#This Row],[Puntos]]=ROUND(Piso,0),ROUND(Categorias_Registro[[#This Row],[Puntos]]*(1+Categorias_Registro[[#This Row],[Amplitud]]),0),IF(Categorias_Registro[[#This Row],[Puntos]]&lt;D2115,D2115,ROUND(D2115*(1+Categorias_Registro[[#This Row],[Amplitud]]),0)))</f>
        <v>536</v>
      </c>
      <c r="E2114" s="15">
        <f>E2115+IF(D2115=Categorias_Registro[[#This Row],[Máximo]],0,1)</f>
        <v>13</v>
      </c>
      <c r="F2114" s="15">
        <f>ROUND(Categorias_Registro[[#This Row],[Mínimo]]+((Categorias_Registro[[#This Row],[Máximo]]-Categorias_Registro[[#This Row],[Mínimo]])/2),0)</f>
        <v>502</v>
      </c>
      <c r="G2114" s="78">
        <f>VLOOKUP(Categorias_Registro[[#This Row],[Puntos]],Categorias_Configuracion[],MATCH(Categorias_Configuracion[[#Headers],[% Amplitud]],Categorias_Configuracion[#Headers],0),TRUE)</f>
        <v>0.15</v>
      </c>
      <c r="H2114" s="15" t="str">
        <f ca="1">TEXT(Categorias_Registro[[#This Row],[Mínimo]],Formato_Rango_Categorias)&amp;" - "&amp;TEXT(Categorias_Registro[[#This Row],[Máximo]],Formato_Rango_Categorias)</f>
        <v>467 - 536</v>
      </c>
    </row>
    <row r="2115" spans="2:8">
      <c r="B2115" s="15">
        <f>Techo - ROW() + ROW(Categorias_Registro[])</f>
        <v>514</v>
      </c>
      <c r="C2115" s="15">
        <f>IF(Categorias_Registro[[#This Row],[Puntos]]&lt;=ROUND(Piso,0),Piso,IF(Categorias_Registro[[#This Row],[Puntos]]&lt;D2116,C2116,D2116+1))</f>
        <v>467</v>
      </c>
      <c r="D2115" s="15">
        <f>IF(Categorias_Registro[[#This Row],[Puntos]]=ROUND(Piso,0),ROUND(Categorias_Registro[[#This Row],[Puntos]]*(1+Categorias_Registro[[#This Row],[Amplitud]]),0),IF(Categorias_Registro[[#This Row],[Puntos]]&lt;D2116,D2116,ROUND(D2116*(1+Categorias_Registro[[#This Row],[Amplitud]]),0)))</f>
        <v>536</v>
      </c>
      <c r="E2115" s="15">
        <f>E2116+IF(D2116=Categorias_Registro[[#This Row],[Máximo]],0,1)</f>
        <v>13</v>
      </c>
      <c r="F2115" s="15">
        <f>ROUND(Categorias_Registro[[#This Row],[Mínimo]]+((Categorias_Registro[[#This Row],[Máximo]]-Categorias_Registro[[#This Row],[Mínimo]])/2),0)</f>
        <v>502</v>
      </c>
      <c r="G2115" s="78">
        <f>VLOOKUP(Categorias_Registro[[#This Row],[Puntos]],Categorias_Configuracion[],MATCH(Categorias_Configuracion[[#Headers],[% Amplitud]],Categorias_Configuracion[#Headers],0),TRUE)</f>
        <v>0.15</v>
      </c>
      <c r="H2115" s="15" t="str">
        <f ca="1">TEXT(Categorias_Registro[[#This Row],[Mínimo]],Formato_Rango_Categorias)&amp;" - "&amp;TEXT(Categorias_Registro[[#This Row],[Máximo]],Formato_Rango_Categorias)</f>
        <v>467 - 536</v>
      </c>
    </row>
    <row r="2116" spans="2:8">
      <c r="B2116" s="15">
        <f>Techo - ROW() + ROW(Categorias_Registro[])</f>
        <v>513</v>
      </c>
      <c r="C2116" s="15">
        <f>IF(Categorias_Registro[[#This Row],[Puntos]]&lt;=ROUND(Piso,0),Piso,IF(Categorias_Registro[[#This Row],[Puntos]]&lt;D2117,C2117,D2117+1))</f>
        <v>467</v>
      </c>
      <c r="D2116" s="15">
        <f>IF(Categorias_Registro[[#This Row],[Puntos]]=ROUND(Piso,0),ROUND(Categorias_Registro[[#This Row],[Puntos]]*(1+Categorias_Registro[[#This Row],[Amplitud]]),0),IF(Categorias_Registro[[#This Row],[Puntos]]&lt;D2117,D2117,ROUND(D2117*(1+Categorias_Registro[[#This Row],[Amplitud]]),0)))</f>
        <v>536</v>
      </c>
      <c r="E2116" s="15">
        <f>E2117+IF(D2117=Categorias_Registro[[#This Row],[Máximo]],0,1)</f>
        <v>13</v>
      </c>
      <c r="F2116" s="15">
        <f>ROUND(Categorias_Registro[[#This Row],[Mínimo]]+((Categorias_Registro[[#This Row],[Máximo]]-Categorias_Registro[[#This Row],[Mínimo]])/2),0)</f>
        <v>502</v>
      </c>
      <c r="G2116" s="78">
        <f>VLOOKUP(Categorias_Registro[[#This Row],[Puntos]],Categorias_Configuracion[],MATCH(Categorias_Configuracion[[#Headers],[% Amplitud]],Categorias_Configuracion[#Headers],0),TRUE)</f>
        <v>0.15</v>
      </c>
      <c r="H2116" s="15" t="str">
        <f ca="1">TEXT(Categorias_Registro[[#This Row],[Mínimo]],Formato_Rango_Categorias)&amp;" - "&amp;TEXT(Categorias_Registro[[#This Row],[Máximo]],Formato_Rango_Categorias)</f>
        <v>467 - 536</v>
      </c>
    </row>
    <row r="2117" spans="2:8">
      <c r="B2117" s="15">
        <f>Techo - ROW() + ROW(Categorias_Registro[])</f>
        <v>512</v>
      </c>
      <c r="C2117" s="15">
        <f>IF(Categorias_Registro[[#This Row],[Puntos]]&lt;=ROUND(Piso,0),Piso,IF(Categorias_Registro[[#This Row],[Puntos]]&lt;D2118,C2118,D2118+1))</f>
        <v>467</v>
      </c>
      <c r="D2117" s="15">
        <f>IF(Categorias_Registro[[#This Row],[Puntos]]=ROUND(Piso,0),ROUND(Categorias_Registro[[#This Row],[Puntos]]*(1+Categorias_Registro[[#This Row],[Amplitud]]),0),IF(Categorias_Registro[[#This Row],[Puntos]]&lt;D2118,D2118,ROUND(D2118*(1+Categorias_Registro[[#This Row],[Amplitud]]),0)))</f>
        <v>536</v>
      </c>
      <c r="E2117" s="15">
        <f>E2118+IF(D2118=Categorias_Registro[[#This Row],[Máximo]],0,1)</f>
        <v>13</v>
      </c>
      <c r="F2117" s="15">
        <f>ROUND(Categorias_Registro[[#This Row],[Mínimo]]+((Categorias_Registro[[#This Row],[Máximo]]-Categorias_Registro[[#This Row],[Mínimo]])/2),0)</f>
        <v>502</v>
      </c>
      <c r="G2117" s="78">
        <f>VLOOKUP(Categorias_Registro[[#This Row],[Puntos]],Categorias_Configuracion[],MATCH(Categorias_Configuracion[[#Headers],[% Amplitud]],Categorias_Configuracion[#Headers],0),TRUE)</f>
        <v>0.15</v>
      </c>
      <c r="H2117" s="15" t="str">
        <f ca="1">TEXT(Categorias_Registro[[#This Row],[Mínimo]],Formato_Rango_Categorias)&amp;" - "&amp;TEXT(Categorias_Registro[[#This Row],[Máximo]],Formato_Rango_Categorias)</f>
        <v>467 - 536</v>
      </c>
    </row>
    <row r="2118" spans="2:8">
      <c r="B2118" s="15">
        <f>Techo - ROW() + ROW(Categorias_Registro[])</f>
        <v>511</v>
      </c>
      <c r="C2118" s="15">
        <f>IF(Categorias_Registro[[#This Row],[Puntos]]&lt;=ROUND(Piso,0),Piso,IF(Categorias_Registro[[#This Row],[Puntos]]&lt;D2119,C2119,D2119+1))</f>
        <v>467</v>
      </c>
      <c r="D2118" s="15">
        <f>IF(Categorias_Registro[[#This Row],[Puntos]]=ROUND(Piso,0),ROUND(Categorias_Registro[[#This Row],[Puntos]]*(1+Categorias_Registro[[#This Row],[Amplitud]]),0),IF(Categorias_Registro[[#This Row],[Puntos]]&lt;D2119,D2119,ROUND(D2119*(1+Categorias_Registro[[#This Row],[Amplitud]]),0)))</f>
        <v>536</v>
      </c>
      <c r="E2118" s="15">
        <f>E2119+IF(D2119=Categorias_Registro[[#This Row],[Máximo]],0,1)</f>
        <v>13</v>
      </c>
      <c r="F2118" s="15">
        <f>ROUND(Categorias_Registro[[#This Row],[Mínimo]]+((Categorias_Registro[[#This Row],[Máximo]]-Categorias_Registro[[#This Row],[Mínimo]])/2),0)</f>
        <v>502</v>
      </c>
      <c r="G2118" s="78">
        <f>VLOOKUP(Categorias_Registro[[#This Row],[Puntos]],Categorias_Configuracion[],MATCH(Categorias_Configuracion[[#Headers],[% Amplitud]],Categorias_Configuracion[#Headers],0),TRUE)</f>
        <v>0.15</v>
      </c>
      <c r="H2118" s="15" t="str">
        <f ca="1">TEXT(Categorias_Registro[[#This Row],[Mínimo]],Formato_Rango_Categorias)&amp;" - "&amp;TEXT(Categorias_Registro[[#This Row],[Máximo]],Formato_Rango_Categorias)</f>
        <v>467 - 536</v>
      </c>
    </row>
    <row r="2119" spans="2:8">
      <c r="B2119" s="15">
        <f>Techo - ROW() + ROW(Categorias_Registro[])</f>
        <v>510</v>
      </c>
      <c r="C2119" s="15">
        <f>IF(Categorias_Registro[[#This Row],[Puntos]]&lt;=ROUND(Piso,0),Piso,IF(Categorias_Registro[[#This Row],[Puntos]]&lt;D2120,C2120,D2120+1))</f>
        <v>467</v>
      </c>
      <c r="D2119" s="15">
        <f>IF(Categorias_Registro[[#This Row],[Puntos]]=ROUND(Piso,0),ROUND(Categorias_Registro[[#This Row],[Puntos]]*(1+Categorias_Registro[[#This Row],[Amplitud]]),0),IF(Categorias_Registro[[#This Row],[Puntos]]&lt;D2120,D2120,ROUND(D2120*(1+Categorias_Registro[[#This Row],[Amplitud]]),0)))</f>
        <v>536</v>
      </c>
      <c r="E2119" s="15">
        <f>E2120+IF(D2120=Categorias_Registro[[#This Row],[Máximo]],0,1)</f>
        <v>13</v>
      </c>
      <c r="F2119" s="15">
        <f>ROUND(Categorias_Registro[[#This Row],[Mínimo]]+((Categorias_Registro[[#This Row],[Máximo]]-Categorias_Registro[[#This Row],[Mínimo]])/2),0)</f>
        <v>502</v>
      </c>
      <c r="G2119" s="78">
        <f>VLOOKUP(Categorias_Registro[[#This Row],[Puntos]],Categorias_Configuracion[],MATCH(Categorias_Configuracion[[#Headers],[% Amplitud]],Categorias_Configuracion[#Headers],0),TRUE)</f>
        <v>0.15</v>
      </c>
      <c r="H2119" s="15" t="str">
        <f ca="1">TEXT(Categorias_Registro[[#This Row],[Mínimo]],Formato_Rango_Categorias)&amp;" - "&amp;TEXT(Categorias_Registro[[#This Row],[Máximo]],Formato_Rango_Categorias)</f>
        <v>467 - 536</v>
      </c>
    </row>
    <row r="2120" spans="2:8">
      <c r="B2120" s="15">
        <f>Techo - ROW() + ROW(Categorias_Registro[])</f>
        <v>509</v>
      </c>
      <c r="C2120" s="15">
        <f>IF(Categorias_Registro[[#This Row],[Puntos]]&lt;=ROUND(Piso,0),Piso,IF(Categorias_Registro[[#This Row],[Puntos]]&lt;D2121,C2121,D2121+1))</f>
        <v>467</v>
      </c>
      <c r="D2120" s="15">
        <f>IF(Categorias_Registro[[#This Row],[Puntos]]=ROUND(Piso,0),ROUND(Categorias_Registro[[#This Row],[Puntos]]*(1+Categorias_Registro[[#This Row],[Amplitud]]),0),IF(Categorias_Registro[[#This Row],[Puntos]]&lt;D2121,D2121,ROUND(D2121*(1+Categorias_Registro[[#This Row],[Amplitud]]),0)))</f>
        <v>536</v>
      </c>
      <c r="E2120" s="15">
        <f>E2121+IF(D2121=Categorias_Registro[[#This Row],[Máximo]],0,1)</f>
        <v>13</v>
      </c>
      <c r="F2120" s="15">
        <f>ROUND(Categorias_Registro[[#This Row],[Mínimo]]+((Categorias_Registro[[#This Row],[Máximo]]-Categorias_Registro[[#This Row],[Mínimo]])/2),0)</f>
        <v>502</v>
      </c>
      <c r="G2120" s="78">
        <f>VLOOKUP(Categorias_Registro[[#This Row],[Puntos]],Categorias_Configuracion[],MATCH(Categorias_Configuracion[[#Headers],[% Amplitud]],Categorias_Configuracion[#Headers],0),TRUE)</f>
        <v>0.15</v>
      </c>
      <c r="H2120" s="15" t="str">
        <f ca="1">TEXT(Categorias_Registro[[#This Row],[Mínimo]],Formato_Rango_Categorias)&amp;" - "&amp;TEXT(Categorias_Registro[[#This Row],[Máximo]],Formato_Rango_Categorias)</f>
        <v>467 - 536</v>
      </c>
    </row>
    <row r="2121" spans="2:8">
      <c r="B2121" s="15">
        <f>Techo - ROW() + ROW(Categorias_Registro[])</f>
        <v>508</v>
      </c>
      <c r="C2121" s="15">
        <f>IF(Categorias_Registro[[#This Row],[Puntos]]&lt;=ROUND(Piso,0),Piso,IF(Categorias_Registro[[#This Row],[Puntos]]&lt;D2122,C2122,D2122+1))</f>
        <v>467</v>
      </c>
      <c r="D2121" s="15">
        <f>IF(Categorias_Registro[[#This Row],[Puntos]]=ROUND(Piso,0),ROUND(Categorias_Registro[[#This Row],[Puntos]]*(1+Categorias_Registro[[#This Row],[Amplitud]]),0),IF(Categorias_Registro[[#This Row],[Puntos]]&lt;D2122,D2122,ROUND(D2122*(1+Categorias_Registro[[#This Row],[Amplitud]]),0)))</f>
        <v>536</v>
      </c>
      <c r="E2121" s="15">
        <f>E2122+IF(D2122=Categorias_Registro[[#This Row],[Máximo]],0,1)</f>
        <v>13</v>
      </c>
      <c r="F2121" s="15">
        <f>ROUND(Categorias_Registro[[#This Row],[Mínimo]]+((Categorias_Registro[[#This Row],[Máximo]]-Categorias_Registro[[#This Row],[Mínimo]])/2),0)</f>
        <v>502</v>
      </c>
      <c r="G2121" s="78">
        <f>VLOOKUP(Categorias_Registro[[#This Row],[Puntos]],Categorias_Configuracion[],MATCH(Categorias_Configuracion[[#Headers],[% Amplitud]],Categorias_Configuracion[#Headers],0),TRUE)</f>
        <v>0.15</v>
      </c>
      <c r="H2121" s="15" t="str">
        <f ca="1">TEXT(Categorias_Registro[[#This Row],[Mínimo]],Formato_Rango_Categorias)&amp;" - "&amp;TEXT(Categorias_Registro[[#This Row],[Máximo]],Formato_Rango_Categorias)</f>
        <v>467 - 536</v>
      </c>
    </row>
    <row r="2122" spans="2:8">
      <c r="B2122" s="15">
        <f>Techo - ROW() + ROW(Categorias_Registro[])</f>
        <v>507</v>
      </c>
      <c r="C2122" s="15">
        <f>IF(Categorias_Registro[[#This Row],[Puntos]]&lt;=ROUND(Piso,0),Piso,IF(Categorias_Registro[[#This Row],[Puntos]]&lt;D2123,C2123,D2123+1))</f>
        <v>467</v>
      </c>
      <c r="D2122" s="15">
        <f>IF(Categorias_Registro[[#This Row],[Puntos]]=ROUND(Piso,0),ROUND(Categorias_Registro[[#This Row],[Puntos]]*(1+Categorias_Registro[[#This Row],[Amplitud]]),0),IF(Categorias_Registro[[#This Row],[Puntos]]&lt;D2123,D2123,ROUND(D2123*(1+Categorias_Registro[[#This Row],[Amplitud]]),0)))</f>
        <v>536</v>
      </c>
      <c r="E2122" s="15">
        <f>E2123+IF(D2123=Categorias_Registro[[#This Row],[Máximo]],0,1)</f>
        <v>13</v>
      </c>
      <c r="F2122" s="15">
        <f>ROUND(Categorias_Registro[[#This Row],[Mínimo]]+((Categorias_Registro[[#This Row],[Máximo]]-Categorias_Registro[[#This Row],[Mínimo]])/2),0)</f>
        <v>502</v>
      </c>
      <c r="G2122" s="78">
        <f>VLOOKUP(Categorias_Registro[[#This Row],[Puntos]],Categorias_Configuracion[],MATCH(Categorias_Configuracion[[#Headers],[% Amplitud]],Categorias_Configuracion[#Headers],0),TRUE)</f>
        <v>0.15</v>
      </c>
      <c r="H2122" s="15" t="str">
        <f ca="1">TEXT(Categorias_Registro[[#This Row],[Mínimo]],Formato_Rango_Categorias)&amp;" - "&amp;TEXT(Categorias_Registro[[#This Row],[Máximo]],Formato_Rango_Categorias)</f>
        <v>467 - 536</v>
      </c>
    </row>
    <row r="2123" spans="2:8">
      <c r="B2123" s="15">
        <f>Techo - ROW() + ROW(Categorias_Registro[])</f>
        <v>506</v>
      </c>
      <c r="C2123" s="15">
        <f>IF(Categorias_Registro[[#This Row],[Puntos]]&lt;=ROUND(Piso,0),Piso,IF(Categorias_Registro[[#This Row],[Puntos]]&lt;D2124,C2124,D2124+1))</f>
        <v>467</v>
      </c>
      <c r="D2123" s="15">
        <f>IF(Categorias_Registro[[#This Row],[Puntos]]=ROUND(Piso,0),ROUND(Categorias_Registro[[#This Row],[Puntos]]*(1+Categorias_Registro[[#This Row],[Amplitud]]),0),IF(Categorias_Registro[[#This Row],[Puntos]]&lt;D2124,D2124,ROUND(D2124*(1+Categorias_Registro[[#This Row],[Amplitud]]),0)))</f>
        <v>536</v>
      </c>
      <c r="E2123" s="15">
        <f>E2124+IF(D2124=Categorias_Registro[[#This Row],[Máximo]],0,1)</f>
        <v>13</v>
      </c>
      <c r="F2123" s="15">
        <f>ROUND(Categorias_Registro[[#This Row],[Mínimo]]+((Categorias_Registro[[#This Row],[Máximo]]-Categorias_Registro[[#This Row],[Mínimo]])/2),0)</f>
        <v>502</v>
      </c>
      <c r="G2123" s="78">
        <f>VLOOKUP(Categorias_Registro[[#This Row],[Puntos]],Categorias_Configuracion[],MATCH(Categorias_Configuracion[[#Headers],[% Amplitud]],Categorias_Configuracion[#Headers],0),TRUE)</f>
        <v>0.15</v>
      </c>
      <c r="H2123" s="15" t="str">
        <f ca="1">TEXT(Categorias_Registro[[#This Row],[Mínimo]],Formato_Rango_Categorias)&amp;" - "&amp;TEXT(Categorias_Registro[[#This Row],[Máximo]],Formato_Rango_Categorias)</f>
        <v>467 - 536</v>
      </c>
    </row>
    <row r="2124" spans="2:8">
      <c r="B2124" s="15">
        <f>Techo - ROW() + ROW(Categorias_Registro[])</f>
        <v>505</v>
      </c>
      <c r="C2124" s="15">
        <f>IF(Categorias_Registro[[#This Row],[Puntos]]&lt;=ROUND(Piso,0),Piso,IF(Categorias_Registro[[#This Row],[Puntos]]&lt;D2125,C2125,D2125+1))</f>
        <v>467</v>
      </c>
      <c r="D2124" s="15">
        <f>IF(Categorias_Registro[[#This Row],[Puntos]]=ROUND(Piso,0),ROUND(Categorias_Registro[[#This Row],[Puntos]]*(1+Categorias_Registro[[#This Row],[Amplitud]]),0),IF(Categorias_Registro[[#This Row],[Puntos]]&lt;D2125,D2125,ROUND(D2125*(1+Categorias_Registro[[#This Row],[Amplitud]]),0)))</f>
        <v>536</v>
      </c>
      <c r="E2124" s="15">
        <f>E2125+IF(D2125=Categorias_Registro[[#This Row],[Máximo]],0,1)</f>
        <v>13</v>
      </c>
      <c r="F2124" s="15">
        <f>ROUND(Categorias_Registro[[#This Row],[Mínimo]]+((Categorias_Registro[[#This Row],[Máximo]]-Categorias_Registro[[#This Row],[Mínimo]])/2),0)</f>
        <v>502</v>
      </c>
      <c r="G2124" s="78">
        <f>VLOOKUP(Categorias_Registro[[#This Row],[Puntos]],Categorias_Configuracion[],MATCH(Categorias_Configuracion[[#Headers],[% Amplitud]],Categorias_Configuracion[#Headers],0),TRUE)</f>
        <v>0.15</v>
      </c>
      <c r="H2124" s="15" t="str">
        <f ca="1">TEXT(Categorias_Registro[[#This Row],[Mínimo]],Formato_Rango_Categorias)&amp;" - "&amp;TEXT(Categorias_Registro[[#This Row],[Máximo]],Formato_Rango_Categorias)</f>
        <v>467 - 536</v>
      </c>
    </row>
    <row r="2125" spans="2:8">
      <c r="B2125" s="15">
        <f>Techo - ROW() + ROW(Categorias_Registro[])</f>
        <v>504</v>
      </c>
      <c r="C2125" s="15">
        <f>IF(Categorias_Registro[[#This Row],[Puntos]]&lt;=ROUND(Piso,0),Piso,IF(Categorias_Registro[[#This Row],[Puntos]]&lt;D2126,C2126,D2126+1))</f>
        <v>467</v>
      </c>
      <c r="D2125" s="15">
        <f>IF(Categorias_Registro[[#This Row],[Puntos]]=ROUND(Piso,0),ROUND(Categorias_Registro[[#This Row],[Puntos]]*(1+Categorias_Registro[[#This Row],[Amplitud]]),0),IF(Categorias_Registro[[#This Row],[Puntos]]&lt;D2126,D2126,ROUND(D2126*(1+Categorias_Registro[[#This Row],[Amplitud]]),0)))</f>
        <v>536</v>
      </c>
      <c r="E2125" s="15">
        <f>E2126+IF(D2126=Categorias_Registro[[#This Row],[Máximo]],0,1)</f>
        <v>13</v>
      </c>
      <c r="F2125" s="15">
        <f>ROUND(Categorias_Registro[[#This Row],[Mínimo]]+((Categorias_Registro[[#This Row],[Máximo]]-Categorias_Registro[[#This Row],[Mínimo]])/2),0)</f>
        <v>502</v>
      </c>
      <c r="G2125" s="78">
        <f>VLOOKUP(Categorias_Registro[[#This Row],[Puntos]],Categorias_Configuracion[],MATCH(Categorias_Configuracion[[#Headers],[% Amplitud]],Categorias_Configuracion[#Headers],0),TRUE)</f>
        <v>0.15</v>
      </c>
      <c r="H2125" s="15" t="str">
        <f ca="1">TEXT(Categorias_Registro[[#This Row],[Mínimo]],Formato_Rango_Categorias)&amp;" - "&amp;TEXT(Categorias_Registro[[#This Row],[Máximo]],Formato_Rango_Categorias)</f>
        <v>467 - 536</v>
      </c>
    </row>
    <row r="2126" spans="2:8">
      <c r="B2126" s="15">
        <f>Techo - ROW() + ROW(Categorias_Registro[])</f>
        <v>503</v>
      </c>
      <c r="C2126" s="15">
        <f>IF(Categorias_Registro[[#This Row],[Puntos]]&lt;=ROUND(Piso,0),Piso,IF(Categorias_Registro[[#This Row],[Puntos]]&lt;D2127,C2127,D2127+1))</f>
        <v>467</v>
      </c>
      <c r="D2126" s="15">
        <f>IF(Categorias_Registro[[#This Row],[Puntos]]=ROUND(Piso,0),ROUND(Categorias_Registro[[#This Row],[Puntos]]*(1+Categorias_Registro[[#This Row],[Amplitud]]),0),IF(Categorias_Registro[[#This Row],[Puntos]]&lt;D2127,D2127,ROUND(D2127*(1+Categorias_Registro[[#This Row],[Amplitud]]),0)))</f>
        <v>536</v>
      </c>
      <c r="E2126" s="15">
        <f>E2127+IF(D2127=Categorias_Registro[[#This Row],[Máximo]],0,1)</f>
        <v>13</v>
      </c>
      <c r="F2126" s="15">
        <f>ROUND(Categorias_Registro[[#This Row],[Mínimo]]+((Categorias_Registro[[#This Row],[Máximo]]-Categorias_Registro[[#This Row],[Mínimo]])/2),0)</f>
        <v>502</v>
      </c>
      <c r="G2126" s="78">
        <f>VLOOKUP(Categorias_Registro[[#This Row],[Puntos]],Categorias_Configuracion[],MATCH(Categorias_Configuracion[[#Headers],[% Amplitud]],Categorias_Configuracion[#Headers],0),TRUE)</f>
        <v>0.15</v>
      </c>
      <c r="H2126" s="15" t="str">
        <f ca="1">TEXT(Categorias_Registro[[#This Row],[Mínimo]],Formato_Rango_Categorias)&amp;" - "&amp;TEXT(Categorias_Registro[[#This Row],[Máximo]],Formato_Rango_Categorias)</f>
        <v>467 - 536</v>
      </c>
    </row>
    <row r="2127" spans="2:8">
      <c r="B2127" s="15">
        <f>Techo - ROW() + ROW(Categorias_Registro[])</f>
        <v>502</v>
      </c>
      <c r="C2127" s="15">
        <f>IF(Categorias_Registro[[#This Row],[Puntos]]&lt;=ROUND(Piso,0),Piso,IF(Categorias_Registro[[#This Row],[Puntos]]&lt;D2128,C2128,D2128+1))</f>
        <v>467</v>
      </c>
      <c r="D2127" s="15">
        <f>IF(Categorias_Registro[[#This Row],[Puntos]]=ROUND(Piso,0),ROUND(Categorias_Registro[[#This Row],[Puntos]]*(1+Categorias_Registro[[#This Row],[Amplitud]]),0),IF(Categorias_Registro[[#This Row],[Puntos]]&lt;D2128,D2128,ROUND(D2128*(1+Categorias_Registro[[#This Row],[Amplitud]]),0)))</f>
        <v>536</v>
      </c>
      <c r="E2127" s="15">
        <f>E2128+IF(D2128=Categorias_Registro[[#This Row],[Máximo]],0,1)</f>
        <v>13</v>
      </c>
      <c r="F2127" s="15">
        <f>ROUND(Categorias_Registro[[#This Row],[Mínimo]]+((Categorias_Registro[[#This Row],[Máximo]]-Categorias_Registro[[#This Row],[Mínimo]])/2),0)</f>
        <v>502</v>
      </c>
      <c r="G2127" s="78">
        <f>VLOOKUP(Categorias_Registro[[#This Row],[Puntos]],Categorias_Configuracion[],MATCH(Categorias_Configuracion[[#Headers],[% Amplitud]],Categorias_Configuracion[#Headers],0),TRUE)</f>
        <v>0.15</v>
      </c>
      <c r="H2127" s="15" t="str">
        <f ca="1">TEXT(Categorias_Registro[[#This Row],[Mínimo]],Formato_Rango_Categorias)&amp;" - "&amp;TEXT(Categorias_Registro[[#This Row],[Máximo]],Formato_Rango_Categorias)</f>
        <v>467 - 536</v>
      </c>
    </row>
    <row r="2128" spans="2:8">
      <c r="B2128" s="15">
        <f>Techo - ROW() + ROW(Categorias_Registro[])</f>
        <v>501</v>
      </c>
      <c r="C2128" s="15">
        <f>IF(Categorias_Registro[[#This Row],[Puntos]]&lt;=ROUND(Piso,0),Piso,IF(Categorias_Registro[[#This Row],[Puntos]]&lt;D2129,C2129,D2129+1))</f>
        <v>467</v>
      </c>
      <c r="D2128" s="15">
        <f>IF(Categorias_Registro[[#This Row],[Puntos]]=ROUND(Piso,0),ROUND(Categorias_Registro[[#This Row],[Puntos]]*(1+Categorias_Registro[[#This Row],[Amplitud]]),0),IF(Categorias_Registro[[#This Row],[Puntos]]&lt;D2129,D2129,ROUND(D2129*(1+Categorias_Registro[[#This Row],[Amplitud]]),0)))</f>
        <v>536</v>
      </c>
      <c r="E2128" s="15">
        <f>E2129+IF(D2129=Categorias_Registro[[#This Row],[Máximo]],0,1)</f>
        <v>13</v>
      </c>
      <c r="F2128" s="15">
        <f>ROUND(Categorias_Registro[[#This Row],[Mínimo]]+((Categorias_Registro[[#This Row],[Máximo]]-Categorias_Registro[[#This Row],[Mínimo]])/2),0)</f>
        <v>502</v>
      </c>
      <c r="G2128" s="78">
        <f>VLOOKUP(Categorias_Registro[[#This Row],[Puntos]],Categorias_Configuracion[],MATCH(Categorias_Configuracion[[#Headers],[% Amplitud]],Categorias_Configuracion[#Headers],0),TRUE)</f>
        <v>0.15</v>
      </c>
      <c r="H2128" s="15" t="str">
        <f ca="1">TEXT(Categorias_Registro[[#This Row],[Mínimo]],Formato_Rango_Categorias)&amp;" - "&amp;TEXT(Categorias_Registro[[#This Row],[Máximo]],Formato_Rango_Categorias)</f>
        <v>467 - 536</v>
      </c>
    </row>
    <row r="2129" spans="2:8">
      <c r="B2129" s="15">
        <f>Techo - ROW() + ROW(Categorias_Registro[])</f>
        <v>500</v>
      </c>
      <c r="C2129" s="15">
        <f>IF(Categorias_Registro[[#This Row],[Puntos]]&lt;=ROUND(Piso,0),Piso,IF(Categorias_Registro[[#This Row],[Puntos]]&lt;D2130,C2130,D2130+1))</f>
        <v>467</v>
      </c>
      <c r="D2129" s="15">
        <f>IF(Categorias_Registro[[#This Row],[Puntos]]=ROUND(Piso,0),ROUND(Categorias_Registro[[#This Row],[Puntos]]*(1+Categorias_Registro[[#This Row],[Amplitud]]),0),IF(Categorias_Registro[[#This Row],[Puntos]]&lt;D2130,D2130,ROUND(D2130*(1+Categorias_Registro[[#This Row],[Amplitud]]),0)))</f>
        <v>536</v>
      </c>
      <c r="E2129" s="15">
        <f>E2130+IF(D2130=Categorias_Registro[[#This Row],[Máximo]],0,1)</f>
        <v>13</v>
      </c>
      <c r="F2129" s="15">
        <f>ROUND(Categorias_Registro[[#This Row],[Mínimo]]+((Categorias_Registro[[#This Row],[Máximo]]-Categorias_Registro[[#This Row],[Mínimo]])/2),0)</f>
        <v>502</v>
      </c>
      <c r="G2129" s="78">
        <f>VLOOKUP(Categorias_Registro[[#This Row],[Puntos]],Categorias_Configuracion[],MATCH(Categorias_Configuracion[[#Headers],[% Amplitud]],Categorias_Configuracion[#Headers],0),TRUE)</f>
        <v>0.15</v>
      </c>
      <c r="H2129" s="15" t="str">
        <f ca="1">TEXT(Categorias_Registro[[#This Row],[Mínimo]],Formato_Rango_Categorias)&amp;" - "&amp;TEXT(Categorias_Registro[[#This Row],[Máximo]],Formato_Rango_Categorias)</f>
        <v>467 - 536</v>
      </c>
    </row>
    <row r="2130" spans="2:8">
      <c r="B2130" s="15">
        <f>Techo - ROW() + ROW(Categorias_Registro[])</f>
        <v>499</v>
      </c>
      <c r="C2130" s="15">
        <f>IF(Categorias_Registro[[#This Row],[Puntos]]&lt;=ROUND(Piso,0),Piso,IF(Categorias_Registro[[#This Row],[Puntos]]&lt;D2131,C2131,D2131+1))</f>
        <v>467</v>
      </c>
      <c r="D2130" s="15">
        <f>IF(Categorias_Registro[[#This Row],[Puntos]]=ROUND(Piso,0),ROUND(Categorias_Registro[[#This Row],[Puntos]]*(1+Categorias_Registro[[#This Row],[Amplitud]]),0),IF(Categorias_Registro[[#This Row],[Puntos]]&lt;D2131,D2131,ROUND(D2131*(1+Categorias_Registro[[#This Row],[Amplitud]]),0)))</f>
        <v>536</v>
      </c>
      <c r="E2130" s="15">
        <f>E2131+IF(D2131=Categorias_Registro[[#This Row],[Máximo]],0,1)</f>
        <v>13</v>
      </c>
      <c r="F2130" s="15">
        <f>ROUND(Categorias_Registro[[#This Row],[Mínimo]]+((Categorias_Registro[[#This Row],[Máximo]]-Categorias_Registro[[#This Row],[Mínimo]])/2),0)</f>
        <v>502</v>
      </c>
      <c r="G2130" s="78">
        <f>VLOOKUP(Categorias_Registro[[#This Row],[Puntos]],Categorias_Configuracion[],MATCH(Categorias_Configuracion[[#Headers],[% Amplitud]],Categorias_Configuracion[#Headers],0),TRUE)</f>
        <v>0.15</v>
      </c>
      <c r="H2130" s="15" t="str">
        <f ca="1">TEXT(Categorias_Registro[[#This Row],[Mínimo]],Formato_Rango_Categorias)&amp;" - "&amp;TEXT(Categorias_Registro[[#This Row],[Máximo]],Formato_Rango_Categorias)</f>
        <v>467 - 536</v>
      </c>
    </row>
    <row r="2131" spans="2:8">
      <c r="B2131" s="15">
        <f>Techo - ROW() + ROW(Categorias_Registro[])</f>
        <v>498</v>
      </c>
      <c r="C2131" s="15">
        <f>IF(Categorias_Registro[[#This Row],[Puntos]]&lt;=ROUND(Piso,0),Piso,IF(Categorias_Registro[[#This Row],[Puntos]]&lt;D2132,C2132,D2132+1))</f>
        <v>467</v>
      </c>
      <c r="D2131" s="15">
        <f>IF(Categorias_Registro[[#This Row],[Puntos]]=ROUND(Piso,0),ROUND(Categorias_Registro[[#This Row],[Puntos]]*(1+Categorias_Registro[[#This Row],[Amplitud]]),0),IF(Categorias_Registro[[#This Row],[Puntos]]&lt;D2132,D2132,ROUND(D2132*(1+Categorias_Registro[[#This Row],[Amplitud]]),0)))</f>
        <v>536</v>
      </c>
      <c r="E2131" s="15">
        <f>E2132+IF(D2132=Categorias_Registro[[#This Row],[Máximo]],0,1)</f>
        <v>13</v>
      </c>
      <c r="F2131" s="15">
        <f>ROUND(Categorias_Registro[[#This Row],[Mínimo]]+((Categorias_Registro[[#This Row],[Máximo]]-Categorias_Registro[[#This Row],[Mínimo]])/2),0)</f>
        <v>502</v>
      </c>
      <c r="G2131" s="78">
        <f>VLOOKUP(Categorias_Registro[[#This Row],[Puntos]],Categorias_Configuracion[],MATCH(Categorias_Configuracion[[#Headers],[% Amplitud]],Categorias_Configuracion[#Headers],0),TRUE)</f>
        <v>0.15</v>
      </c>
      <c r="H2131" s="15" t="str">
        <f ca="1">TEXT(Categorias_Registro[[#This Row],[Mínimo]],Formato_Rango_Categorias)&amp;" - "&amp;TEXT(Categorias_Registro[[#This Row],[Máximo]],Formato_Rango_Categorias)</f>
        <v>467 - 536</v>
      </c>
    </row>
    <row r="2132" spans="2:8">
      <c r="B2132" s="15">
        <f>Techo - ROW() + ROW(Categorias_Registro[])</f>
        <v>497</v>
      </c>
      <c r="C2132" s="15">
        <f>IF(Categorias_Registro[[#This Row],[Puntos]]&lt;=ROUND(Piso,0),Piso,IF(Categorias_Registro[[#This Row],[Puntos]]&lt;D2133,C2133,D2133+1))</f>
        <v>467</v>
      </c>
      <c r="D2132" s="15">
        <f>IF(Categorias_Registro[[#This Row],[Puntos]]=ROUND(Piso,0),ROUND(Categorias_Registro[[#This Row],[Puntos]]*(1+Categorias_Registro[[#This Row],[Amplitud]]),0),IF(Categorias_Registro[[#This Row],[Puntos]]&lt;D2133,D2133,ROUND(D2133*(1+Categorias_Registro[[#This Row],[Amplitud]]),0)))</f>
        <v>536</v>
      </c>
      <c r="E2132" s="15">
        <f>E2133+IF(D2133=Categorias_Registro[[#This Row],[Máximo]],0,1)</f>
        <v>13</v>
      </c>
      <c r="F2132" s="15">
        <f>ROUND(Categorias_Registro[[#This Row],[Mínimo]]+((Categorias_Registro[[#This Row],[Máximo]]-Categorias_Registro[[#This Row],[Mínimo]])/2),0)</f>
        <v>502</v>
      </c>
      <c r="G2132" s="78">
        <f>VLOOKUP(Categorias_Registro[[#This Row],[Puntos]],Categorias_Configuracion[],MATCH(Categorias_Configuracion[[#Headers],[% Amplitud]],Categorias_Configuracion[#Headers],0),TRUE)</f>
        <v>0.15</v>
      </c>
      <c r="H2132" s="15" t="str">
        <f ca="1">TEXT(Categorias_Registro[[#This Row],[Mínimo]],Formato_Rango_Categorias)&amp;" - "&amp;TEXT(Categorias_Registro[[#This Row],[Máximo]],Formato_Rango_Categorias)</f>
        <v>467 - 536</v>
      </c>
    </row>
    <row r="2133" spans="2:8">
      <c r="B2133" s="15">
        <f>Techo - ROW() + ROW(Categorias_Registro[])</f>
        <v>496</v>
      </c>
      <c r="C2133" s="15">
        <f>IF(Categorias_Registro[[#This Row],[Puntos]]&lt;=ROUND(Piso,0),Piso,IF(Categorias_Registro[[#This Row],[Puntos]]&lt;D2134,C2134,D2134+1))</f>
        <v>467</v>
      </c>
      <c r="D2133" s="15">
        <f>IF(Categorias_Registro[[#This Row],[Puntos]]=ROUND(Piso,0),ROUND(Categorias_Registro[[#This Row],[Puntos]]*(1+Categorias_Registro[[#This Row],[Amplitud]]),0),IF(Categorias_Registro[[#This Row],[Puntos]]&lt;D2134,D2134,ROUND(D2134*(1+Categorias_Registro[[#This Row],[Amplitud]]),0)))</f>
        <v>536</v>
      </c>
      <c r="E2133" s="15">
        <f>E2134+IF(D2134=Categorias_Registro[[#This Row],[Máximo]],0,1)</f>
        <v>13</v>
      </c>
      <c r="F2133" s="15">
        <f>ROUND(Categorias_Registro[[#This Row],[Mínimo]]+((Categorias_Registro[[#This Row],[Máximo]]-Categorias_Registro[[#This Row],[Mínimo]])/2),0)</f>
        <v>502</v>
      </c>
      <c r="G2133" s="78">
        <f>VLOOKUP(Categorias_Registro[[#This Row],[Puntos]],Categorias_Configuracion[],MATCH(Categorias_Configuracion[[#Headers],[% Amplitud]],Categorias_Configuracion[#Headers],0),TRUE)</f>
        <v>0.15</v>
      </c>
      <c r="H2133" s="15" t="str">
        <f ca="1">TEXT(Categorias_Registro[[#This Row],[Mínimo]],Formato_Rango_Categorias)&amp;" - "&amp;TEXT(Categorias_Registro[[#This Row],[Máximo]],Formato_Rango_Categorias)</f>
        <v>467 - 536</v>
      </c>
    </row>
    <row r="2134" spans="2:8">
      <c r="B2134" s="15">
        <f>Techo - ROW() + ROW(Categorias_Registro[])</f>
        <v>495</v>
      </c>
      <c r="C2134" s="15">
        <f>IF(Categorias_Registro[[#This Row],[Puntos]]&lt;=ROUND(Piso,0),Piso,IF(Categorias_Registro[[#This Row],[Puntos]]&lt;D2135,C2135,D2135+1))</f>
        <v>467</v>
      </c>
      <c r="D2134" s="15">
        <f>IF(Categorias_Registro[[#This Row],[Puntos]]=ROUND(Piso,0),ROUND(Categorias_Registro[[#This Row],[Puntos]]*(1+Categorias_Registro[[#This Row],[Amplitud]]),0),IF(Categorias_Registro[[#This Row],[Puntos]]&lt;D2135,D2135,ROUND(D2135*(1+Categorias_Registro[[#This Row],[Amplitud]]),0)))</f>
        <v>536</v>
      </c>
      <c r="E2134" s="15">
        <f>E2135+IF(D2135=Categorias_Registro[[#This Row],[Máximo]],0,1)</f>
        <v>13</v>
      </c>
      <c r="F2134" s="15">
        <f>ROUND(Categorias_Registro[[#This Row],[Mínimo]]+((Categorias_Registro[[#This Row],[Máximo]]-Categorias_Registro[[#This Row],[Mínimo]])/2),0)</f>
        <v>502</v>
      </c>
      <c r="G2134" s="78">
        <f>VLOOKUP(Categorias_Registro[[#This Row],[Puntos]],Categorias_Configuracion[],MATCH(Categorias_Configuracion[[#Headers],[% Amplitud]],Categorias_Configuracion[#Headers],0),TRUE)</f>
        <v>0.15</v>
      </c>
      <c r="H2134" s="15" t="str">
        <f ca="1">TEXT(Categorias_Registro[[#This Row],[Mínimo]],Formato_Rango_Categorias)&amp;" - "&amp;TEXT(Categorias_Registro[[#This Row],[Máximo]],Formato_Rango_Categorias)</f>
        <v>467 - 536</v>
      </c>
    </row>
    <row r="2135" spans="2:8">
      <c r="B2135" s="15">
        <f>Techo - ROW() + ROW(Categorias_Registro[])</f>
        <v>494</v>
      </c>
      <c r="C2135" s="15">
        <f>IF(Categorias_Registro[[#This Row],[Puntos]]&lt;=ROUND(Piso,0),Piso,IF(Categorias_Registro[[#This Row],[Puntos]]&lt;D2136,C2136,D2136+1))</f>
        <v>467</v>
      </c>
      <c r="D2135" s="15">
        <f>IF(Categorias_Registro[[#This Row],[Puntos]]=ROUND(Piso,0),ROUND(Categorias_Registro[[#This Row],[Puntos]]*(1+Categorias_Registro[[#This Row],[Amplitud]]),0),IF(Categorias_Registro[[#This Row],[Puntos]]&lt;D2136,D2136,ROUND(D2136*(1+Categorias_Registro[[#This Row],[Amplitud]]),0)))</f>
        <v>536</v>
      </c>
      <c r="E2135" s="15">
        <f>E2136+IF(D2136=Categorias_Registro[[#This Row],[Máximo]],0,1)</f>
        <v>13</v>
      </c>
      <c r="F2135" s="15">
        <f>ROUND(Categorias_Registro[[#This Row],[Mínimo]]+((Categorias_Registro[[#This Row],[Máximo]]-Categorias_Registro[[#This Row],[Mínimo]])/2),0)</f>
        <v>502</v>
      </c>
      <c r="G2135" s="78">
        <f>VLOOKUP(Categorias_Registro[[#This Row],[Puntos]],Categorias_Configuracion[],MATCH(Categorias_Configuracion[[#Headers],[% Amplitud]],Categorias_Configuracion[#Headers],0),TRUE)</f>
        <v>0.15</v>
      </c>
      <c r="H2135" s="15" t="str">
        <f ca="1">TEXT(Categorias_Registro[[#This Row],[Mínimo]],Formato_Rango_Categorias)&amp;" - "&amp;TEXT(Categorias_Registro[[#This Row],[Máximo]],Formato_Rango_Categorias)</f>
        <v>467 - 536</v>
      </c>
    </row>
    <row r="2136" spans="2:8">
      <c r="B2136" s="15">
        <f>Techo - ROW() + ROW(Categorias_Registro[])</f>
        <v>493</v>
      </c>
      <c r="C2136" s="15">
        <f>IF(Categorias_Registro[[#This Row],[Puntos]]&lt;=ROUND(Piso,0),Piso,IF(Categorias_Registro[[#This Row],[Puntos]]&lt;D2137,C2137,D2137+1))</f>
        <v>467</v>
      </c>
      <c r="D2136" s="15">
        <f>IF(Categorias_Registro[[#This Row],[Puntos]]=ROUND(Piso,0),ROUND(Categorias_Registro[[#This Row],[Puntos]]*(1+Categorias_Registro[[#This Row],[Amplitud]]),0),IF(Categorias_Registro[[#This Row],[Puntos]]&lt;D2137,D2137,ROUND(D2137*(1+Categorias_Registro[[#This Row],[Amplitud]]),0)))</f>
        <v>536</v>
      </c>
      <c r="E2136" s="15">
        <f>E2137+IF(D2137=Categorias_Registro[[#This Row],[Máximo]],0,1)</f>
        <v>13</v>
      </c>
      <c r="F2136" s="15">
        <f>ROUND(Categorias_Registro[[#This Row],[Mínimo]]+((Categorias_Registro[[#This Row],[Máximo]]-Categorias_Registro[[#This Row],[Mínimo]])/2),0)</f>
        <v>502</v>
      </c>
      <c r="G2136" s="78">
        <f>VLOOKUP(Categorias_Registro[[#This Row],[Puntos]],Categorias_Configuracion[],MATCH(Categorias_Configuracion[[#Headers],[% Amplitud]],Categorias_Configuracion[#Headers],0),TRUE)</f>
        <v>0.15</v>
      </c>
      <c r="H2136" s="15" t="str">
        <f ca="1">TEXT(Categorias_Registro[[#This Row],[Mínimo]],Formato_Rango_Categorias)&amp;" - "&amp;TEXT(Categorias_Registro[[#This Row],[Máximo]],Formato_Rango_Categorias)</f>
        <v>467 - 536</v>
      </c>
    </row>
    <row r="2137" spans="2:8">
      <c r="B2137" s="15">
        <f>Techo - ROW() + ROW(Categorias_Registro[])</f>
        <v>492</v>
      </c>
      <c r="C2137" s="15">
        <f>IF(Categorias_Registro[[#This Row],[Puntos]]&lt;=ROUND(Piso,0),Piso,IF(Categorias_Registro[[#This Row],[Puntos]]&lt;D2138,C2138,D2138+1))</f>
        <v>467</v>
      </c>
      <c r="D2137" s="15">
        <f>IF(Categorias_Registro[[#This Row],[Puntos]]=ROUND(Piso,0),ROUND(Categorias_Registro[[#This Row],[Puntos]]*(1+Categorias_Registro[[#This Row],[Amplitud]]),0),IF(Categorias_Registro[[#This Row],[Puntos]]&lt;D2138,D2138,ROUND(D2138*(1+Categorias_Registro[[#This Row],[Amplitud]]),0)))</f>
        <v>536</v>
      </c>
      <c r="E2137" s="15">
        <f>E2138+IF(D2138=Categorias_Registro[[#This Row],[Máximo]],0,1)</f>
        <v>13</v>
      </c>
      <c r="F2137" s="15">
        <f>ROUND(Categorias_Registro[[#This Row],[Mínimo]]+((Categorias_Registro[[#This Row],[Máximo]]-Categorias_Registro[[#This Row],[Mínimo]])/2),0)</f>
        <v>502</v>
      </c>
      <c r="G2137" s="78">
        <f>VLOOKUP(Categorias_Registro[[#This Row],[Puntos]],Categorias_Configuracion[],MATCH(Categorias_Configuracion[[#Headers],[% Amplitud]],Categorias_Configuracion[#Headers],0),TRUE)</f>
        <v>0.15</v>
      </c>
      <c r="H2137" s="15" t="str">
        <f ca="1">TEXT(Categorias_Registro[[#This Row],[Mínimo]],Formato_Rango_Categorias)&amp;" - "&amp;TEXT(Categorias_Registro[[#This Row],[Máximo]],Formato_Rango_Categorias)</f>
        <v>467 - 536</v>
      </c>
    </row>
    <row r="2138" spans="2:8">
      <c r="B2138" s="15">
        <f>Techo - ROW() + ROW(Categorias_Registro[])</f>
        <v>491</v>
      </c>
      <c r="C2138" s="15">
        <f>IF(Categorias_Registro[[#This Row],[Puntos]]&lt;=ROUND(Piso,0),Piso,IF(Categorias_Registro[[#This Row],[Puntos]]&lt;D2139,C2139,D2139+1))</f>
        <v>467</v>
      </c>
      <c r="D2138" s="15">
        <f>IF(Categorias_Registro[[#This Row],[Puntos]]=ROUND(Piso,0),ROUND(Categorias_Registro[[#This Row],[Puntos]]*(1+Categorias_Registro[[#This Row],[Amplitud]]),0),IF(Categorias_Registro[[#This Row],[Puntos]]&lt;D2139,D2139,ROUND(D2139*(1+Categorias_Registro[[#This Row],[Amplitud]]),0)))</f>
        <v>536</v>
      </c>
      <c r="E2138" s="15">
        <f>E2139+IF(D2139=Categorias_Registro[[#This Row],[Máximo]],0,1)</f>
        <v>13</v>
      </c>
      <c r="F2138" s="15">
        <f>ROUND(Categorias_Registro[[#This Row],[Mínimo]]+((Categorias_Registro[[#This Row],[Máximo]]-Categorias_Registro[[#This Row],[Mínimo]])/2),0)</f>
        <v>502</v>
      </c>
      <c r="G2138" s="78">
        <f>VLOOKUP(Categorias_Registro[[#This Row],[Puntos]],Categorias_Configuracion[],MATCH(Categorias_Configuracion[[#Headers],[% Amplitud]],Categorias_Configuracion[#Headers],0),TRUE)</f>
        <v>0.15</v>
      </c>
      <c r="H2138" s="15" t="str">
        <f ca="1">TEXT(Categorias_Registro[[#This Row],[Mínimo]],Formato_Rango_Categorias)&amp;" - "&amp;TEXT(Categorias_Registro[[#This Row],[Máximo]],Formato_Rango_Categorias)</f>
        <v>467 - 536</v>
      </c>
    </row>
    <row r="2139" spans="2:8">
      <c r="B2139" s="15">
        <f>Techo - ROW() + ROW(Categorias_Registro[])</f>
        <v>490</v>
      </c>
      <c r="C2139" s="15">
        <f>IF(Categorias_Registro[[#This Row],[Puntos]]&lt;=ROUND(Piso,0),Piso,IF(Categorias_Registro[[#This Row],[Puntos]]&lt;D2140,C2140,D2140+1))</f>
        <v>467</v>
      </c>
      <c r="D2139" s="15">
        <f>IF(Categorias_Registro[[#This Row],[Puntos]]=ROUND(Piso,0),ROUND(Categorias_Registro[[#This Row],[Puntos]]*(1+Categorias_Registro[[#This Row],[Amplitud]]),0),IF(Categorias_Registro[[#This Row],[Puntos]]&lt;D2140,D2140,ROUND(D2140*(1+Categorias_Registro[[#This Row],[Amplitud]]),0)))</f>
        <v>536</v>
      </c>
      <c r="E2139" s="15">
        <f>E2140+IF(D2140=Categorias_Registro[[#This Row],[Máximo]],0,1)</f>
        <v>13</v>
      </c>
      <c r="F2139" s="15">
        <f>ROUND(Categorias_Registro[[#This Row],[Mínimo]]+((Categorias_Registro[[#This Row],[Máximo]]-Categorias_Registro[[#This Row],[Mínimo]])/2),0)</f>
        <v>502</v>
      </c>
      <c r="G2139" s="78">
        <f>VLOOKUP(Categorias_Registro[[#This Row],[Puntos]],Categorias_Configuracion[],MATCH(Categorias_Configuracion[[#Headers],[% Amplitud]],Categorias_Configuracion[#Headers],0),TRUE)</f>
        <v>0.15</v>
      </c>
      <c r="H2139" s="15" t="str">
        <f ca="1">TEXT(Categorias_Registro[[#This Row],[Mínimo]],Formato_Rango_Categorias)&amp;" - "&amp;TEXT(Categorias_Registro[[#This Row],[Máximo]],Formato_Rango_Categorias)</f>
        <v>467 - 536</v>
      </c>
    </row>
    <row r="2140" spans="2:8">
      <c r="B2140" s="15">
        <f>Techo - ROW() + ROW(Categorias_Registro[])</f>
        <v>489</v>
      </c>
      <c r="C2140" s="15">
        <f>IF(Categorias_Registro[[#This Row],[Puntos]]&lt;=ROUND(Piso,0),Piso,IF(Categorias_Registro[[#This Row],[Puntos]]&lt;D2141,C2141,D2141+1))</f>
        <v>467</v>
      </c>
      <c r="D2140" s="15">
        <f>IF(Categorias_Registro[[#This Row],[Puntos]]=ROUND(Piso,0),ROUND(Categorias_Registro[[#This Row],[Puntos]]*(1+Categorias_Registro[[#This Row],[Amplitud]]),0),IF(Categorias_Registro[[#This Row],[Puntos]]&lt;D2141,D2141,ROUND(D2141*(1+Categorias_Registro[[#This Row],[Amplitud]]),0)))</f>
        <v>536</v>
      </c>
      <c r="E2140" s="15">
        <f>E2141+IF(D2141=Categorias_Registro[[#This Row],[Máximo]],0,1)</f>
        <v>13</v>
      </c>
      <c r="F2140" s="15">
        <f>ROUND(Categorias_Registro[[#This Row],[Mínimo]]+((Categorias_Registro[[#This Row],[Máximo]]-Categorias_Registro[[#This Row],[Mínimo]])/2),0)</f>
        <v>502</v>
      </c>
      <c r="G2140" s="78">
        <f>VLOOKUP(Categorias_Registro[[#This Row],[Puntos]],Categorias_Configuracion[],MATCH(Categorias_Configuracion[[#Headers],[% Amplitud]],Categorias_Configuracion[#Headers],0),TRUE)</f>
        <v>0.15</v>
      </c>
      <c r="H2140" s="15" t="str">
        <f ca="1">TEXT(Categorias_Registro[[#This Row],[Mínimo]],Formato_Rango_Categorias)&amp;" - "&amp;TEXT(Categorias_Registro[[#This Row],[Máximo]],Formato_Rango_Categorias)</f>
        <v>467 - 536</v>
      </c>
    </row>
    <row r="2141" spans="2:8">
      <c r="B2141" s="15">
        <f>Techo - ROW() + ROW(Categorias_Registro[])</f>
        <v>488</v>
      </c>
      <c r="C2141" s="15">
        <f>IF(Categorias_Registro[[#This Row],[Puntos]]&lt;=ROUND(Piso,0),Piso,IF(Categorias_Registro[[#This Row],[Puntos]]&lt;D2142,C2142,D2142+1))</f>
        <v>467</v>
      </c>
      <c r="D2141" s="15">
        <f>IF(Categorias_Registro[[#This Row],[Puntos]]=ROUND(Piso,0),ROUND(Categorias_Registro[[#This Row],[Puntos]]*(1+Categorias_Registro[[#This Row],[Amplitud]]),0),IF(Categorias_Registro[[#This Row],[Puntos]]&lt;D2142,D2142,ROUND(D2142*(1+Categorias_Registro[[#This Row],[Amplitud]]),0)))</f>
        <v>536</v>
      </c>
      <c r="E2141" s="15">
        <f>E2142+IF(D2142=Categorias_Registro[[#This Row],[Máximo]],0,1)</f>
        <v>13</v>
      </c>
      <c r="F2141" s="15">
        <f>ROUND(Categorias_Registro[[#This Row],[Mínimo]]+((Categorias_Registro[[#This Row],[Máximo]]-Categorias_Registro[[#This Row],[Mínimo]])/2),0)</f>
        <v>502</v>
      </c>
      <c r="G2141" s="78">
        <f>VLOOKUP(Categorias_Registro[[#This Row],[Puntos]],Categorias_Configuracion[],MATCH(Categorias_Configuracion[[#Headers],[% Amplitud]],Categorias_Configuracion[#Headers],0),TRUE)</f>
        <v>0.15</v>
      </c>
      <c r="H2141" s="15" t="str">
        <f ca="1">TEXT(Categorias_Registro[[#This Row],[Mínimo]],Formato_Rango_Categorias)&amp;" - "&amp;TEXT(Categorias_Registro[[#This Row],[Máximo]],Formato_Rango_Categorias)</f>
        <v>467 - 536</v>
      </c>
    </row>
    <row r="2142" spans="2:8">
      <c r="B2142" s="15">
        <f>Techo - ROW() + ROW(Categorias_Registro[])</f>
        <v>487</v>
      </c>
      <c r="C2142" s="15">
        <f>IF(Categorias_Registro[[#This Row],[Puntos]]&lt;=ROUND(Piso,0),Piso,IF(Categorias_Registro[[#This Row],[Puntos]]&lt;D2143,C2143,D2143+1))</f>
        <v>467</v>
      </c>
      <c r="D2142" s="15">
        <f>IF(Categorias_Registro[[#This Row],[Puntos]]=ROUND(Piso,0),ROUND(Categorias_Registro[[#This Row],[Puntos]]*(1+Categorias_Registro[[#This Row],[Amplitud]]),0),IF(Categorias_Registro[[#This Row],[Puntos]]&lt;D2143,D2143,ROUND(D2143*(1+Categorias_Registro[[#This Row],[Amplitud]]),0)))</f>
        <v>536</v>
      </c>
      <c r="E2142" s="15">
        <f>E2143+IF(D2143=Categorias_Registro[[#This Row],[Máximo]],0,1)</f>
        <v>13</v>
      </c>
      <c r="F2142" s="15">
        <f>ROUND(Categorias_Registro[[#This Row],[Mínimo]]+((Categorias_Registro[[#This Row],[Máximo]]-Categorias_Registro[[#This Row],[Mínimo]])/2),0)</f>
        <v>502</v>
      </c>
      <c r="G2142" s="78">
        <f>VLOOKUP(Categorias_Registro[[#This Row],[Puntos]],Categorias_Configuracion[],MATCH(Categorias_Configuracion[[#Headers],[% Amplitud]],Categorias_Configuracion[#Headers],0),TRUE)</f>
        <v>0.15</v>
      </c>
      <c r="H2142" s="15" t="str">
        <f ca="1">TEXT(Categorias_Registro[[#This Row],[Mínimo]],Formato_Rango_Categorias)&amp;" - "&amp;TEXT(Categorias_Registro[[#This Row],[Máximo]],Formato_Rango_Categorias)</f>
        <v>467 - 536</v>
      </c>
    </row>
    <row r="2143" spans="2:8">
      <c r="B2143" s="15">
        <f>Techo - ROW() + ROW(Categorias_Registro[])</f>
        <v>486</v>
      </c>
      <c r="C2143" s="15">
        <f>IF(Categorias_Registro[[#This Row],[Puntos]]&lt;=ROUND(Piso,0),Piso,IF(Categorias_Registro[[#This Row],[Puntos]]&lt;D2144,C2144,D2144+1))</f>
        <v>467</v>
      </c>
      <c r="D2143" s="15">
        <f>IF(Categorias_Registro[[#This Row],[Puntos]]=ROUND(Piso,0),ROUND(Categorias_Registro[[#This Row],[Puntos]]*(1+Categorias_Registro[[#This Row],[Amplitud]]),0),IF(Categorias_Registro[[#This Row],[Puntos]]&lt;D2144,D2144,ROUND(D2144*(1+Categorias_Registro[[#This Row],[Amplitud]]),0)))</f>
        <v>536</v>
      </c>
      <c r="E2143" s="15">
        <f>E2144+IF(D2144=Categorias_Registro[[#This Row],[Máximo]],0,1)</f>
        <v>13</v>
      </c>
      <c r="F2143" s="15">
        <f>ROUND(Categorias_Registro[[#This Row],[Mínimo]]+((Categorias_Registro[[#This Row],[Máximo]]-Categorias_Registro[[#This Row],[Mínimo]])/2),0)</f>
        <v>502</v>
      </c>
      <c r="G2143" s="78">
        <f>VLOOKUP(Categorias_Registro[[#This Row],[Puntos]],Categorias_Configuracion[],MATCH(Categorias_Configuracion[[#Headers],[% Amplitud]],Categorias_Configuracion[#Headers],0),TRUE)</f>
        <v>0.15</v>
      </c>
      <c r="H2143" s="15" t="str">
        <f ca="1">TEXT(Categorias_Registro[[#This Row],[Mínimo]],Formato_Rango_Categorias)&amp;" - "&amp;TEXT(Categorias_Registro[[#This Row],[Máximo]],Formato_Rango_Categorias)</f>
        <v>467 - 536</v>
      </c>
    </row>
    <row r="2144" spans="2:8">
      <c r="B2144" s="15">
        <f>Techo - ROW() + ROW(Categorias_Registro[])</f>
        <v>485</v>
      </c>
      <c r="C2144" s="15">
        <f>IF(Categorias_Registro[[#This Row],[Puntos]]&lt;=ROUND(Piso,0),Piso,IF(Categorias_Registro[[#This Row],[Puntos]]&lt;D2145,C2145,D2145+1))</f>
        <v>467</v>
      </c>
      <c r="D2144" s="15">
        <f>IF(Categorias_Registro[[#This Row],[Puntos]]=ROUND(Piso,0),ROUND(Categorias_Registro[[#This Row],[Puntos]]*(1+Categorias_Registro[[#This Row],[Amplitud]]),0),IF(Categorias_Registro[[#This Row],[Puntos]]&lt;D2145,D2145,ROUND(D2145*(1+Categorias_Registro[[#This Row],[Amplitud]]),0)))</f>
        <v>536</v>
      </c>
      <c r="E2144" s="15">
        <f>E2145+IF(D2145=Categorias_Registro[[#This Row],[Máximo]],0,1)</f>
        <v>13</v>
      </c>
      <c r="F2144" s="15">
        <f>ROUND(Categorias_Registro[[#This Row],[Mínimo]]+((Categorias_Registro[[#This Row],[Máximo]]-Categorias_Registro[[#This Row],[Mínimo]])/2),0)</f>
        <v>502</v>
      </c>
      <c r="G2144" s="78">
        <f>VLOOKUP(Categorias_Registro[[#This Row],[Puntos]],Categorias_Configuracion[],MATCH(Categorias_Configuracion[[#Headers],[% Amplitud]],Categorias_Configuracion[#Headers],0),TRUE)</f>
        <v>0.15</v>
      </c>
      <c r="H2144" s="15" t="str">
        <f ca="1">TEXT(Categorias_Registro[[#This Row],[Mínimo]],Formato_Rango_Categorias)&amp;" - "&amp;TEXT(Categorias_Registro[[#This Row],[Máximo]],Formato_Rango_Categorias)</f>
        <v>467 - 536</v>
      </c>
    </row>
    <row r="2145" spans="2:8">
      <c r="B2145" s="15">
        <f>Techo - ROW() + ROW(Categorias_Registro[])</f>
        <v>484</v>
      </c>
      <c r="C2145" s="15">
        <f>IF(Categorias_Registro[[#This Row],[Puntos]]&lt;=ROUND(Piso,0),Piso,IF(Categorias_Registro[[#This Row],[Puntos]]&lt;D2146,C2146,D2146+1))</f>
        <v>467</v>
      </c>
      <c r="D2145" s="15">
        <f>IF(Categorias_Registro[[#This Row],[Puntos]]=ROUND(Piso,0),ROUND(Categorias_Registro[[#This Row],[Puntos]]*(1+Categorias_Registro[[#This Row],[Amplitud]]),0),IF(Categorias_Registro[[#This Row],[Puntos]]&lt;D2146,D2146,ROUND(D2146*(1+Categorias_Registro[[#This Row],[Amplitud]]),0)))</f>
        <v>536</v>
      </c>
      <c r="E2145" s="15">
        <f>E2146+IF(D2146=Categorias_Registro[[#This Row],[Máximo]],0,1)</f>
        <v>13</v>
      </c>
      <c r="F2145" s="15">
        <f>ROUND(Categorias_Registro[[#This Row],[Mínimo]]+((Categorias_Registro[[#This Row],[Máximo]]-Categorias_Registro[[#This Row],[Mínimo]])/2),0)</f>
        <v>502</v>
      </c>
      <c r="G2145" s="78">
        <f>VLOOKUP(Categorias_Registro[[#This Row],[Puntos]],Categorias_Configuracion[],MATCH(Categorias_Configuracion[[#Headers],[% Amplitud]],Categorias_Configuracion[#Headers],0),TRUE)</f>
        <v>0.15</v>
      </c>
      <c r="H2145" s="15" t="str">
        <f ca="1">TEXT(Categorias_Registro[[#This Row],[Mínimo]],Formato_Rango_Categorias)&amp;" - "&amp;TEXT(Categorias_Registro[[#This Row],[Máximo]],Formato_Rango_Categorias)</f>
        <v>467 - 536</v>
      </c>
    </row>
    <row r="2146" spans="2:8">
      <c r="B2146" s="15">
        <f>Techo - ROW() + ROW(Categorias_Registro[])</f>
        <v>483</v>
      </c>
      <c r="C2146" s="15">
        <f>IF(Categorias_Registro[[#This Row],[Puntos]]&lt;=ROUND(Piso,0),Piso,IF(Categorias_Registro[[#This Row],[Puntos]]&lt;D2147,C2147,D2147+1))</f>
        <v>467</v>
      </c>
      <c r="D2146" s="15">
        <f>IF(Categorias_Registro[[#This Row],[Puntos]]=ROUND(Piso,0),ROUND(Categorias_Registro[[#This Row],[Puntos]]*(1+Categorias_Registro[[#This Row],[Amplitud]]),0),IF(Categorias_Registro[[#This Row],[Puntos]]&lt;D2147,D2147,ROUND(D2147*(1+Categorias_Registro[[#This Row],[Amplitud]]),0)))</f>
        <v>536</v>
      </c>
      <c r="E2146" s="15">
        <f>E2147+IF(D2147=Categorias_Registro[[#This Row],[Máximo]],0,1)</f>
        <v>13</v>
      </c>
      <c r="F2146" s="15">
        <f>ROUND(Categorias_Registro[[#This Row],[Mínimo]]+((Categorias_Registro[[#This Row],[Máximo]]-Categorias_Registro[[#This Row],[Mínimo]])/2),0)</f>
        <v>502</v>
      </c>
      <c r="G2146" s="78">
        <f>VLOOKUP(Categorias_Registro[[#This Row],[Puntos]],Categorias_Configuracion[],MATCH(Categorias_Configuracion[[#Headers],[% Amplitud]],Categorias_Configuracion[#Headers],0),TRUE)</f>
        <v>0.15</v>
      </c>
      <c r="H2146" s="15" t="str">
        <f ca="1">TEXT(Categorias_Registro[[#This Row],[Mínimo]],Formato_Rango_Categorias)&amp;" - "&amp;TEXT(Categorias_Registro[[#This Row],[Máximo]],Formato_Rango_Categorias)</f>
        <v>467 - 536</v>
      </c>
    </row>
    <row r="2147" spans="2:8">
      <c r="B2147" s="15">
        <f>Techo - ROW() + ROW(Categorias_Registro[])</f>
        <v>482</v>
      </c>
      <c r="C2147" s="15">
        <f>IF(Categorias_Registro[[#This Row],[Puntos]]&lt;=ROUND(Piso,0),Piso,IF(Categorias_Registro[[#This Row],[Puntos]]&lt;D2148,C2148,D2148+1))</f>
        <v>467</v>
      </c>
      <c r="D2147" s="15">
        <f>IF(Categorias_Registro[[#This Row],[Puntos]]=ROUND(Piso,0),ROUND(Categorias_Registro[[#This Row],[Puntos]]*(1+Categorias_Registro[[#This Row],[Amplitud]]),0),IF(Categorias_Registro[[#This Row],[Puntos]]&lt;D2148,D2148,ROUND(D2148*(1+Categorias_Registro[[#This Row],[Amplitud]]),0)))</f>
        <v>536</v>
      </c>
      <c r="E2147" s="15">
        <f>E2148+IF(D2148=Categorias_Registro[[#This Row],[Máximo]],0,1)</f>
        <v>13</v>
      </c>
      <c r="F2147" s="15">
        <f>ROUND(Categorias_Registro[[#This Row],[Mínimo]]+((Categorias_Registro[[#This Row],[Máximo]]-Categorias_Registro[[#This Row],[Mínimo]])/2),0)</f>
        <v>502</v>
      </c>
      <c r="G2147" s="78">
        <f>VLOOKUP(Categorias_Registro[[#This Row],[Puntos]],Categorias_Configuracion[],MATCH(Categorias_Configuracion[[#Headers],[% Amplitud]],Categorias_Configuracion[#Headers],0),TRUE)</f>
        <v>0.15</v>
      </c>
      <c r="H2147" s="15" t="str">
        <f ca="1">TEXT(Categorias_Registro[[#This Row],[Mínimo]],Formato_Rango_Categorias)&amp;" - "&amp;TEXT(Categorias_Registro[[#This Row],[Máximo]],Formato_Rango_Categorias)</f>
        <v>467 - 536</v>
      </c>
    </row>
    <row r="2148" spans="2:8">
      <c r="B2148" s="15">
        <f>Techo - ROW() + ROW(Categorias_Registro[])</f>
        <v>481</v>
      </c>
      <c r="C2148" s="15">
        <f>IF(Categorias_Registro[[#This Row],[Puntos]]&lt;=ROUND(Piso,0),Piso,IF(Categorias_Registro[[#This Row],[Puntos]]&lt;D2149,C2149,D2149+1))</f>
        <v>467</v>
      </c>
      <c r="D2148" s="15">
        <f>IF(Categorias_Registro[[#This Row],[Puntos]]=ROUND(Piso,0),ROUND(Categorias_Registro[[#This Row],[Puntos]]*(1+Categorias_Registro[[#This Row],[Amplitud]]),0),IF(Categorias_Registro[[#This Row],[Puntos]]&lt;D2149,D2149,ROUND(D2149*(1+Categorias_Registro[[#This Row],[Amplitud]]),0)))</f>
        <v>536</v>
      </c>
      <c r="E2148" s="15">
        <f>E2149+IF(D2149=Categorias_Registro[[#This Row],[Máximo]],0,1)</f>
        <v>13</v>
      </c>
      <c r="F2148" s="15">
        <f>ROUND(Categorias_Registro[[#This Row],[Mínimo]]+((Categorias_Registro[[#This Row],[Máximo]]-Categorias_Registro[[#This Row],[Mínimo]])/2),0)</f>
        <v>502</v>
      </c>
      <c r="G2148" s="78">
        <f>VLOOKUP(Categorias_Registro[[#This Row],[Puntos]],Categorias_Configuracion[],MATCH(Categorias_Configuracion[[#Headers],[% Amplitud]],Categorias_Configuracion[#Headers],0),TRUE)</f>
        <v>0.15</v>
      </c>
      <c r="H2148" s="15" t="str">
        <f ca="1">TEXT(Categorias_Registro[[#This Row],[Mínimo]],Formato_Rango_Categorias)&amp;" - "&amp;TEXT(Categorias_Registro[[#This Row],[Máximo]],Formato_Rango_Categorias)</f>
        <v>467 - 536</v>
      </c>
    </row>
    <row r="2149" spans="2:8">
      <c r="B2149" s="15">
        <f>Techo - ROW() + ROW(Categorias_Registro[])</f>
        <v>480</v>
      </c>
      <c r="C2149" s="15">
        <f>IF(Categorias_Registro[[#This Row],[Puntos]]&lt;=ROUND(Piso,0),Piso,IF(Categorias_Registro[[#This Row],[Puntos]]&lt;D2150,C2150,D2150+1))</f>
        <v>467</v>
      </c>
      <c r="D2149" s="15">
        <f>IF(Categorias_Registro[[#This Row],[Puntos]]=ROUND(Piso,0),ROUND(Categorias_Registro[[#This Row],[Puntos]]*(1+Categorias_Registro[[#This Row],[Amplitud]]),0),IF(Categorias_Registro[[#This Row],[Puntos]]&lt;D2150,D2150,ROUND(D2150*(1+Categorias_Registro[[#This Row],[Amplitud]]),0)))</f>
        <v>536</v>
      </c>
      <c r="E2149" s="15">
        <f>E2150+IF(D2150=Categorias_Registro[[#This Row],[Máximo]],0,1)</f>
        <v>13</v>
      </c>
      <c r="F2149" s="15">
        <f>ROUND(Categorias_Registro[[#This Row],[Mínimo]]+((Categorias_Registro[[#This Row],[Máximo]]-Categorias_Registro[[#This Row],[Mínimo]])/2),0)</f>
        <v>502</v>
      </c>
      <c r="G2149" s="78">
        <f>VLOOKUP(Categorias_Registro[[#This Row],[Puntos]],Categorias_Configuracion[],MATCH(Categorias_Configuracion[[#Headers],[% Amplitud]],Categorias_Configuracion[#Headers],0),TRUE)</f>
        <v>0.15</v>
      </c>
      <c r="H2149" s="15" t="str">
        <f ca="1">TEXT(Categorias_Registro[[#This Row],[Mínimo]],Formato_Rango_Categorias)&amp;" - "&amp;TEXT(Categorias_Registro[[#This Row],[Máximo]],Formato_Rango_Categorias)</f>
        <v>467 - 536</v>
      </c>
    </row>
    <row r="2150" spans="2:8">
      <c r="B2150" s="15">
        <f>Techo - ROW() + ROW(Categorias_Registro[])</f>
        <v>479</v>
      </c>
      <c r="C2150" s="15">
        <f>IF(Categorias_Registro[[#This Row],[Puntos]]&lt;=ROUND(Piso,0),Piso,IF(Categorias_Registro[[#This Row],[Puntos]]&lt;D2151,C2151,D2151+1))</f>
        <v>467</v>
      </c>
      <c r="D2150" s="15">
        <f>IF(Categorias_Registro[[#This Row],[Puntos]]=ROUND(Piso,0),ROUND(Categorias_Registro[[#This Row],[Puntos]]*(1+Categorias_Registro[[#This Row],[Amplitud]]),0),IF(Categorias_Registro[[#This Row],[Puntos]]&lt;D2151,D2151,ROUND(D2151*(1+Categorias_Registro[[#This Row],[Amplitud]]),0)))</f>
        <v>536</v>
      </c>
      <c r="E2150" s="15">
        <f>E2151+IF(D2151=Categorias_Registro[[#This Row],[Máximo]],0,1)</f>
        <v>13</v>
      </c>
      <c r="F2150" s="15">
        <f>ROUND(Categorias_Registro[[#This Row],[Mínimo]]+((Categorias_Registro[[#This Row],[Máximo]]-Categorias_Registro[[#This Row],[Mínimo]])/2),0)</f>
        <v>502</v>
      </c>
      <c r="G2150" s="78">
        <f>VLOOKUP(Categorias_Registro[[#This Row],[Puntos]],Categorias_Configuracion[],MATCH(Categorias_Configuracion[[#Headers],[% Amplitud]],Categorias_Configuracion[#Headers],0),TRUE)</f>
        <v>0.15</v>
      </c>
      <c r="H2150" s="15" t="str">
        <f ca="1">TEXT(Categorias_Registro[[#This Row],[Mínimo]],Formato_Rango_Categorias)&amp;" - "&amp;TEXT(Categorias_Registro[[#This Row],[Máximo]],Formato_Rango_Categorias)</f>
        <v>467 - 536</v>
      </c>
    </row>
    <row r="2151" spans="2:8">
      <c r="B2151" s="15">
        <f>Techo - ROW() + ROW(Categorias_Registro[])</f>
        <v>478</v>
      </c>
      <c r="C2151" s="15">
        <f>IF(Categorias_Registro[[#This Row],[Puntos]]&lt;=ROUND(Piso,0),Piso,IF(Categorias_Registro[[#This Row],[Puntos]]&lt;D2152,C2152,D2152+1))</f>
        <v>467</v>
      </c>
      <c r="D2151" s="15">
        <f>IF(Categorias_Registro[[#This Row],[Puntos]]=ROUND(Piso,0),ROUND(Categorias_Registro[[#This Row],[Puntos]]*(1+Categorias_Registro[[#This Row],[Amplitud]]),0),IF(Categorias_Registro[[#This Row],[Puntos]]&lt;D2152,D2152,ROUND(D2152*(1+Categorias_Registro[[#This Row],[Amplitud]]),0)))</f>
        <v>536</v>
      </c>
      <c r="E2151" s="15">
        <f>E2152+IF(D2152=Categorias_Registro[[#This Row],[Máximo]],0,1)</f>
        <v>13</v>
      </c>
      <c r="F2151" s="15">
        <f>ROUND(Categorias_Registro[[#This Row],[Mínimo]]+((Categorias_Registro[[#This Row],[Máximo]]-Categorias_Registro[[#This Row],[Mínimo]])/2),0)</f>
        <v>502</v>
      </c>
      <c r="G2151" s="78">
        <f>VLOOKUP(Categorias_Registro[[#This Row],[Puntos]],Categorias_Configuracion[],MATCH(Categorias_Configuracion[[#Headers],[% Amplitud]],Categorias_Configuracion[#Headers],0),TRUE)</f>
        <v>0.15</v>
      </c>
      <c r="H2151" s="15" t="str">
        <f ca="1">TEXT(Categorias_Registro[[#This Row],[Mínimo]],Formato_Rango_Categorias)&amp;" - "&amp;TEXT(Categorias_Registro[[#This Row],[Máximo]],Formato_Rango_Categorias)</f>
        <v>467 - 536</v>
      </c>
    </row>
    <row r="2152" spans="2:8">
      <c r="B2152" s="15">
        <f>Techo - ROW() + ROW(Categorias_Registro[])</f>
        <v>477</v>
      </c>
      <c r="C2152" s="15">
        <f>IF(Categorias_Registro[[#This Row],[Puntos]]&lt;=ROUND(Piso,0),Piso,IF(Categorias_Registro[[#This Row],[Puntos]]&lt;D2153,C2153,D2153+1))</f>
        <v>467</v>
      </c>
      <c r="D2152" s="15">
        <f>IF(Categorias_Registro[[#This Row],[Puntos]]=ROUND(Piso,0),ROUND(Categorias_Registro[[#This Row],[Puntos]]*(1+Categorias_Registro[[#This Row],[Amplitud]]),0),IF(Categorias_Registro[[#This Row],[Puntos]]&lt;D2153,D2153,ROUND(D2153*(1+Categorias_Registro[[#This Row],[Amplitud]]),0)))</f>
        <v>536</v>
      </c>
      <c r="E2152" s="15">
        <f>E2153+IF(D2153=Categorias_Registro[[#This Row],[Máximo]],0,1)</f>
        <v>13</v>
      </c>
      <c r="F2152" s="15">
        <f>ROUND(Categorias_Registro[[#This Row],[Mínimo]]+((Categorias_Registro[[#This Row],[Máximo]]-Categorias_Registro[[#This Row],[Mínimo]])/2),0)</f>
        <v>502</v>
      </c>
      <c r="G2152" s="78">
        <f>VLOOKUP(Categorias_Registro[[#This Row],[Puntos]],Categorias_Configuracion[],MATCH(Categorias_Configuracion[[#Headers],[% Amplitud]],Categorias_Configuracion[#Headers],0),TRUE)</f>
        <v>0.15</v>
      </c>
      <c r="H2152" s="15" t="str">
        <f ca="1">TEXT(Categorias_Registro[[#This Row],[Mínimo]],Formato_Rango_Categorias)&amp;" - "&amp;TEXT(Categorias_Registro[[#This Row],[Máximo]],Formato_Rango_Categorias)</f>
        <v>467 - 536</v>
      </c>
    </row>
    <row r="2153" spans="2:8">
      <c r="B2153" s="15">
        <f>Techo - ROW() + ROW(Categorias_Registro[])</f>
        <v>476</v>
      </c>
      <c r="C2153" s="15">
        <f>IF(Categorias_Registro[[#This Row],[Puntos]]&lt;=ROUND(Piso,0),Piso,IF(Categorias_Registro[[#This Row],[Puntos]]&lt;D2154,C2154,D2154+1))</f>
        <v>467</v>
      </c>
      <c r="D2153" s="15">
        <f>IF(Categorias_Registro[[#This Row],[Puntos]]=ROUND(Piso,0),ROUND(Categorias_Registro[[#This Row],[Puntos]]*(1+Categorias_Registro[[#This Row],[Amplitud]]),0),IF(Categorias_Registro[[#This Row],[Puntos]]&lt;D2154,D2154,ROUND(D2154*(1+Categorias_Registro[[#This Row],[Amplitud]]),0)))</f>
        <v>536</v>
      </c>
      <c r="E2153" s="15">
        <f>E2154+IF(D2154=Categorias_Registro[[#This Row],[Máximo]],0,1)</f>
        <v>13</v>
      </c>
      <c r="F2153" s="15">
        <f>ROUND(Categorias_Registro[[#This Row],[Mínimo]]+((Categorias_Registro[[#This Row],[Máximo]]-Categorias_Registro[[#This Row],[Mínimo]])/2),0)</f>
        <v>502</v>
      </c>
      <c r="G2153" s="78">
        <f>VLOOKUP(Categorias_Registro[[#This Row],[Puntos]],Categorias_Configuracion[],MATCH(Categorias_Configuracion[[#Headers],[% Amplitud]],Categorias_Configuracion[#Headers],0),TRUE)</f>
        <v>0.15</v>
      </c>
      <c r="H2153" s="15" t="str">
        <f ca="1">TEXT(Categorias_Registro[[#This Row],[Mínimo]],Formato_Rango_Categorias)&amp;" - "&amp;TEXT(Categorias_Registro[[#This Row],[Máximo]],Formato_Rango_Categorias)</f>
        <v>467 - 536</v>
      </c>
    </row>
    <row r="2154" spans="2:8">
      <c r="B2154" s="15">
        <f>Techo - ROW() + ROW(Categorias_Registro[])</f>
        <v>475</v>
      </c>
      <c r="C2154" s="15">
        <f>IF(Categorias_Registro[[#This Row],[Puntos]]&lt;=ROUND(Piso,0),Piso,IF(Categorias_Registro[[#This Row],[Puntos]]&lt;D2155,C2155,D2155+1))</f>
        <v>467</v>
      </c>
      <c r="D2154" s="15">
        <f>IF(Categorias_Registro[[#This Row],[Puntos]]=ROUND(Piso,0),ROUND(Categorias_Registro[[#This Row],[Puntos]]*(1+Categorias_Registro[[#This Row],[Amplitud]]),0),IF(Categorias_Registro[[#This Row],[Puntos]]&lt;D2155,D2155,ROUND(D2155*(1+Categorias_Registro[[#This Row],[Amplitud]]),0)))</f>
        <v>536</v>
      </c>
      <c r="E2154" s="15">
        <f>E2155+IF(D2155=Categorias_Registro[[#This Row],[Máximo]],0,1)</f>
        <v>13</v>
      </c>
      <c r="F2154" s="15">
        <f>ROUND(Categorias_Registro[[#This Row],[Mínimo]]+((Categorias_Registro[[#This Row],[Máximo]]-Categorias_Registro[[#This Row],[Mínimo]])/2),0)</f>
        <v>502</v>
      </c>
      <c r="G2154" s="78">
        <f>VLOOKUP(Categorias_Registro[[#This Row],[Puntos]],Categorias_Configuracion[],MATCH(Categorias_Configuracion[[#Headers],[% Amplitud]],Categorias_Configuracion[#Headers],0),TRUE)</f>
        <v>0.15</v>
      </c>
      <c r="H2154" s="15" t="str">
        <f ca="1">TEXT(Categorias_Registro[[#This Row],[Mínimo]],Formato_Rango_Categorias)&amp;" - "&amp;TEXT(Categorias_Registro[[#This Row],[Máximo]],Formato_Rango_Categorias)</f>
        <v>467 - 536</v>
      </c>
    </row>
    <row r="2155" spans="2:8">
      <c r="B2155" s="15">
        <f>Techo - ROW() + ROW(Categorias_Registro[])</f>
        <v>474</v>
      </c>
      <c r="C2155" s="15">
        <f>IF(Categorias_Registro[[#This Row],[Puntos]]&lt;=ROUND(Piso,0),Piso,IF(Categorias_Registro[[#This Row],[Puntos]]&lt;D2156,C2156,D2156+1))</f>
        <v>467</v>
      </c>
      <c r="D2155" s="15">
        <f>IF(Categorias_Registro[[#This Row],[Puntos]]=ROUND(Piso,0),ROUND(Categorias_Registro[[#This Row],[Puntos]]*(1+Categorias_Registro[[#This Row],[Amplitud]]),0),IF(Categorias_Registro[[#This Row],[Puntos]]&lt;D2156,D2156,ROUND(D2156*(1+Categorias_Registro[[#This Row],[Amplitud]]),0)))</f>
        <v>536</v>
      </c>
      <c r="E2155" s="15">
        <f>E2156+IF(D2156=Categorias_Registro[[#This Row],[Máximo]],0,1)</f>
        <v>13</v>
      </c>
      <c r="F2155" s="15">
        <f>ROUND(Categorias_Registro[[#This Row],[Mínimo]]+((Categorias_Registro[[#This Row],[Máximo]]-Categorias_Registro[[#This Row],[Mínimo]])/2),0)</f>
        <v>502</v>
      </c>
      <c r="G2155" s="78">
        <f>VLOOKUP(Categorias_Registro[[#This Row],[Puntos]],Categorias_Configuracion[],MATCH(Categorias_Configuracion[[#Headers],[% Amplitud]],Categorias_Configuracion[#Headers],0),TRUE)</f>
        <v>0.15</v>
      </c>
      <c r="H2155" s="15" t="str">
        <f ca="1">TEXT(Categorias_Registro[[#This Row],[Mínimo]],Formato_Rango_Categorias)&amp;" - "&amp;TEXT(Categorias_Registro[[#This Row],[Máximo]],Formato_Rango_Categorias)</f>
        <v>467 - 536</v>
      </c>
    </row>
    <row r="2156" spans="2:8">
      <c r="B2156" s="15">
        <f>Techo - ROW() + ROW(Categorias_Registro[])</f>
        <v>473</v>
      </c>
      <c r="C2156" s="15">
        <f>IF(Categorias_Registro[[#This Row],[Puntos]]&lt;=ROUND(Piso,0),Piso,IF(Categorias_Registro[[#This Row],[Puntos]]&lt;D2157,C2157,D2157+1))</f>
        <v>467</v>
      </c>
      <c r="D2156" s="15">
        <f>IF(Categorias_Registro[[#This Row],[Puntos]]=ROUND(Piso,0),ROUND(Categorias_Registro[[#This Row],[Puntos]]*(1+Categorias_Registro[[#This Row],[Amplitud]]),0),IF(Categorias_Registro[[#This Row],[Puntos]]&lt;D2157,D2157,ROUND(D2157*(1+Categorias_Registro[[#This Row],[Amplitud]]),0)))</f>
        <v>536</v>
      </c>
      <c r="E2156" s="15">
        <f>E2157+IF(D2157=Categorias_Registro[[#This Row],[Máximo]],0,1)</f>
        <v>13</v>
      </c>
      <c r="F2156" s="15">
        <f>ROUND(Categorias_Registro[[#This Row],[Mínimo]]+((Categorias_Registro[[#This Row],[Máximo]]-Categorias_Registro[[#This Row],[Mínimo]])/2),0)</f>
        <v>502</v>
      </c>
      <c r="G2156" s="78">
        <f>VLOOKUP(Categorias_Registro[[#This Row],[Puntos]],Categorias_Configuracion[],MATCH(Categorias_Configuracion[[#Headers],[% Amplitud]],Categorias_Configuracion[#Headers],0),TRUE)</f>
        <v>0.15</v>
      </c>
      <c r="H2156" s="15" t="str">
        <f ca="1">TEXT(Categorias_Registro[[#This Row],[Mínimo]],Formato_Rango_Categorias)&amp;" - "&amp;TEXT(Categorias_Registro[[#This Row],[Máximo]],Formato_Rango_Categorias)</f>
        <v>467 - 536</v>
      </c>
    </row>
    <row r="2157" spans="2:8">
      <c r="B2157" s="15">
        <f>Techo - ROW() + ROW(Categorias_Registro[])</f>
        <v>472</v>
      </c>
      <c r="C2157" s="15">
        <f>IF(Categorias_Registro[[#This Row],[Puntos]]&lt;=ROUND(Piso,0),Piso,IF(Categorias_Registro[[#This Row],[Puntos]]&lt;D2158,C2158,D2158+1))</f>
        <v>467</v>
      </c>
      <c r="D2157" s="15">
        <f>IF(Categorias_Registro[[#This Row],[Puntos]]=ROUND(Piso,0),ROUND(Categorias_Registro[[#This Row],[Puntos]]*(1+Categorias_Registro[[#This Row],[Amplitud]]),0),IF(Categorias_Registro[[#This Row],[Puntos]]&lt;D2158,D2158,ROUND(D2158*(1+Categorias_Registro[[#This Row],[Amplitud]]),0)))</f>
        <v>536</v>
      </c>
      <c r="E2157" s="15">
        <f>E2158+IF(D2158=Categorias_Registro[[#This Row],[Máximo]],0,1)</f>
        <v>13</v>
      </c>
      <c r="F2157" s="15">
        <f>ROUND(Categorias_Registro[[#This Row],[Mínimo]]+((Categorias_Registro[[#This Row],[Máximo]]-Categorias_Registro[[#This Row],[Mínimo]])/2),0)</f>
        <v>502</v>
      </c>
      <c r="G2157" s="78">
        <f>VLOOKUP(Categorias_Registro[[#This Row],[Puntos]],Categorias_Configuracion[],MATCH(Categorias_Configuracion[[#Headers],[% Amplitud]],Categorias_Configuracion[#Headers],0),TRUE)</f>
        <v>0.15</v>
      </c>
      <c r="H2157" s="15" t="str">
        <f ca="1">TEXT(Categorias_Registro[[#This Row],[Mínimo]],Formato_Rango_Categorias)&amp;" - "&amp;TEXT(Categorias_Registro[[#This Row],[Máximo]],Formato_Rango_Categorias)</f>
        <v>467 - 536</v>
      </c>
    </row>
    <row r="2158" spans="2:8">
      <c r="B2158" s="15">
        <f>Techo - ROW() + ROW(Categorias_Registro[])</f>
        <v>471</v>
      </c>
      <c r="C2158" s="15">
        <f>IF(Categorias_Registro[[#This Row],[Puntos]]&lt;=ROUND(Piso,0),Piso,IF(Categorias_Registro[[#This Row],[Puntos]]&lt;D2159,C2159,D2159+1))</f>
        <v>467</v>
      </c>
      <c r="D2158" s="15">
        <f>IF(Categorias_Registro[[#This Row],[Puntos]]=ROUND(Piso,0),ROUND(Categorias_Registro[[#This Row],[Puntos]]*(1+Categorias_Registro[[#This Row],[Amplitud]]),0),IF(Categorias_Registro[[#This Row],[Puntos]]&lt;D2159,D2159,ROUND(D2159*(1+Categorias_Registro[[#This Row],[Amplitud]]),0)))</f>
        <v>536</v>
      </c>
      <c r="E2158" s="15">
        <f>E2159+IF(D2159=Categorias_Registro[[#This Row],[Máximo]],0,1)</f>
        <v>13</v>
      </c>
      <c r="F2158" s="15">
        <f>ROUND(Categorias_Registro[[#This Row],[Mínimo]]+((Categorias_Registro[[#This Row],[Máximo]]-Categorias_Registro[[#This Row],[Mínimo]])/2),0)</f>
        <v>502</v>
      </c>
      <c r="G2158" s="78">
        <f>VLOOKUP(Categorias_Registro[[#This Row],[Puntos]],Categorias_Configuracion[],MATCH(Categorias_Configuracion[[#Headers],[% Amplitud]],Categorias_Configuracion[#Headers],0),TRUE)</f>
        <v>0.15</v>
      </c>
      <c r="H2158" s="15" t="str">
        <f ca="1">TEXT(Categorias_Registro[[#This Row],[Mínimo]],Formato_Rango_Categorias)&amp;" - "&amp;TEXT(Categorias_Registro[[#This Row],[Máximo]],Formato_Rango_Categorias)</f>
        <v>467 - 536</v>
      </c>
    </row>
    <row r="2159" spans="2:8">
      <c r="B2159" s="15">
        <f>Techo - ROW() + ROW(Categorias_Registro[])</f>
        <v>470</v>
      </c>
      <c r="C2159" s="15">
        <f>IF(Categorias_Registro[[#This Row],[Puntos]]&lt;=ROUND(Piso,0),Piso,IF(Categorias_Registro[[#This Row],[Puntos]]&lt;D2160,C2160,D2160+1))</f>
        <v>467</v>
      </c>
      <c r="D2159" s="15">
        <f>IF(Categorias_Registro[[#This Row],[Puntos]]=ROUND(Piso,0),ROUND(Categorias_Registro[[#This Row],[Puntos]]*(1+Categorias_Registro[[#This Row],[Amplitud]]),0),IF(Categorias_Registro[[#This Row],[Puntos]]&lt;D2160,D2160,ROUND(D2160*(1+Categorias_Registro[[#This Row],[Amplitud]]),0)))</f>
        <v>536</v>
      </c>
      <c r="E2159" s="15">
        <f>E2160+IF(D2160=Categorias_Registro[[#This Row],[Máximo]],0,1)</f>
        <v>13</v>
      </c>
      <c r="F2159" s="15">
        <f>ROUND(Categorias_Registro[[#This Row],[Mínimo]]+((Categorias_Registro[[#This Row],[Máximo]]-Categorias_Registro[[#This Row],[Mínimo]])/2),0)</f>
        <v>502</v>
      </c>
      <c r="G2159" s="78">
        <f>VLOOKUP(Categorias_Registro[[#This Row],[Puntos]],Categorias_Configuracion[],MATCH(Categorias_Configuracion[[#Headers],[% Amplitud]],Categorias_Configuracion[#Headers],0),TRUE)</f>
        <v>0.15</v>
      </c>
      <c r="H2159" s="15" t="str">
        <f ca="1">TEXT(Categorias_Registro[[#This Row],[Mínimo]],Formato_Rango_Categorias)&amp;" - "&amp;TEXT(Categorias_Registro[[#This Row],[Máximo]],Formato_Rango_Categorias)</f>
        <v>467 - 536</v>
      </c>
    </row>
    <row r="2160" spans="2:8">
      <c r="B2160" s="15">
        <f>Techo - ROW() + ROW(Categorias_Registro[])</f>
        <v>469</v>
      </c>
      <c r="C2160" s="15">
        <f>IF(Categorias_Registro[[#This Row],[Puntos]]&lt;=ROUND(Piso,0),Piso,IF(Categorias_Registro[[#This Row],[Puntos]]&lt;D2161,C2161,D2161+1))</f>
        <v>467</v>
      </c>
      <c r="D2160" s="15">
        <f>IF(Categorias_Registro[[#This Row],[Puntos]]=ROUND(Piso,0),ROUND(Categorias_Registro[[#This Row],[Puntos]]*(1+Categorias_Registro[[#This Row],[Amplitud]]),0),IF(Categorias_Registro[[#This Row],[Puntos]]&lt;D2161,D2161,ROUND(D2161*(1+Categorias_Registro[[#This Row],[Amplitud]]),0)))</f>
        <v>536</v>
      </c>
      <c r="E2160" s="15">
        <f>E2161+IF(D2161=Categorias_Registro[[#This Row],[Máximo]],0,1)</f>
        <v>13</v>
      </c>
      <c r="F2160" s="15">
        <f>ROUND(Categorias_Registro[[#This Row],[Mínimo]]+((Categorias_Registro[[#This Row],[Máximo]]-Categorias_Registro[[#This Row],[Mínimo]])/2),0)</f>
        <v>502</v>
      </c>
      <c r="G2160" s="78">
        <f>VLOOKUP(Categorias_Registro[[#This Row],[Puntos]],Categorias_Configuracion[],MATCH(Categorias_Configuracion[[#Headers],[% Amplitud]],Categorias_Configuracion[#Headers],0),TRUE)</f>
        <v>0.15</v>
      </c>
      <c r="H2160" s="15" t="str">
        <f ca="1">TEXT(Categorias_Registro[[#This Row],[Mínimo]],Formato_Rango_Categorias)&amp;" - "&amp;TEXT(Categorias_Registro[[#This Row],[Máximo]],Formato_Rango_Categorias)</f>
        <v>467 - 536</v>
      </c>
    </row>
    <row r="2161" spans="2:8">
      <c r="B2161" s="15">
        <f>Techo - ROW() + ROW(Categorias_Registro[])</f>
        <v>468</v>
      </c>
      <c r="C2161" s="15">
        <f>IF(Categorias_Registro[[#This Row],[Puntos]]&lt;=ROUND(Piso,0),Piso,IF(Categorias_Registro[[#This Row],[Puntos]]&lt;D2162,C2162,D2162+1))</f>
        <v>467</v>
      </c>
      <c r="D2161" s="15">
        <f>IF(Categorias_Registro[[#This Row],[Puntos]]=ROUND(Piso,0),ROUND(Categorias_Registro[[#This Row],[Puntos]]*(1+Categorias_Registro[[#This Row],[Amplitud]]),0),IF(Categorias_Registro[[#This Row],[Puntos]]&lt;D2162,D2162,ROUND(D2162*(1+Categorias_Registro[[#This Row],[Amplitud]]),0)))</f>
        <v>536</v>
      </c>
      <c r="E2161" s="15">
        <f>E2162+IF(D2162=Categorias_Registro[[#This Row],[Máximo]],0,1)</f>
        <v>13</v>
      </c>
      <c r="F2161" s="15">
        <f>ROUND(Categorias_Registro[[#This Row],[Mínimo]]+((Categorias_Registro[[#This Row],[Máximo]]-Categorias_Registro[[#This Row],[Mínimo]])/2),0)</f>
        <v>502</v>
      </c>
      <c r="G2161" s="78">
        <f>VLOOKUP(Categorias_Registro[[#This Row],[Puntos]],Categorias_Configuracion[],MATCH(Categorias_Configuracion[[#Headers],[% Amplitud]],Categorias_Configuracion[#Headers],0),TRUE)</f>
        <v>0.15</v>
      </c>
      <c r="H2161" s="15" t="str">
        <f ca="1">TEXT(Categorias_Registro[[#This Row],[Mínimo]],Formato_Rango_Categorias)&amp;" - "&amp;TEXT(Categorias_Registro[[#This Row],[Máximo]],Formato_Rango_Categorias)</f>
        <v>467 - 536</v>
      </c>
    </row>
    <row r="2162" spans="2:8">
      <c r="B2162" s="15">
        <f>Techo - ROW() + ROW(Categorias_Registro[])</f>
        <v>467</v>
      </c>
      <c r="C2162" s="15">
        <f>IF(Categorias_Registro[[#This Row],[Puntos]]&lt;=ROUND(Piso,0),Piso,IF(Categorias_Registro[[#This Row],[Puntos]]&lt;D2163,C2163,D2163+1))</f>
        <v>467</v>
      </c>
      <c r="D2162" s="15">
        <f>IF(Categorias_Registro[[#This Row],[Puntos]]=ROUND(Piso,0),ROUND(Categorias_Registro[[#This Row],[Puntos]]*(1+Categorias_Registro[[#This Row],[Amplitud]]),0),IF(Categorias_Registro[[#This Row],[Puntos]]&lt;D2163,D2163,ROUND(D2163*(1+Categorias_Registro[[#This Row],[Amplitud]]),0)))</f>
        <v>536</v>
      </c>
      <c r="E2162" s="15">
        <f>E2163+IF(D2163=Categorias_Registro[[#This Row],[Máximo]],0,1)</f>
        <v>13</v>
      </c>
      <c r="F2162" s="15">
        <f>ROUND(Categorias_Registro[[#This Row],[Mínimo]]+((Categorias_Registro[[#This Row],[Máximo]]-Categorias_Registro[[#This Row],[Mínimo]])/2),0)</f>
        <v>502</v>
      </c>
      <c r="G2162" s="78">
        <f>VLOOKUP(Categorias_Registro[[#This Row],[Puntos]],Categorias_Configuracion[],MATCH(Categorias_Configuracion[[#Headers],[% Amplitud]],Categorias_Configuracion[#Headers],0),TRUE)</f>
        <v>0.15</v>
      </c>
      <c r="H2162" s="15" t="str">
        <f ca="1">TEXT(Categorias_Registro[[#This Row],[Mínimo]],Formato_Rango_Categorias)&amp;" - "&amp;TEXT(Categorias_Registro[[#This Row],[Máximo]],Formato_Rango_Categorias)</f>
        <v>467 - 536</v>
      </c>
    </row>
    <row r="2163" spans="2:8">
      <c r="B2163" s="15">
        <f>Techo - ROW() + ROW(Categorias_Registro[])</f>
        <v>466</v>
      </c>
      <c r="C2163" s="15">
        <f>IF(Categorias_Registro[[#This Row],[Puntos]]&lt;=ROUND(Piso,0),Piso,IF(Categorias_Registro[[#This Row],[Puntos]]&lt;D2164,C2164,D2164+1))</f>
        <v>467</v>
      </c>
      <c r="D2163" s="15">
        <f>IF(Categorias_Registro[[#This Row],[Puntos]]=ROUND(Piso,0),ROUND(Categorias_Registro[[#This Row],[Puntos]]*(1+Categorias_Registro[[#This Row],[Amplitud]]),0),IF(Categorias_Registro[[#This Row],[Puntos]]&lt;D2164,D2164,ROUND(D2164*(1+Categorias_Registro[[#This Row],[Amplitud]]),0)))</f>
        <v>536</v>
      </c>
      <c r="E2163" s="15">
        <f>E2164+IF(D2164=Categorias_Registro[[#This Row],[Máximo]],0,1)</f>
        <v>13</v>
      </c>
      <c r="F2163" s="15">
        <f>ROUND(Categorias_Registro[[#This Row],[Mínimo]]+((Categorias_Registro[[#This Row],[Máximo]]-Categorias_Registro[[#This Row],[Mínimo]])/2),0)</f>
        <v>502</v>
      </c>
      <c r="G2163" s="78">
        <f>VLOOKUP(Categorias_Registro[[#This Row],[Puntos]],Categorias_Configuracion[],MATCH(Categorias_Configuracion[[#Headers],[% Amplitud]],Categorias_Configuracion[#Headers],0),TRUE)</f>
        <v>0.15</v>
      </c>
      <c r="H2163" s="15" t="str">
        <f ca="1">TEXT(Categorias_Registro[[#This Row],[Mínimo]],Formato_Rango_Categorias)&amp;" - "&amp;TEXT(Categorias_Registro[[#This Row],[Máximo]],Formato_Rango_Categorias)</f>
        <v>467 - 536</v>
      </c>
    </row>
    <row r="2164" spans="2:8">
      <c r="B2164" s="15">
        <f>Techo - ROW() + ROW(Categorias_Registro[])</f>
        <v>465</v>
      </c>
      <c r="C2164" s="15">
        <f>IF(Categorias_Registro[[#This Row],[Puntos]]&lt;=ROUND(Piso,0),Piso,IF(Categorias_Registro[[#This Row],[Puntos]]&lt;D2165,C2165,D2165+1))</f>
        <v>406</v>
      </c>
      <c r="D2164" s="15">
        <f>IF(Categorias_Registro[[#This Row],[Puntos]]=ROUND(Piso,0),ROUND(Categorias_Registro[[#This Row],[Puntos]]*(1+Categorias_Registro[[#This Row],[Amplitud]]),0),IF(Categorias_Registro[[#This Row],[Puntos]]&lt;D2165,D2165,ROUND(D2165*(1+Categorias_Registro[[#This Row],[Amplitud]]),0)))</f>
        <v>466</v>
      </c>
      <c r="E2164" s="15">
        <f>E2165+IF(D2165=Categorias_Registro[[#This Row],[Máximo]],0,1)</f>
        <v>12</v>
      </c>
      <c r="F2164" s="15">
        <f>ROUND(Categorias_Registro[[#This Row],[Mínimo]]+((Categorias_Registro[[#This Row],[Máximo]]-Categorias_Registro[[#This Row],[Mínimo]])/2),0)</f>
        <v>436</v>
      </c>
      <c r="G2164" s="78">
        <f>VLOOKUP(Categorias_Registro[[#This Row],[Puntos]],Categorias_Configuracion[],MATCH(Categorias_Configuracion[[#Headers],[% Amplitud]],Categorias_Configuracion[#Headers],0),TRUE)</f>
        <v>0.15</v>
      </c>
      <c r="H2164" s="15" t="str">
        <f ca="1">TEXT(Categorias_Registro[[#This Row],[Mínimo]],Formato_Rango_Categorias)&amp;" - "&amp;TEXT(Categorias_Registro[[#This Row],[Máximo]],Formato_Rango_Categorias)</f>
        <v>406 - 466</v>
      </c>
    </row>
    <row r="2165" spans="2:8">
      <c r="B2165" s="15">
        <f>Techo - ROW() + ROW(Categorias_Registro[])</f>
        <v>464</v>
      </c>
      <c r="C2165" s="15">
        <f>IF(Categorias_Registro[[#This Row],[Puntos]]&lt;=ROUND(Piso,0),Piso,IF(Categorias_Registro[[#This Row],[Puntos]]&lt;D2166,C2166,D2166+1))</f>
        <v>406</v>
      </c>
      <c r="D2165" s="15">
        <f>IF(Categorias_Registro[[#This Row],[Puntos]]=ROUND(Piso,0),ROUND(Categorias_Registro[[#This Row],[Puntos]]*(1+Categorias_Registro[[#This Row],[Amplitud]]),0),IF(Categorias_Registro[[#This Row],[Puntos]]&lt;D2166,D2166,ROUND(D2166*(1+Categorias_Registro[[#This Row],[Amplitud]]),0)))</f>
        <v>466</v>
      </c>
      <c r="E2165" s="15">
        <f>E2166+IF(D2166=Categorias_Registro[[#This Row],[Máximo]],0,1)</f>
        <v>12</v>
      </c>
      <c r="F2165" s="15">
        <f>ROUND(Categorias_Registro[[#This Row],[Mínimo]]+((Categorias_Registro[[#This Row],[Máximo]]-Categorias_Registro[[#This Row],[Mínimo]])/2),0)</f>
        <v>436</v>
      </c>
      <c r="G2165" s="78">
        <f>VLOOKUP(Categorias_Registro[[#This Row],[Puntos]],Categorias_Configuracion[],MATCH(Categorias_Configuracion[[#Headers],[% Amplitud]],Categorias_Configuracion[#Headers],0),TRUE)</f>
        <v>0.15</v>
      </c>
      <c r="H2165" s="15" t="str">
        <f ca="1">TEXT(Categorias_Registro[[#This Row],[Mínimo]],Formato_Rango_Categorias)&amp;" - "&amp;TEXT(Categorias_Registro[[#This Row],[Máximo]],Formato_Rango_Categorias)</f>
        <v>406 - 466</v>
      </c>
    </row>
    <row r="2166" spans="2:8">
      <c r="B2166" s="15">
        <f>Techo - ROW() + ROW(Categorias_Registro[])</f>
        <v>463</v>
      </c>
      <c r="C2166" s="15">
        <f>IF(Categorias_Registro[[#This Row],[Puntos]]&lt;=ROUND(Piso,0),Piso,IF(Categorias_Registro[[#This Row],[Puntos]]&lt;D2167,C2167,D2167+1))</f>
        <v>406</v>
      </c>
      <c r="D2166" s="15">
        <f>IF(Categorias_Registro[[#This Row],[Puntos]]=ROUND(Piso,0),ROUND(Categorias_Registro[[#This Row],[Puntos]]*(1+Categorias_Registro[[#This Row],[Amplitud]]),0),IF(Categorias_Registro[[#This Row],[Puntos]]&lt;D2167,D2167,ROUND(D2167*(1+Categorias_Registro[[#This Row],[Amplitud]]),0)))</f>
        <v>466</v>
      </c>
      <c r="E2166" s="15">
        <f>E2167+IF(D2167=Categorias_Registro[[#This Row],[Máximo]],0,1)</f>
        <v>12</v>
      </c>
      <c r="F2166" s="15">
        <f>ROUND(Categorias_Registro[[#This Row],[Mínimo]]+((Categorias_Registro[[#This Row],[Máximo]]-Categorias_Registro[[#This Row],[Mínimo]])/2),0)</f>
        <v>436</v>
      </c>
      <c r="G2166" s="78">
        <f>VLOOKUP(Categorias_Registro[[#This Row],[Puntos]],Categorias_Configuracion[],MATCH(Categorias_Configuracion[[#Headers],[% Amplitud]],Categorias_Configuracion[#Headers],0),TRUE)</f>
        <v>0.15</v>
      </c>
      <c r="H2166" s="15" t="str">
        <f ca="1">TEXT(Categorias_Registro[[#This Row],[Mínimo]],Formato_Rango_Categorias)&amp;" - "&amp;TEXT(Categorias_Registro[[#This Row],[Máximo]],Formato_Rango_Categorias)</f>
        <v>406 - 466</v>
      </c>
    </row>
    <row r="2167" spans="2:8">
      <c r="B2167" s="15">
        <f>Techo - ROW() + ROW(Categorias_Registro[])</f>
        <v>462</v>
      </c>
      <c r="C2167" s="15">
        <f>IF(Categorias_Registro[[#This Row],[Puntos]]&lt;=ROUND(Piso,0),Piso,IF(Categorias_Registro[[#This Row],[Puntos]]&lt;D2168,C2168,D2168+1))</f>
        <v>406</v>
      </c>
      <c r="D2167" s="15">
        <f>IF(Categorias_Registro[[#This Row],[Puntos]]=ROUND(Piso,0),ROUND(Categorias_Registro[[#This Row],[Puntos]]*(1+Categorias_Registro[[#This Row],[Amplitud]]),0),IF(Categorias_Registro[[#This Row],[Puntos]]&lt;D2168,D2168,ROUND(D2168*(1+Categorias_Registro[[#This Row],[Amplitud]]),0)))</f>
        <v>466</v>
      </c>
      <c r="E2167" s="15">
        <f>E2168+IF(D2168=Categorias_Registro[[#This Row],[Máximo]],0,1)</f>
        <v>12</v>
      </c>
      <c r="F2167" s="15">
        <f>ROUND(Categorias_Registro[[#This Row],[Mínimo]]+((Categorias_Registro[[#This Row],[Máximo]]-Categorias_Registro[[#This Row],[Mínimo]])/2),0)</f>
        <v>436</v>
      </c>
      <c r="G2167" s="78">
        <f>VLOOKUP(Categorias_Registro[[#This Row],[Puntos]],Categorias_Configuracion[],MATCH(Categorias_Configuracion[[#Headers],[% Amplitud]],Categorias_Configuracion[#Headers],0),TRUE)</f>
        <v>0.15</v>
      </c>
      <c r="H2167" s="15" t="str">
        <f ca="1">TEXT(Categorias_Registro[[#This Row],[Mínimo]],Formato_Rango_Categorias)&amp;" - "&amp;TEXT(Categorias_Registro[[#This Row],[Máximo]],Formato_Rango_Categorias)</f>
        <v>406 - 466</v>
      </c>
    </row>
    <row r="2168" spans="2:8">
      <c r="B2168" s="15">
        <f>Techo - ROW() + ROW(Categorias_Registro[])</f>
        <v>461</v>
      </c>
      <c r="C2168" s="15">
        <f>IF(Categorias_Registro[[#This Row],[Puntos]]&lt;=ROUND(Piso,0),Piso,IF(Categorias_Registro[[#This Row],[Puntos]]&lt;D2169,C2169,D2169+1))</f>
        <v>406</v>
      </c>
      <c r="D2168" s="15">
        <f>IF(Categorias_Registro[[#This Row],[Puntos]]=ROUND(Piso,0),ROUND(Categorias_Registro[[#This Row],[Puntos]]*(1+Categorias_Registro[[#This Row],[Amplitud]]),0),IF(Categorias_Registro[[#This Row],[Puntos]]&lt;D2169,D2169,ROUND(D2169*(1+Categorias_Registro[[#This Row],[Amplitud]]),0)))</f>
        <v>466</v>
      </c>
      <c r="E2168" s="15">
        <f>E2169+IF(D2169=Categorias_Registro[[#This Row],[Máximo]],0,1)</f>
        <v>12</v>
      </c>
      <c r="F2168" s="15">
        <f>ROUND(Categorias_Registro[[#This Row],[Mínimo]]+((Categorias_Registro[[#This Row],[Máximo]]-Categorias_Registro[[#This Row],[Mínimo]])/2),0)</f>
        <v>436</v>
      </c>
      <c r="G2168" s="78">
        <f>VLOOKUP(Categorias_Registro[[#This Row],[Puntos]],Categorias_Configuracion[],MATCH(Categorias_Configuracion[[#Headers],[% Amplitud]],Categorias_Configuracion[#Headers],0),TRUE)</f>
        <v>0.15</v>
      </c>
      <c r="H2168" s="15" t="str">
        <f ca="1">TEXT(Categorias_Registro[[#This Row],[Mínimo]],Formato_Rango_Categorias)&amp;" - "&amp;TEXT(Categorias_Registro[[#This Row],[Máximo]],Formato_Rango_Categorias)</f>
        <v>406 - 466</v>
      </c>
    </row>
    <row r="2169" spans="2:8">
      <c r="B2169" s="15">
        <f>Techo - ROW() + ROW(Categorias_Registro[])</f>
        <v>460</v>
      </c>
      <c r="C2169" s="15">
        <f>IF(Categorias_Registro[[#This Row],[Puntos]]&lt;=ROUND(Piso,0),Piso,IF(Categorias_Registro[[#This Row],[Puntos]]&lt;D2170,C2170,D2170+1))</f>
        <v>406</v>
      </c>
      <c r="D2169" s="15">
        <f>IF(Categorias_Registro[[#This Row],[Puntos]]=ROUND(Piso,0),ROUND(Categorias_Registro[[#This Row],[Puntos]]*(1+Categorias_Registro[[#This Row],[Amplitud]]),0),IF(Categorias_Registro[[#This Row],[Puntos]]&lt;D2170,D2170,ROUND(D2170*(1+Categorias_Registro[[#This Row],[Amplitud]]),0)))</f>
        <v>466</v>
      </c>
      <c r="E2169" s="15">
        <f>E2170+IF(D2170=Categorias_Registro[[#This Row],[Máximo]],0,1)</f>
        <v>12</v>
      </c>
      <c r="F2169" s="15">
        <f>ROUND(Categorias_Registro[[#This Row],[Mínimo]]+((Categorias_Registro[[#This Row],[Máximo]]-Categorias_Registro[[#This Row],[Mínimo]])/2),0)</f>
        <v>436</v>
      </c>
      <c r="G2169" s="78">
        <f>VLOOKUP(Categorias_Registro[[#This Row],[Puntos]],Categorias_Configuracion[],MATCH(Categorias_Configuracion[[#Headers],[% Amplitud]],Categorias_Configuracion[#Headers],0),TRUE)</f>
        <v>0.15</v>
      </c>
      <c r="H2169" s="15" t="str">
        <f ca="1">TEXT(Categorias_Registro[[#This Row],[Mínimo]],Formato_Rango_Categorias)&amp;" - "&amp;TEXT(Categorias_Registro[[#This Row],[Máximo]],Formato_Rango_Categorias)</f>
        <v>406 - 466</v>
      </c>
    </row>
    <row r="2170" spans="2:8">
      <c r="B2170" s="15">
        <f>Techo - ROW() + ROW(Categorias_Registro[])</f>
        <v>459</v>
      </c>
      <c r="C2170" s="15">
        <f>IF(Categorias_Registro[[#This Row],[Puntos]]&lt;=ROUND(Piso,0),Piso,IF(Categorias_Registro[[#This Row],[Puntos]]&lt;D2171,C2171,D2171+1))</f>
        <v>406</v>
      </c>
      <c r="D2170" s="15">
        <f>IF(Categorias_Registro[[#This Row],[Puntos]]=ROUND(Piso,0),ROUND(Categorias_Registro[[#This Row],[Puntos]]*(1+Categorias_Registro[[#This Row],[Amplitud]]),0),IF(Categorias_Registro[[#This Row],[Puntos]]&lt;D2171,D2171,ROUND(D2171*(1+Categorias_Registro[[#This Row],[Amplitud]]),0)))</f>
        <v>466</v>
      </c>
      <c r="E2170" s="15">
        <f>E2171+IF(D2171=Categorias_Registro[[#This Row],[Máximo]],0,1)</f>
        <v>12</v>
      </c>
      <c r="F2170" s="15">
        <f>ROUND(Categorias_Registro[[#This Row],[Mínimo]]+((Categorias_Registro[[#This Row],[Máximo]]-Categorias_Registro[[#This Row],[Mínimo]])/2),0)</f>
        <v>436</v>
      </c>
      <c r="G2170" s="78">
        <f>VLOOKUP(Categorias_Registro[[#This Row],[Puntos]],Categorias_Configuracion[],MATCH(Categorias_Configuracion[[#Headers],[% Amplitud]],Categorias_Configuracion[#Headers],0),TRUE)</f>
        <v>0.15</v>
      </c>
      <c r="H2170" s="15" t="str">
        <f ca="1">TEXT(Categorias_Registro[[#This Row],[Mínimo]],Formato_Rango_Categorias)&amp;" - "&amp;TEXT(Categorias_Registro[[#This Row],[Máximo]],Formato_Rango_Categorias)</f>
        <v>406 - 466</v>
      </c>
    </row>
    <row r="2171" spans="2:8">
      <c r="B2171" s="15">
        <f>Techo - ROW() + ROW(Categorias_Registro[])</f>
        <v>458</v>
      </c>
      <c r="C2171" s="15">
        <f>IF(Categorias_Registro[[#This Row],[Puntos]]&lt;=ROUND(Piso,0),Piso,IF(Categorias_Registro[[#This Row],[Puntos]]&lt;D2172,C2172,D2172+1))</f>
        <v>406</v>
      </c>
      <c r="D2171" s="15">
        <f>IF(Categorias_Registro[[#This Row],[Puntos]]=ROUND(Piso,0),ROUND(Categorias_Registro[[#This Row],[Puntos]]*(1+Categorias_Registro[[#This Row],[Amplitud]]),0),IF(Categorias_Registro[[#This Row],[Puntos]]&lt;D2172,D2172,ROUND(D2172*(1+Categorias_Registro[[#This Row],[Amplitud]]),0)))</f>
        <v>466</v>
      </c>
      <c r="E2171" s="15">
        <f>E2172+IF(D2172=Categorias_Registro[[#This Row],[Máximo]],0,1)</f>
        <v>12</v>
      </c>
      <c r="F2171" s="15">
        <f>ROUND(Categorias_Registro[[#This Row],[Mínimo]]+((Categorias_Registro[[#This Row],[Máximo]]-Categorias_Registro[[#This Row],[Mínimo]])/2),0)</f>
        <v>436</v>
      </c>
      <c r="G2171" s="78">
        <f>VLOOKUP(Categorias_Registro[[#This Row],[Puntos]],Categorias_Configuracion[],MATCH(Categorias_Configuracion[[#Headers],[% Amplitud]],Categorias_Configuracion[#Headers],0),TRUE)</f>
        <v>0.15</v>
      </c>
      <c r="H2171" s="15" t="str">
        <f ca="1">TEXT(Categorias_Registro[[#This Row],[Mínimo]],Formato_Rango_Categorias)&amp;" - "&amp;TEXT(Categorias_Registro[[#This Row],[Máximo]],Formato_Rango_Categorias)</f>
        <v>406 - 466</v>
      </c>
    </row>
    <row r="2172" spans="2:8">
      <c r="B2172" s="15">
        <f>Techo - ROW() + ROW(Categorias_Registro[])</f>
        <v>457</v>
      </c>
      <c r="C2172" s="15">
        <f>IF(Categorias_Registro[[#This Row],[Puntos]]&lt;=ROUND(Piso,0),Piso,IF(Categorias_Registro[[#This Row],[Puntos]]&lt;D2173,C2173,D2173+1))</f>
        <v>406</v>
      </c>
      <c r="D2172" s="15">
        <f>IF(Categorias_Registro[[#This Row],[Puntos]]=ROUND(Piso,0),ROUND(Categorias_Registro[[#This Row],[Puntos]]*(1+Categorias_Registro[[#This Row],[Amplitud]]),0),IF(Categorias_Registro[[#This Row],[Puntos]]&lt;D2173,D2173,ROUND(D2173*(1+Categorias_Registro[[#This Row],[Amplitud]]),0)))</f>
        <v>466</v>
      </c>
      <c r="E2172" s="15">
        <f>E2173+IF(D2173=Categorias_Registro[[#This Row],[Máximo]],0,1)</f>
        <v>12</v>
      </c>
      <c r="F2172" s="15">
        <f>ROUND(Categorias_Registro[[#This Row],[Mínimo]]+((Categorias_Registro[[#This Row],[Máximo]]-Categorias_Registro[[#This Row],[Mínimo]])/2),0)</f>
        <v>436</v>
      </c>
      <c r="G2172" s="78">
        <f>VLOOKUP(Categorias_Registro[[#This Row],[Puntos]],Categorias_Configuracion[],MATCH(Categorias_Configuracion[[#Headers],[% Amplitud]],Categorias_Configuracion[#Headers],0),TRUE)</f>
        <v>0.15</v>
      </c>
      <c r="H2172" s="15" t="str">
        <f ca="1">TEXT(Categorias_Registro[[#This Row],[Mínimo]],Formato_Rango_Categorias)&amp;" - "&amp;TEXT(Categorias_Registro[[#This Row],[Máximo]],Formato_Rango_Categorias)</f>
        <v>406 - 466</v>
      </c>
    </row>
    <row r="2173" spans="2:8">
      <c r="B2173" s="15">
        <f>Techo - ROW() + ROW(Categorias_Registro[])</f>
        <v>456</v>
      </c>
      <c r="C2173" s="15">
        <f>IF(Categorias_Registro[[#This Row],[Puntos]]&lt;=ROUND(Piso,0),Piso,IF(Categorias_Registro[[#This Row],[Puntos]]&lt;D2174,C2174,D2174+1))</f>
        <v>406</v>
      </c>
      <c r="D2173" s="15">
        <f>IF(Categorias_Registro[[#This Row],[Puntos]]=ROUND(Piso,0),ROUND(Categorias_Registro[[#This Row],[Puntos]]*(1+Categorias_Registro[[#This Row],[Amplitud]]),0),IF(Categorias_Registro[[#This Row],[Puntos]]&lt;D2174,D2174,ROUND(D2174*(1+Categorias_Registro[[#This Row],[Amplitud]]),0)))</f>
        <v>466</v>
      </c>
      <c r="E2173" s="15">
        <f>E2174+IF(D2174=Categorias_Registro[[#This Row],[Máximo]],0,1)</f>
        <v>12</v>
      </c>
      <c r="F2173" s="15">
        <f>ROUND(Categorias_Registro[[#This Row],[Mínimo]]+((Categorias_Registro[[#This Row],[Máximo]]-Categorias_Registro[[#This Row],[Mínimo]])/2),0)</f>
        <v>436</v>
      </c>
      <c r="G2173" s="78">
        <f>VLOOKUP(Categorias_Registro[[#This Row],[Puntos]],Categorias_Configuracion[],MATCH(Categorias_Configuracion[[#Headers],[% Amplitud]],Categorias_Configuracion[#Headers],0),TRUE)</f>
        <v>0.15</v>
      </c>
      <c r="H2173" s="15" t="str">
        <f ca="1">TEXT(Categorias_Registro[[#This Row],[Mínimo]],Formato_Rango_Categorias)&amp;" - "&amp;TEXT(Categorias_Registro[[#This Row],[Máximo]],Formato_Rango_Categorias)</f>
        <v>406 - 466</v>
      </c>
    </row>
    <row r="2174" spans="2:8">
      <c r="B2174" s="15">
        <f>Techo - ROW() + ROW(Categorias_Registro[])</f>
        <v>455</v>
      </c>
      <c r="C2174" s="15">
        <f>IF(Categorias_Registro[[#This Row],[Puntos]]&lt;=ROUND(Piso,0),Piso,IF(Categorias_Registro[[#This Row],[Puntos]]&lt;D2175,C2175,D2175+1))</f>
        <v>406</v>
      </c>
      <c r="D2174" s="15">
        <f>IF(Categorias_Registro[[#This Row],[Puntos]]=ROUND(Piso,0),ROUND(Categorias_Registro[[#This Row],[Puntos]]*(1+Categorias_Registro[[#This Row],[Amplitud]]),0),IF(Categorias_Registro[[#This Row],[Puntos]]&lt;D2175,D2175,ROUND(D2175*(1+Categorias_Registro[[#This Row],[Amplitud]]),0)))</f>
        <v>466</v>
      </c>
      <c r="E2174" s="15">
        <f>E2175+IF(D2175=Categorias_Registro[[#This Row],[Máximo]],0,1)</f>
        <v>12</v>
      </c>
      <c r="F2174" s="15">
        <f>ROUND(Categorias_Registro[[#This Row],[Mínimo]]+((Categorias_Registro[[#This Row],[Máximo]]-Categorias_Registro[[#This Row],[Mínimo]])/2),0)</f>
        <v>436</v>
      </c>
      <c r="G2174" s="78">
        <f>VLOOKUP(Categorias_Registro[[#This Row],[Puntos]],Categorias_Configuracion[],MATCH(Categorias_Configuracion[[#Headers],[% Amplitud]],Categorias_Configuracion[#Headers],0),TRUE)</f>
        <v>0.15</v>
      </c>
      <c r="H2174" s="15" t="str">
        <f ca="1">TEXT(Categorias_Registro[[#This Row],[Mínimo]],Formato_Rango_Categorias)&amp;" - "&amp;TEXT(Categorias_Registro[[#This Row],[Máximo]],Formato_Rango_Categorias)</f>
        <v>406 - 466</v>
      </c>
    </row>
    <row r="2175" spans="2:8">
      <c r="B2175" s="15">
        <f>Techo - ROW() + ROW(Categorias_Registro[])</f>
        <v>454</v>
      </c>
      <c r="C2175" s="15">
        <f>IF(Categorias_Registro[[#This Row],[Puntos]]&lt;=ROUND(Piso,0),Piso,IF(Categorias_Registro[[#This Row],[Puntos]]&lt;D2176,C2176,D2176+1))</f>
        <v>406</v>
      </c>
      <c r="D2175" s="15">
        <f>IF(Categorias_Registro[[#This Row],[Puntos]]=ROUND(Piso,0),ROUND(Categorias_Registro[[#This Row],[Puntos]]*(1+Categorias_Registro[[#This Row],[Amplitud]]),0),IF(Categorias_Registro[[#This Row],[Puntos]]&lt;D2176,D2176,ROUND(D2176*(1+Categorias_Registro[[#This Row],[Amplitud]]),0)))</f>
        <v>466</v>
      </c>
      <c r="E2175" s="15">
        <f>E2176+IF(D2176=Categorias_Registro[[#This Row],[Máximo]],0,1)</f>
        <v>12</v>
      </c>
      <c r="F2175" s="15">
        <f>ROUND(Categorias_Registro[[#This Row],[Mínimo]]+((Categorias_Registro[[#This Row],[Máximo]]-Categorias_Registro[[#This Row],[Mínimo]])/2),0)</f>
        <v>436</v>
      </c>
      <c r="G2175" s="78">
        <f>VLOOKUP(Categorias_Registro[[#This Row],[Puntos]],Categorias_Configuracion[],MATCH(Categorias_Configuracion[[#Headers],[% Amplitud]],Categorias_Configuracion[#Headers],0),TRUE)</f>
        <v>0.15</v>
      </c>
      <c r="H2175" s="15" t="str">
        <f ca="1">TEXT(Categorias_Registro[[#This Row],[Mínimo]],Formato_Rango_Categorias)&amp;" - "&amp;TEXT(Categorias_Registro[[#This Row],[Máximo]],Formato_Rango_Categorias)</f>
        <v>406 - 466</v>
      </c>
    </row>
    <row r="2176" spans="2:8">
      <c r="B2176" s="15">
        <f>Techo - ROW() + ROW(Categorias_Registro[])</f>
        <v>453</v>
      </c>
      <c r="C2176" s="15">
        <f>IF(Categorias_Registro[[#This Row],[Puntos]]&lt;=ROUND(Piso,0),Piso,IF(Categorias_Registro[[#This Row],[Puntos]]&lt;D2177,C2177,D2177+1))</f>
        <v>406</v>
      </c>
      <c r="D2176" s="15">
        <f>IF(Categorias_Registro[[#This Row],[Puntos]]=ROUND(Piso,0),ROUND(Categorias_Registro[[#This Row],[Puntos]]*(1+Categorias_Registro[[#This Row],[Amplitud]]),0),IF(Categorias_Registro[[#This Row],[Puntos]]&lt;D2177,D2177,ROUND(D2177*(1+Categorias_Registro[[#This Row],[Amplitud]]),0)))</f>
        <v>466</v>
      </c>
      <c r="E2176" s="15">
        <f>E2177+IF(D2177=Categorias_Registro[[#This Row],[Máximo]],0,1)</f>
        <v>12</v>
      </c>
      <c r="F2176" s="15">
        <f>ROUND(Categorias_Registro[[#This Row],[Mínimo]]+((Categorias_Registro[[#This Row],[Máximo]]-Categorias_Registro[[#This Row],[Mínimo]])/2),0)</f>
        <v>436</v>
      </c>
      <c r="G2176" s="78">
        <f>VLOOKUP(Categorias_Registro[[#This Row],[Puntos]],Categorias_Configuracion[],MATCH(Categorias_Configuracion[[#Headers],[% Amplitud]],Categorias_Configuracion[#Headers],0),TRUE)</f>
        <v>0.15</v>
      </c>
      <c r="H2176" s="15" t="str">
        <f ca="1">TEXT(Categorias_Registro[[#This Row],[Mínimo]],Formato_Rango_Categorias)&amp;" - "&amp;TEXT(Categorias_Registro[[#This Row],[Máximo]],Formato_Rango_Categorias)</f>
        <v>406 - 466</v>
      </c>
    </row>
    <row r="2177" spans="2:8">
      <c r="B2177" s="15">
        <f>Techo - ROW() + ROW(Categorias_Registro[])</f>
        <v>452</v>
      </c>
      <c r="C2177" s="15">
        <f>IF(Categorias_Registro[[#This Row],[Puntos]]&lt;=ROUND(Piso,0),Piso,IF(Categorias_Registro[[#This Row],[Puntos]]&lt;D2178,C2178,D2178+1))</f>
        <v>406</v>
      </c>
      <c r="D2177" s="15">
        <f>IF(Categorias_Registro[[#This Row],[Puntos]]=ROUND(Piso,0),ROUND(Categorias_Registro[[#This Row],[Puntos]]*(1+Categorias_Registro[[#This Row],[Amplitud]]),0),IF(Categorias_Registro[[#This Row],[Puntos]]&lt;D2178,D2178,ROUND(D2178*(1+Categorias_Registro[[#This Row],[Amplitud]]),0)))</f>
        <v>466</v>
      </c>
      <c r="E2177" s="15">
        <f>E2178+IF(D2178=Categorias_Registro[[#This Row],[Máximo]],0,1)</f>
        <v>12</v>
      </c>
      <c r="F2177" s="15">
        <f>ROUND(Categorias_Registro[[#This Row],[Mínimo]]+((Categorias_Registro[[#This Row],[Máximo]]-Categorias_Registro[[#This Row],[Mínimo]])/2),0)</f>
        <v>436</v>
      </c>
      <c r="G2177" s="78">
        <f>VLOOKUP(Categorias_Registro[[#This Row],[Puntos]],Categorias_Configuracion[],MATCH(Categorias_Configuracion[[#Headers],[% Amplitud]],Categorias_Configuracion[#Headers],0),TRUE)</f>
        <v>0.15</v>
      </c>
      <c r="H2177" s="15" t="str">
        <f ca="1">TEXT(Categorias_Registro[[#This Row],[Mínimo]],Formato_Rango_Categorias)&amp;" - "&amp;TEXT(Categorias_Registro[[#This Row],[Máximo]],Formato_Rango_Categorias)</f>
        <v>406 - 466</v>
      </c>
    </row>
    <row r="2178" spans="2:8">
      <c r="B2178" s="15">
        <f>Techo - ROW() + ROW(Categorias_Registro[])</f>
        <v>451</v>
      </c>
      <c r="C2178" s="15">
        <f>IF(Categorias_Registro[[#This Row],[Puntos]]&lt;=ROUND(Piso,0),Piso,IF(Categorias_Registro[[#This Row],[Puntos]]&lt;D2179,C2179,D2179+1))</f>
        <v>406</v>
      </c>
      <c r="D2178" s="15">
        <f>IF(Categorias_Registro[[#This Row],[Puntos]]=ROUND(Piso,0),ROUND(Categorias_Registro[[#This Row],[Puntos]]*(1+Categorias_Registro[[#This Row],[Amplitud]]),0),IF(Categorias_Registro[[#This Row],[Puntos]]&lt;D2179,D2179,ROUND(D2179*(1+Categorias_Registro[[#This Row],[Amplitud]]),0)))</f>
        <v>466</v>
      </c>
      <c r="E2178" s="15">
        <f>E2179+IF(D2179=Categorias_Registro[[#This Row],[Máximo]],0,1)</f>
        <v>12</v>
      </c>
      <c r="F2178" s="15">
        <f>ROUND(Categorias_Registro[[#This Row],[Mínimo]]+((Categorias_Registro[[#This Row],[Máximo]]-Categorias_Registro[[#This Row],[Mínimo]])/2),0)</f>
        <v>436</v>
      </c>
      <c r="G2178" s="78">
        <f>VLOOKUP(Categorias_Registro[[#This Row],[Puntos]],Categorias_Configuracion[],MATCH(Categorias_Configuracion[[#Headers],[% Amplitud]],Categorias_Configuracion[#Headers],0),TRUE)</f>
        <v>0.15</v>
      </c>
      <c r="H2178" s="15" t="str">
        <f ca="1">TEXT(Categorias_Registro[[#This Row],[Mínimo]],Formato_Rango_Categorias)&amp;" - "&amp;TEXT(Categorias_Registro[[#This Row],[Máximo]],Formato_Rango_Categorias)</f>
        <v>406 - 466</v>
      </c>
    </row>
    <row r="2179" spans="2:8">
      <c r="B2179" s="15">
        <f>Techo - ROW() + ROW(Categorias_Registro[])</f>
        <v>450</v>
      </c>
      <c r="C2179" s="15">
        <f>IF(Categorias_Registro[[#This Row],[Puntos]]&lt;=ROUND(Piso,0),Piso,IF(Categorias_Registro[[#This Row],[Puntos]]&lt;D2180,C2180,D2180+1))</f>
        <v>406</v>
      </c>
      <c r="D2179" s="15">
        <f>IF(Categorias_Registro[[#This Row],[Puntos]]=ROUND(Piso,0),ROUND(Categorias_Registro[[#This Row],[Puntos]]*(1+Categorias_Registro[[#This Row],[Amplitud]]),0),IF(Categorias_Registro[[#This Row],[Puntos]]&lt;D2180,D2180,ROUND(D2180*(1+Categorias_Registro[[#This Row],[Amplitud]]),0)))</f>
        <v>466</v>
      </c>
      <c r="E2179" s="15">
        <f>E2180+IF(D2180=Categorias_Registro[[#This Row],[Máximo]],0,1)</f>
        <v>12</v>
      </c>
      <c r="F2179" s="15">
        <f>ROUND(Categorias_Registro[[#This Row],[Mínimo]]+((Categorias_Registro[[#This Row],[Máximo]]-Categorias_Registro[[#This Row],[Mínimo]])/2),0)</f>
        <v>436</v>
      </c>
      <c r="G2179" s="78">
        <f>VLOOKUP(Categorias_Registro[[#This Row],[Puntos]],Categorias_Configuracion[],MATCH(Categorias_Configuracion[[#Headers],[% Amplitud]],Categorias_Configuracion[#Headers],0),TRUE)</f>
        <v>0.15</v>
      </c>
      <c r="H2179" s="15" t="str">
        <f ca="1">TEXT(Categorias_Registro[[#This Row],[Mínimo]],Formato_Rango_Categorias)&amp;" - "&amp;TEXT(Categorias_Registro[[#This Row],[Máximo]],Formato_Rango_Categorias)</f>
        <v>406 - 466</v>
      </c>
    </row>
    <row r="2180" spans="2:8">
      <c r="B2180" s="15">
        <f>Techo - ROW() + ROW(Categorias_Registro[])</f>
        <v>449</v>
      </c>
      <c r="C2180" s="15">
        <f>IF(Categorias_Registro[[#This Row],[Puntos]]&lt;=ROUND(Piso,0),Piso,IF(Categorias_Registro[[#This Row],[Puntos]]&lt;D2181,C2181,D2181+1))</f>
        <v>406</v>
      </c>
      <c r="D2180" s="15">
        <f>IF(Categorias_Registro[[#This Row],[Puntos]]=ROUND(Piso,0),ROUND(Categorias_Registro[[#This Row],[Puntos]]*(1+Categorias_Registro[[#This Row],[Amplitud]]),0),IF(Categorias_Registro[[#This Row],[Puntos]]&lt;D2181,D2181,ROUND(D2181*(1+Categorias_Registro[[#This Row],[Amplitud]]),0)))</f>
        <v>466</v>
      </c>
      <c r="E2180" s="15">
        <f>E2181+IF(D2181=Categorias_Registro[[#This Row],[Máximo]],0,1)</f>
        <v>12</v>
      </c>
      <c r="F2180" s="15">
        <f>ROUND(Categorias_Registro[[#This Row],[Mínimo]]+((Categorias_Registro[[#This Row],[Máximo]]-Categorias_Registro[[#This Row],[Mínimo]])/2),0)</f>
        <v>436</v>
      </c>
      <c r="G2180" s="78">
        <f>VLOOKUP(Categorias_Registro[[#This Row],[Puntos]],Categorias_Configuracion[],MATCH(Categorias_Configuracion[[#Headers],[% Amplitud]],Categorias_Configuracion[#Headers],0),TRUE)</f>
        <v>0.15</v>
      </c>
      <c r="H2180" s="15" t="str">
        <f ca="1">TEXT(Categorias_Registro[[#This Row],[Mínimo]],Formato_Rango_Categorias)&amp;" - "&amp;TEXT(Categorias_Registro[[#This Row],[Máximo]],Formato_Rango_Categorias)</f>
        <v>406 - 466</v>
      </c>
    </row>
    <row r="2181" spans="2:8">
      <c r="B2181" s="15">
        <f>Techo - ROW() + ROW(Categorias_Registro[])</f>
        <v>448</v>
      </c>
      <c r="C2181" s="15">
        <f>IF(Categorias_Registro[[#This Row],[Puntos]]&lt;=ROUND(Piso,0),Piso,IF(Categorias_Registro[[#This Row],[Puntos]]&lt;D2182,C2182,D2182+1))</f>
        <v>406</v>
      </c>
      <c r="D2181" s="15">
        <f>IF(Categorias_Registro[[#This Row],[Puntos]]=ROUND(Piso,0),ROUND(Categorias_Registro[[#This Row],[Puntos]]*(1+Categorias_Registro[[#This Row],[Amplitud]]),0),IF(Categorias_Registro[[#This Row],[Puntos]]&lt;D2182,D2182,ROUND(D2182*(1+Categorias_Registro[[#This Row],[Amplitud]]),0)))</f>
        <v>466</v>
      </c>
      <c r="E2181" s="15">
        <f>E2182+IF(D2182=Categorias_Registro[[#This Row],[Máximo]],0,1)</f>
        <v>12</v>
      </c>
      <c r="F2181" s="15">
        <f>ROUND(Categorias_Registro[[#This Row],[Mínimo]]+((Categorias_Registro[[#This Row],[Máximo]]-Categorias_Registro[[#This Row],[Mínimo]])/2),0)</f>
        <v>436</v>
      </c>
      <c r="G2181" s="78">
        <f>VLOOKUP(Categorias_Registro[[#This Row],[Puntos]],Categorias_Configuracion[],MATCH(Categorias_Configuracion[[#Headers],[% Amplitud]],Categorias_Configuracion[#Headers],0),TRUE)</f>
        <v>0.15</v>
      </c>
      <c r="H2181" s="15" t="str">
        <f ca="1">TEXT(Categorias_Registro[[#This Row],[Mínimo]],Formato_Rango_Categorias)&amp;" - "&amp;TEXT(Categorias_Registro[[#This Row],[Máximo]],Formato_Rango_Categorias)</f>
        <v>406 - 466</v>
      </c>
    </row>
    <row r="2182" spans="2:8">
      <c r="B2182" s="15">
        <f>Techo - ROW() + ROW(Categorias_Registro[])</f>
        <v>447</v>
      </c>
      <c r="C2182" s="15">
        <f>IF(Categorias_Registro[[#This Row],[Puntos]]&lt;=ROUND(Piso,0),Piso,IF(Categorias_Registro[[#This Row],[Puntos]]&lt;D2183,C2183,D2183+1))</f>
        <v>406</v>
      </c>
      <c r="D2182" s="15">
        <f>IF(Categorias_Registro[[#This Row],[Puntos]]=ROUND(Piso,0),ROUND(Categorias_Registro[[#This Row],[Puntos]]*(1+Categorias_Registro[[#This Row],[Amplitud]]),0),IF(Categorias_Registro[[#This Row],[Puntos]]&lt;D2183,D2183,ROUND(D2183*(1+Categorias_Registro[[#This Row],[Amplitud]]),0)))</f>
        <v>466</v>
      </c>
      <c r="E2182" s="15">
        <f>E2183+IF(D2183=Categorias_Registro[[#This Row],[Máximo]],0,1)</f>
        <v>12</v>
      </c>
      <c r="F2182" s="15">
        <f>ROUND(Categorias_Registro[[#This Row],[Mínimo]]+((Categorias_Registro[[#This Row],[Máximo]]-Categorias_Registro[[#This Row],[Mínimo]])/2),0)</f>
        <v>436</v>
      </c>
      <c r="G2182" s="78">
        <f>VLOOKUP(Categorias_Registro[[#This Row],[Puntos]],Categorias_Configuracion[],MATCH(Categorias_Configuracion[[#Headers],[% Amplitud]],Categorias_Configuracion[#Headers],0),TRUE)</f>
        <v>0.15</v>
      </c>
      <c r="H2182" s="15" t="str">
        <f ca="1">TEXT(Categorias_Registro[[#This Row],[Mínimo]],Formato_Rango_Categorias)&amp;" - "&amp;TEXT(Categorias_Registro[[#This Row],[Máximo]],Formato_Rango_Categorias)</f>
        <v>406 - 466</v>
      </c>
    </row>
    <row r="2183" spans="2:8">
      <c r="B2183" s="15">
        <f>Techo - ROW() + ROW(Categorias_Registro[])</f>
        <v>446</v>
      </c>
      <c r="C2183" s="15">
        <f>IF(Categorias_Registro[[#This Row],[Puntos]]&lt;=ROUND(Piso,0),Piso,IF(Categorias_Registro[[#This Row],[Puntos]]&lt;D2184,C2184,D2184+1))</f>
        <v>406</v>
      </c>
      <c r="D2183" s="15">
        <f>IF(Categorias_Registro[[#This Row],[Puntos]]=ROUND(Piso,0),ROUND(Categorias_Registro[[#This Row],[Puntos]]*(1+Categorias_Registro[[#This Row],[Amplitud]]),0),IF(Categorias_Registro[[#This Row],[Puntos]]&lt;D2184,D2184,ROUND(D2184*(1+Categorias_Registro[[#This Row],[Amplitud]]),0)))</f>
        <v>466</v>
      </c>
      <c r="E2183" s="15">
        <f>E2184+IF(D2184=Categorias_Registro[[#This Row],[Máximo]],0,1)</f>
        <v>12</v>
      </c>
      <c r="F2183" s="15">
        <f>ROUND(Categorias_Registro[[#This Row],[Mínimo]]+((Categorias_Registro[[#This Row],[Máximo]]-Categorias_Registro[[#This Row],[Mínimo]])/2),0)</f>
        <v>436</v>
      </c>
      <c r="G2183" s="78">
        <f>VLOOKUP(Categorias_Registro[[#This Row],[Puntos]],Categorias_Configuracion[],MATCH(Categorias_Configuracion[[#Headers],[% Amplitud]],Categorias_Configuracion[#Headers],0),TRUE)</f>
        <v>0.15</v>
      </c>
      <c r="H2183" s="15" t="str">
        <f ca="1">TEXT(Categorias_Registro[[#This Row],[Mínimo]],Formato_Rango_Categorias)&amp;" - "&amp;TEXT(Categorias_Registro[[#This Row],[Máximo]],Formato_Rango_Categorias)</f>
        <v>406 - 466</v>
      </c>
    </row>
    <row r="2184" spans="2:8">
      <c r="B2184" s="15">
        <f>Techo - ROW() + ROW(Categorias_Registro[])</f>
        <v>445</v>
      </c>
      <c r="C2184" s="15">
        <f>IF(Categorias_Registro[[#This Row],[Puntos]]&lt;=ROUND(Piso,0),Piso,IF(Categorias_Registro[[#This Row],[Puntos]]&lt;D2185,C2185,D2185+1))</f>
        <v>406</v>
      </c>
      <c r="D2184" s="15">
        <f>IF(Categorias_Registro[[#This Row],[Puntos]]=ROUND(Piso,0),ROUND(Categorias_Registro[[#This Row],[Puntos]]*(1+Categorias_Registro[[#This Row],[Amplitud]]),0),IF(Categorias_Registro[[#This Row],[Puntos]]&lt;D2185,D2185,ROUND(D2185*(1+Categorias_Registro[[#This Row],[Amplitud]]),0)))</f>
        <v>466</v>
      </c>
      <c r="E2184" s="15">
        <f>E2185+IF(D2185=Categorias_Registro[[#This Row],[Máximo]],0,1)</f>
        <v>12</v>
      </c>
      <c r="F2184" s="15">
        <f>ROUND(Categorias_Registro[[#This Row],[Mínimo]]+((Categorias_Registro[[#This Row],[Máximo]]-Categorias_Registro[[#This Row],[Mínimo]])/2),0)</f>
        <v>436</v>
      </c>
      <c r="G2184" s="78">
        <f>VLOOKUP(Categorias_Registro[[#This Row],[Puntos]],Categorias_Configuracion[],MATCH(Categorias_Configuracion[[#Headers],[% Amplitud]],Categorias_Configuracion[#Headers],0),TRUE)</f>
        <v>0.15</v>
      </c>
      <c r="H2184" s="15" t="str">
        <f ca="1">TEXT(Categorias_Registro[[#This Row],[Mínimo]],Formato_Rango_Categorias)&amp;" - "&amp;TEXT(Categorias_Registro[[#This Row],[Máximo]],Formato_Rango_Categorias)</f>
        <v>406 - 466</v>
      </c>
    </row>
    <row r="2185" spans="2:8">
      <c r="B2185" s="15">
        <f>Techo - ROW() + ROW(Categorias_Registro[])</f>
        <v>444</v>
      </c>
      <c r="C2185" s="15">
        <f>IF(Categorias_Registro[[#This Row],[Puntos]]&lt;=ROUND(Piso,0),Piso,IF(Categorias_Registro[[#This Row],[Puntos]]&lt;D2186,C2186,D2186+1))</f>
        <v>406</v>
      </c>
      <c r="D2185" s="15">
        <f>IF(Categorias_Registro[[#This Row],[Puntos]]=ROUND(Piso,0),ROUND(Categorias_Registro[[#This Row],[Puntos]]*(1+Categorias_Registro[[#This Row],[Amplitud]]),0),IF(Categorias_Registro[[#This Row],[Puntos]]&lt;D2186,D2186,ROUND(D2186*(1+Categorias_Registro[[#This Row],[Amplitud]]),0)))</f>
        <v>466</v>
      </c>
      <c r="E2185" s="15">
        <f>E2186+IF(D2186=Categorias_Registro[[#This Row],[Máximo]],0,1)</f>
        <v>12</v>
      </c>
      <c r="F2185" s="15">
        <f>ROUND(Categorias_Registro[[#This Row],[Mínimo]]+((Categorias_Registro[[#This Row],[Máximo]]-Categorias_Registro[[#This Row],[Mínimo]])/2),0)</f>
        <v>436</v>
      </c>
      <c r="G2185" s="78">
        <f>VLOOKUP(Categorias_Registro[[#This Row],[Puntos]],Categorias_Configuracion[],MATCH(Categorias_Configuracion[[#Headers],[% Amplitud]],Categorias_Configuracion[#Headers],0),TRUE)</f>
        <v>0.15</v>
      </c>
      <c r="H2185" s="15" t="str">
        <f ca="1">TEXT(Categorias_Registro[[#This Row],[Mínimo]],Formato_Rango_Categorias)&amp;" - "&amp;TEXT(Categorias_Registro[[#This Row],[Máximo]],Formato_Rango_Categorias)</f>
        <v>406 - 466</v>
      </c>
    </row>
    <row r="2186" spans="2:8">
      <c r="B2186" s="15">
        <f>Techo - ROW() + ROW(Categorias_Registro[])</f>
        <v>443</v>
      </c>
      <c r="C2186" s="15">
        <f>IF(Categorias_Registro[[#This Row],[Puntos]]&lt;=ROUND(Piso,0),Piso,IF(Categorias_Registro[[#This Row],[Puntos]]&lt;D2187,C2187,D2187+1))</f>
        <v>406</v>
      </c>
      <c r="D2186" s="15">
        <f>IF(Categorias_Registro[[#This Row],[Puntos]]=ROUND(Piso,0),ROUND(Categorias_Registro[[#This Row],[Puntos]]*(1+Categorias_Registro[[#This Row],[Amplitud]]),0),IF(Categorias_Registro[[#This Row],[Puntos]]&lt;D2187,D2187,ROUND(D2187*(1+Categorias_Registro[[#This Row],[Amplitud]]),0)))</f>
        <v>466</v>
      </c>
      <c r="E2186" s="15">
        <f>E2187+IF(D2187=Categorias_Registro[[#This Row],[Máximo]],0,1)</f>
        <v>12</v>
      </c>
      <c r="F2186" s="15">
        <f>ROUND(Categorias_Registro[[#This Row],[Mínimo]]+((Categorias_Registro[[#This Row],[Máximo]]-Categorias_Registro[[#This Row],[Mínimo]])/2),0)</f>
        <v>436</v>
      </c>
      <c r="G2186" s="78">
        <f>VLOOKUP(Categorias_Registro[[#This Row],[Puntos]],Categorias_Configuracion[],MATCH(Categorias_Configuracion[[#Headers],[% Amplitud]],Categorias_Configuracion[#Headers],0),TRUE)</f>
        <v>0.15</v>
      </c>
      <c r="H2186" s="15" t="str">
        <f ca="1">TEXT(Categorias_Registro[[#This Row],[Mínimo]],Formato_Rango_Categorias)&amp;" - "&amp;TEXT(Categorias_Registro[[#This Row],[Máximo]],Formato_Rango_Categorias)</f>
        <v>406 - 466</v>
      </c>
    </row>
    <row r="2187" spans="2:8">
      <c r="B2187" s="15">
        <f>Techo - ROW() + ROW(Categorias_Registro[])</f>
        <v>442</v>
      </c>
      <c r="C2187" s="15">
        <f>IF(Categorias_Registro[[#This Row],[Puntos]]&lt;=ROUND(Piso,0),Piso,IF(Categorias_Registro[[#This Row],[Puntos]]&lt;D2188,C2188,D2188+1))</f>
        <v>406</v>
      </c>
      <c r="D2187" s="15">
        <f>IF(Categorias_Registro[[#This Row],[Puntos]]=ROUND(Piso,0),ROUND(Categorias_Registro[[#This Row],[Puntos]]*(1+Categorias_Registro[[#This Row],[Amplitud]]),0),IF(Categorias_Registro[[#This Row],[Puntos]]&lt;D2188,D2188,ROUND(D2188*(1+Categorias_Registro[[#This Row],[Amplitud]]),0)))</f>
        <v>466</v>
      </c>
      <c r="E2187" s="15">
        <f>E2188+IF(D2188=Categorias_Registro[[#This Row],[Máximo]],0,1)</f>
        <v>12</v>
      </c>
      <c r="F2187" s="15">
        <f>ROUND(Categorias_Registro[[#This Row],[Mínimo]]+((Categorias_Registro[[#This Row],[Máximo]]-Categorias_Registro[[#This Row],[Mínimo]])/2),0)</f>
        <v>436</v>
      </c>
      <c r="G2187" s="78">
        <f>VLOOKUP(Categorias_Registro[[#This Row],[Puntos]],Categorias_Configuracion[],MATCH(Categorias_Configuracion[[#Headers],[% Amplitud]],Categorias_Configuracion[#Headers],0),TRUE)</f>
        <v>0.15</v>
      </c>
      <c r="H2187" s="15" t="str">
        <f ca="1">TEXT(Categorias_Registro[[#This Row],[Mínimo]],Formato_Rango_Categorias)&amp;" - "&amp;TEXT(Categorias_Registro[[#This Row],[Máximo]],Formato_Rango_Categorias)</f>
        <v>406 - 466</v>
      </c>
    </row>
    <row r="2188" spans="2:8">
      <c r="B2188" s="15">
        <f>Techo - ROW() + ROW(Categorias_Registro[])</f>
        <v>441</v>
      </c>
      <c r="C2188" s="15">
        <f>IF(Categorias_Registro[[#This Row],[Puntos]]&lt;=ROUND(Piso,0),Piso,IF(Categorias_Registro[[#This Row],[Puntos]]&lt;D2189,C2189,D2189+1))</f>
        <v>406</v>
      </c>
      <c r="D2188" s="15">
        <f>IF(Categorias_Registro[[#This Row],[Puntos]]=ROUND(Piso,0),ROUND(Categorias_Registro[[#This Row],[Puntos]]*(1+Categorias_Registro[[#This Row],[Amplitud]]),0),IF(Categorias_Registro[[#This Row],[Puntos]]&lt;D2189,D2189,ROUND(D2189*(1+Categorias_Registro[[#This Row],[Amplitud]]),0)))</f>
        <v>466</v>
      </c>
      <c r="E2188" s="15">
        <f>E2189+IF(D2189=Categorias_Registro[[#This Row],[Máximo]],0,1)</f>
        <v>12</v>
      </c>
      <c r="F2188" s="15">
        <f>ROUND(Categorias_Registro[[#This Row],[Mínimo]]+((Categorias_Registro[[#This Row],[Máximo]]-Categorias_Registro[[#This Row],[Mínimo]])/2),0)</f>
        <v>436</v>
      </c>
      <c r="G2188" s="78">
        <f>VLOOKUP(Categorias_Registro[[#This Row],[Puntos]],Categorias_Configuracion[],MATCH(Categorias_Configuracion[[#Headers],[% Amplitud]],Categorias_Configuracion[#Headers],0),TRUE)</f>
        <v>0.15</v>
      </c>
      <c r="H2188" s="15" t="str">
        <f ca="1">TEXT(Categorias_Registro[[#This Row],[Mínimo]],Formato_Rango_Categorias)&amp;" - "&amp;TEXT(Categorias_Registro[[#This Row],[Máximo]],Formato_Rango_Categorias)</f>
        <v>406 - 466</v>
      </c>
    </row>
    <row r="2189" spans="2:8">
      <c r="B2189" s="15">
        <f>Techo - ROW() + ROW(Categorias_Registro[])</f>
        <v>440</v>
      </c>
      <c r="C2189" s="15">
        <f>IF(Categorias_Registro[[#This Row],[Puntos]]&lt;=ROUND(Piso,0),Piso,IF(Categorias_Registro[[#This Row],[Puntos]]&lt;D2190,C2190,D2190+1))</f>
        <v>406</v>
      </c>
      <c r="D2189" s="15">
        <f>IF(Categorias_Registro[[#This Row],[Puntos]]=ROUND(Piso,0),ROUND(Categorias_Registro[[#This Row],[Puntos]]*(1+Categorias_Registro[[#This Row],[Amplitud]]),0),IF(Categorias_Registro[[#This Row],[Puntos]]&lt;D2190,D2190,ROUND(D2190*(1+Categorias_Registro[[#This Row],[Amplitud]]),0)))</f>
        <v>466</v>
      </c>
      <c r="E2189" s="15">
        <f>E2190+IF(D2190=Categorias_Registro[[#This Row],[Máximo]],0,1)</f>
        <v>12</v>
      </c>
      <c r="F2189" s="15">
        <f>ROUND(Categorias_Registro[[#This Row],[Mínimo]]+((Categorias_Registro[[#This Row],[Máximo]]-Categorias_Registro[[#This Row],[Mínimo]])/2),0)</f>
        <v>436</v>
      </c>
      <c r="G2189" s="78">
        <f>VLOOKUP(Categorias_Registro[[#This Row],[Puntos]],Categorias_Configuracion[],MATCH(Categorias_Configuracion[[#Headers],[% Amplitud]],Categorias_Configuracion[#Headers],0),TRUE)</f>
        <v>0.15</v>
      </c>
      <c r="H2189" s="15" t="str">
        <f ca="1">TEXT(Categorias_Registro[[#This Row],[Mínimo]],Formato_Rango_Categorias)&amp;" - "&amp;TEXT(Categorias_Registro[[#This Row],[Máximo]],Formato_Rango_Categorias)</f>
        <v>406 - 466</v>
      </c>
    </row>
    <row r="2190" spans="2:8">
      <c r="B2190" s="15">
        <f>Techo - ROW() + ROW(Categorias_Registro[])</f>
        <v>439</v>
      </c>
      <c r="C2190" s="15">
        <f>IF(Categorias_Registro[[#This Row],[Puntos]]&lt;=ROUND(Piso,0),Piso,IF(Categorias_Registro[[#This Row],[Puntos]]&lt;D2191,C2191,D2191+1))</f>
        <v>406</v>
      </c>
      <c r="D2190" s="15">
        <f>IF(Categorias_Registro[[#This Row],[Puntos]]=ROUND(Piso,0),ROUND(Categorias_Registro[[#This Row],[Puntos]]*(1+Categorias_Registro[[#This Row],[Amplitud]]),0),IF(Categorias_Registro[[#This Row],[Puntos]]&lt;D2191,D2191,ROUND(D2191*(1+Categorias_Registro[[#This Row],[Amplitud]]),0)))</f>
        <v>466</v>
      </c>
      <c r="E2190" s="15">
        <f>E2191+IF(D2191=Categorias_Registro[[#This Row],[Máximo]],0,1)</f>
        <v>12</v>
      </c>
      <c r="F2190" s="15">
        <f>ROUND(Categorias_Registro[[#This Row],[Mínimo]]+((Categorias_Registro[[#This Row],[Máximo]]-Categorias_Registro[[#This Row],[Mínimo]])/2),0)</f>
        <v>436</v>
      </c>
      <c r="G2190" s="78">
        <f>VLOOKUP(Categorias_Registro[[#This Row],[Puntos]],Categorias_Configuracion[],MATCH(Categorias_Configuracion[[#Headers],[% Amplitud]],Categorias_Configuracion[#Headers],0),TRUE)</f>
        <v>0.15</v>
      </c>
      <c r="H2190" s="15" t="str">
        <f ca="1">TEXT(Categorias_Registro[[#This Row],[Mínimo]],Formato_Rango_Categorias)&amp;" - "&amp;TEXT(Categorias_Registro[[#This Row],[Máximo]],Formato_Rango_Categorias)</f>
        <v>406 - 466</v>
      </c>
    </row>
    <row r="2191" spans="2:8">
      <c r="B2191" s="15">
        <f>Techo - ROW() + ROW(Categorias_Registro[])</f>
        <v>438</v>
      </c>
      <c r="C2191" s="15">
        <f>IF(Categorias_Registro[[#This Row],[Puntos]]&lt;=ROUND(Piso,0),Piso,IF(Categorias_Registro[[#This Row],[Puntos]]&lt;D2192,C2192,D2192+1))</f>
        <v>406</v>
      </c>
      <c r="D2191" s="15">
        <f>IF(Categorias_Registro[[#This Row],[Puntos]]=ROUND(Piso,0),ROUND(Categorias_Registro[[#This Row],[Puntos]]*(1+Categorias_Registro[[#This Row],[Amplitud]]),0),IF(Categorias_Registro[[#This Row],[Puntos]]&lt;D2192,D2192,ROUND(D2192*(1+Categorias_Registro[[#This Row],[Amplitud]]),0)))</f>
        <v>466</v>
      </c>
      <c r="E2191" s="15">
        <f>E2192+IF(D2192=Categorias_Registro[[#This Row],[Máximo]],0,1)</f>
        <v>12</v>
      </c>
      <c r="F2191" s="15">
        <f>ROUND(Categorias_Registro[[#This Row],[Mínimo]]+((Categorias_Registro[[#This Row],[Máximo]]-Categorias_Registro[[#This Row],[Mínimo]])/2),0)</f>
        <v>436</v>
      </c>
      <c r="G2191" s="78">
        <f>VLOOKUP(Categorias_Registro[[#This Row],[Puntos]],Categorias_Configuracion[],MATCH(Categorias_Configuracion[[#Headers],[% Amplitud]],Categorias_Configuracion[#Headers],0),TRUE)</f>
        <v>0.15</v>
      </c>
      <c r="H2191" s="15" t="str">
        <f ca="1">TEXT(Categorias_Registro[[#This Row],[Mínimo]],Formato_Rango_Categorias)&amp;" - "&amp;TEXT(Categorias_Registro[[#This Row],[Máximo]],Formato_Rango_Categorias)</f>
        <v>406 - 466</v>
      </c>
    </row>
    <row r="2192" spans="2:8">
      <c r="B2192" s="15">
        <f>Techo - ROW() + ROW(Categorias_Registro[])</f>
        <v>437</v>
      </c>
      <c r="C2192" s="15">
        <f>IF(Categorias_Registro[[#This Row],[Puntos]]&lt;=ROUND(Piso,0),Piso,IF(Categorias_Registro[[#This Row],[Puntos]]&lt;D2193,C2193,D2193+1))</f>
        <v>406</v>
      </c>
      <c r="D2192" s="15">
        <f>IF(Categorias_Registro[[#This Row],[Puntos]]=ROUND(Piso,0),ROUND(Categorias_Registro[[#This Row],[Puntos]]*(1+Categorias_Registro[[#This Row],[Amplitud]]),0),IF(Categorias_Registro[[#This Row],[Puntos]]&lt;D2193,D2193,ROUND(D2193*(1+Categorias_Registro[[#This Row],[Amplitud]]),0)))</f>
        <v>466</v>
      </c>
      <c r="E2192" s="15">
        <f>E2193+IF(D2193=Categorias_Registro[[#This Row],[Máximo]],0,1)</f>
        <v>12</v>
      </c>
      <c r="F2192" s="15">
        <f>ROUND(Categorias_Registro[[#This Row],[Mínimo]]+((Categorias_Registro[[#This Row],[Máximo]]-Categorias_Registro[[#This Row],[Mínimo]])/2),0)</f>
        <v>436</v>
      </c>
      <c r="G2192" s="78">
        <f>VLOOKUP(Categorias_Registro[[#This Row],[Puntos]],Categorias_Configuracion[],MATCH(Categorias_Configuracion[[#Headers],[% Amplitud]],Categorias_Configuracion[#Headers],0),TRUE)</f>
        <v>0.15</v>
      </c>
      <c r="H2192" s="15" t="str">
        <f ca="1">TEXT(Categorias_Registro[[#This Row],[Mínimo]],Formato_Rango_Categorias)&amp;" - "&amp;TEXT(Categorias_Registro[[#This Row],[Máximo]],Formato_Rango_Categorias)</f>
        <v>406 - 466</v>
      </c>
    </row>
    <row r="2193" spans="2:8">
      <c r="B2193" s="15">
        <f>Techo - ROW() + ROW(Categorias_Registro[])</f>
        <v>436</v>
      </c>
      <c r="C2193" s="15">
        <f>IF(Categorias_Registro[[#This Row],[Puntos]]&lt;=ROUND(Piso,0),Piso,IF(Categorias_Registro[[#This Row],[Puntos]]&lt;D2194,C2194,D2194+1))</f>
        <v>406</v>
      </c>
      <c r="D2193" s="15">
        <f>IF(Categorias_Registro[[#This Row],[Puntos]]=ROUND(Piso,0),ROUND(Categorias_Registro[[#This Row],[Puntos]]*(1+Categorias_Registro[[#This Row],[Amplitud]]),0),IF(Categorias_Registro[[#This Row],[Puntos]]&lt;D2194,D2194,ROUND(D2194*(1+Categorias_Registro[[#This Row],[Amplitud]]),0)))</f>
        <v>466</v>
      </c>
      <c r="E2193" s="15">
        <f>E2194+IF(D2194=Categorias_Registro[[#This Row],[Máximo]],0,1)</f>
        <v>12</v>
      </c>
      <c r="F2193" s="15">
        <f>ROUND(Categorias_Registro[[#This Row],[Mínimo]]+((Categorias_Registro[[#This Row],[Máximo]]-Categorias_Registro[[#This Row],[Mínimo]])/2),0)</f>
        <v>436</v>
      </c>
      <c r="G2193" s="78">
        <f>VLOOKUP(Categorias_Registro[[#This Row],[Puntos]],Categorias_Configuracion[],MATCH(Categorias_Configuracion[[#Headers],[% Amplitud]],Categorias_Configuracion[#Headers],0),TRUE)</f>
        <v>0.15</v>
      </c>
      <c r="H2193" s="15" t="str">
        <f ca="1">TEXT(Categorias_Registro[[#This Row],[Mínimo]],Formato_Rango_Categorias)&amp;" - "&amp;TEXT(Categorias_Registro[[#This Row],[Máximo]],Formato_Rango_Categorias)</f>
        <v>406 - 466</v>
      </c>
    </row>
    <row r="2194" spans="2:8">
      <c r="B2194" s="15">
        <f>Techo - ROW() + ROW(Categorias_Registro[])</f>
        <v>435</v>
      </c>
      <c r="C2194" s="15">
        <f>IF(Categorias_Registro[[#This Row],[Puntos]]&lt;=ROUND(Piso,0),Piso,IF(Categorias_Registro[[#This Row],[Puntos]]&lt;D2195,C2195,D2195+1))</f>
        <v>406</v>
      </c>
      <c r="D2194" s="15">
        <f>IF(Categorias_Registro[[#This Row],[Puntos]]=ROUND(Piso,0),ROUND(Categorias_Registro[[#This Row],[Puntos]]*(1+Categorias_Registro[[#This Row],[Amplitud]]),0),IF(Categorias_Registro[[#This Row],[Puntos]]&lt;D2195,D2195,ROUND(D2195*(1+Categorias_Registro[[#This Row],[Amplitud]]),0)))</f>
        <v>466</v>
      </c>
      <c r="E2194" s="15">
        <f>E2195+IF(D2195=Categorias_Registro[[#This Row],[Máximo]],0,1)</f>
        <v>12</v>
      </c>
      <c r="F2194" s="15">
        <f>ROUND(Categorias_Registro[[#This Row],[Mínimo]]+((Categorias_Registro[[#This Row],[Máximo]]-Categorias_Registro[[#This Row],[Mínimo]])/2),0)</f>
        <v>436</v>
      </c>
      <c r="G2194" s="78">
        <f>VLOOKUP(Categorias_Registro[[#This Row],[Puntos]],Categorias_Configuracion[],MATCH(Categorias_Configuracion[[#Headers],[% Amplitud]],Categorias_Configuracion[#Headers],0),TRUE)</f>
        <v>0.15</v>
      </c>
      <c r="H2194" s="15" t="str">
        <f ca="1">TEXT(Categorias_Registro[[#This Row],[Mínimo]],Formato_Rango_Categorias)&amp;" - "&amp;TEXT(Categorias_Registro[[#This Row],[Máximo]],Formato_Rango_Categorias)</f>
        <v>406 - 466</v>
      </c>
    </row>
    <row r="2195" spans="2:8">
      <c r="B2195" s="15">
        <f>Techo - ROW() + ROW(Categorias_Registro[])</f>
        <v>434</v>
      </c>
      <c r="C2195" s="15">
        <f>IF(Categorias_Registro[[#This Row],[Puntos]]&lt;=ROUND(Piso,0),Piso,IF(Categorias_Registro[[#This Row],[Puntos]]&lt;D2196,C2196,D2196+1))</f>
        <v>406</v>
      </c>
      <c r="D2195" s="15">
        <f>IF(Categorias_Registro[[#This Row],[Puntos]]=ROUND(Piso,0),ROUND(Categorias_Registro[[#This Row],[Puntos]]*(1+Categorias_Registro[[#This Row],[Amplitud]]),0),IF(Categorias_Registro[[#This Row],[Puntos]]&lt;D2196,D2196,ROUND(D2196*(1+Categorias_Registro[[#This Row],[Amplitud]]),0)))</f>
        <v>466</v>
      </c>
      <c r="E2195" s="15">
        <f>E2196+IF(D2196=Categorias_Registro[[#This Row],[Máximo]],0,1)</f>
        <v>12</v>
      </c>
      <c r="F2195" s="15">
        <f>ROUND(Categorias_Registro[[#This Row],[Mínimo]]+((Categorias_Registro[[#This Row],[Máximo]]-Categorias_Registro[[#This Row],[Mínimo]])/2),0)</f>
        <v>436</v>
      </c>
      <c r="G2195" s="78">
        <f>VLOOKUP(Categorias_Registro[[#This Row],[Puntos]],Categorias_Configuracion[],MATCH(Categorias_Configuracion[[#Headers],[% Amplitud]],Categorias_Configuracion[#Headers],0),TRUE)</f>
        <v>0.15</v>
      </c>
      <c r="H2195" s="15" t="str">
        <f ca="1">TEXT(Categorias_Registro[[#This Row],[Mínimo]],Formato_Rango_Categorias)&amp;" - "&amp;TEXT(Categorias_Registro[[#This Row],[Máximo]],Formato_Rango_Categorias)</f>
        <v>406 - 466</v>
      </c>
    </row>
    <row r="2196" spans="2:8">
      <c r="B2196" s="15">
        <f>Techo - ROW() + ROW(Categorias_Registro[])</f>
        <v>433</v>
      </c>
      <c r="C2196" s="15">
        <f>IF(Categorias_Registro[[#This Row],[Puntos]]&lt;=ROUND(Piso,0),Piso,IF(Categorias_Registro[[#This Row],[Puntos]]&lt;D2197,C2197,D2197+1))</f>
        <v>406</v>
      </c>
      <c r="D2196" s="15">
        <f>IF(Categorias_Registro[[#This Row],[Puntos]]=ROUND(Piso,0),ROUND(Categorias_Registro[[#This Row],[Puntos]]*(1+Categorias_Registro[[#This Row],[Amplitud]]),0),IF(Categorias_Registro[[#This Row],[Puntos]]&lt;D2197,D2197,ROUND(D2197*(1+Categorias_Registro[[#This Row],[Amplitud]]),0)))</f>
        <v>466</v>
      </c>
      <c r="E2196" s="15">
        <f>E2197+IF(D2197=Categorias_Registro[[#This Row],[Máximo]],0,1)</f>
        <v>12</v>
      </c>
      <c r="F2196" s="15">
        <f>ROUND(Categorias_Registro[[#This Row],[Mínimo]]+((Categorias_Registro[[#This Row],[Máximo]]-Categorias_Registro[[#This Row],[Mínimo]])/2),0)</f>
        <v>436</v>
      </c>
      <c r="G2196" s="78">
        <f>VLOOKUP(Categorias_Registro[[#This Row],[Puntos]],Categorias_Configuracion[],MATCH(Categorias_Configuracion[[#Headers],[% Amplitud]],Categorias_Configuracion[#Headers],0),TRUE)</f>
        <v>0.15</v>
      </c>
      <c r="H2196" s="15" t="str">
        <f ca="1">TEXT(Categorias_Registro[[#This Row],[Mínimo]],Formato_Rango_Categorias)&amp;" - "&amp;TEXT(Categorias_Registro[[#This Row],[Máximo]],Formato_Rango_Categorias)</f>
        <v>406 - 466</v>
      </c>
    </row>
    <row r="2197" spans="2:8">
      <c r="B2197" s="15">
        <f>Techo - ROW() + ROW(Categorias_Registro[])</f>
        <v>432</v>
      </c>
      <c r="C2197" s="15">
        <f>IF(Categorias_Registro[[#This Row],[Puntos]]&lt;=ROUND(Piso,0),Piso,IF(Categorias_Registro[[#This Row],[Puntos]]&lt;D2198,C2198,D2198+1))</f>
        <v>406</v>
      </c>
      <c r="D2197" s="15">
        <f>IF(Categorias_Registro[[#This Row],[Puntos]]=ROUND(Piso,0),ROUND(Categorias_Registro[[#This Row],[Puntos]]*(1+Categorias_Registro[[#This Row],[Amplitud]]),0),IF(Categorias_Registro[[#This Row],[Puntos]]&lt;D2198,D2198,ROUND(D2198*(1+Categorias_Registro[[#This Row],[Amplitud]]),0)))</f>
        <v>466</v>
      </c>
      <c r="E2197" s="15">
        <f>E2198+IF(D2198=Categorias_Registro[[#This Row],[Máximo]],0,1)</f>
        <v>12</v>
      </c>
      <c r="F2197" s="15">
        <f>ROUND(Categorias_Registro[[#This Row],[Mínimo]]+((Categorias_Registro[[#This Row],[Máximo]]-Categorias_Registro[[#This Row],[Mínimo]])/2),0)</f>
        <v>436</v>
      </c>
      <c r="G2197" s="78">
        <f>VLOOKUP(Categorias_Registro[[#This Row],[Puntos]],Categorias_Configuracion[],MATCH(Categorias_Configuracion[[#Headers],[% Amplitud]],Categorias_Configuracion[#Headers],0),TRUE)</f>
        <v>0.15</v>
      </c>
      <c r="H2197" s="15" t="str">
        <f ca="1">TEXT(Categorias_Registro[[#This Row],[Mínimo]],Formato_Rango_Categorias)&amp;" - "&amp;TEXT(Categorias_Registro[[#This Row],[Máximo]],Formato_Rango_Categorias)</f>
        <v>406 - 466</v>
      </c>
    </row>
    <row r="2198" spans="2:8">
      <c r="B2198" s="15">
        <f>Techo - ROW() + ROW(Categorias_Registro[])</f>
        <v>431</v>
      </c>
      <c r="C2198" s="15">
        <f>IF(Categorias_Registro[[#This Row],[Puntos]]&lt;=ROUND(Piso,0),Piso,IF(Categorias_Registro[[#This Row],[Puntos]]&lt;D2199,C2199,D2199+1))</f>
        <v>406</v>
      </c>
      <c r="D2198" s="15">
        <f>IF(Categorias_Registro[[#This Row],[Puntos]]=ROUND(Piso,0),ROUND(Categorias_Registro[[#This Row],[Puntos]]*(1+Categorias_Registro[[#This Row],[Amplitud]]),0),IF(Categorias_Registro[[#This Row],[Puntos]]&lt;D2199,D2199,ROUND(D2199*(1+Categorias_Registro[[#This Row],[Amplitud]]),0)))</f>
        <v>466</v>
      </c>
      <c r="E2198" s="15">
        <f>E2199+IF(D2199=Categorias_Registro[[#This Row],[Máximo]],0,1)</f>
        <v>12</v>
      </c>
      <c r="F2198" s="15">
        <f>ROUND(Categorias_Registro[[#This Row],[Mínimo]]+((Categorias_Registro[[#This Row],[Máximo]]-Categorias_Registro[[#This Row],[Mínimo]])/2),0)</f>
        <v>436</v>
      </c>
      <c r="G2198" s="78">
        <f>VLOOKUP(Categorias_Registro[[#This Row],[Puntos]],Categorias_Configuracion[],MATCH(Categorias_Configuracion[[#Headers],[% Amplitud]],Categorias_Configuracion[#Headers],0),TRUE)</f>
        <v>0.15</v>
      </c>
      <c r="H2198" s="15" t="str">
        <f ca="1">TEXT(Categorias_Registro[[#This Row],[Mínimo]],Formato_Rango_Categorias)&amp;" - "&amp;TEXT(Categorias_Registro[[#This Row],[Máximo]],Formato_Rango_Categorias)</f>
        <v>406 - 466</v>
      </c>
    </row>
    <row r="2199" spans="2:8">
      <c r="B2199" s="15">
        <f>Techo - ROW() + ROW(Categorias_Registro[])</f>
        <v>430</v>
      </c>
      <c r="C2199" s="15">
        <f>IF(Categorias_Registro[[#This Row],[Puntos]]&lt;=ROUND(Piso,0),Piso,IF(Categorias_Registro[[#This Row],[Puntos]]&lt;D2200,C2200,D2200+1))</f>
        <v>406</v>
      </c>
      <c r="D2199" s="15">
        <f>IF(Categorias_Registro[[#This Row],[Puntos]]=ROUND(Piso,0),ROUND(Categorias_Registro[[#This Row],[Puntos]]*(1+Categorias_Registro[[#This Row],[Amplitud]]),0),IF(Categorias_Registro[[#This Row],[Puntos]]&lt;D2200,D2200,ROUND(D2200*(1+Categorias_Registro[[#This Row],[Amplitud]]),0)))</f>
        <v>466</v>
      </c>
      <c r="E2199" s="15">
        <f>E2200+IF(D2200=Categorias_Registro[[#This Row],[Máximo]],0,1)</f>
        <v>12</v>
      </c>
      <c r="F2199" s="15">
        <f>ROUND(Categorias_Registro[[#This Row],[Mínimo]]+((Categorias_Registro[[#This Row],[Máximo]]-Categorias_Registro[[#This Row],[Mínimo]])/2),0)</f>
        <v>436</v>
      </c>
      <c r="G2199" s="78">
        <f>VLOOKUP(Categorias_Registro[[#This Row],[Puntos]],Categorias_Configuracion[],MATCH(Categorias_Configuracion[[#Headers],[% Amplitud]],Categorias_Configuracion[#Headers],0),TRUE)</f>
        <v>0.15</v>
      </c>
      <c r="H2199" s="15" t="str">
        <f ca="1">TEXT(Categorias_Registro[[#This Row],[Mínimo]],Formato_Rango_Categorias)&amp;" - "&amp;TEXT(Categorias_Registro[[#This Row],[Máximo]],Formato_Rango_Categorias)</f>
        <v>406 - 466</v>
      </c>
    </row>
    <row r="2200" spans="2:8">
      <c r="B2200" s="15">
        <f>Techo - ROW() + ROW(Categorias_Registro[])</f>
        <v>429</v>
      </c>
      <c r="C2200" s="15">
        <f>IF(Categorias_Registro[[#This Row],[Puntos]]&lt;=ROUND(Piso,0),Piso,IF(Categorias_Registro[[#This Row],[Puntos]]&lt;D2201,C2201,D2201+1))</f>
        <v>406</v>
      </c>
      <c r="D2200" s="15">
        <f>IF(Categorias_Registro[[#This Row],[Puntos]]=ROUND(Piso,0),ROUND(Categorias_Registro[[#This Row],[Puntos]]*(1+Categorias_Registro[[#This Row],[Amplitud]]),0),IF(Categorias_Registro[[#This Row],[Puntos]]&lt;D2201,D2201,ROUND(D2201*(1+Categorias_Registro[[#This Row],[Amplitud]]),0)))</f>
        <v>466</v>
      </c>
      <c r="E2200" s="15">
        <f>E2201+IF(D2201=Categorias_Registro[[#This Row],[Máximo]],0,1)</f>
        <v>12</v>
      </c>
      <c r="F2200" s="15">
        <f>ROUND(Categorias_Registro[[#This Row],[Mínimo]]+((Categorias_Registro[[#This Row],[Máximo]]-Categorias_Registro[[#This Row],[Mínimo]])/2),0)</f>
        <v>436</v>
      </c>
      <c r="G2200" s="78">
        <f>VLOOKUP(Categorias_Registro[[#This Row],[Puntos]],Categorias_Configuracion[],MATCH(Categorias_Configuracion[[#Headers],[% Amplitud]],Categorias_Configuracion[#Headers],0),TRUE)</f>
        <v>0.15</v>
      </c>
      <c r="H2200" s="15" t="str">
        <f ca="1">TEXT(Categorias_Registro[[#This Row],[Mínimo]],Formato_Rango_Categorias)&amp;" - "&amp;TEXT(Categorias_Registro[[#This Row],[Máximo]],Formato_Rango_Categorias)</f>
        <v>406 - 466</v>
      </c>
    </row>
    <row r="2201" spans="2:8">
      <c r="B2201" s="15">
        <f>Techo - ROW() + ROW(Categorias_Registro[])</f>
        <v>428</v>
      </c>
      <c r="C2201" s="15">
        <f>IF(Categorias_Registro[[#This Row],[Puntos]]&lt;=ROUND(Piso,0),Piso,IF(Categorias_Registro[[#This Row],[Puntos]]&lt;D2202,C2202,D2202+1))</f>
        <v>406</v>
      </c>
      <c r="D2201" s="15">
        <f>IF(Categorias_Registro[[#This Row],[Puntos]]=ROUND(Piso,0),ROUND(Categorias_Registro[[#This Row],[Puntos]]*(1+Categorias_Registro[[#This Row],[Amplitud]]),0),IF(Categorias_Registro[[#This Row],[Puntos]]&lt;D2202,D2202,ROUND(D2202*(1+Categorias_Registro[[#This Row],[Amplitud]]),0)))</f>
        <v>466</v>
      </c>
      <c r="E2201" s="15">
        <f>E2202+IF(D2202=Categorias_Registro[[#This Row],[Máximo]],0,1)</f>
        <v>12</v>
      </c>
      <c r="F2201" s="15">
        <f>ROUND(Categorias_Registro[[#This Row],[Mínimo]]+((Categorias_Registro[[#This Row],[Máximo]]-Categorias_Registro[[#This Row],[Mínimo]])/2),0)</f>
        <v>436</v>
      </c>
      <c r="G2201" s="78">
        <f>VLOOKUP(Categorias_Registro[[#This Row],[Puntos]],Categorias_Configuracion[],MATCH(Categorias_Configuracion[[#Headers],[% Amplitud]],Categorias_Configuracion[#Headers],0),TRUE)</f>
        <v>0.15</v>
      </c>
      <c r="H2201" s="15" t="str">
        <f ca="1">TEXT(Categorias_Registro[[#This Row],[Mínimo]],Formato_Rango_Categorias)&amp;" - "&amp;TEXT(Categorias_Registro[[#This Row],[Máximo]],Formato_Rango_Categorias)</f>
        <v>406 - 466</v>
      </c>
    </row>
    <row r="2202" spans="2:8">
      <c r="B2202" s="15">
        <f>Techo - ROW() + ROW(Categorias_Registro[])</f>
        <v>427</v>
      </c>
      <c r="C2202" s="15">
        <f>IF(Categorias_Registro[[#This Row],[Puntos]]&lt;=ROUND(Piso,0),Piso,IF(Categorias_Registro[[#This Row],[Puntos]]&lt;D2203,C2203,D2203+1))</f>
        <v>406</v>
      </c>
      <c r="D2202" s="15">
        <f>IF(Categorias_Registro[[#This Row],[Puntos]]=ROUND(Piso,0),ROUND(Categorias_Registro[[#This Row],[Puntos]]*(1+Categorias_Registro[[#This Row],[Amplitud]]),0),IF(Categorias_Registro[[#This Row],[Puntos]]&lt;D2203,D2203,ROUND(D2203*(1+Categorias_Registro[[#This Row],[Amplitud]]),0)))</f>
        <v>466</v>
      </c>
      <c r="E2202" s="15">
        <f>E2203+IF(D2203=Categorias_Registro[[#This Row],[Máximo]],0,1)</f>
        <v>12</v>
      </c>
      <c r="F2202" s="15">
        <f>ROUND(Categorias_Registro[[#This Row],[Mínimo]]+((Categorias_Registro[[#This Row],[Máximo]]-Categorias_Registro[[#This Row],[Mínimo]])/2),0)</f>
        <v>436</v>
      </c>
      <c r="G2202" s="78">
        <f>VLOOKUP(Categorias_Registro[[#This Row],[Puntos]],Categorias_Configuracion[],MATCH(Categorias_Configuracion[[#Headers],[% Amplitud]],Categorias_Configuracion[#Headers],0),TRUE)</f>
        <v>0.15</v>
      </c>
      <c r="H2202" s="15" t="str">
        <f ca="1">TEXT(Categorias_Registro[[#This Row],[Mínimo]],Formato_Rango_Categorias)&amp;" - "&amp;TEXT(Categorias_Registro[[#This Row],[Máximo]],Formato_Rango_Categorias)</f>
        <v>406 - 466</v>
      </c>
    </row>
    <row r="2203" spans="2:8">
      <c r="B2203" s="15">
        <f>Techo - ROW() + ROW(Categorias_Registro[])</f>
        <v>426</v>
      </c>
      <c r="C2203" s="15">
        <f>IF(Categorias_Registro[[#This Row],[Puntos]]&lt;=ROUND(Piso,0),Piso,IF(Categorias_Registro[[#This Row],[Puntos]]&lt;D2204,C2204,D2204+1))</f>
        <v>406</v>
      </c>
      <c r="D2203" s="15">
        <f>IF(Categorias_Registro[[#This Row],[Puntos]]=ROUND(Piso,0),ROUND(Categorias_Registro[[#This Row],[Puntos]]*(1+Categorias_Registro[[#This Row],[Amplitud]]),0),IF(Categorias_Registro[[#This Row],[Puntos]]&lt;D2204,D2204,ROUND(D2204*(1+Categorias_Registro[[#This Row],[Amplitud]]),0)))</f>
        <v>466</v>
      </c>
      <c r="E2203" s="15">
        <f>E2204+IF(D2204=Categorias_Registro[[#This Row],[Máximo]],0,1)</f>
        <v>12</v>
      </c>
      <c r="F2203" s="15">
        <f>ROUND(Categorias_Registro[[#This Row],[Mínimo]]+((Categorias_Registro[[#This Row],[Máximo]]-Categorias_Registro[[#This Row],[Mínimo]])/2),0)</f>
        <v>436</v>
      </c>
      <c r="G2203" s="78">
        <f>VLOOKUP(Categorias_Registro[[#This Row],[Puntos]],Categorias_Configuracion[],MATCH(Categorias_Configuracion[[#Headers],[% Amplitud]],Categorias_Configuracion[#Headers],0),TRUE)</f>
        <v>0.15</v>
      </c>
      <c r="H2203" s="15" t="str">
        <f ca="1">TEXT(Categorias_Registro[[#This Row],[Mínimo]],Formato_Rango_Categorias)&amp;" - "&amp;TEXT(Categorias_Registro[[#This Row],[Máximo]],Formato_Rango_Categorias)</f>
        <v>406 - 466</v>
      </c>
    </row>
    <row r="2204" spans="2:8">
      <c r="B2204" s="15">
        <f>Techo - ROW() + ROW(Categorias_Registro[])</f>
        <v>425</v>
      </c>
      <c r="C2204" s="15">
        <f>IF(Categorias_Registro[[#This Row],[Puntos]]&lt;=ROUND(Piso,0),Piso,IF(Categorias_Registro[[#This Row],[Puntos]]&lt;D2205,C2205,D2205+1))</f>
        <v>406</v>
      </c>
      <c r="D2204" s="15">
        <f>IF(Categorias_Registro[[#This Row],[Puntos]]=ROUND(Piso,0),ROUND(Categorias_Registro[[#This Row],[Puntos]]*(1+Categorias_Registro[[#This Row],[Amplitud]]),0),IF(Categorias_Registro[[#This Row],[Puntos]]&lt;D2205,D2205,ROUND(D2205*(1+Categorias_Registro[[#This Row],[Amplitud]]),0)))</f>
        <v>466</v>
      </c>
      <c r="E2204" s="15">
        <f>E2205+IF(D2205=Categorias_Registro[[#This Row],[Máximo]],0,1)</f>
        <v>12</v>
      </c>
      <c r="F2204" s="15">
        <f>ROUND(Categorias_Registro[[#This Row],[Mínimo]]+((Categorias_Registro[[#This Row],[Máximo]]-Categorias_Registro[[#This Row],[Mínimo]])/2),0)</f>
        <v>436</v>
      </c>
      <c r="G2204" s="78">
        <f>VLOOKUP(Categorias_Registro[[#This Row],[Puntos]],Categorias_Configuracion[],MATCH(Categorias_Configuracion[[#Headers],[% Amplitud]],Categorias_Configuracion[#Headers],0),TRUE)</f>
        <v>0.15</v>
      </c>
      <c r="H2204" s="15" t="str">
        <f ca="1">TEXT(Categorias_Registro[[#This Row],[Mínimo]],Formato_Rango_Categorias)&amp;" - "&amp;TEXT(Categorias_Registro[[#This Row],[Máximo]],Formato_Rango_Categorias)</f>
        <v>406 - 466</v>
      </c>
    </row>
    <row r="2205" spans="2:8">
      <c r="B2205" s="15">
        <f>Techo - ROW() + ROW(Categorias_Registro[])</f>
        <v>424</v>
      </c>
      <c r="C2205" s="15">
        <f>IF(Categorias_Registro[[#This Row],[Puntos]]&lt;=ROUND(Piso,0),Piso,IF(Categorias_Registro[[#This Row],[Puntos]]&lt;D2206,C2206,D2206+1))</f>
        <v>406</v>
      </c>
      <c r="D2205" s="15">
        <f>IF(Categorias_Registro[[#This Row],[Puntos]]=ROUND(Piso,0),ROUND(Categorias_Registro[[#This Row],[Puntos]]*(1+Categorias_Registro[[#This Row],[Amplitud]]),0),IF(Categorias_Registro[[#This Row],[Puntos]]&lt;D2206,D2206,ROUND(D2206*(1+Categorias_Registro[[#This Row],[Amplitud]]),0)))</f>
        <v>466</v>
      </c>
      <c r="E2205" s="15">
        <f>E2206+IF(D2206=Categorias_Registro[[#This Row],[Máximo]],0,1)</f>
        <v>12</v>
      </c>
      <c r="F2205" s="15">
        <f>ROUND(Categorias_Registro[[#This Row],[Mínimo]]+((Categorias_Registro[[#This Row],[Máximo]]-Categorias_Registro[[#This Row],[Mínimo]])/2),0)</f>
        <v>436</v>
      </c>
      <c r="G2205" s="78">
        <f>VLOOKUP(Categorias_Registro[[#This Row],[Puntos]],Categorias_Configuracion[],MATCH(Categorias_Configuracion[[#Headers],[% Amplitud]],Categorias_Configuracion[#Headers],0),TRUE)</f>
        <v>0.15</v>
      </c>
      <c r="H2205" s="15" t="str">
        <f ca="1">TEXT(Categorias_Registro[[#This Row],[Mínimo]],Formato_Rango_Categorias)&amp;" - "&amp;TEXT(Categorias_Registro[[#This Row],[Máximo]],Formato_Rango_Categorias)</f>
        <v>406 - 466</v>
      </c>
    </row>
    <row r="2206" spans="2:8">
      <c r="B2206" s="15">
        <f>Techo - ROW() + ROW(Categorias_Registro[])</f>
        <v>423</v>
      </c>
      <c r="C2206" s="15">
        <f>IF(Categorias_Registro[[#This Row],[Puntos]]&lt;=ROUND(Piso,0),Piso,IF(Categorias_Registro[[#This Row],[Puntos]]&lt;D2207,C2207,D2207+1))</f>
        <v>406</v>
      </c>
      <c r="D2206" s="15">
        <f>IF(Categorias_Registro[[#This Row],[Puntos]]=ROUND(Piso,0),ROUND(Categorias_Registro[[#This Row],[Puntos]]*(1+Categorias_Registro[[#This Row],[Amplitud]]),0),IF(Categorias_Registro[[#This Row],[Puntos]]&lt;D2207,D2207,ROUND(D2207*(1+Categorias_Registro[[#This Row],[Amplitud]]),0)))</f>
        <v>466</v>
      </c>
      <c r="E2206" s="15">
        <f>E2207+IF(D2207=Categorias_Registro[[#This Row],[Máximo]],0,1)</f>
        <v>12</v>
      </c>
      <c r="F2206" s="15">
        <f>ROUND(Categorias_Registro[[#This Row],[Mínimo]]+((Categorias_Registro[[#This Row],[Máximo]]-Categorias_Registro[[#This Row],[Mínimo]])/2),0)</f>
        <v>436</v>
      </c>
      <c r="G2206" s="78">
        <f>VLOOKUP(Categorias_Registro[[#This Row],[Puntos]],Categorias_Configuracion[],MATCH(Categorias_Configuracion[[#Headers],[% Amplitud]],Categorias_Configuracion[#Headers],0),TRUE)</f>
        <v>0.15</v>
      </c>
      <c r="H2206" s="15" t="str">
        <f ca="1">TEXT(Categorias_Registro[[#This Row],[Mínimo]],Formato_Rango_Categorias)&amp;" - "&amp;TEXT(Categorias_Registro[[#This Row],[Máximo]],Formato_Rango_Categorias)</f>
        <v>406 - 466</v>
      </c>
    </row>
    <row r="2207" spans="2:8">
      <c r="B2207" s="15">
        <f>Techo - ROW() + ROW(Categorias_Registro[])</f>
        <v>422</v>
      </c>
      <c r="C2207" s="15">
        <f>IF(Categorias_Registro[[#This Row],[Puntos]]&lt;=ROUND(Piso,0),Piso,IF(Categorias_Registro[[#This Row],[Puntos]]&lt;D2208,C2208,D2208+1))</f>
        <v>406</v>
      </c>
      <c r="D2207" s="15">
        <f>IF(Categorias_Registro[[#This Row],[Puntos]]=ROUND(Piso,0),ROUND(Categorias_Registro[[#This Row],[Puntos]]*(1+Categorias_Registro[[#This Row],[Amplitud]]),0),IF(Categorias_Registro[[#This Row],[Puntos]]&lt;D2208,D2208,ROUND(D2208*(1+Categorias_Registro[[#This Row],[Amplitud]]),0)))</f>
        <v>466</v>
      </c>
      <c r="E2207" s="15">
        <f>E2208+IF(D2208=Categorias_Registro[[#This Row],[Máximo]],0,1)</f>
        <v>12</v>
      </c>
      <c r="F2207" s="15">
        <f>ROUND(Categorias_Registro[[#This Row],[Mínimo]]+((Categorias_Registro[[#This Row],[Máximo]]-Categorias_Registro[[#This Row],[Mínimo]])/2),0)</f>
        <v>436</v>
      </c>
      <c r="G2207" s="78">
        <f>VLOOKUP(Categorias_Registro[[#This Row],[Puntos]],Categorias_Configuracion[],MATCH(Categorias_Configuracion[[#Headers],[% Amplitud]],Categorias_Configuracion[#Headers],0),TRUE)</f>
        <v>0.15</v>
      </c>
      <c r="H2207" s="15" t="str">
        <f ca="1">TEXT(Categorias_Registro[[#This Row],[Mínimo]],Formato_Rango_Categorias)&amp;" - "&amp;TEXT(Categorias_Registro[[#This Row],[Máximo]],Formato_Rango_Categorias)</f>
        <v>406 - 466</v>
      </c>
    </row>
    <row r="2208" spans="2:8">
      <c r="B2208" s="15">
        <f>Techo - ROW() + ROW(Categorias_Registro[])</f>
        <v>421</v>
      </c>
      <c r="C2208" s="15">
        <f>IF(Categorias_Registro[[#This Row],[Puntos]]&lt;=ROUND(Piso,0),Piso,IF(Categorias_Registro[[#This Row],[Puntos]]&lt;D2209,C2209,D2209+1))</f>
        <v>406</v>
      </c>
      <c r="D2208" s="15">
        <f>IF(Categorias_Registro[[#This Row],[Puntos]]=ROUND(Piso,0),ROUND(Categorias_Registro[[#This Row],[Puntos]]*(1+Categorias_Registro[[#This Row],[Amplitud]]),0),IF(Categorias_Registro[[#This Row],[Puntos]]&lt;D2209,D2209,ROUND(D2209*(1+Categorias_Registro[[#This Row],[Amplitud]]),0)))</f>
        <v>466</v>
      </c>
      <c r="E2208" s="15">
        <f>E2209+IF(D2209=Categorias_Registro[[#This Row],[Máximo]],0,1)</f>
        <v>12</v>
      </c>
      <c r="F2208" s="15">
        <f>ROUND(Categorias_Registro[[#This Row],[Mínimo]]+((Categorias_Registro[[#This Row],[Máximo]]-Categorias_Registro[[#This Row],[Mínimo]])/2),0)</f>
        <v>436</v>
      </c>
      <c r="G2208" s="78">
        <f>VLOOKUP(Categorias_Registro[[#This Row],[Puntos]],Categorias_Configuracion[],MATCH(Categorias_Configuracion[[#Headers],[% Amplitud]],Categorias_Configuracion[#Headers],0),TRUE)</f>
        <v>0.15</v>
      </c>
      <c r="H2208" s="15" t="str">
        <f ca="1">TEXT(Categorias_Registro[[#This Row],[Mínimo]],Formato_Rango_Categorias)&amp;" - "&amp;TEXT(Categorias_Registro[[#This Row],[Máximo]],Formato_Rango_Categorias)</f>
        <v>406 - 466</v>
      </c>
    </row>
    <row r="2209" spans="2:8">
      <c r="B2209" s="15">
        <f>Techo - ROW() + ROW(Categorias_Registro[])</f>
        <v>420</v>
      </c>
      <c r="C2209" s="15">
        <f>IF(Categorias_Registro[[#This Row],[Puntos]]&lt;=ROUND(Piso,0),Piso,IF(Categorias_Registro[[#This Row],[Puntos]]&lt;D2210,C2210,D2210+1))</f>
        <v>406</v>
      </c>
      <c r="D2209" s="15">
        <f>IF(Categorias_Registro[[#This Row],[Puntos]]=ROUND(Piso,0),ROUND(Categorias_Registro[[#This Row],[Puntos]]*(1+Categorias_Registro[[#This Row],[Amplitud]]),0),IF(Categorias_Registro[[#This Row],[Puntos]]&lt;D2210,D2210,ROUND(D2210*(1+Categorias_Registro[[#This Row],[Amplitud]]),0)))</f>
        <v>466</v>
      </c>
      <c r="E2209" s="15">
        <f>E2210+IF(D2210=Categorias_Registro[[#This Row],[Máximo]],0,1)</f>
        <v>12</v>
      </c>
      <c r="F2209" s="15">
        <f>ROUND(Categorias_Registro[[#This Row],[Mínimo]]+((Categorias_Registro[[#This Row],[Máximo]]-Categorias_Registro[[#This Row],[Mínimo]])/2),0)</f>
        <v>436</v>
      </c>
      <c r="G2209" s="78">
        <f>VLOOKUP(Categorias_Registro[[#This Row],[Puntos]],Categorias_Configuracion[],MATCH(Categorias_Configuracion[[#Headers],[% Amplitud]],Categorias_Configuracion[#Headers],0),TRUE)</f>
        <v>0.15</v>
      </c>
      <c r="H2209" s="15" t="str">
        <f ca="1">TEXT(Categorias_Registro[[#This Row],[Mínimo]],Formato_Rango_Categorias)&amp;" - "&amp;TEXT(Categorias_Registro[[#This Row],[Máximo]],Formato_Rango_Categorias)</f>
        <v>406 - 466</v>
      </c>
    </row>
    <row r="2210" spans="2:8">
      <c r="B2210" s="15">
        <f>Techo - ROW() + ROW(Categorias_Registro[])</f>
        <v>419</v>
      </c>
      <c r="C2210" s="15">
        <f>IF(Categorias_Registro[[#This Row],[Puntos]]&lt;=ROUND(Piso,0),Piso,IF(Categorias_Registro[[#This Row],[Puntos]]&lt;D2211,C2211,D2211+1))</f>
        <v>406</v>
      </c>
      <c r="D2210" s="15">
        <f>IF(Categorias_Registro[[#This Row],[Puntos]]=ROUND(Piso,0),ROUND(Categorias_Registro[[#This Row],[Puntos]]*(1+Categorias_Registro[[#This Row],[Amplitud]]),0),IF(Categorias_Registro[[#This Row],[Puntos]]&lt;D2211,D2211,ROUND(D2211*(1+Categorias_Registro[[#This Row],[Amplitud]]),0)))</f>
        <v>466</v>
      </c>
      <c r="E2210" s="15">
        <f>E2211+IF(D2211=Categorias_Registro[[#This Row],[Máximo]],0,1)</f>
        <v>12</v>
      </c>
      <c r="F2210" s="15">
        <f>ROUND(Categorias_Registro[[#This Row],[Mínimo]]+((Categorias_Registro[[#This Row],[Máximo]]-Categorias_Registro[[#This Row],[Mínimo]])/2),0)</f>
        <v>436</v>
      </c>
      <c r="G2210" s="78">
        <f>VLOOKUP(Categorias_Registro[[#This Row],[Puntos]],Categorias_Configuracion[],MATCH(Categorias_Configuracion[[#Headers],[% Amplitud]],Categorias_Configuracion[#Headers],0),TRUE)</f>
        <v>0.15</v>
      </c>
      <c r="H2210" s="15" t="str">
        <f ca="1">TEXT(Categorias_Registro[[#This Row],[Mínimo]],Formato_Rango_Categorias)&amp;" - "&amp;TEXT(Categorias_Registro[[#This Row],[Máximo]],Formato_Rango_Categorias)</f>
        <v>406 - 466</v>
      </c>
    </row>
    <row r="2211" spans="2:8">
      <c r="B2211" s="15">
        <f>Techo - ROW() + ROW(Categorias_Registro[])</f>
        <v>418</v>
      </c>
      <c r="C2211" s="15">
        <f>IF(Categorias_Registro[[#This Row],[Puntos]]&lt;=ROUND(Piso,0),Piso,IF(Categorias_Registro[[#This Row],[Puntos]]&lt;D2212,C2212,D2212+1))</f>
        <v>406</v>
      </c>
      <c r="D2211" s="15">
        <f>IF(Categorias_Registro[[#This Row],[Puntos]]=ROUND(Piso,0),ROUND(Categorias_Registro[[#This Row],[Puntos]]*(1+Categorias_Registro[[#This Row],[Amplitud]]),0),IF(Categorias_Registro[[#This Row],[Puntos]]&lt;D2212,D2212,ROUND(D2212*(1+Categorias_Registro[[#This Row],[Amplitud]]),0)))</f>
        <v>466</v>
      </c>
      <c r="E2211" s="15">
        <f>E2212+IF(D2212=Categorias_Registro[[#This Row],[Máximo]],0,1)</f>
        <v>12</v>
      </c>
      <c r="F2211" s="15">
        <f>ROUND(Categorias_Registro[[#This Row],[Mínimo]]+((Categorias_Registro[[#This Row],[Máximo]]-Categorias_Registro[[#This Row],[Mínimo]])/2),0)</f>
        <v>436</v>
      </c>
      <c r="G2211" s="78">
        <f>VLOOKUP(Categorias_Registro[[#This Row],[Puntos]],Categorias_Configuracion[],MATCH(Categorias_Configuracion[[#Headers],[% Amplitud]],Categorias_Configuracion[#Headers],0),TRUE)</f>
        <v>0.15</v>
      </c>
      <c r="H2211" s="15" t="str">
        <f ca="1">TEXT(Categorias_Registro[[#This Row],[Mínimo]],Formato_Rango_Categorias)&amp;" - "&amp;TEXT(Categorias_Registro[[#This Row],[Máximo]],Formato_Rango_Categorias)</f>
        <v>406 - 466</v>
      </c>
    </row>
    <row r="2212" spans="2:8">
      <c r="B2212" s="15">
        <f>Techo - ROW() + ROW(Categorias_Registro[])</f>
        <v>417</v>
      </c>
      <c r="C2212" s="15">
        <f>IF(Categorias_Registro[[#This Row],[Puntos]]&lt;=ROUND(Piso,0),Piso,IF(Categorias_Registro[[#This Row],[Puntos]]&lt;D2213,C2213,D2213+1))</f>
        <v>406</v>
      </c>
      <c r="D2212" s="15">
        <f>IF(Categorias_Registro[[#This Row],[Puntos]]=ROUND(Piso,0),ROUND(Categorias_Registro[[#This Row],[Puntos]]*(1+Categorias_Registro[[#This Row],[Amplitud]]),0),IF(Categorias_Registro[[#This Row],[Puntos]]&lt;D2213,D2213,ROUND(D2213*(1+Categorias_Registro[[#This Row],[Amplitud]]),0)))</f>
        <v>466</v>
      </c>
      <c r="E2212" s="15">
        <f>E2213+IF(D2213=Categorias_Registro[[#This Row],[Máximo]],0,1)</f>
        <v>12</v>
      </c>
      <c r="F2212" s="15">
        <f>ROUND(Categorias_Registro[[#This Row],[Mínimo]]+((Categorias_Registro[[#This Row],[Máximo]]-Categorias_Registro[[#This Row],[Mínimo]])/2),0)</f>
        <v>436</v>
      </c>
      <c r="G2212" s="78">
        <f>VLOOKUP(Categorias_Registro[[#This Row],[Puntos]],Categorias_Configuracion[],MATCH(Categorias_Configuracion[[#Headers],[% Amplitud]],Categorias_Configuracion[#Headers],0),TRUE)</f>
        <v>0.15</v>
      </c>
      <c r="H2212" s="15" t="str">
        <f ca="1">TEXT(Categorias_Registro[[#This Row],[Mínimo]],Formato_Rango_Categorias)&amp;" - "&amp;TEXT(Categorias_Registro[[#This Row],[Máximo]],Formato_Rango_Categorias)</f>
        <v>406 - 466</v>
      </c>
    </row>
    <row r="2213" spans="2:8">
      <c r="B2213" s="15">
        <f>Techo - ROW() + ROW(Categorias_Registro[])</f>
        <v>416</v>
      </c>
      <c r="C2213" s="15">
        <f>IF(Categorias_Registro[[#This Row],[Puntos]]&lt;=ROUND(Piso,0),Piso,IF(Categorias_Registro[[#This Row],[Puntos]]&lt;D2214,C2214,D2214+1))</f>
        <v>406</v>
      </c>
      <c r="D2213" s="15">
        <f>IF(Categorias_Registro[[#This Row],[Puntos]]=ROUND(Piso,0),ROUND(Categorias_Registro[[#This Row],[Puntos]]*(1+Categorias_Registro[[#This Row],[Amplitud]]),0),IF(Categorias_Registro[[#This Row],[Puntos]]&lt;D2214,D2214,ROUND(D2214*(1+Categorias_Registro[[#This Row],[Amplitud]]),0)))</f>
        <v>466</v>
      </c>
      <c r="E2213" s="15">
        <f>E2214+IF(D2214=Categorias_Registro[[#This Row],[Máximo]],0,1)</f>
        <v>12</v>
      </c>
      <c r="F2213" s="15">
        <f>ROUND(Categorias_Registro[[#This Row],[Mínimo]]+((Categorias_Registro[[#This Row],[Máximo]]-Categorias_Registro[[#This Row],[Mínimo]])/2),0)</f>
        <v>436</v>
      </c>
      <c r="G2213" s="78">
        <f>VLOOKUP(Categorias_Registro[[#This Row],[Puntos]],Categorias_Configuracion[],MATCH(Categorias_Configuracion[[#Headers],[% Amplitud]],Categorias_Configuracion[#Headers],0),TRUE)</f>
        <v>0.15</v>
      </c>
      <c r="H2213" s="15" t="str">
        <f ca="1">TEXT(Categorias_Registro[[#This Row],[Mínimo]],Formato_Rango_Categorias)&amp;" - "&amp;TEXT(Categorias_Registro[[#This Row],[Máximo]],Formato_Rango_Categorias)</f>
        <v>406 - 466</v>
      </c>
    </row>
    <row r="2214" spans="2:8">
      <c r="B2214" s="15">
        <f>Techo - ROW() + ROW(Categorias_Registro[])</f>
        <v>415</v>
      </c>
      <c r="C2214" s="15">
        <f>IF(Categorias_Registro[[#This Row],[Puntos]]&lt;=ROUND(Piso,0),Piso,IF(Categorias_Registro[[#This Row],[Puntos]]&lt;D2215,C2215,D2215+1))</f>
        <v>406</v>
      </c>
      <c r="D2214" s="15">
        <f>IF(Categorias_Registro[[#This Row],[Puntos]]=ROUND(Piso,0),ROUND(Categorias_Registro[[#This Row],[Puntos]]*(1+Categorias_Registro[[#This Row],[Amplitud]]),0),IF(Categorias_Registro[[#This Row],[Puntos]]&lt;D2215,D2215,ROUND(D2215*(1+Categorias_Registro[[#This Row],[Amplitud]]),0)))</f>
        <v>466</v>
      </c>
      <c r="E2214" s="15">
        <f>E2215+IF(D2215=Categorias_Registro[[#This Row],[Máximo]],0,1)</f>
        <v>12</v>
      </c>
      <c r="F2214" s="15">
        <f>ROUND(Categorias_Registro[[#This Row],[Mínimo]]+((Categorias_Registro[[#This Row],[Máximo]]-Categorias_Registro[[#This Row],[Mínimo]])/2),0)</f>
        <v>436</v>
      </c>
      <c r="G2214" s="78">
        <f>VLOOKUP(Categorias_Registro[[#This Row],[Puntos]],Categorias_Configuracion[],MATCH(Categorias_Configuracion[[#Headers],[% Amplitud]],Categorias_Configuracion[#Headers],0),TRUE)</f>
        <v>0.15</v>
      </c>
      <c r="H2214" s="15" t="str">
        <f ca="1">TEXT(Categorias_Registro[[#This Row],[Mínimo]],Formato_Rango_Categorias)&amp;" - "&amp;TEXT(Categorias_Registro[[#This Row],[Máximo]],Formato_Rango_Categorias)</f>
        <v>406 - 466</v>
      </c>
    </row>
    <row r="2215" spans="2:8">
      <c r="B2215" s="15">
        <f>Techo - ROW() + ROW(Categorias_Registro[])</f>
        <v>414</v>
      </c>
      <c r="C2215" s="15">
        <f>IF(Categorias_Registro[[#This Row],[Puntos]]&lt;=ROUND(Piso,0),Piso,IF(Categorias_Registro[[#This Row],[Puntos]]&lt;D2216,C2216,D2216+1))</f>
        <v>406</v>
      </c>
      <c r="D2215" s="15">
        <f>IF(Categorias_Registro[[#This Row],[Puntos]]=ROUND(Piso,0),ROUND(Categorias_Registro[[#This Row],[Puntos]]*(1+Categorias_Registro[[#This Row],[Amplitud]]),0),IF(Categorias_Registro[[#This Row],[Puntos]]&lt;D2216,D2216,ROUND(D2216*(1+Categorias_Registro[[#This Row],[Amplitud]]),0)))</f>
        <v>466</v>
      </c>
      <c r="E2215" s="15">
        <f>E2216+IF(D2216=Categorias_Registro[[#This Row],[Máximo]],0,1)</f>
        <v>12</v>
      </c>
      <c r="F2215" s="15">
        <f>ROUND(Categorias_Registro[[#This Row],[Mínimo]]+((Categorias_Registro[[#This Row],[Máximo]]-Categorias_Registro[[#This Row],[Mínimo]])/2),0)</f>
        <v>436</v>
      </c>
      <c r="G2215" s="78">
        <f>VLOOKUP(Categorias_Registro[[#This Row],[Puntos]],Categorias_Configuracion[],MATCH(Categorias_Configuracion[[#Headers],[% Amplitud]],Categorias_Configuracion[#Headers],0),TRUE)</f>
        <v>0.15</v>
      </c>
      <c r="H2215" s="15" t="str">
        <f ca="1">TEXT(Categorias_Registro[[#This Row],[Mínimo]],Formato_Rango_Categorias)&amp;" - "&amp;TEXT(Categorias_Registro[[#This Row],[Máximo]],Formato_Rango_Categorias)</f>
        <v>406 - 466</v>
      </c>
    </row>
    <row r="2216" spans="2:8">
      <c r="B2216" s="15">
        <f>Techo - ROW() + ROW(Categorias_Registro[])</f>
        <v>413</v>
      </c>
      <c r="C2216" s="15">
        <f>IF(Categorias_Registro[[#This Row],[Puntos]]&lt;=ROUND(Piso,0),Piso,IF(Categorias_Registro[[#This Row],[Puntos]]&lt;D2217,C2217,D2217+1))</f>
        <v>406</v>
      </c>
      <c r="D2216" s="15">
        <f>IF(Categorias_Registro[[#This Row],[Puntos]]=ROUND(Piso,0),ROUND(Categorias_Registro[[#This Row],[Puntos]]*(1+Categorias_Registro[[#This Row],[Amplitud]]),0),IF(Categorias_Registro[[#This Row],[Puntos]]&lt;D2217,D2217,ROUND(D2217*(1+Categorias_Registro[[#This Row],[Amplitud]]),0)))</f>
        <v>466</v>
      </c>
      <c r="E2216" s="15">
        <f>E2217+IF(D2217=Categorias_Registro[[#This Row],[Máximo]],0,1)</f>
        <v>12</v>
      </c>
      <c r="F2216" s="15">
        <f>ROUND(Categorias_Registro[[#This Row],[Mínimo]]+((Categorias_Registro[[#This Row],[Máximo]]-Categorias_Registro[[#This Row],[Mínimo]])/2),0)</f>
        <v>436</v>
      </c>
      <c r="G2216" s="78">
        <f>VLOOKUP(Categorias_Registro[[#This Row],[Puntos]],Categorias_Configuracion[],MATCH(Categorias_Configuracion[[#Headers],[% Amplitud]],Categorias_Configuracion[#Headers],0),TRUE)</f>
        <v>0.15</v>
      </c>
      <c r="H2216" s="15" t="str">
        <f ca="1">TEXT(Categorias_Registro[[#This Row],[Mínimo]],Formato_Rango_Categorias)&amp;" - "&amp;TEXT(Categorias_Registro[[#This Row],[Máximo]],Formato_Rango_Categorias)</f>
        <v>406 - 466</v>
      </c>
    </row>
    <row r="2217" spans="2:8">
      <c r="B2217" s="15">
        <f>Techo - ROW() + ROW(Categorias_Registro[])</f>
        <v>412</v>
      </c>
      <c r="C2217" s="15">
        <f>IF(Categorias_Registro[[#This Row],[Puntos]]&lt;=ROUND(Piso,0),Piso,IF(Categorias_Registro[[#This Row],[Puntos]]&lt;D2218,C2218,D2218+1))</f>
        <v>406</v>
      </c>
      <c r="D2217" s="15">
        <f>IF(Categorias_Registro[[#This Row],[Puntos]]=ROUND(Piso,0),ROUND(Categorias_Registro[[#This Row],[Puntos]]*(1+Categorias_Registro[[#This Row],[Amplitud]]),0),IF(Categorias_Registro[[#This Row],[Puntos]]&lt;D2218,D2218,ROUND(D2218*(1+Categorias_Registro[[#This Row],[Amplitud]]),0)))</f>
        <v>466</v>
      </c>
      <c r="E2217" s="15">
        <f>E2218+IF(D2218=Categorias_Registro[[#This Row],[Máximo]],0,1)</f>
        <v>12</v>
      </c>
      <c r="F2217" s="15">
        <f>ROUND(Categorias_Registro[[#This Row],[Mínimo]]+((Categorias_Registro[[#This Row],[Máximo]]-Categorias_Registro[[#This Row],[Mínimo]])/2),0)</f>
        <v>436</v>
      </c>
      <c r="G2217" s="78">
        <f>VLOOKUP(Categorias_Registro[[#This Row],[Puntos]],Categorias_Configuracion[],MATCH(Categorias_Configuracion[[#Headers],[% Amplitud]],Categorias_Configuracion[#Headers],0),TRUE)</f>
        <v>0.15</v>
      </c>
      <c r="H2217" s="15" t="str">
        <f ca="1">TEXT(Categorias_Registro[[#This Row],[Mínimo]],Formato_Rango_Categorias)&amp;" - "&amp;TEXT(Categorias_Registro[[#This Row],[Máximo]],Formato_Rango_Categorias)</f>
        <v>406 - 466</v>
      </c>
    </row>
    <row r="2218" spans="2:8">
      <c r="B2218" s="15">
        <f>Techo - ROW() + ROW(Categorias_Registro[])</f>
        <v>411</v>
      </c>
      <c r="C2218" s="15">
        <f>IF(Categorias_Registro[[#This Row],[Puntos]]&lt;=ROUND(Piso,0),Piso,IF(Categorias_Registro[[#This Row],[Puntos]]&lt;D2219,C2219,D2219+1))</f>
        <v>406</v>
      </c>
      <c r="D2218" s="15">
        <f>IF(Categorias_Registro[[#This Row],[Puntos]]=ROUND(Piso,0),ROUND(Categorias_Registro[[#This Row],[Puntos]]*(1+Categorias_Registro[[#This Row],[Amplitud]]),0),IF(Categorias_Registro[[#This Row],[Puntos]]&lt;D2219,D2219,ROUND(D2219*(1+Categorias_Registro[[#This Row],[Amplitud]]),0)))</f>
        <v>466</v>
      </c>
      <c r="E2218" s="15">
        <f>E2219+IF(D2219=Categorias_Registro[[#This Row],[Máximo]],0,1)</f>
        <v>12</v>
      </c>
      <c r="F2218" s="15">
        <f>ROUND(Categorias_Registro[[#This Row],[Mínimo]]+((Categorias_Registro[[#This Row],[Máximo]]-Categorias_Registro[[#This Row],[Mínimo]])/2),0)</f>
        <v>436</v>
      </c>
      <c r="G2218" s="78">
        <f>VLOOKUP(Categorias_Registro[[#This Row],[Puntos]],Categorias_Configuracion[],MATCH(Categorias_Configuracion[[#Headers],[% Amplitud]],Categorias_Configuracion[#Headers],0),TRUE)</f>
        <v>0.15</v>
      </c>
      <c r="H2218" s="15" t="str">
        <f ca="1">TEXT(Categorias_Registro[[#This Row],[Mínimo]],Formato_Rango_Categorias)&amp;" - "&amp;TEXT(Categorias_Registro[[#This Row],[Máximo]],Formato_Rango_Categorias)</f>
        <v>406 - 466</v>
      </c>
    </row>
    <row r="2219" spans="2:8">
      <c r="B2219" s="15">
        <f>Techo - ROW() + ROW(Categorias_Registro[])</f>
        <v>410</v>
      </c>
      <c r="C2219" s="15">
        <f>IF(Categorias_Registro[[#This Row],[Puntos]]&lt;=ROUND(Piso,0),Piso,IF(Categorias_Registro[[#This Row],[Puntos]]&lt;D2220,C2220,D2220+1))</f>
        <v>406</v>
      </c>
      <c r="D2219" s="15">
        <f>IF(Categorias_Registro[[#This Row],[Puntos]]=ROUND(Piso,0),ROUND(Categorias_Registro[[#This Row],[Puntos]]*(1+Categorias_Registro[[#This Row],[Amplitud]]),0),IF(Categorias_Registro[[#This Row],[Puntos]]&lt;D2220,D2220,ROUND(D2220*(1+Categorias_Registro[[#This Row],[Amplitud]]),0)))</f>
        <v>466</v>
      </c>
      <c r="E2219" s="15">
        <f>E2220+IF(D2220=Categorias_Registro[[#This Row],[Máximo]],0,1)</f>
        <v>12</v>
      </c>
      <c r="F2219" s="15">
        <f>ROUND(Categorias_Registro[[#This Row],[Mínimo]]+((Categorias_Registro[[#This Row],[Máximo]]-Categorias_Registro[[#This Row],[Mínimo]])/2),0)</f>
        <v>436</v>
      </c>
      <c r="G2219" s="78">
        <f>VLOOKUP(Categorias_Registro[[#This Row],[Puntos]],Categorias_Configuracion[],MATCH(Categorias_Configuracion[[#Headers],[% Amplitud]],Categorias_Configuracion[#Headers],0),TRUE)</f>
        <v>0.15</v>
      </c>
      <c r="H2219" s="15" t="str">
        <f ca="1">TEXT(Categorias_Registro[[#This Row],[Mínimo]],Formato_Rango_Categorias)&amp;" - "&amp;TEXT(Categorias_Registro[[#This Row],[Máximo]],Formato_Rango_Categorias)</f>
        <v>406 - 466</v>
      </c>
    </row>
    <row r="2220" spans="2:8">
      <c r="B2220" s="15">
        <f>Techo - ROW() + ROW(Categorias_Registro[])</f>
        <v>409</v>
      </c>
      <c r="C2220" s="15">
        <f>IF(Categorias_Registro[[#This Row],[Puntos]]&lt;=ROUND(Piso,0),Piso,IF(Categorias_Registro[[#This Row],[Puntos]]&lt;D2221,C2221,D2221+1))</f>
        <v>406</v>
      </c>
      <c r="D2220" s="15">
        <f>IF(Categorias_Registro[[#This Row],[Puntos]]=ROUND(Piso,0),ROUND(Categorias_Registro[[#This Row],[Puntos]]*(1+Categorias_Registro[[#This Row],[Amplitud]]),0),IF(Categorias_Registro[[#This Row],[Puntos]]&lt;D2221,D2221,ROUND(D2221*(1+Categorias_Registro[[#This Row],[Amplitud]]),0)))</f>
        <v>466</v>
      </c>
      <c r="E2220" s="15">
        <f>E2221+IF(D2221=Categorias_Registro[[#This Row],[Máximo]],0,1)</f>
        <v>12</v>
      </c>
      <c r="F2220" s="15">
        <f>ROUND(Categorias_Registro[[#This Row],[Mínimo]]+((Categorias_Registro[[#This Row],[Máximo]]-Categorias_Registro[[#This Row],[Mínimo]])/2),0)</f>
        <v>436</v>
      </c>
      <c r="G2220" s="78">
        <f>VLOOKUP(Categorias_Registro[[#This Row],[Puntos]],Categorias_Configuracion[],MATCH(Categorias_Configuracion[[#Headers],[% Amplitud]],Categorias_Configuracion[#Headers],0),TRUE)</f>
        <v>0.15</v>
      </c>
      <c r="H2220" s="15" t="str">
        <f ca="1">TEXT(Categorias_Registro[[#This Row],[Mínimo]],Formato_Rango_Categorias)&amp;" - "&amp;TEXT(Categorias_Registro[[#This Row],[Máximo]],Formato_Rango_Categorias)</f>
        <v>406 - 466</v>
      </c>
    </row>
    <row r="2221" spans="2:8">
      <c r="B2221" s="15">
        <f>Techo - ROW() + ROW(Categorias_Registro[])</f>
        <v>408</v>
      </c>
      <c r="C2221" s="15">
        <f>IF(Categorias_Registro[[#This Row],[Puntos]]&lt;=ROUND(Piso,0),Piso,IF(Categorias_Registro[[#This Row],[Puntos]]&lt;D2222,C2222,D2222+1))</f>
        <v>406</v>
      </c>
      <c r="D2221" s="15">
        <f>IF(Categorias_Registro[[#This Row],[Puntos]]=ROUND(Piso,0),ROUND(Categorias_Registro[[#This Row],[Puntos]]*(1+Categorias_Registro[[#This Row],[Amplitud]]),0),IF(Categorias_Registro[[#This Row],[Puntos]]&lt;D2222,D2222,ROUND(D2222*(1+Categorias_Registro[[#This Row],[Amplitud]]),0)))</f>
        <v>466</v>
      </c>
      <c r="E2221" s="15">
        <f>E2222+IF(D2222=Categorias_Registro[[#This Row],[Máximo]],0,1)</f>
        <v>12</v>
      </c>
      <c r="F2221" s="15">
        <f>ROUND(Categorias_Registro[[#This Row],[Mínimo]]+((Categorias_Registro[[#This Row],[Máximo]]-Categorias_Registro[[#This Row],[Mínimo]])/2),0)</f>
        <v>436</v>
      </c>
      <c r="G2221" s="78">
        <f>VLOOKUP(Categorias_Registro[[#This Row],[Puntos]],Categorias_Configuracion[],MATCH(Categorias_Configuracion[[#Headers],[% Amplitud]],Categorias_Configuracion[#Headers],0),TRUE)</f>
        <v>0.15</v>
      </c>
      <c r="H2221" s="15" t="str">
        <f ca="1">TEXT(Categorias_Registro[[#This Row],[Mínimo]],Formato_Rango_Categorias)&amp;" - "&amp;TEXT(Categorias_Registro[[#This Row],[Máximo]],Formato_Rango_Categorias)</f>
        <v>406 - 466</v>
      </c>
    </row>
    <row r="2222" spans="2:8">
      <c r="B2222" s="15">
        <f>Techo - ROW() + ROW(Categorias_Registro[])</f>
        <v>407</v>
      </c>
      <c r="C2222" s="15">
        <f>IF(Categorias_Registro[[#This Row],[Puntos]]&lt;=ROUND(Piso,0),Piso,IF(Categorias_Registro[[#This Row],[Puntos]]&lt;D2223,C2223,D2223+1))</f>
        <v>406</v>
      </c>
      <c r="D2222" s="15">
        <f>IF(Categorias_Registro[[#This Row],[Puntos]]=ROUND(Piso,0),ROUND(Categorias_Registro[[#This Row],[Puntos]]*(1+Categorias_Registro[[#This Row],[Amplitud]]),0),IF(Categorias_Registro[[#This Row],[Puntos]]&lt;D2223,D2223,ROUND(D2223*(1+Categorias_Registro[[#This Row],[Amplitud]]),0)))</f>
        <v>466</v>
      </c>
      <c r="E2222" s="15">
        <f>E2223+IF(D2223=Categorias_Registro[[#This Row],[Máximo]],0,1)</f>
        <v>12</v>
      </c>
      <c r="F2222" s="15">
        <f>ROUND(Categorias_Registro[[#This Row],[Mínimo]]+((Categorias_Registro[[#This Row],[Máximo]]-Categorias_Registro[[#This Row],[Mínimo]])/2),0)</f>
        <v>436</v>
      </c>
      <c r="G2222" s="78">
        <f>VLOOKUP(Categorias_Registro[[#This Row],[Puntos]],Categorias_Configuracion[],MATCH(Categorias_Configuracion[[#Headers],[% Amplitud]],Categorias_Configuracion[#Headers],0),TRUE)</f>
        <v>0.15</v>
      </c>
      <c r="H2222" s="15" t="str">
        <f ca="1">TEXT(Categorias_Registro[[#This Row],[Mínimo]],Formato_Rango_Categorias)&amp;" - "&amp;TEXT(Categorias_Registro[[#This Row],[Máximo]],Formato_Rango_Categorias)</f>
        <v>406 - 466</v>
      </c>
    </row>
    <row r="2223" spans="2:8">
      <c r="B2223" s="15">
        <f>Techo - ROW() + ROW(Categorias_Registro[])</f>
        <v>406</v>
      </c>
      <c r="C2223" s="15">
        <f>IF(Categorias_Registro[[#This Row],[Puntos]]&lt;=ROUND(Piso,0),Piso,IF(Categorias_Registro[[#This Row],[Puntos]]&lt;D2224,C2224,D2224+1))</f>
        <v>406</v>
      </c>
      <c r="D2223" s="15">
        <f>IF(Categorias_Registro[[#This Row],[Puntos]]=ROUND(Piso,0),ROUND(Categorias_Registro[[#This Row],[Puntos]]*(1+Categorias_Registro[[#This Row],[Amplitud]]),0),IF(Categorias_Registro[[#This Row],[Puntos]]&lt;D2224,D2224,ROUND(D2224*(1+Categorias_Registro[[#This Row],[Amplitud]]),0)))</f>
        <v>466</v>
      </c>
      <c r="E2223" s="15">
        <f>E2224+IF(D2224=Categorias_Registro[[#This Row],[Máximo]],0,1)</f>
        <v>12</v>
      </c>
      <c r="F2223" s="15">
        <f>ROUND(Categorias_Registro[[#This Row],[Mínimo]]+((Categorias_Registro[[#This Row],[Máximo]]-Categorias_Registro[[#This Row],[Mínimo]])/2),0)</f>
        <v>436</v>
      </c>
      <c r="G2223" s="78">
        <f>VLOOKUP(Categorias_Registro[[#This Row],[Puntos]],Categorias_Configuracion[],MATCH(Categorias_Configuracion[[#Headers],[% Amplitud]],Categorias_Configuracion[#Headers],0),TRUE)</f>
        <v>0.15</v>
      </c>
      <c r="H2223" s="15" t="str">
        <f ca="1">TEXT(Categorias_Registro[[#This Row],[Mínimo]],Formato_Rango_Categorias)&amp;" - "&amp;TEXT(Categorias_Registro[[#This Row],[Máximo]],Formato_Rango_Categorias)</f>
        <v>406 - 466</v>
      </c>
    </row>
    <row r="2224" spans="2:8">
      <c r="B2224" s="15">
        <f>Techo - ROW() + ROW(Categorias_Registro[])</f>
        <v>405</v>
      </c>
      <c r="C2224" s="15">
        <f>IF(Categorias_Registro[[#This Row],[Puntos]]&lt;=ROUND(Piso,0),Piso,IF(Categorias_Registro[[#This Row],[Puntos]]&lt;D2225,C2225,D2225+1))</f>
        <v>406</v>
      </c>
      <c r="D2224" s="15">
        <f>IF(Categorias_Registro[[#This Row],[Puntos]]=ROUND(Piso,0),ROUND(Categorias_Registro[[#This Row],[Puntos]]*(1+Categorias_Registro[[#This Row],[Amplitud]]),0),IF(Categorias_Registro[[#This Row],[Puntos]]&lt;D2225,D2225,ROUND(D2225*(1+Categorias_Registro[[#This Row],[Amplitud]]),0)))</f>
        <v>466</v>
      </c>
      <c r="E2224" s="15">
        <f>E2225+IF(D2225=Categorias_Registro[[#This Row],[Máximo]],0,1)</f>
        <v>12</v>
      </c>
      <c r="F2224" s="15">
        <f>ROUND(Categorias_Registro[[#This Row],[Mínimo]]+((Categorias_Registro[[#This Row],[Máximo]]-Categorias_Registro[[#This Row],[Mínimo]])/2),0)</f>
        <v>436</v>
      </c>
      <c r="G2224" s="78">
        <f>VLOOKUP(Categorias_Registro[[#This Row],[Puntos]],Categorias_Configuracion[],MATCH(Categorias_Configuracion[[#Headers],[% Amplitud]],Categorias_Configuracion[#Headers],0),TRUE)</f>
        <v>0.15</v>
      </c>
      <c r="H2224" s="15" t="str">
        <f ca="1">TEXT(Categorias_Registro[[#This Row],[Mínimo]],Formato_Rango_Categorias)&amp;" - "&amp;TEXT(Categorias_Registro[[#This Row],[Máximo]],Formato_Rango_Categorias)</f>
        <v>406 - 466</v>
      </c>
    </row>
    <row r="2225" spans="2:8">
      <c r="B2225" s="15">
        <f>Techo - ROW() + ROW(Categorias_Registro[])</f>
        <v>404</v>
      </c>
      <c r="C2225" s="15">
        <f>IF(Categorias_Registro[[#This Row],[Puntos]]&lt;=ROUND(Piso,0),Piso,IF(Categorias_Registro[[#This Row],[Puntos]]&lt;D2226,C2226,D2226+1))</f>
        <v>353</v>
      </c>
      <c r="D2225" s="15">
        <f>IF(Categorias_Registro[[#This Row],[Puntos]]=ROUND(Piso,0),ROUND(Categorias_Registro[[#This Row],[Puntos]]*(1+Categorias_Registro[[#This Row],[Amplitud]]),0),IF(Categorias_Registro[[#This Row],[Puntos]]&lt;D2226,D2226,ROUND(D2226*(1+Categorias_Registro[[#This Row],[Amplitud]]),0)))</f>
        <v>405</v>
      </c>
      <c r="E2225" s="15">
        <f>E2226+IF(D2226=Categorias_Registro[[#This Row],[Máximo]],0,1)</f>
        <v>11</v>
      </c>
      <c r="F2225" s="15">
        <f>ROUND(Categorias_Registro[[#This Row],[Mínimo]]+((Categorias_Registro[[#This Row],[Máximo]]-Categorias_Registro[[#This Row],[Mínimo]])/2),0)</f>
        <v>379</v>
      </c>
      <c r="G2225" s="78">
        <f>VLOOKUP(Categorias_Registro[[#This Row],[Puntos]],Categorias_Configuracion[],MATCH(Categorias_Configuracion[[#Headers],[% Amplitud]],Categorias_Configuracion[#Headers],0),TRUE)</f>
        <v>0.15</v>
      </c>
      <c r="H2225" s="15" t="str">
        <f ca="1">TEXT(Categorias_Registro[[#This Row],[Mínimo]],Formato_Rango_Categorias)&amp;" - "&amp;TEXT(Categorias_Registro[[#This Row],[Máximo]],Formato_Rango_Categorias)</f>
        <v>353 - 405</v>
      </c>
    </row>
    <row r="2226" spans="2:8">
      <c r="B2226" s="15">
        <f>Techo - ROW() + ROW(Categorias_Registro[])</f>
        <v>403</v>
      </c>
      <c r="C2226" s="15">
        <f>IF(Categorias_Registro[[#This Row],[Puntos]]&lt;=ROUND(Piso,0),Piso,IF(Categorias_Registro[[#This Row],[Puntos]]&lt;D2227,C2227,D2227+1))</f>
        <v>353</v>
      </c>
      <c r="D2226" s="15">
        <f>IF(Categorias_Registro[[#This Row],[Puntos]]=ROUND(Piso,0),ROUND(Categorias_Registro[[#This Row],[Puntos]]*(1+Categorias_Registro[[#This Row],[Amplitud]]),0),IF(Categorias_Registro[[#This Row],[Puntos]]&lt;D2227,D2227,ROUND(D2227*(1+Categorias_Registro[[#This Row],[Amplitud]]),0)))</f>
        <v>405</v>
      </c>
      <c r="E2226" s="15">
        <f>E2227+IF(D2227=Categorias_Registro[[#This Row],[Máximo]],0,1)</f>
        <v>11</v>
      </c>
      <c r="F2226" s="15">
        <f>ROUND(Categorias_Registro[[#This Row],[Mínimo]]+((Categorias_Registro[[#This Row],[Máximo]]-Categorias_Registro[[#This Row],[Mínimo]])/2),0)</f>
        <v>379</v>
      </c>
      <c r="G2226" s="78">
        <f>VLOOKUP(Categorias_Registro[[#This Row],[Puntos]],Categorias_Configuracion[],MATCH(Categorias_Configuracion[[#Headers],[% Amplitud]],Categorias_Configuracion[#Headers],0),TRUE)</f>
        <v>0.15</v>
      </c>
      <c r="H2226" s="15" t="str">
        <f ca="1">TEXT(Categorias_Registro[[#This Row],[Mínimo]],Formato_Rango_Categorias)&amp;" - "&amp;TEXT(Categorias_Registro[[#This Row],[Máximo]],Formato_Rango_Categorias)</f>
        <v>353 - 405</v>
      </c>
    </row>
    <row r="2227" spans="2:8">
      <c r="B2227" s="15">
        <f>Techo - ROW() + ROW(Categorias_Registro[])</f>
        <v>402</v>
      </c>
      <c r="C2227" s="15">
        <f>IF(Categorias_Registro[[#This Row],[Puntos]]&lt;=ROUND(Piso,0),Piso,IF(Categorias_Registro[[#This Row],[Puntos]]&lt;D2228,C2228,D2228+1))</f>
        <v>353</v>
      </c>
      <c r="D2227" s="15">
        <f>IF(Categorias_Registro[[#This Row],[Puntos]]=ROUND(Piso,0),ROUND(Categorias_Registro[[#This Row],[Puntos]]*(1+Categorias_Registro[[#This Row],[Amplitud]]),0),IF(Categorias_Registro[[#This Row],[Puntos]]&lt;D2228,D2228,ROUND(D2228*(1+Categorias_Registro[[#This Row],[Amplitud]]),0)))</f>
        <v>405</v>
      </c>
      <c r="E2227" s="15">
        <f>E2228+IF(D2228=Categorias_Registro[[#This Row],[Máximo]],0,1)</f>
        <v>11</v>
      </c>
      <c r="F2227" s="15">
        <f>ROUND(Categorias_Registro[[#This Row],[Mínimo]]+((Categorias_Registro[[#This Row],[Máximo]]-Categorias_Registro[[#This Row],[Mínimo]])/2),0)</f>
        <v>379</v>
      </c>
      <c r="G2227" s="78">
        <f>VLOOKUP(Categorias_Registro[[#This Row],[Puntos]],Categorias_Configuracion[],MATCH(Categorias_Configuracion[[#Headers],[% Amplitud]],Categorias_Configuracion[#Headers],0),TRUE)</f>
        <v>0.15</v>
      </c>
      <c r="H2227" s="15" t="str">
        <f ca="1">TEXT(Categorias_Registro[[#This Row],[Mínimo]],Formato_Rango_Categorias)&amp;" - "&amp;TEXT(Categorias_Registro[[#This Row],[Máximo]],Formato_Rango_Categorias)</f>
        <v>353 - 405</v>
      </c>
    </row>
    <row r="2228" spans="2:8">
      <c r="B2228" s="15">
        <f>Techo - ROW() + ROW(Categorias_Registro[])</f>
        <v>401</v>
      </c>
      <c r="C2228" s="15">
        <f>IF(Categorias_Registro[[#This Row],[Puntos]]&lt;=ROUND(Piso,0),Piso,IF(Categorias_Registro[[#This Row],[Puntos]]&lt;D2229,C2229,D2229+1))</f>
        <v>353</v>
      </c>
      <c r="D2228" s="15">
        <f>IF(Categorias_Registro[[#This Row],[Puntos]]=ROUND(Piso,0),ROUND(Categorias_Registro[[#This Row],[Puntos]]*(1+Categorias_Registro[[#This Row],[Amplitud]]),0),IF(Categorias_Registro[[#This Row],[Puntos]]&lt;D2229,D2229,ROUND(D2229*(1+Categorias_Registro[[#This Row],[Amplitud]]),0)))</f>
        <v>405</v>
      </c>
      <c r="E2228" s="15">
        <f>E2229+IF(D2229=Categorias_Registro[[#This Row],[Máximo]],0,1)</f>
        <v>11</v>
      </c>
      <c r="F2228" s="15">
        <f>ROUND(Categorias_Registro[[#This Row],[Mínimo]]+((Categorias_Registro[[#This Row],[Máximo]]-Categorias_Registro[[#This Row],[Mínimo]])/2),0)</f>
        <v>379</v>
      </c>
      <c r="G2228" s="78">
        <f>VLOOKUP(Categorias_Registro[[#This Row],[Puntos]],Categorias_Configuracion[],MATCH(Categorias_Configuracion[[#Headers],[% Amplitud]],Categorias_Configuracion[#Headers],0),TRUE)</f>
        <v>0.15</v>
      </c>
      <c r="H2228" s="15" t="str">
        <f ca="1">TEXT(Categorias_Registro[[#This Row],[Mínimo]],Formato_Rango_Categorias)&amp;" - "&amp;TEXT(Categorias_Registro[[#This Row],[Máximo]],Formato_Rango_Categorias)</f>
        <v>353 - 405</v>
      </c>
    </row>
    <row r="2229" spans="2:8">
      <c r="B2229" s="15">
        <f>Techo - ROW() + ROW(Categorias_Registro[])</f>
        <v>400</v>
      </c>
      <c r="C2229" s="15">
        <f>IF(Categorias_Registro[[#This Row],[Puntos]]&lt;=ROUND(Piso,0),Piso,IF(Categorias_Registro[[#This Row],[Puntos]]&lt;D2230,C2230,D2230+1))</f>
        <v>353</v>
      </c>
      <c r="D2229" s="15">
        <f>IF(Categorias_Registro[[#This Row],[Puntos]]=ROUND(Piso,0),ROUND(Categorias_Registro[[#This Row],[Puntos]]*(1+Categorias_Registro[[#This Row],[Amplitud]]),0),IF(Categorias_Registro[[#This Row],[Puntos]]&lt;D2230,D2230,ROUND(D2230*(1+Categorias_Registro[[#This Row],[Amplitud]]),0)))</f>
        <v>405</v>
      </c>
      <c r="E2229" s="15">
        <f>E2230+IF(D2230=Categorias_Registro[[#This Row],[Máximo]],0,1)</f>
        <v>11</v>
      </c>
      <c r="F2229" s="15">
        <f>ROUND(Categorias_Registro[[#This Row],[Mínimo]]+((Categorias_Registro[[#This Row],[Máximo]]-Categorias_Registro[[#This Row],[Mínimo]])/2),0)</f>
        <v>379</v>
      </c>
      <c r="G2229" s="78">
        <f>VLOOKUP(Categorias_Registro[[#This Row],[Puntos]],Categorias_Configuracion[],MATCH(Categorias_Configuracion[[#Headers],[% Amplitud]],Categorias_Configuracion[#Headers],0),TRUE)</f>
        <v>0.15</v>
      </c>
      <c r="H2229" s="15" t="str">
        <f ca="1">TEXT(Categorias_Registro[[#This Row],[Mínimo]],Formato_Rango_Categorias)&amp;" - "&amp;TEXT(Categorias_Registro[[#This Row],[Máximo]],Formato_Rango_Categorias)</f>
        <v>353 - 405</v>
      </c>
    </row>
    <row r="2230" spans="2:8">
      <c r="B2230" s="15">
        <f>Techo - ROW() + ROW(Categorias_Registro[])</f>
        <v>399</v>
      </c>
      <c r="C2230" s="15">
        <f>IF(Categorias_Registro[[#This Row],[Puntos]]&lt;=ROUND(Piso,0),Piso,IF(Categorias_Registro[[#This Row],[Puntos]]&lt;D2231,C2231,D2231+1))</f>
        <v>353</v>
      </c>
      <c r="D2230" s="15">
        <f>IF(Categorias_Registro[[#This Row],[Puntos]]=ROUND(Piso,0),ROUND(Categorias_Registro[[#This Row],[Puntos]]*(1+Categorias_Registro[[#This Row],[Amplitud]]),0),IF(Categorias_Registro[[#This Row],[Puntos]]&lt;D2231,D2231,ROUND(D2231*(1+Categorias_Registro[[#This Row],[Amplitud]]),0)))</f>
        <v>405</v>
      </c>
      <c r="E2230" s="15">
        <f>E2231+IF(D2231=Categorias_Registro[[#This Row],[Máximo]],0,1)</f>
        <v>11</v>
      </c>
      <c r="F2230" s="15">
        <f>ROUND(Categorias_Registro[[#This Row],[Mínimo]]+((Categorias_Registro[[#This Row],[Máximo]]-Categorias_Registro[[#This Row],[Mínimo]])/2),0)</f>
        <v>379</v>
      </c>
      <c r="G2230" s="78">
        <f>VLOOKUP(Categorias_Registro[[#This Row],[Puntos]],Categorias_Configuracion[],MATCH(Categorias_Configuracion[[#Headers],[% Amplitud]],Categorias_Configuracion[#Headers],0),TRUE)</f>
        <v>0.15</v>
      </c>
      <c r="H2230" s="15" t="str">
        <f ca="1">TEXT(Categorias_Registro[[#This Row],[Mínimo]],Formato_Rango_Categorias)&amp;" - "&amp;TEXT(Categorias_Registro[[#This Row],[Máximo]],Formato_Rango_Categorias)</f>
        <v>353 - 405</v>
      </c>
    </row>
    <row r="2231" spans="2:8">
      <c r="B2231" s="15">
        <f>Techo - ROW() + ROW(Categorias_Registro[])</f>
        <v>398</v>
      </c>
      <c r="C2231" s="15">
        <f>IF(Categorias_Registro[[#This Row],[Puntos]]&lt;=ROUND(Piso,0),Piso,IF(Categorias_Registro[[#This Row],[Puntos]]&lt;D2232,C2232,D2232+1))</f>
        <v>353</v>
      </c>
      <c r="D2231" s="15">
        <f>IF(Categorias_Registro[[#This Row],[Puntos]]=ROUND(Piso,0),ROUND(Categorias_Registro[[#This Row],[Puntos]]*(1+Categorias_Registro[[#This Row],[Amplitud]]),0),IF(Categorias_Registro[[#This Row],[Puntos]]&lt;D2232,D2232,ROUND(D2232*(1+Categorias_Registro[[#This Row],[Amplitud]]),0)))</f>
        <v>405</v>
      </c>
      <c r="E2231" s="15">
        <f>E2232+IF(D2232=Categorias_Registro[[#This Row],[Máximo]],0,1)</f>
        <v>11</v>
      </c>
      <c r="F2231" s="15">
        <f>ROUND(Categorias_Registro[[#This Row],[Mínimo]]+((Categorias_Registro[[#This Row],[Máximo]]-Categorias_Registro[[#This Row],[Mínimo]])/2),0)</f>
        <v>379</v>
      </c>
      <c r="G2231" s="78">
        <f>VLOOKUP(Categorias_Registro[[#This Row],[Puntos]],Categorias_Configuracion[],MATCH(Categorias_Configuracion[[#Headers],[% Amplitud]],Categorias_Configuracion[#Headers],0),TRUE)</f>
        <v>0.15</v>
      </c>
      <c r="H2231" s="15" t="str">
        <f ca="1">TEXT(Categorias_Registro[[#This Row],[Mínimo]],Formato_Rango_Categorias)&amp;" - "&amp;TEXT(Categorias_Registro[[#This Row],[Máximo]],Formato_Rango_Categorias)</f>
        <v>353 - 405</v>
      </c>
    </row>
    <row r="2232" spans="2:8">
      <c r="B2232" s="15">
        <f>Techo - ROW() + ROW(Categorias_Registro[])</f>
        <v>397</v>
      </c>
      <c r="C2232" s="15">
        <f>IF(Categorias_Registro[[#This Row],[Puntos]]&lt;=ROUND(Piso,0),Piso,IF(Categorias_Registro[[#This Row],[Puntos]]&lt;D2233,C2233,D2233+1))</f>
        <v>353</v>
      </c>
      <c r="D2232" s="15">
        <f>IF(Categorias_Registro[[#This Row],[Puntos]]=ROUND(Piso,0),ROUND(Categorias_Registro[[#This Row],[Puntos]]*(1+Categorias_Registro[[#This Row],[Amplitud]]),0),IF(Categorias_Registro[[#This Row],[Puntos]]&lt;D2233,D2233,ROUND(D2233*(1+Categorias_Registro[[#This Row],[Amplitud]]),0)))</f>
        <v>405</v>
      </c>
      <c r="E2232" s="15">
        <f>E2233+IF(D2233=Categorias_Registro[[#This Row],[Máximo]],0,1)</f>
        <v>11</v>
      </c>
      <c r="F2232" s="15">
        <f>ROUND(Categorias_Registro[[#This Row],[Mínimo]]+((Categorias_Registro[[#This Row],[Máximo]]-Categorias_Registro[[#This Row],[Mínimo]])/2),0)</f>
        <v>379</v>
      </c>
      <c r="G2232" s="78">
        <f>VLOOKUP(Categorias_Registro[[#This Row],[Puntos]],Categorias_Configuracion[],MATCH(Categorias_Configuracion[[#Headers],[% Amplitud]],Categorias_Configuracion[#Headers],0),TRUE)</f>
        <v>0.15</v>
      </c>
      <c r="H2232" s="15" t="str">
        <f ca="1">TEXT(Categorias_Registro[[#This Row],[Mínimo]],Formato_Rango_Categorias)&amp;" - "&amp;TEXT(Categorias_Registro[[#This Row],[Máximo]],Formato_Rango_Categorias)</f>
        <v>353 - 405</v>
      </c>
    </row>
    <row r="2233" spans="2:8">
      <c r="B2233" s="15">
        <f>Techo - ROW() + ROW(Categorias_Registro[])</f>
        <v>396</v>
      </c>
      <c r="C2233" s="15">
        <f>IF(Categorias_Registro[[#This Row],[Puntos]]&lt;=ROUND(Piso,0),Piso,IF(Categorias_Registro[[#This Row],[Puntos]]&lt;D2234,C2234,D2234+1))</f>
        <v>353</v>
      </c>
      <c r="D2233" s="15">
        <f>IF(Categorias_Registro[[#This Row],[Puntos]]=ROUND(Piso,0),ROUND(Categorias_Registro[[#This Row],[Puntos]]*(1+Categorias_Registro[[#This Row],[Amplitud]]),0),IF(Categorias_Registro[[#This Row],[Puntos]]&lt;D2234,D2234,ROUND(D2234*(1+Categorias_Registro[[#This Row],[Amplitud]]),0)))</f>
        <v>405</v>
      </c>
      <c r="E2233" s="15">
        <f>E2234+IF(D2234=Categorias_Registro[[#This Row],[Máximo]],0,1)</f>
        <v>11</v>
      </c>
      <c r="F2233" s="15">
        <f>ROUND(Categorias_Registro[[#This Row],[Mínimo]]+((Categorias_Registro[[#This Row],[Máximo]]-Categorias_Registro[[#This Row],[Mínimo]])/2),0)</f>
        <v>379</v>
      </c>
      <c r="G2233" s="78">
        <f>VLOOKUP(Categorias_Registro[[#This Row],[Puntos]],Categorias_Configuracion[],MATCH(Categorias_Configuracion[[#Headers],[% Amplitud]],Categorias_Configuracion[#Headers],0),TRUE)</f>
        <v>0.15</v>
      </c>
      <c r="H2233" s="15" t="str">
        <f ca="1">TEXT(Categorias_Registro[[#This Row],[Mínimo]],Formato_Rango_Categorias)&amp;" - "&amp;TEXT(Categorias_Registro[[#This Row],[Máximo]],Formato_Rango_Categorias)</f>
        <v>353 - 405</v>
      </c>
    </row>
    <row r="2234" spans="2:8">
      <c r="B2234" s="15">
        <f>Techo - ROW() + ROW(Categorias_Registro[])</f>
        <v>395</v>
      </c>
      <c r="C2234" s="15">
        <f>IF(Categorias_Registro[[#This Row],[Puntos]]&lt;=ROUND(Piso,0),Piso,IF(Categorias_Registro[[#This Row],[Puntos]]&lt;D2235,C2235,D2235+1))</f>
        <v>353</v>
      </c>
      <c r="D2234" s="15">
        <f>IF(Categorias_Registro[[#This Row],[Puntos]]=ROUND(Piso,0),ROUND(Categorias_Registro[[#This Row],[Puntos]]*(1+Categorias_Registro[[#This Row],[Amplitud]]),0),IF(Categorias_Registro[[#This Row],[Puntos]]&lt;D2235,D2235,ROUND(D2235*(1+Categorias_Registro[[#This Row],[Amplitud]]),0)))</f>
        <v>405</v>
      </c>
      <c r="E2234" s="15">
        <f>E2235+IF(D2235=Categorias_Registro[[#This Row],[Máximo]],0,1)</f>
        <v>11</v>
      </c>
      <c r="F2234" s="15">
        <f>ROUND(Categorias_Registro[[#This Row],[Mínimo]]+((Categorias_Registro[[#This Row],[Máximo]]-Categorias_Registro[[#This Row],[Mínimo]])/2),0)</f>
        <v>379</v>
      </c>
      <c r="G2234" s="78">
        <f>VLOOKUP(Categorias_Registro[[#This Row],[Puntos]],Categorias_Configuracion[],MATCH(Categorias_Configuracion[[#Headers],[% Amplitud]],Categorias_Configuracion[#Headers],0),TRUE)</f>
        <v>0.15</v>
      </c>
      <c r="H2234" s="15" t="str">
        <f ca="1">TEXT(Categorias_Registro[[#This Row],[Mínimo]],Formato_Rango_Categorias)&amp;" - "&amp;TEXT(Categorias_Registro[[#This Row],[Máximo]],Formato_Rango_Categorias)</f>
        <v>353 - 405</v>
      </c>
    </row>
    <row r="2235" spans="2:8">
      <c r="B2235" s="15">
        <f>Techo - ROW() + ROW(Categorias_Registro[])</f>
        <v>394</v>
      </c>
      <c r="C2235" s="15">
        <f>IF(Categorias_Registro[[#This Row],[Puntos]]&lt;=ROUND(Piso,0),Piso,IF(Categorias_Registro[[#This Row],[Puntos]]&lt;D2236,C2236,D2236+1))</f>
        <v>353</v>
      </c>
      <c r="D2235" s="15">
        <f>IF(Categorias_Registro[[#This Row],[Puntos]]=ROUND(Piso,0),ROUND(Categorias_Registro[[#This Row],[Puntos]]*(1+Categorias_Registro[[#This Row],[Amplitud]]),0),IF(Categorias_Registro[[#This Row],[Puntos]]&lt;D2236,D2236,ROUND(D2236*(1+Categorias_Registro[[#This Row],[Amplitud]]),0)))</f>
        <v>405</v>
      </c>
      <c r="E2235" s="15">
        <f>E2236+IF(D2236=Categorias_Registro[[#This Row],[Máximo]],0,1)</f>
        <v>11</v>
      </c>
      <c r="F2235" s="15">
        <f>ROUND(Categorias_Registro[[#This Row],[Mínimo]]+((Categorias_Registro[[#This Row],[Máximo]]-Categorias_Registro[[#This Row],[Mínimo]])/2),0)</f>
        <v>379</v>
      </c>
      <c r="G2235" s="78">
        <f>VLOOKUP(Categorias_Registro[[#This Row],[Puntos]],Categorias_Configuracion[],MATCH(Categorias_Configuracion[[#Headers],[% Amplitud]],Categorias_Configuracion[#Headers],0),TRUE)</f>
        <v>0.15</v>
      </c>
      <c r="H2235" s="15" t="str">
        <f ca="1">TEXT(Categorias_Registro[[#This Row],[Mínimo]],Formato_Rango_Categorias)&amp;" - "&amp;TEXT(Categorias_Registro[[#This Row],[Máximo]],Formato_Rango_Categorias)</f>
        <v>353 - 405</v>
      </c>
    </row>
    <row r="2236" spans="2:8">
      <c r="B2236" s="15">
        <f>Techo - ROW() + ROW(Categorias_Registro[])</f>
        <v>393</v>
      </c>
      <c r="C2236" s="15">
        <f>IF(Categorias_Registro[[#This Row],[Puntos]]&lt;=ROUND(Piso,0),Piso,IF(Categorias_Registro[[#This Row],[Puntos]]&lt;D2237,C2237,D2237+1))</f>
        <v>353</v>
      </c>
      <c r="D2236" s="15">
        <f>IF(Categorias_Registro[[#This Row],[Puntos]]=ROUND(Piso,0),ROUND(Categorias_Registro[[#This Row],[Puntos]]*(1+Categorias_Registro[[#This Row],[Amplitud]]),0),IF(Categorias_Registro[[#This Row],[Puntos]]&lt;D2237,D2237,ROUND(D2237*(1+Categorias_Registro[[#This Row],[Amplitud]]),0)))</f>
        <v>405</v>
      </c>
      <c r="E2236" s="15">
        <f>E2237+IF(D2237=Categorias_Registro[[#This Row],[Máximo]],0,1)</f>
        <v>11</v>
      </c>
      <c r="F2236" s="15">
        <f>ROUND(Categorias_Registro[[#This Row],[Mínimo]]+((Categorias_Registro[[#This Row],[Máximo]]-Categorias_Registro[[#This Row],[Mínimo]])/2),0)</f>
        <v>379</v>
      </c>
      <c r="G2236" s="78">
        <f>VLOOKUP(Categorias_Registro[[#This Row],[Puntos]],Categorias_Configuracion[],MATCH(Categorias_Configuracion[[#Headers],[% Amplitud]],Categorias_Configuracion[#Headers],0),TRUE)</f>
        <v>0.15</v>
      </c>
      <c r="H2236" s="15" t="str">
        <f ca="1">TEXT(Categorias_Registro[[#This Row],[Mínimo]],Formato_Rango_Categorias)&amp;" - "&amp;TEXT(Categorias_Registro[[#This Row],[Máximo]],Formato_Rango_Categorias)</f>
        <v>353 - 405</v>
      </c>
    </row>
    <row r="2237" spans="2:8">
      <c r="B2237" s="15">
        <f>Techo - ROW() + ROW(Categorias_Registro[])</f>
        <v>392</v>
      </c>
      <c r="C2237" s="15">
        <f>IF(Categorias_Registro[[#This Row],[Puntos]]&lt;=ROUND(Piso,0),Piso,IF(Categorias_Registro[[#This Row],[Puntos]]&lt;D2238,C2238,D2238+1))</f>
        <v>353</v>
      </c>
      <c r="D2237" s="15">
        <f>IF(Categorias_Registro[[#This Row],[Puntos]]=ROUND(Piso,0),ROUND(Categorias_Registro[[#This Row],[Puntos]]*(1+Categorias_Registro[[#This Row],[Amplitud]]),0),IF(Categorias_Registro[[#This Row],[Puntos]]&lt;D2238,D2238,ROUND(D2238*(1+Categorias_Registro[[#This Row],[Amplitud]]),0)))</f>
        <v>405</v>
      </c>
      <c r="E2237" s="15">
        <f>E2238+IF(D2238=Categorias_Registro[[#This Row],[Máximo]],0,1)</f>
        <v>11</v>
      </c>
      <c r="F2237" s="15">
        <f>ROUND(Categorias_Registro[[#This Row],[Mínimo]]+((Categorias_Registro[[#This Row],[Máximo]]-Categorias_Registro[[#This Row],[Mínimo]])/2),0)</f>
        <v>379</v>
      </c>
      <c r="G2237" s="78">
        <f>VLOOKUP(Categorias_Registro[[#This Row],[Puntos]],Categorias_Configuracion[],MATCH(Categorias_Configuracion[[#Headers],[% Amplitud]],Categorias_Configuracion[#Headers],0),TRUE)</f>
        <v>0.15</v>
      </c>
      <c r="H2237" s="15" t="str">
        <f ca="1">TEXT(Categorias_Registro[[#This Row],[Mínimo]],Formato_Rango_Categorias)&amp;" - "&amp;TEXT(Categorias_Registro[[#This Row],[Máximo]],Formato_Rango_Categorias)</f>
        <v>353 - 405</v>
      </c>
    </row>
    <row r="2238" spans="2:8">
      <c r="B2238" s="15">
        <f>Techo - ROW() + ROW(Categorias_Registro[])</f>
        <v>391</v>
      </c>
      <c r="C2238" s="15">
        <f>IF(Categorias_Registro[[#This Row],[Puntos]]&lt;=ROUND(Piso,0),Piso,IF(Categorias_Registro[[#This Row],[Puntos]]&lt;D2239,C2239,D2239+1))</f>
        <v>353</v>
      </c>
      <c r="D2238" s="15">
        <f>IF(Categorias_Registro[[#This Row],[Puntos]]=ROUND(Piso,0),ROUND(Categorias_Registro[[#This Row],[Puntos]]*(1+Categorias_Registro[[#This Row],[Amplitud]]),0),IF(Categorias_Registro[[#This Row],[Puntos]]&lt;D2239,D2239,ROUND(D2239*(1+Categorias_Registro[[#This Row],[Amplitud]]),0)))</f>
        <v>405</v>
      </c>
      <c r="E2238" s="15">
        <f>E2239+IF(D2239=Categorias_Registro[[#This Row],[Máximo]],0,1)</f>
        <v>11</v>
      </c>
      <c r="F2238" s="15">
        <f>ROUND(Categorias_Registro[[#This Row],[Mínimo]]+((Categorias_Registro[[#This Row],[Máximo]]-Categorias_Registro[[#This Row],[Mínimo]])/2),0)</f>
        <v>379</v>
      </c>
      <c r="G2238" s="78">
        <f>VLOOKUP(Categorias_Registro[[#This Row],[Puntos]],Categorias_Configuracion[],MATCH(Categorias_Configuracion[[#Headers],[% Amplitud]],Categorias_Configuracion[#Headers],0),TRUE)</f>
        <v>0.15</v>
      </c>
      <c r="H2238" s="15" t="str">
        <f ca="1">TEXT(Categorias_Registro[[#This Row],[Mínimo]],Formato_Rango_Categorias)&amp;" - "&amp;TEXT(Categorias_Registro[[#This Row],[Máximo]],Formato_Rango_Categorias)</f>
        <v>353 - 405</v>
      </c>
    </row>
    <row r="2239" spans="2:8">
      <c r="B2239" s="15">
        <f>Techo - ROW() + ROW(Categorias_Registro[])</f>
        <v>390</v>
      </c>
      <c r="C2239" s="15">
        <f>IF(Categorias_Registro[[#This Row],[Puntos]]&lt;=ROUND(Piso,0),Piso,IF(Categorias_Registro[[#This Row],[Puntos]]&lt;D2240,C2240,D2240+1))</f>
        <v>353</v>
      </c>
      <c r="D2239" s="15">
        <f>IF(Categorias_Registro[[#This Row],[Puntos]]=ROUND(Piso,0),ROUND(Categorias_Registro[[#This Row],[Puntos]]*(1+Categorias_Registro[[#This Row],[Amplitud]]),0),IF(Categorias_Registro[[#This Row],[Puntos]]&lt;D2240,D2240,ROUND(D2240*(1+Categorias_Registro[[#This Row],[Amplitud]]),0)))</f>
        <v>405</v>
      </c>
      <c r="E2239" s="15">
        <f>E2240+IF(D2240=Categorias_Registro[[#This Row],[Máximo]],0,1)</f>
        <v>11</v>
      </c>
      <c r="F2239" s="15">
        <f>ROUND(Categorias_Registro[[#This Row],[Mínimo]]+((Categorias_Registro[[#This Row],[Máximo]]-Categorias_Registro[[#This Row],[Mínimo]])/2),0)</f>
        <v>379</v>
      </c>
      <c r="G2239" s="78">
        <f>VLOOKUP(Categorias_Registro[[#This Row],[Puntos]],Categorias_Configuracion[],MATCH(Categorias_Configuracion[[#Headers],[% Amplitud]],Categorias_Configuracion[#Headers],0),TRUE)</f>
        <v>0.15</v>
      </c>
      <c r="H2239" s="15" t="str">
        <f ca="1">TEXT(Categorias_Registro[[#This Row],[Mínimo]],Formato_Rango_Categorias)&amp;" - "&amp;TEXT(Categorias_Registro[[#This Row],[Máximo]],Formato_Rango_Categorias)</f>
        <v>353 - 405</v>
      </c>
    </row>
    <row r="2240" spans="2:8">
      <c r="B2240" s="15">
        <f>Techo - ROW() + ROW(Categorias_Registro[])</f>
        <v>389</v>
      </c>
      <c r="C2240" s="15">
        <f>IF(Categorias_Registro[[#This Row],[Puntos]]&lt;=ROUND(Piso,0),Piso,IF(Categorias_Registro[[#This Row],[Puntos]]&lt;D2241,C2241,D2241+1))</f>
        <v>353</v>
      </c>
      <c r="D2240" s="15">
        <f>IF(Categorias_Registro[[#This Row],[Puntos]]=ROUND(Piso,0),ROUND(Categorias_Registro[[#This Row],[Puntos]]*(1+Categorias_Registro[[#This Row],[Amplitud]]),0),IF(Categorias_Registro[[#This Row],[Puntos]]&lt;D2241,D2241,ROUND(D2241*(1+Categorias_Registro[[#This Row],[Amplitud]]),0)))</f>
        <v>405</v>
      </c>
      <c r="E2240" s="15">
        <f>E2241+IF(D2241=Categorias_Registro[[#This Row],[Máximo]],0,1)</f>
        <v>11</v>
      </c>
      <c r="F2240" s="15">
        <f>ROUND(Categorias_Registro[[#This Row],[Mínimo]]+((Categorias_Registro[[#This Row],[Máximo]]-Categorias_Registro[[#This Row],[Mínimo]])/2),0)</f>
        <v>379</v>
      </c>
      <c r="G2240" s="78">
        <f>VLOOKUP(Categorias_Registro[[#This Row],[Puntos]],Categorias_Configuracion[],MATCH(Categorias_Configuracion[[#Headers],[% Amplitud]],Categorias_Configuracion[#Headers],0),TRUE)</f>
        <v>0.15</v>
      </c>
      <c r="H2240" s="15" t="str">
        <f ca="1">TEXT(Categorias_Registro[[#This Row],[Mínimo]],Formato_Rango_Categorias)&amp;" - "&amp;TEXT(Categorias_Registro[[#This Row],[Máximo]],Formato_Rango_Categorias)</f>
        <v>353 - 405</v>
      </c>
    </row>
    <row r="2241" spans="2:8">
      <c r="B2241" s="15">
        <f>Techo - ROW() + ROW(Categorias_Registro[])</f>
        <v>388</v>
      </c>
      <c r="C2241" s="15">
        <f>IF(Categorias_Registro[[#This Row],[Puntos]]&lt;=ROUND(Piso,0),Piso,IF(Categorias_Registro[[#This Row],[Puntos]]&lt;D2242,C2242,D2242+1))</f>
        <v>353</v>
      </c>
      <c r="D2241" s="15">
        <f>IF(Categorias_Registro[[#This Row],[Puntos]]=ROUND(Piso,0),ROUND(Categorias_Registro[[#This Row],[Puntos]]*(1+Categorias_Registro[[#This Row],[Amplitud]]),0),IF(Categorias_Registro[[#This Row],[Puntos]]&lt;D2242,D2242,ROUND(D2242*(1+Categorias_Registro[[#This Row],[Amplitud]]),0)))</f>
        <v>405</v>
      </c>
      <c r="E2241" s="15">
        <f>E2242+IF(D2242=Categorias_Registro[[#This Row],[Máximo]],0,1)</f>
        <v>11</v>
      </c>
      <c r="F2241" s="15">
        <f>ROUND(Categorias_Registro[[#This Row],[Mínimo]]+((Categorias_Registro[[#This Row],[Máximo]]-Categorias_Registro[[#This Row],[Mínimo]])/2),0)</f>
        <v>379</v>
      </c>
      <c r="G2241" s="78">
        <f>VLOOKUP(Categorias_Registro[[#This Row],[Puntos]],Categorias_Configuracion[],MATCH(Categorias_Configuracion[[#Headers],[% Amplitud]],Categorias_Configuracion[#Headers],0),TRUE)</f>
        <v>0.15</v>
      </c>
      <c r="H2241" s="15" t="str">
        <f ca="1">TEXT(Categorias_Registro[[#This Row],[Mínimo]],Formato_Rango_Categorias)&amp;" - "&amp;TEXT(Categorias_Registro[[#This Row],[Máximo]],Formato_Rango_Categorias)</f>
        <v>353 - 405</v>
      </c>
    </row>
    <row r="2242" spans="2:8">
      <c r="B2242" s="15">
        <f>Techo - ROW() + ROW(Categorias_Registro[])</f>
        <v>387</v>
      </c>
      <c r="C2242" s="15">
        <f>IF(Categorias_Registro[[#This Row],[Puntos]]&lt;=ROUND(Piso,0),Piso,IF(Categorias_Registro[[#This Row],[Puntos]]&lt;D2243,C2243,D2243+1))</f>
        <v>353</v>
      </c>
      <c r="D2242" s="15">
        <f>IF(Categorias_Registro[[#This Row],[Puntos]]=ROUND(Piso,0),ROUND(Categorias_Registro[[#This Row],[Puntos]]*(1+Categorias_Registro[[#This Row],[Amplitud]]),0),IF(Categorias_Registro[[#This Row],[Puntos]]&lt;D2243,D2243,ROUND(D2243*(1+Categorias_Registro[[#This Row],[Amplitud]]),0)))</f>
        <v>405</v>
      </c>
      <c r="E2242" s="15">
        <f>E2243+IF(D2243=Categorias_Registro[[#This Row],[Máximo]],0,1)</f>
        <v>11</v>
      </c>
      <c r="F2242" s="15">
        <f>ROUND(Categorias_Registro[[#This Row],[Mínimo]]+((Categorias_Registro[[#This Row],[Máximo]]-Categorias_Registro[[#This Row],[Mínimo]])/2),0)</f>
        <v>379</v>
      </c>
      <c r="G2242" s="78">
        <f>VLOOKUP(Categorias_Registro[[#This Row],[Puntos]],Categorias_Configuracion[],MATCH(Categorias_Configuracion[[#Headers],[% Amplitud]],Categorias_Configuracion[#Headers],0),TRUE)</f>
        <v>0.15</v>
      </c>
      <c r="H2242" s="15" t="str">
        <f ca="1">TEXT(Categorias_Registro[[#This Row],[Mínimo]],Formato_Rango_Categorias)&amp;" - "&amp;TEXT(Categorias_Registro[[#This Row],[Máximo]],Formato_Rango_Categorias)</f>
        <v>353 - 405</v>
      </c>
    </row>
    <row r="2243" spans="2:8">
      <c r="B2243" s="15">
        <f>Techo - ROW() + ROW(Categorias_Registro[])</f>
        <v>386</v>
      </c>
      <c r="C2243" s="15">
        <f>IF(Categorias_Registro[[#This Row],[Puntos]]&lt;=ROUND(Piso,0),Piso,IF(Categorias_Registro[[#This Row],[Puntos]]&lt;D2244,C2244,D2244+1))</f>
        <v>353</v>
      </c>
      <c r="D2243" s="15">
        <f>IF(Categorias_Registro[[#This Row],[Puntos]]=ROUND(Piso,0),ROUND(Categorias_Registro[[#This Row],[Puntos]]*(1+Categorias_Registro[[#This Row],[Amplitud]]),0),IF(Categorias_Registro[[#This Row],[Puntos]]&lt;D2244,D2244,ROUND(D2244*(1+Categorias_Registro[[#This Row],[Amplitud]]),0)))</f>
        <v>405</v>
      </c>
      <c r="E2243" s="15">
        <f>E2244+IF(D2244=Categorias_Registro[[#This Row],[Máximo]],0,1)</f>
        <v>11</v>
      </c>
      <c r="F2243" s="15">
        <f>ROUND(Categorias_Registro[[#This Row],[Mínimo]]+((Categorias_Registro[[#This Row],[Máximo]]-Categorias_Registro[[#This Row],[Mínimo]])/2),0)</f>
        <v>379</v>
      </c>
      <c r="G2243" s="78">
        <f>VLOOKUP(Categorias_Registro[[#This Row],[Puntos]],Categorias_Configuracion[],MATCH(Categorias_Configuracion[[#Headers],[% Amplitud]],Categorias_Configuracion[#Headers],0),TRUE)</f>
        <v>0.15</v>
      </c>
      <c r="H2243" s="15" t="str">
        <f ca="1">TEXT(Categorias_Registro[[#This Row],[Mínimo]],Formato_Rango_Categorias)&amp;" - "&amp;TEXT(Categorias_Registro[[#This Row],[Máximo]],Formato_Rango_Categorias)</f>
        <v>353 - 405</v>
      </c>
    </row>
    <row r="2244" spans="2:8">
      <c r="B2244" s="15">
        <f>Techo - ROW() + ROW(Categorias_Registro[])</f>
        <v>385</v>
      </c>
      <c r="C2244" s="15">
        <f>IF(Categorias_Registro[[#This Row],[Puntos]]&lt;=ROUND(Piso,0),Piso,IF(Categorias_Registro[[#This Row],[Puntos]]&lt;D2245,C2245,D2245+1))</f>
        <v>353</v>
      </c>
      <c r="D2244" s="15">
        <f>IF(Categorias_Registro[[#This Row],[Puntos]]=ROUND(Piso,0),ROUND(Categorias_Registro[[#This Row],[Puntos]]*(1+Categorias_Registro[[#This Row],[Amplitud]]),0),IF(Categorias_Registro[[#This Row],[Puntos]]&lt;D2245,D2245,ROUND(D2245*(1+Categorias_Registro[[#This Row],[Amplitud]]),0)))</f>
        <v>405</v>
      </c>
      <c r="E2244" s="15">
        <f>E2245+IF(D2245=Categorias_Registro[[#This Row],[Máximo]],0,1)</f>
        <v>11</v>
      </c>
      <c r="F2244" s="15">
        <f>ROUND(Categorias_Registro[[#This Row],[Mínimo]]+((Categorias_Registro[[#This Row],[Máximo]]-Categorias_Registro[[#This Row],[Mínimo]])/2),0)</f>
        <v>379</v>
      </c>
      <c r="G2244" s="78">
        <f>VLOOKUP(Categorias_Registro[[#This Row],[Puntos]],Categorias_Configuracion[],MATCH(Categorias_Configuracion[[#Headers],[% Amplitud]],Categorias_Configuracion[#Headers],0),TRUE)</f>
        <v>0.15</v>
      </c>
      <c r="H2244" s="15" t="str">
        <f ca="1">TEXT(Categorias_Registro[[#This Row],[Mínimo]],Formato_Rango_Categorias)&amp;" - "&amp;TEXT(Categorias_Registro[[#This Row],[Máximo]],Formato_Rango_Categorias)</f>
        <v>353 - 405</v>
      </c>
    </row>
    <row r="2245" spans="2:8">
      <c r="B2245" s="15">
        <f>Techo - ROW() + ROW(Categorias_Registro[])</f>
        <v>384</v>
      </c>
      <c r="C2245" s="15">
        <f>IF(Categorias_Registro[[#This Row],[Puntos]]&lt;=ROUND(Piso,0),Piso,IF(Categorias_Registro[[#This Row],[Puntos]]&lt;D2246,C2246,D2246+1))</f>
        <v>353</v>
      </c>
      <c r="D2245" s="15">
        <f>IF(Categorias_Registro[[#This Row],[Puntos]]=ROUND(Piso,0),ROUND(Categorias_Registro[[#This Row],[Puntos]]*(1+Categorias_Registro[[#This Row],[Amplitud]]),0),IF(Categorias_Registro[[#This Row],[Puntos]]&lt;D2246,D2246,ROUND(D2246*(1+Categorias_Registro[[#This Row],[Amplitud]]),0)))</f>
        <v>405</v>
      </c>
      <c r="E2245" s="15">
        <f>E2246+IF(D2246=Categorias_Registro[[#This Row],[Máximo]],0,1)</f>
        <v>11</v>
      </c>
      <c r="F2245" s="15">
        <f>ROUND(Categorias_Registro[[#This Row],[Mínimo]]+((Categorias_Registro[[#This Row],[Máximo]]-Categorias_Registro[[#This Row],[Mínimo]])/2),0)</f>
        <v>379</v>
      </c>
      <c r="G2245" s="78">
        <f>VLOOKUP(Categorias_Registro[[#This Row],[Puntos]],Categorias_Configuracion[],MATCH(Categorias_Configuracion[[#Headers],[% Amplitud]],Categorias_Configuracion[#Headers],0),TRUE)</f>
        <v>0.15</v>
      </c>
      <c r="H2245" s="15" t="str">
        <f ca="1">TEXT(Categorias_Registro[[#This Row],[Mínimo]],Formato_Rango_Categorias)&amp;" - "&amp;TEXT(Categorias_Registro[[#This Row],[Máximo]],Formato_Rango_Categorias)</f>
        <v>353 - 405</v>
      </c>
    </row>
    <row r="2246" spans="2:8">
      <c r="B2246" s="15">
        <f>Techo - ROW() + ROW(Categorias_Registro[])</f>
        <v>383</v>
      </c>
      <c r="C2246" s="15">
        <f>IF(Categorias_Registro[[#This Row],[Puntos]]&lt;=ROUND(Piso,0),Piso,IF(Categorias_Registro[[#This Row],[Puntos]]&lt;D2247,C2247,D2247+1))</f>
        <v>353</v>
      </c>
      <c r="D2246" s="15">
        <f>IF(Categorias_Registro[[#This Row],[Puntos]]=ROUND(Piso,0),ROUND(Categorias_Registro[[#This Row],[Puntos]]*(1+Categorias_Registro[[#This Row],[Amplitud]]),0),IF(Categorias_Registro[[#This Row],[Puntos]]&lt;D2247,D2247,ROUND(D2247*(1+Categorias_Registro[[#This Row],[Amplitud]]),0)))</f>
        <v>405</v>
      </c>
      <c r="E2246" s="15">
        <f>E2247+IF(D2247=Categorias_Registro[[#This Row],[Máximo]],0,1)</f>
        <v>11</v>
      </c>
      <c r="F2246" s="15">
        <f>ROUND(Categorias_Registro[[#This Row],[Mínimo]]+((Categorias_Registro[[#This Row],[Máximo]]-Categorias_Registro[[#This Row],[Mínimo]])/2),0)</f>
        <v>379</v>
      </c>
      <c r="G2246" s="78">
        <f>VLOOKUP(Categorias_Registro[[#This Row],[Puntos]],Categorias_Configuracion[],MATCH(Categorias_Configuracion[[#Headers],[% Amplitud]],Categorias_Configuracion[#Headers],0),TRUE)</f>
        <v>0.15</v>
      </c>
      <c r="H2246" s="15" t="str">
        <f ca="1">TEXT(Categorias_Registro[[#This Row],[Mínimo]],Formato_Rango_Categorias)&amp;" - "&amp;TEXT(Categorias_Registro[[#This Row],[Máximo]],Formato_Rango_Categorias)</f>
        <v>353 - 405</v>
      </c>
    </row>
    <row r="2247" spans="2:8">
      <c r="B2247" s="15">
        <f>Techo - ROW() + ROW(Categorias_Registro[])</f>
        <v>382</v>
      </c>
      <c r="C2247" s="15">
        <f>IF(Categorias_Registro[[#This Row],[Puntos]]&lt;=ROUND(Piso,0),Piso,IF(Categorias_Registro[[#This Row],[Puntos]]&lt;D2248,C2248,D2248+1))</f>
        <v>353</v>
      </c>
      <c r="D2247" s="15">
        <f>IF(Categorias_Registro[[#This Row],[Puntos]]=ROUND(Piso,0),ROUND(Categorias_Registro[[#This Row],[Puntos]]*(1+Categorias_Registro[[#This Row],[Amplitud]]),0),IF(Categorias_Registro[[#This Row],[Puntos]]&lt;D2248,D2248,ROUND(D2248*(1+Categorias_Registro[[#This Row],[Amplitud]]),0)))</f>
        <v>405</v>
      </c>
      <c r="E2247" s="15">
        <f>E2248+IF(D2248=Categorias_Registro[[#This Row],[Máximo]],0,1)</f>
        <v>11</v>
      </c>
      <c r="F2247" s="15">
        <f>ROUND(Categorias_Registro[[#This Row],[Mínimo]]+((Categorias_Registro[[#This Row],[Máximo]]-Categorias_Registro[[#This Row],[Mínimo]])/2),0)</f>
        <v>379</v>
      </c>
      <c r="G2247" s="78">
        <f>VLOOKUP(Categorias_Registro[[#This Row],[Puntos]],Categorias_Configuracion[],MATCH(Categorias_Configuracion[[#Headers],[% Amplitud]],Categorias_Configuracion[#Headers],0),TRUE)</f>
        <v>0.15</v>
      </c>
      <c r="H2247" s="15" t="str">
        <f ca="1">TEXT(Categorias_Registro[[#This Row],[Mínimo]],Formato_Rango_Categorias)&amp;" - "&amp;TEXT(Categorias_Registro[[#This Row],[Máximo]],Formato_Rango_Categorias)</f>
        <v>353 - 405</v>
      </c>
    </row>
    <row r="2248" spans="2:8">
      <c r="B2248" s="15">
        <f>Techo - ROW() + ROW(Categorias_Registro[])</f>
        <v>381</v>
      </c>
      <c r="C2248" s="15">
        <f>IF(Categorias_Registro[[#This Row],[Puntos]]&lt;=ROUND(Piso,0),Piso,IF(Categorias_Registro[[#This Row],[Puntos]]&lt;D2249,C2249,D2249+1))</f>
        <v>353</v>
      </c>
      <c r="D2248" s="15">
        <f>IF(Categorias_Registro[[#This Row],[Puntos]]=ROUND(Piso,0),ROUND(Categorias_Registro[[#This Row],[Puntos]]*(1+Categorias_Registro[[#This Row],[Amplitud]]),0),IF(Categorias_Registro[[#This Row],[Puntos]]&lt;D2249,D2249,ROUND(D2249*(1+Categorias_Registro[[#This Row],[Amplitud]]),0)))</f>
        <v>405</v>
      </c>
      <c r="E2248" s="15">
        <f>E2249+IF(D2249=Categorias_Registro[[#This Row],[Máximo]],0,1)</f>
        <v>11</v>
      </c>
      <c r="F2248" s="15">
        <f>ROUND(Categorias_Registro[[#This Row],[Mínimo]]+((Categorias_Registro[[#This Row],[Máximo]]-Categorias_Registro[[#This Row],[Mínimo]])/2),0)</f>
        <v>379</v>
      </c>
      <c r="G2248" s="78">
        <f>VLOOKUP(Categorias_Registro[[#This Row],[Puntos]],Categorias_Configuracion[],MATCH(Categorias_Configuracion[[#Headers],[% Amplitud]],Categorias_Configuracion[#Headers],0),TRUE)</f>
        <v>0.15</v>
      </c>
      <c r="H2248" s="15" t="str">
        <f ca="1">TEXT(Categorias_Registro[[#This Row],[Mínimo]],Formato_Rango_Categorias)&amp;" - "&amp;TEXT(Categorias_Registro[[#This Row],[Máximo]],Formato_Rango_Categorias)</f>
        <v>353 - 405</v>
      </c>
    </row>
    <row r="2249" spans="2:8">
      <c r="B2249" s="15">
        <f>Techo - ROW() + ROW(Categorias_Registro[])</f>
        <v>380</v>
      </c>
      <c r="C2249" s="15">
        <f>IF(Categorias_Registro[[#This Row],[Puntos]]&lt;=ROUND(Piso,0),Piso,IF(Categorias_Registro[[#This Row],[Puntos]]&lt;D2250,C2250,D2250+1))</f>
        <v>353</v>
      </c>
      <c r="D2249" s="15">
        <f>IF(Categorias_Registro[[#This Row],[Puntos]]=ROUND(Piso,0),ROUND(Categorias_Registro[[#This Row],[Puntos]]*(1+Categorias_Registro[[#This Row],[Amplitud]]),0),IF(Categorias_Registro[[#This Row],[Puntos]]&lt;D2250,D2250,ROUND(D2250*(1+Categorias_Registro[[#This Row],[Amplitud]]),0)))</f>
        <v>405</v>
      </c>
      <c r="E2249" s="15">
        <f>E2250+IF(D2250=Categorias_Registro[[#This Row],[Máximo]],0,1)</f>
        <v>11</v>
      </c>
      <c r="F2249" s="15">
        <f>ROUND(Categorias_Registro[[#This Row],[Mínimo]]+((Categorias_Registro[[#This Row],[Máximo]]-Categorias_Registro[[#This Row],[Mínimo]])/2),0)</f>
        <v>379</v>
      </c>
      <c r="G2249" s="78">
        <f>VLOOKUP(Categorias_Registro[[#This Row],[Puntos]],Categorias_Configuracion[],MATCH(Categorias_Configuracion[[#Headers],[% Amplitud]],Categorias_Configuracion[#Headers],0),TRUE)</f>
        <v>0.15</v>
      </c>
      <c r="H2249" s="15" t="str">
        <f ca="1">TEXT(Categorias_Registro[[#This Row],[Mínimo]],Formato_Rango_Categorias)&amp;" - "&amp;TEXT(Categorias_Registro[[#This Row],[Máximo]],Formato_Rango_Categorias)</f>
        <v>353 - 405</v>
      </c>
    </row>
    <row r="2250" spans="2:8">
      <c r="B2250" s="15">
        <f>Techo - ROW() + ROW(Categorias_Registro[])</f>
        <v>379</v>
      </c>
      <c r="C2250" s="15">
        <f>IF(Categorias_Registro[[#This Row],[Puntos]]&lt;=ROUND(Piso,0),Piso,IF(Categorias_Registro[[#This Row],[Puntos]]&lt;D2251,C2251,D2251+1))</f>
        <v>353</v>
      </c>
      <c r="D2250" s="15">
        <f>IF(Categorias_Registro[[#This Row],[Puntos]]=ROUND(Piso,0),ROUND(Categorias_Registro[[#This Row],[Puntos]]*(1+Categorias_Registro[[#This Row],[Amplitud]]),0),IF(Categorias_Registro[[#This Row],[Puntos]]&lt;D2251,D2251,ROUND(D2251*(1+Categorias_Registro[[#This Row],[Amplitud]]),0)))</f>
        <v>405</v>
      </c>
      <c r="E2250" s="15">
        <f>E2251+IF(D2251=Categorias_Registro[[#This Row],[Máximo]],0,1)</f>
        <v>11</v>
      </c>
      <c r="F2250" s="15">
        <f>ROUND(Categorias_Registro[[#This Row],[Mínimo]]+((Categorias_Registro[[#This Row],[Máximo]]-Categorias_Registro[[#This Row],[Mínimo]])/2),0)</f>
        <v>379</v>
      </c>
      <c r="G2250" s="78">
        <f>VLOOKUP(Categorias_Registro[[#This Row],[Puntos]],Categorias_Configuracion[],MATCH(Categorias_Configuracion[[#Headers],[% Amplitud]],Categorias_Configuracion[#Headers],0),TRUE)</f>
        <v>0.15</v>
      </c>
      <c r="H2250" s="15" t="str">
        <f ca="1">TEXT(Categorias_Registro[[#This Row],[Mínimo]],Formato_Rango_Categorias)&amp;" - "&amp;TEXT(Categorias_Registro[[#This Row],[Máximo]],Formato_Rango_Categorias)</f>
        <v>353 - 405</v>
      </c>
    </row>
    <row r="2251" spans="2:8">
      <c r="B2251" s="15">
        <f>Techo - ROW() + ROW(Categorias_Registro[])</f>
        <v>378</v>
      </c>
      <c r="C2251" s="15">
        <f>IF(Categorias_Registro[[#This Row],[Puntos]]&lt;=ROUND(Piso,0),Piso,IF(Categorias_Registro[[#This Row],[Puntos]]&lt;D2252,C2252,D2252+1))</f>
        <v>353</v>
      </c>
      <c r="D2251" s="15">
        <f>IF(Categorias_Registro[[#This Row],[Puntos]]=ROUND(Piso,0),ROUND(Categorias_Registro[[#This Row],[Puntos]]*(1+Categorias_Registro[[#This Row],[Amplitud]]),0),IF(Categorias_Registro[[#This Row],[Puntos]]&lt;D2252,D2252,ROUND(D2252*(1+Categorias_Registro[[#This Row],[Amplitud]]),0)))</f>
        <v>405</v>
      </c>
      <c r="E2251" s="15">
        <f>E2252+IF(D2252=Categorias_Registro[[#This Row],[Máximo]],0,1)</f>
        <v>11</v>
      </c>
      <c r="F2251" s="15">
        <f>ROUND(Categorias_Registro[[#This Row],[Mínimo]]+((Categorias_Registro[[#This Row],[Máximo]]-Categorias_Registro[[#This Row],[Mínimo]])/2),0)</f>
        <v>379</v>
      </c>
      <c r="G2251" s="78">
        <f>VLOOKUP(Categorias_Registro[[#This Row],[Puntos]],Categorias_Configuracion[],MATCH(Categorias_Configuracion[[#Headers],[% Amplitud]],Categorias_Configuracion[#Headers],0),TRUE)</f>
        <v>0.15</v>
      </c>
      <c r="H2251" s="15" t="str">
        <f ca="1">TEXT(Categorias_Registro[[#This Row],[Mínimo]],Formato_Rango_Categorias)&amp;" - "&amp;TEXT(Categorias_Registro[[#This Row],[Máximo]],Formato_Rango_Categorias)</f>
        <v>353 - 405</v>
      </c>
    </row>
    <row r="2252" spans="2:8">
      <c r="B2252" s="15">
        <f>Techo - ROW() + ROW(Categorias_Registro[])</f>
        <v>377</v>
      </c>
      <c r="C2252" s="15">
        <f>IF(Categorias_Registro[[#This Row],[Puntos]]&lt;=ROUND(Piso,0),Piso,IF(Categorias_Registro[[#This Row],[Puntos]]&lt;D2253,C2253,D2253+1))</f>
        <v>353</v>
      </c>
      <c r="D2252" s="15">
        <f>IF(Categorias_Registro[[#This Row],[Puntos]]=ROUND(Piso,0),ROUND(Categorias_Registro[[#This Row],[Puntos]]*(1+Categorias_Registro[[#This Row],[Amplitud]]),0),IF(Categorias_Registro[[#This Row],[Puntos]]&lt;D2253,D2253,ROUND(D2253*(1+Categorias_Registro[[#This Row],[Amplitud]]),0)))</f>
        <v>405</v>
      </c>
      <c r="E2252" s="15">
        <f>E2253+IF(D2253=Categorias_Registro[[#This Row],[Máximo]],0,1)</f>
        <v>11</v>
      </c>
      <c r="F2252" s="15">
        <f>ROUND(Categorias_Registro[[#This Row],[Mínimo]]+((Categorias_Registro[[#This Row],[Máximo]]-Categorias_Registro[[#This Row],[Mínimo]])/2),0)</f>
        <v>379</v>
      </c>
      <c r="G2252" s="78">
        <f>VLOOKUP(Categorias_Registro[[#This Row],[Puntos]],Categorias_Configuracion[],MATCH(Categorias_Configuracion[[#Headers],[% Amplitud]],Categorias_Configuracion[#Headers],0),TRUE)</f>
        <v>0.15</v>
      </c>
      <c r="H2252" s="15" t="str">
        <f ca="1">TEXT(Categorias_Registro[[#This Row],[Mínimo]],Formato_Rango_Categorias)&amp;" - "&amp;TEXT(Categorias_Registro[[#This Row],[Máximo]],Formato_Rango_Categorias)</f>
        <v>353 - 405</v>
      </c>
    </row>
    <row r="2253" spans="2:8">
      <c r="B2253" s="15">
        <f>Techo - ROW() + ROW(Categorias_Registro[])</f>
        <v>376</v>
      </c>
      <c r="C2253" s="15">
        <f>IF(Categorias_Registro[[#This Row],[Puntos]]&lt;=ROUND(Piso,0),Piso,IF(Categorias_Registro[[#This Row],[Puntos]]&lt;D2254,C2254,D2254+1))</f>
        <v>353</v>
      </c>
      <c r="D2253" s="15">
        <f>IF(Categorias_Registro[[#This Row],[Puntos]]=ROUND(Piso,0),ROUND(Categorias_Registro[[#This Row],[Puntos]]*(1+Categorias_Registro[[#This Row],[Amplitud]]),0),IF(Categorias_Registro[[#This Row],[Puntos]]&lt;D2254,D2254,ROUND(D2254*(1+Categorias_Registro[[#This Row],[Amplitud]]),0)))</f>
        <v>405</v>
      </c>
      <c r="E2253" s="15">
        <f>E2254+IF(D2254=Categorias_Registro[[#This Row],[Máximo]],0,1)</f>
        <v>11</v>
      </c>
      <c r="F2253" s="15">
        <f>ROUND(Categorias_Registro[[#This Row],[Mínimo]]+((Categorias_Registro[[#This Row],[Máximo]]-Categorias_Registro[[#This Row],[Mínimo]])/2),0)</f>
        <v>379</v>
      </c>
      <c r="G2253" s="78">
        <f>VLOOKUP(Categorias_Registro[[#This Row],[Puntos]],Categorias_Configuracion[],MATCH(Categorias_Configuracion[[#Headers],[% Amplitud]],Categorias_Configuracion[#Headers],0),TRUE)</f>
        <v>0.15</v>
      </c>
      <c r="H2253" s="15" t="str">
        <f ca="1">TEXT(Categorias_Registro[[#This Row],[Mínimo]],Formato_Rango_Categorias)&amp;" - "&amp;TEXT(Categorias_Registro[[#This Row],[Máximo]],Formato_Rango_Categorias)</f>
        <v>353 - 405</v>
      </c>
    </row>
    <row r="2254" spans="2:8">
      <c r="B2254" s="15">
        <f>Techo - ROW() + ROW(Categorias_Registro[])</f>
        <v>375</v>
      </c>
      <c r="C2254" s="15">
        <f>IF(Categorias_Registro[[#This Row],[Puntos]]&lt;=ROUND(Piso,0),Piso,IF(Categorias_Registro[[#This Row],[Puntos]]&lt;D2255,C2255,D2255+1))</f>
        <v>353</v>
      </c>
      <c r="D2254" s="15">
        <f>IF(Categorias_Registro[[#This Row],[Puntos]]=ROUND(Piso,0),ROUND(Categorias_Registro[[#This Row],[Puntos]]*(1+Categorias_Registro[[#This Row],[Amplitud]]),0),IF(Categorias_Registro[[#This Row],[Puntos]]&lt;D2255,D2255,ROUND(D2255*(1+Categorias_Registro[[#This Row],[Amplitud]]),0)))</f>
        <v>405</v>
      </c>
      <c r="E2254" s="15">
        <f>E2255+IF(D2255=Categorias_Registro[[#This Row],[Máximo]],0,1)</f>
        <v>11</v>
      </c>
      <c r="F2254" s="15">
        <f>ROUND(Categorias_Registro[[#This Row],[Mínimo]]+((Categorias_Registro[[#This Row],[Máximo]]-Categorias_Registro[[#This Row],[Mínimo]])/2),0)</f>
        <v>379</v>
      </c>
      <c r="G2254" s="78">
        <f>VLOOKUP(Categorias_Registro[[#This Row],[Puntos]],Categorias_Configuracion[],MATCH(Categorias_Configuracion[[#Headers],[% Amplitud]],Categorias_Configuracion[#Headers],0),TRUE)</f>
        <v>0.15</v>
      </c>
      <c r="H2254" s="15" t="str">
        <f ca="1">TEXT(Categorias_Registro[[#This Row],[Mínimo]],Formato_Rango_Categorias)&amp;" - "&amp;TEXT(Categorias_Registro[[#This Row],[Máximo]],Formato_Rango_Categorias)</f>
        <v>353 - 405</v>
      </c>
    </row>
    <row r="2255" spans="2:8">
      <c r="B2255" s="15">
        <f>Techo - ROW() + ROW(Categorias_Registro[])</f>
        <v>374</v>
      </c>
      <c r="C2255" s="15">
        <f>IF(Categorias_Registro[[#This Row],[Puntos]]&lt;=ROUND(Piso,0),Piso,IF(Categorias_Registro[[#This Row],[Puntos]]&lt;D2256,C2256,D2256+1))</f>
        <v>353</v>
      </c>
      <c r="D2255" s="15">
        <f>IF(Categorias_Registro[[#This Row],[Puntos]]=ROUND(Piso,0),ROUND(Categorias_Registro[[#This Row],[Puntos]]*(1+Categorias_Registro[[#This Row],[Amplitud]]),0),IF(Categorias_Registro[[#This Row],[Puntos]]&lt;D2256,D2256,ROUND(D2256*(1+Categorias_Registro[[#This Row],[Amplitud]]),0)))</f>
        <v>405</v>
      </c>
      <c r="E2255" s="15">
        <f>E2256+IF(D2256=Categorias_Registro[[#This Row],[Máximo]],0,1)</f>
        <v>11</v>
      </c>
      <c r="F2255" s="15">
        <f>ROUND(Categorias_Registro[[#This Row],[Mínimo]]+((Categorias_Registro[[#This Row],[Máximo]]-Categorias_Registro[[#This Row],[Mínimo]])/2),0)</f>
        <v>379</v>
      </c>
      <c r="G2255" s="78">
        <f>VLOOKUP(Categorias_Registro[[#This Row],[Puntos]],Categorias_Configuracion[],MATCH(Categorias_Configuracion[[#Headers],[% Amplitud]],Categorias_Configuracion[#Headers],0),TRUE)</f>
        <v>0.15</v>
      </c>
      <c r="H2255" s="15" t="str">
        <f ca="1">TEXT(Categorias_Registro[[#This Row],[Mínimo]],Formato_Rango_Categorias)&amp;" - "&amp;TEXT(Categorias_Registro[[#This Row],[Máximo]],Formato_Rango_Categorias)</f>
        <v>353 - 405</v>
      </c>
    </row>
    <row r="2256" spans="2:8">
      <c r="B2256" s="15">
        <f>Techo - ROW() + ROW(Categorias_Registro[])</f>
        <v>373</v>
      </c>
      <c r="C2256" s="15">
        <f>IF(Categorias_Registro[[#This Row],[Puntos]]&lt;=ROUND(Piso,0),Piso,IF(Categorias_Registro[[#This Row],[Puntos]]&lt;D2257,C2257,D2257+1))</f>
        <v>353</v>
      </c>
      <c r="D2256" s="15">
        <f>IF(Categorias_Registro[[#This Row],[Puntos]]=ROUND(Piso,0),ROUND(Categorias_Registro[[#This Row],[Puntos]]*(1+Categorias_Registro[[#This Row],[Amplitud]]),0),IF(Categorias_Registro[[#This Row],[Puntos]]&lt;D2257,D2257,ROUND(D2257*(1+Categorias_Registro[[#This Row],[Amplitud]]),0)))</f>
        <v>405</v>
      </c>
      <c r="E2256" s="15">
        <f>E2257+IF(D2257=Categorias_Registro[[#This Row],[Máximo]],0,1)</f>
        <v>11</v>
      </c>
      <c r="F2256" s="15">
        <f>ROUND(Categorias_Registro[[#This Row],[Mínimo]]+((Categorias_Registro[[#This Row],[Máximo]]-Categorias_Registro[[#This Row],[Mínimo]])/2),0)</f>
        <v>379</v>
      </c>
      <c r="G2256" s="78">
        <f>VLOOKUP(Categorias_Registro[[#This Row],[Puntos]],Categorias_Configuracion[],MATCH(Categorias_Configuracion[[#Headers],[% Amplitud]],Categorias_Configuracion[#Headers],0),TRUE)</f>
        <v>0.15</v>
      </c>
      <c r="H2256" s="15" t="str">
        <f ca="1">TEXT(Categorias_Registro[[#This Row],[Mínimo]],Formato_Rango_Categorias)&amp;" - "&amp;TEXT(Categorias_Registro[[#This Row],[Máximo]],Formato_Rango_Categorias)</f>
        <v>353 - 405</v>
      </c>
    </row>
    <row r="2257" spans="2:8">
      <c r="B2257" s="15">
        <f>Techo - ROW() + ROW(Categorias_Registro[])</f>
        <v>372</v>
      </c>
      <c r="C2257" s="15">
        <f>IF(Categorias_Registro[[#This Row],[Puntos]]&lt;=ROUND(Piso,0),Piso,IF(Categorias_Registro[[#This Row],[Puntos]]&lt;D2258,C2258,D2258+1))</f>
        <v>353</v>
      </c>
      <c r="D2257" s="15">
        <f>IF(Categorias_Registro[[#This Row],[Puntos]]=ROUND(Piso,0),ROUND(Categorias_Registro[[#This Row],[Puntos]]*(1+Categorias_Registro[[#This Row],[Amplitud]]),0),IF(Categorias_Registro[[#This Row],[Puntos]]&lt;D2258,D2258,ROUND(D2258*(1+Categorias_Registro[[#This Row],[Amplitud]]),0)))</f>
        <v>405</v>
      </c>
      <c r="E2257" s="15">
        <f>E2258+IF(D2258=Categorias_Registro[[#This Row],[Máximo]],0,1)</f>
        <v>11</v>
      </c>
      <c r="F2257" s="15">
        <f>ROUND(Categorias_Registro[[#This Row],[Mínimo]]+((Categorias_Registro[[#This Row],[Máximo]]-Categorias_Registro[[#This Row],[Mínimo]])/2),0)</f>
        <v>379</v>
      </c>
      <c r="G2257" s="78">
        <f>VLOOKUP(Categorias_Registro[[#This Row],[Puntos]],Categorias_Configuracion[],MATCH(Categorias_Configuracion[[#Headers],[% Amplitud]],Categorias_Configuracion[#Headers],0),TRUE)</f>
        <v>0.15</v>
      </c>
      <c r="H2257" s="15" t="str">
        <f ca="1">TEXT(Categorias_Registro[[#This Row],[Mínimo]],Formato_Rango_Categorias)&amp;" - "&amp;TEXT(Categorias_Registro[[#This Row],[Máximo]],Formato_Rango_Categorias)</f>
        <v>353 - 405</v>
      </c>
    </row>
    <row r="2258" spans="2:8">
      <c r="B2258" s="15">
        <f>Techo - ROW() + ROW(Categorias_Registro[])</f>
        <v>371</v>
      </c>
      <c r="C2258" s="15">
        <f>IF(Categorias_Registro[[#This Row],[Puntos]]&lt;=ROUND(Piso,0),Piso,IF(Categorias_Registro[[#This Row],[Puntos]]&lt;D2259,C2259,D2259+1))</f>
        <v>353</v>
      </c>
      <c r="D2258" s="15">
        <f>IF(Categorias_Registro[[#This Row],[Puntos]]=ROUND(Piso,0),ROUND(Categorias_Registro[[#This Row],[Puntos]]*(1+Categorias_Registro[[#This Row],[Amplitud]]),0),IF(Categorias_Registro[[#This Row],[Puntos]]&lt;D2259,D2259,ROUND(D2259*(1+Categorias_Registro[[#This Row],[Amplitud]]),0)))</f>
        <v>405</v>
      </c>
      <c r="E2258" s="15">
        <f>E2259+IF(D2259=Categorias_Registro[[#This Row],[Máximo]],0,1)</f>
        <v>11</v>
      </c>
      <c r="F2258" s="15">
        <f>ROUND(Categorias_Registro[[#This Row],[Mínimo]]+((Categorias_Registro[[#This Row],[Máximo]]-Categorias_Registro[[#This Row],[Mínimo]])/2),0)</f>
        <v>379</v>
      </c>
      <c r="G2258" s="78">
        <f>VLOOKUP(Categorias_Registro[[#This Row],[Puntos]],Categorias_Configuracion[],MATCH(Categorias_Configuracion[[#Headers],[% Amplitud]],Categorias_Configuracion[#Headers],0),TRUE)</f>
        <v>0.15</v>
      </c>
      <c r="H2258" s="15" t="str">
        <f ca="1">TEXT(Categorias_Registro[[#This Row],[Mínimo]],Formato_Rango_Categorias)&amp;" - "&amp;TEXT(Categorias_Registro[[#This Row],[Máximo]],Formato_Rango_Categorias)</f>
        <v>353 - 405</v>
      </c>
    </row>
    <row r="2259" spans="2:8">
      <c r="B2259" s="15">
        <f>Techo - ROW() + ROW(Categorias_Registro[])</f>
        <v>370</v>
      </c>
      <c r="C2259" s="15">
        <f>IF(Categorias_Registro[[#This Row],[Puntos]]&lt;=ROUND(Piso,0),Piso,IF(Categorias_Registro[[#This Row],[Puntos]]&lt;D2260,C2260,D2260+1))</f>
        <v>353</v>
      </c>
      <c r="D2259" s="15">
        <f>IF(Categorias_Registro[[#This Row],[Puntos]]=ROUND(Piso,0),ROUND(Categorias_Registro[[#This Row],[Puntos]]*(1+Categorias_Registro[[#This Row],[Amplitud]]),0),IF(Categorias_Registro[[#This Row],[Puntos]]&lt;D2260,D2260,ROUND(D2260*(1+Categorias_Registro[[#This Row],[Amplitud]]),0)))</f>
        <v>405</v>
      </c>
      <c r="E2259" s="15">
        <f>E2260+IF(D2260=Categorias_Registro[[#This Row],[Máximo]],0,1)</f>
        <v>11</v>
      </c>
      <c r="F2259" s="15">
        <f>ROUND(Categorias_Registro[[#This Row],[Mínimo]]+((Categorias_Registro[[#This Row],[Máximo]]-Categorias_Registro[[#This Row],[Mínimo]])/2),0)</f>
        <v>379</v>
      </c>
      <c r="G2259" s="78">
        <f>VLOOKUP(Categorias_Registro[[#This Row],[Puntos]],Categorias_Configuracion[],MATCH(Categorias_Configuracion[[#Headers],[% Amplitud]],Categorias_Configuracion[#Headers],0),TRUE)</f>
        <v>0.15</v>
      </c>
      <c r="H2259" s="15" t="str">
        <f ca="1">TEXT(Categorias_Registro[[#This Row],[Mínimo]],Formato_Rango_Categorias)&amp;" - "&amp;TEXT(Categorias_Registro[[#This Row],[Máximo]],Formato_Rango_Categorias)</f>
        <v>353 - 405</v>
      </c>
    </row>
    <row r="2260" spans="2:8">
      <c r="B2260" s="15">
        <f>Techo - ROW() + ROW(Categorias_Registro[])</f>
        <v>369</v>
      </c>
      <c r="C2260" s="15">
        <f>IF(Categorias_Registro[[#This Row],[Puntos]]&lt;=ROUND(Piso,0),Piso,IF(Categorias_Registro[[#This Row],[Puntos]]&lt;D2261,C2261,D2261+1))</f>
        <v>353</v>
      </c>
      <c r="D2260" s="15">
        <f>IF(Categorias_Registro[[#This Row],[Puntos]]=ROUND(Piso,0),ROUND(Categorias_Registro[[#This Row],[Puntos]]*(1+Categorias_Registro[[#This Row],[Amplitud]]),0),IF(Categorias_Registro[[#This Row],[Puntos]]&lt;D2261,D2261,ROUND(D2261*(1+Categorias_Registro[[#This Row],[Amplitud]]),0)))</f>
        <v>405</v>
      </c>
      <c r="E2260" s="15">
        <f>E2261+IF(D2261=Categorias_Registro[[#This Row],[Máximo]],0,1)</f>
        <v>11</v>
      </c>
      <c r="F2260" s="15">
        <f>ROUND(Categorias_Registro[[#This Row],[Mínimo]]+((Categorias_Registro[[#This Row],[Máximo]]-Categorias_Registro[[#This Row],[Mínimo]])/2),0)</f>
        <v>379</v>
      </c>
      <c r="G2260" s="78">
        <f>VLOOKUP(Categorias_Registro[[#This Row],[Puntos]],Categorias_Configuracion[],MATCH(Categorias_Configuracion[[#Headers],[% Amplitud]],Categorias_Configuracion[#Headers],0),TRUE)</f>
        <v>0.15</v>
      </c>
      <c r="H2260" s="15" t="str">
        <f ca="1">TEXT(Categorias_Registro[[#This Row],[Mínimo]],Formato_Rango_Categorias)&amp;" - "&amp;TEXT(Categorias_Registro[[#This Row],[Máximo]],Formato_Rango_Categorias)</f>
        <v>353 - 405</v>
      </c>
    </row>
    <row r="2261" spans="2:8">
      <c r="B2261" s="15">
        <f>Techo - ROW() + ROW(Categorias_Registro[])</f>
        <v>368</v>
      </c>
      <c r="C2261" s="15">
        <f>IF(Categorias_Registro[[#This Row],[Puntos]]&lt;=ROUND(Piso,0),Piso,IF(Categorias_Registro[[#This Row],[Puntos]]&lt;D2262,C2262,D2262+1))</f>
        <v>353</v>
      </c>
      <c r="D2261" s="15">
        <f>IF(Categorias_Registro[[#This Row],[Puntos]]=ROUND(Piso,0),ROUND(Categorias_Registro[[#This Row],[Puntos]]*(1+Categorias_Registro[[#This Row],[Amplitud]]),0),IF(Categorias_Registro[[#This Row],[Puntos]]&lt;D2262,D2262,ROUND(D2262*(1+Categorias_Registro[[#This Row],[Amplitud]]),0)))</f>
        <v>405</v>
      </c>
      <c r="E2261" s="15">
        <f>E2262+IF(D2262=Categorias_Registro[[#This Row],[Máximo]],0,1)</f>
        <v>11</v>
      </c>
      <c r="F2261" s="15">
        <f>ROUND(Categorias_Registro[[#This Row],[Mínimo]]+((Categorias_Registro[[#This Row],[Máximo]]-Categorias_Registro[[#This Row],[Mínimo]])/2),0)</f>
        <v>379</v>
      </c>
      <c r="G2261" s="78">
        <f>VLOOKUP(Categorias_Registro[[#This Row],[Puntos]],Categorias_Configuracion[],MATCH(Categorias_Configuracion[[#Headers],[% Amplitud]],Categorias_Configuracion[#Headers],0),TRUE)</f>
        <v>0.15</v>
      </c>
      <c r="H2261" s="15" t="str">
        <f ca="1">TEXT(Categorias_Registro[[#This Row],[Mínimo]],Formato_Rango_Categorias)&amp;" - "&amp;TEXT(Categorias_Registro[[#This Row],[Máximo]],Formato_Rango_Categorias)</f>
        <v>353 - 405</v>
      </c>
    </row>
    <row r="2262" spans="2:8">
      <c r="B2262" s="15">
        <f>Techo - ROW() + ROW(Categorias_Registro[])</f>
        <v>367</v>
      </c>
      <c r="C2262" s="15">
        <f>IF(Categorias_Registro[[#This Row],[Puntos]]&lt;=ROUND(Piso,0),Piso,IF(Categorias_Registro[[#This Row],[Puntos]]&lt;D2263,C2263,D2263+1))</f>
        <v>353</v>
      </c>
      <c r="D2262" s="15">
        <f>IF(Categorias_Registro[[#This Row],[Puntos]]=ROUND(Piso,0),ROUND(Categorias_Registro[[#This Row],[Puntos]]*(1+Categorias_Registro[[#This Row],[Amplitud]]),0),IF(Categorias_Registro[[#This Row],[Puntos]]&lt;D2263,D2263,ROUND(D2263*(1+Categorias_Registro[[#This Row],[Amplitud]]),0)))</f>
        <v>405</v>
      </c>
      <c r="E2262" s="15">
        <f>E2263+IF(D2263=Categorias_Registro[[#This Row],[Máximo]],0,1)</f>
        <v>11</v>
      </c>
      <c r="F2262" s="15">
        <f>ROUND(Categorias_Registro[[#This Row],[Mínimo]]+((Categorias_Registro[[#This Row],[Máximo]]-Categorias_Registro[[#This Row],[Mínimo]])/2),0)</f>
        <v>379</v>
      </c>
      <c r="G2262" s="78">
        <f>VLOOKUP(Categorias_Registro[[#This Row],[Puntos]],Categorias_Configuracion[],MATCH(Categorias_Configuracion[[#Headers],[% Amplitud]],Categorias_Configuracion[#Headers],0),TRUE)</f>
        <v>0.15</v>
      </c>
      <c r="H2262" s="15" t="str">
        <f ca="1">TEXT(Categorias_Registro[[#This Row],[Mínimo]],Formato_Rango_Categorias)&amp;" - "&amp;TEXT(Categorias_Registro[[#This Row],[Máximo]],Formato_Rango_Categorias)</f>
        <v>353 - 405</v>
      </c>
    </row>
    <row r="2263" spans="2:8">
      <c r="B2263" s="15">
        <f>Techo - ROW() + ROW(Categorias_Registro[])</f>
        <v>366</v>
      </c>
      <c r="C2263" s="15">
        <f>IF(Categorias_Registro[[#This Row],[Puntos]]&lt;=ROUND(Piso,0),Piso,IF(Categorias_Registro[[#This Row],[Puntos]]&lt;D2264,C2264,D2264+1))</f>
        <v>353</v>
      </c>
      <c r="D2263" s="15">
        <f>IF(Categorias_Registro[[#This Row],[Puntos]]=ROUND(Piso,0),ROUND(Categorias_Registro[[#This Row],[Puntos]]*(1+Categorias_Registro[[#This Row],[Amplitud]]),0),IF(Categorias_Registro[[#This Row],[Puntos]]&lt;D2264,D2264,ROUND(D2264*(1+Categorias_Registro[[#This Row],[Amplitud]]),0)))</f>
        <v>405</v>
      </c>
      <c r="E2263" s="15">
        <f>E2264+IF(D2264=Categorias_Registro[[#This Row],[Máximo]],0,1)</f>
        <v>11</v>
      </c>
      <c r="F2263" s="15">
        <f>ROUND(Categorias_Registro[[#This Row],[Mínimo]]+((Categorias_Registro[[#This Row],[Máximo]]-Categorias_Registro[[#This Row],[Mínimo]])/2),0)</f>
        <v>379</v>
      </c>
      <c r="G2263" s="78">
        <f>VLOOKUP(Categorias_Registro[[#This Row],[Puntos]],Categorias_Configuracion[],MATCH(Categorias_Configuracion[[#Headers],[% Amplitud]],Categorias_Configuracion[#Headers],0),TRUE)</f>
        <v>0.15</v>
      </c>
      <c r="H2263" s="15" t="str">
        <f ca="1">TEXT(Categorias_Registro[[#This Row],[Mínimo]],Formato_Rango_Categorias)&amp;" - "&amp;TEXT(Categorias_Registro[[#This Row],[Máximo]],Formato_Rango_Categorias)</f>
        <v>353 - 405</v>
      </c>
    </row>
    <row r="2264" spans="2:8">
      <c r="B2264" s="15">
        <f>Techo - ROW() + ROW(Categorias_Registro[])</f>
        <v>365</v>
      </c>
      <c r="C2264" s="15">
        <f>IF(Categorias_Registro[[#This Row],[Puntos]]&lt;=ROUND(Piso,0),Piso,IF(Categorias_Registro[[#This Row],[Puntos]]&lt;D2265,C2265,D2265+1))</f>
        <v>353</v>
      </c>
      <c r="D2264" s="15">
        <f>IF(Categorias_Registro[[#This Row],[Puntos]]=ROUND(Piso,0),ROUND(Categorias_Registro[[#This Row],[Puntos]]*(1+Categorias_Registro[[#This Row],[Amplitud]]),0),IF(Categorias_Registro[[#This Row],[Puntos]]&lt;D2265,D2265,ROUND(D2265*(1+Categorias_Registro[[#This Row],[Amplitud]]),0)))</f>
        <v>405</v>
      </c>
      <c r="E2264" s="15">
        <f>E2265+IF(D2265=Categorias_Registro[[#This Row],[Máximo]],0,1)</f>
        <v>11</v>
      </c>
      <c r="F2264" s="15">
        <f>ROUND(Categorias_Registro[[#This Row],[Mínimo]]+((Categorias_Registro[[#This Row],[Máximo]]-Categorias_Registro[[#This Row],[Mínimo]])/2),0)</f>
        <v>379</v>
      </c>
      <c r="G2264" s="78">
        <f>VLOOKUP(Categorias_Registro[[#This Row],[Puntos]],Categorias_Configuracion[],MATCH(Categorias_Configuracion[[#Headers],[% Amplitud]],Categorias_Configuracion[#Headers],0),TRUE)</f>
        <v>0.15</v>
      </c>
      <c r="H2264" s="15" t="str">
        <f ca="1">TEXT(Categorias_Registro[[#This Row],[Mínimo]],Formato_Rango_Categorias)&amp;" - "&amp;TEXT(Categorias_Registro[[#This Row],[Máximo]],Formato_Rango_Categorias)</f>
        <v>353 - 405</v>
      </c>
    </row>
    <row r="2265" spans="2:8">
      <c r="B2265" s="15">
        <f>Techo - ROW() + ROW(Categorias_Registro[])</f>
        <v>364</v>
      </c>
      <c r="C2265" s="15">
        <f>IF(Categorias_Registro[[#This Row],[Puntos]]&lt;=ROUND(Piso,0),Piso,IF(Categorias_Registro[[#This Row],[Puntos]]&lt;D2266,C2266,D2266+1))</f>
        <v>353</v>
      </c>
      <c r="D2265" s="15">
        <f>IF(Categorias_Registro[[#This Row],[Puntos]]=ROUND(Piso,0),ROUND(Categorias_Registro[[#This Row],[Puntos]]*(1+Categorias_Registro[[#This Row],[Amplitud]]),0),IF(Categorias_Registro[[#This Row],[Puntos]]&lt;D2266,D2266,ROUND(D2266*(1+Categorias_Registro[[#This Row],[Amplitud]]),0)))</f>
        <v>405</v>
      </c>
      <c r="E2265" s="15">
        <f>E2266+IF(D2266=Categorias_Registro[[#This Row],[Máximo]],0,1)</f>
        <v>11</v>
      </c>
      <c r="F2265" s="15">
        <f>ROUND(Categorias_Registro[[#This Row],[Mínimo]]+((Categorias_Registro[[#This Row],[Máximo]]-Categorias_Registro[[#This Row],[Mínimo]])/2),0)</f>
        <v>379</v>
      </c>
      <c r="G2265" s="78">
        <f>VLOOKUP(Categorias_Registro[[#This Row],[Puntos]],Categorias_Configuracion[],MATCH(Categorias_Configuracion[[#Headers],[% Amplitud]],Categorias_Configuracion[#Headers],0),TRUE)</f>
        <v>0.15</v>
      </c>
      <c r="H2265" s="15" t="str">
        <f ca="1">TEXT(Categorias_Registro[[#This Row],[Mínimo]],Formato_Rango_Categorias)&amp;" - "&amp;TEXT(Categorias_Registro[[#This Row],[Máximo]],Formato_Rango_Categorias)</f>
        <v>353 - 405</v>
      </c>
    </row>
    <row r="2266" spans="2:8">
      <c r="B2266" s="15">
        <f>Techo - ROW() + ROW(Categorias_Registro[])</f>
        <v>363</v>
      </c>
      <c r="C2266" s="15">
        <f>IF(Categorias_Registro[[#This Row],[Puntos]]&lt;=ROUND(Piso,0),Piso,IF(Categorias_Registro[[#This Row],[Puntos]]&lt;D2267,C2267,D2267+1))</f>
        <v>353</v>
      </c>
      <c r="D2266" s="15">
        <f>IF(Categorias_Registro[[#This Row],[Puntos]]=ROUND(Piso,0),ROUND(Categorias_Registro[[#This Row],[Puntos]]*(1+Categorias_Registro[[#This Row],[Amplitud]]),0),IF(Categorias_Registro[[#This Row],[Puntos]]&lt;D2267,D2267,ROUND(D2267*(1+Categorias_Registro[[#This Row],[Amplitud]]),0)))</f>
        <v>405</v>
      </c>
      <c r="E2266" s="15">
        <f>E2267+IF(D2267=Categorias_Registro[[#This Row],[Máximo]],0,1)</f>
        <v>11</v>
      </c>
      <c r="F2266" s="15">
        <f>ROUND(Categorias_Registro[[#This Row],[Mínimo]]+((Categorias_Registro[[#This Row],[Máximo]]-Categorias_Registro[[#This Row],[Mínimo]])/2),0)</f>
        <v>379</v>
      </c>
      <c r="G2266" s="78">
        <f>VLOOKUP(Categorias_Registro[[#This Row],[Puntos]],Categorias_Configuracion[],MATCH(Categorias_Configuracion[[#Headers],[% Amplitud]],Categorias_Configuracion[#Headers],0),TRUE)</f>
        <v>0.15</v>
      </c>
      <c r="H2266" s="15" t="str">
        <f ca="1">TEXT(Categorias_Registro[[#This Row],[Mínimo]],Formato_Rango_Categorias)&amp;" - "&amp;TEXT(Categorias_Registro[[#This Row],[Máximo]],Formato_Rango_Categorias)</f>
        <v>353 - 405</v>
      </c>
    </row>
    <row r="2267" spans="2:8">
      <c r="B2267" s="15">
        <f>Techo - ROW() + ROW(Categorias_Registro[])</f>
        <v>362</v>
      </c>
      <c r="C2267" s="15">
        <f>IF(Categorias_Registro[[#This Row],[Puntos]]&lt;=ROUND(Piso,0),Piso,IF(Categorias_Registro[[#This Row],[Puntos]]&lt;D2268,C2268,D2268+1))</f>
        <v>353</v>
      </c>
      <c r="D2267" s="15">
        <f>IF(Categorias_Registro[[#This Row],[Puntos]]=ROUND(Piso,0),ROUND(Categorias_Registro[[#This Row],[Puntos]]*(1+Categorias_Registro[[#This Row],[Amplitud]]),0),IF(Categorias_Registro[[#This Row],[Puntos]]&lt;D2268,D2268,ROUND(D2268*(1+Categorias_Registro[[#This Row],[Amplitud]]),0)))</f>
        <v>405</v>
      </c>
      <c r="E2267" s="15">
        <f>E2268+IF(D2268=Categorias_Registro[[#This Row],[Máximo]],0,1)</f>
        <v>11</v>
      </c>
      <c r="F2267" s="15">
        <f>ROUND(Categorias_Registro[[#This Row],[Mínimo]]+((Categorias_Registro[[#This Row],[Máximo]]-Categorias_Registro[[#This Row],[Mínimo]])/2),0)</f>
        <v>379</v>
      </c>
      <c r="G2267" s="78">
        <f>VLOOKUP(Categorias_Registro[[#This Row],[Puntos]],Categorias_Configuracion[],MATCH(Categorias_Configuracion[[#Headers],[% Amplitud]],Categorias_Configuracion[#Headers],0),TRUE)</f>
        <v>0.15</v>
      </c>
      <c r="H2267" s="15" t="str">
        <f ca="1">TEXT(Categorias_Registro[[#This Row],[Mínimo]],Formato_Rango_Categorias)&amp;" - "&amp;TEXT(Categorias_Registro[[#This Row],[Máximo]],Formato_Rango_Categorias)</f>
        <v>353 - 405</v>
      </c>
    </row>
    <row r="2268" spans="2:8">
      <c r="B2268" s="15">
        <f>Techo - ROW() + ROW(Categorias_Registro[])</f>
        <v>361</v>
      </c>
      <c r="C2268" s="15">
        <f>IF(Categorias_Registro[[#This Row],[Puntos]]&lt;=ROUND(Piso,0),Piso,IF(Categorias_Registro[[#This Row],[Puntos]]&lt;D2269,C2269,D2269+1))</f>
        <v>353</v>
      </c>
      <c r="D2268" s="15">
        <f>IF(Categorias_Registro[[#This Row],[Puntos]]=ROUND(Piso,0),ROUND(Categorias_Registro[[#This Row],[Puntos]]*(1+Categorias_Registro[[#This Row],[Amplitud]]),0),IF(Categorias_Registro[[#This Row],[Puntos]]&lt;D2269,D2269,ROUND(D2269*(1+Categorias_Registro[[#This Row],[Amplitud]]),0)))</f>
        <v>405</v>
      </c>
      <c r="E2268" s="15">
        <f>E2269+IF(D2269=Categorias_Registro[[#This Row],[Máximo]],0,1)</f>
        <v>11</v>
      </c>
      <c r="F2268" s="15">
        <f>ROUND(Categorias_Registro[[#This Row],[Mínimo]]+((Categorias_Registro[[#This Row],[Máximo]]-Categorias_Registro[[#This Row],[Mínimo]])/2),0)</f>
        <v>379</v>
      </c>
      <c r="G2268" s="78">
        <f>VLOOKUP(Categorias_Registro[[#This Row],[Puntos]],Categorias_Configuracion[],MATCH(Categorias_Configuracion[[#Headers],[% Amplitud]],Categorias_Configuracion[#Headers],0),TRUE)</f>
        <v>0.15</v>
      </c>
      <c r="H2268" s="15" t="str">
        <f ca="1">TEXT(Categorias_Registro[[#This Row],[Mínimo]],Formato_Rango_Categorias)&amp;" - "&amp;TEXT(Categorias_Registro[[#This Row],[Máximo]],Formato_Rango_Categorias)</f>
        <v>353 - 405</v>
      </c>
    </row>
    <row r="2269" spans="2:8">
      <c r="B2269" s="15">
        <f>Techo - ROW() + ROW(Categorias_Registro[])</f>
        <v>360</v>
      </c>
      <c r="C2269" s="15">
        <f>IF(Categorias_Registro[[#This Row],[Puntos]]&lt;=ROUND(Piso,0),Piso,IF(Categorias_Registro[[#This Row],[Puntos]]&lt;D2270,C2270,D2270+1))</f>
        <v>353</v>
      </c>
      <c r="D2269" s="15">
        <f>IF(Categorias_Registro[[#This Row],[Puntos]]=ROUND(Piso,0),ROUND(Categorias_Registro[[#This Row],[Puntos]]*(1+Categorias_Registro[[#This Row],[Amplitud]]),0),IF(Categorias_Registro[[#This Row],[Puntos]]&lt;D2270,D2270,ROUND(D2270*(1+Categorias_Registro[[#This Row],[Amplitud]]),0)))</f>
        <v>405</v>
      </c>
      <c r="E2269" s="15">
        <f>E2270+IF(D2270=Categorias_Registro[[#This Row],[Máximo]],0,1)</f>
        <v>11</v>
      </c>
      <c r="F2269" s="15">
        <f>ROUND(Categorias_Registro[[#This Row],[Mínimo]]+((Categorias_Registro[[#This Row],[Máximo]]-Categorias_Registro[[#This Row],[Mínimo]])/2),0)</f>
        <v>379</v>
      </c>
      <c r="G2269" s="78">
        <f>VLOOKUP(Categorias_Registro[[#This Row],[Puntos]],Categorias_Configuracion[],MATCH(Categorias_Configuracion[[#Headers],[% Amplitud]],Categorias_Configuracion[#Headers],0),TRUE)</f>
        <v>0.15</v>
      </c>
      <c r="H2269" s="15" t="str">
        <f ca="1">TEXT(Categorias_Registro[[#This Row],[Mínimo]],Formato_Rango_Categorias)&amp;" - "&amp;TEXT(Categorias_Registro[[#This Row],[Máximo]],Formato_Rango_Categorias)</f>
        <v>353 - 405</v>
      </c>
    </row>
    <row r="2270" spans="2:8">
      <c r="B2270" s="15">
        <f>Techo - ROW() + ROW(Categorias_Registro[])</f>
        <v>359</v>
      </c>
      <c r="C2270" s="15">
        <f>IF(Categorias_Registro[[#This Row],[Puntos]]&lt;=ROUND(Piso,0),Piso,IF(Categorias_Registro[[#This Row],[Puntos]]&lt;D2271,C2271,D2271+1))</f>
        <v>353</v>
      </c>
      <c r="D2270" s="15">
        <f>IF(Categorias_Registro[[#This Row],[Puntos]]=ROUND(Piso,0),ROUND(Categorias_Registro[[#This Row],[Puntos]]*(1+Categorias_Registro[[#This Row],[Amplitud]]),0),IF(Categorias_Registro[[#This Row],[Puntos]]&lt;D2271,D2271,ROUND(D2271*(1+Categorias_Registro[[#This Row],[Amplitud]]),0)))</f>
        <v>405</v>
      </c>
      <c r="E2270" s="15">
        <f>E2271+IF(D2271=Categorias_Registro[[#This Row],[Máximo]],0,1)</f>
        <v>11</v>
      </c>
      <c r="F2270" s="15">
        <f>ROUND(Categorias_Registro[[#This Row],[Mínimo]]+((Categorias_Registro[[#This Row],[Máximo]]-Categorias_Registro[[#This Row],[Mínimo]])/2),0)</f>
        <v>379</v>
      </c>
      <c r="G2270" s="78">
        <f>VLOOKUP(Categorias_Registro[[#This Row],[Puntos]],Categorias_Configuracion[],MATCH(Categorias_Configuracion[[#Headers],[% Amplitud]],Categorias_Configuracion[#Headers],0),TRUE)</f>
        <v>0.15</v>
      </c>
      <c r="H2270" s="15" t="str">
        <f ca="1">TEXT(Categorias_Registro[[#This Row],[Mínimo]],Formato_Rango_Categorias)&amp;" - "&amp;TEXT(Categorias_Registro[[#This Row],[Máximo]],Formato_Rango_Categorias)</f>
        <v>353 - 405</v>
      </c>
    </row>
    <row r="2271" spans="2:8">
      <c r="B2271" s="15">
        <f>Techo - ROW() + ROW(Categorias_Registro[])</f>
        <v>358</v>
      </c>
      <c r="C2271" s="15">
        <f>IF(Categorias_Registro[[#This Row],[Puntos]]&lt;=ROUND(Piso,0),Piso,IF(Categorias_Registro[[#This Row],[Puntos]]&lt;D2272,C2272,D2272+1))</f>
        <v>353</v>
      </c>
      <c r="D2271" s="15">
        <f>IF(Categorias_Registro[[#This Row],[Puntos]]=ROUND(Piso,0),ROUND(Categorias_Registro[[#This Row],[Puntos]]*(1+Categorias_Registro[[#This Row],[Amplitud]]),0),IF(Categorias_Registro[[#This Row],[Puntos]]&lt;D2272,D2272,ROUND(D2272*(1+Categorias_Registro[[#This Row],[Amplitud]]),0)))</f>
        <v>405</v>
      </c>
      <c r="E2271" s="15">
        <f>E2272+IF(D2272=Categorias_Registro[[#This Row],[Máximo]],0,1)</f>
        <v>11</v>
      </c>
      <c r="F2271" s="15">
        <f>ROUND(Categorias_Registro[[#This Row],[Mínimo]]+((Categorias_Registro[[#This Row],[Máximo]]-Categorias_Registro[[#This Row],[Mínimo]])/2),0)</f>
        <v>379</v>
      </c>
      <c r="G2271" s="78">
        <f>VLOOKUP(Categorias_Registro[[#This Row],[Puntos]],Categorias_Configuracion[],MATCH(Categorias_Configuracion[[#Headers],[% Amplitud]],Categorias_Configuracion[#Headers],0),TRUE)</f>
        <v>0.15</v>
      </c>
      <c r="H2271" s="15" t="str">
        <f ca="1">TEXT(Categorias_Registro[[#This Row],[Mínimo]],Formato_Rango_Categorias)&amp;" - "&amp;TEXT(Categorias_Registro[[#This Row],[Máximo]],Formato_Rango_Categorias)</f>
        <v>353 - 405</v>
      </c>
    </row>
    <row r="2272" spans="2:8">
      <c r="B2272" s="15">
        <f>Techo - ROW() + ROW(Categorias_Registro[])</f>
        <v>357</v>
      </c>
      <c r="C2272" s="15">
        <f>IF(Categorias_Registro[[#This Row],[Puntos]]&lt;=ROUND(Piso,0),Piso,IF(Categorias_Registro[[#This Row],[Puntos]]&lt;D2273,C2273,D2273+1))</f>
        <v>353</v>
      </c>
      <c r="D2272" s="15">
        <f>IF(Categorias_Registro[[#This Row],[Puntos]]=ROUND(Piso,0),ROUND(Categorias_Registro[[#This Row],[Puntos]]*(1+Categorias_Registro[[#This Row],[Amplitud]]),0),IF(Categorias_Registro[[#This Row],[Puntos]]&lt;D2273,D2273,ROUND(D2273*(1+Categorias_Registro[[#This Row],[Amplitud]]),0)))</f>
        <v>405</v>
      </c>
      <c r="E2272" s="15">
        <f>E2273+IF(D2273=Categorias_Registro[[#This Row],[Máximo]],0,1)</f>
        <v>11</v>
      </c>
      <c r="F2272" s="15">
        <f>ROUND(Categorias_Registro[[#This Row],[Mínimo]]+((Categorias_Registro[[#This Row],[Máximo]]-Categorias_Registro[[#This Row],[Mínimo]])/2),0)</f>
        <v>379</v>
      </c>
      <c r="G2272" s="78">
        <f>VLOOKUP(Categorias_Registro[[#This Row],[Puntos]],Categorias_Configuracion[],MATCH(Categorias_Configuracion[[#Headers],[% Amplitud]],Categorias_Configuracion[#Headers],0),TRUE)</f>
        <v>0.15</v>
      </c>
      <c r="H2272" s="15" t="str">
        <f ca="1">TEXT(Categorias_Registro[[#This Row],[Mínimo]],Formato_Rango_Categorias)&amp;" - "&amp;TEXT(Categorias_Registro[[#This Row],[Máximo]],Formato_Rango_Categorias)</f>
        <v>353 - 405</v>
      </c>
    </row>
    <row r="2273" spans="2:8">
      <c r="B2273" s="15">
        <f>Techo - ROW() + ROW(Categorias_Registro[])</f>
        <v>356</v>
      </c>
      <c r="C2273" s="15">
        <f>IF(Categorias_Registro[[#This Row],[Puntos]]&lt;=ROUND(Piso,0),Piso,IF(Categorias_Registro[[#This Row],[Puntos]]&lt;D2274,C2274,D2274+1))</f>
        <v>353</v>
      </c>
      <c r="D2273" s="15">
        <f>IF(Categorias_Registro[[#This Row],[Puntos]]=ROUND(Piso,0),ROUND(Categorias_Registro[[#This Row],[Puntos]]*(1+Categorias_Registro[[#This Row],[Amplitud]]),0),IF(Categorias_Registro[[#This Row],[Puntos]]&lt;D2274,D2274,ROUND(D2274*(1+Categorias_Registro[[#This Row],[Amplitud]]),0)))</f>
        <v>405</v>
      </c>
      <c r="E2273" s="15">
        <f>E2274+IF(D2274=Categorias_Registro[[#This Row],[Máximo]],0,1)</f>
        <v>11</v>
      </c>
      <c r="F2273" s="15">
        <f>ROUND(Categorias_Registro[[#This Row],[Mínimo]]+((Categorias_Registro[[#This Row],[Máximo]]-Categorias_Registro[[#This Row],[Mínimo]])/2),0)</f>
        <v>379</v>
      </c>
      <c r="G2273" s="78">
        <f>VLOOKUP(Categorias_Registro[[#This Row],[Puntos]],Categorias_Configuracion[],MATCH(Categorias_Configuracion[[#Headers],[% Amplitud]],Categorias_Configuracion[#Headers],0),TRUE)</f>
        <v>0.15</v>
      </c>
      <c r="H2273" s="15" t="str">
        <f ca="1">TEXT(Categorias_Registro[[#This Row],[Mínimo]],Formato_Rango_Categorias)&amp;" - "&amp;TEXT(Categorias_Registro[[#This Row],[Máximo]],Formato_Rango_Categorias)</f>
        <v>353 - 405</v>
      </c>
    </row>
    <row r="2274" spans="2:8">
      <c r="B2274" s="15">
        <f>Techo - ROW() + ROW(Categorias_Registro[])</f>
        <v>355</v>
      </c>
      <c r="C2274" s="15">
        <f>IF(Categorias_Registro[[#This Row],[Puntos]]&lt;=ROUND(Piso,0),Piso,IF(Categorias_Registro[[#This Row],[Puntos]]&lt;D2275,C2275,D2275+1))</f>
        <v>353</v>
      </c>
      <c r="D2274" s="15">
        <f>IF(Categorias_Registro[[#This Row],[Puntos]]=ROUND(Piso,0),ROUND(Categorias_Registro[[#This Row],[Puntos]]*(1+Categorias_Registro[[#This Row],[Amplitud]]),0),IF(Categorias_Registro[[#This Row],[Puntos]]&lt;D2275,D2275,ROUND(D2275*(1+Categorias_Registro[[#This Row],[Amplitud]]),0)))</f>
        <v>405</v>
      </c>
      <c r="E2274" s="15">
        <f>E2275+IF(D2275=Categorias_Registro[[#This Row],[Máximo]],0,1)</f>
        <v>11</v>
      </c>
      <c r="F2274" s="15">
        <f>ROUND(Categorias_Registro[[#This Row],[Mínimo]]+((Categorias_Registro[[#This Row],[Máximo]]-Categorias_Registro[[#This Row],[Mínimo]])/2),0)</f>
        <v>379</v>
      </c>
      <c r="G2274" s="78">
        <f>VLOOKUP(Categorias_Registro[[#This Row],[Puntos]],Categorias_Configuracion[],MATCH(Categorias_Configuracion[[#Headers],[% Amplitud]],Categorias_Configuracion[#Headers],0),TRUE)</f>
        <v>0.15</v>
      </c>
      <c r="H2274" s="15" t="str">
        <f ca="1">TEXT(Categorias_Registro[[#This Row],[Mínimo]],Formato_Rango_Categorias)&amp;" - "&amp;TEXT(Categorias_Registro[[#This Row],[Máximo]],Formato_Rango_Categorias)</f>
        <v>353 - 405</v>
      </c>
    </row>
    <row r="2275" spans="2:8">
      <c r="B2275" s="15">
        <f>Techo - ROW() + ROW(Categorias_Registro[])</f>
        <v>354</v>
      </c>
      <c r="C2275" s="15">
        <f>IF(Categorias_Registro[[#This Row],[Puntos]]&lt;=ROUND(Piso,0),Piso,IF(Categorias_Registro[[#This Row],[Puntos]]&lt;D2276,C2276,D2276+1))</f>
        <v>353</v>
      </c>
      <c r="D2275" s="15">
        <f>IF(Categorias_Registro[[#This Row],[Puntos]]=ROUND(Piso,0),ROUND(Categorias_Registro[[#This Row],[Puntos]]*(1+Categorias_Registro[[#This Row],[Amplitud]]),0),IF(Categorias_Registro[[#This Row],[Puntos]]&lt;D2276,D2276,ROUND(D2276*(1+Categorias_Registro[[#This Row],[Amplitud]]),0)))</f>
        <v>405</v>
      </c>
      <c r="E2275" s="15">
        <f>E2276+IF(D2276=Categorias_Registro[[#This Row],[Máximo]],0,1)</f>
        <v>11</v>
      </c>
      <c r="F2275" s="15">
        <f>ROUND(Categorias_Registro[[#This Row],[Mínimo]]+((Categorias_Registro[[#This Row],[Máximo]]-Categorias_Registro[[#This Row],[Mínimo]])/2),0)</f>
        <v>379</v>
      </c>
      <c r="G2275" s="78">
        <f>VLOOKUP(Categorias_Registro[[#This Row],[Puntos]],Categorias_Configuracion[],MATCH(Categorias_Configuracion[[#Headers],[% Amplitud]],Categorias_Configuracion[#Headers],0),TRUE)</f>
        <v>0.15</v>
      </c>
      <c r="H2275" s="15" t="str">
        <f ca="1">TEXT(Categorias_Registro[[#This Row],[Mínimo]],Formato_Rango_Categorias)&amp;" - "&amp;TEXT(Categorias_Registro[[#This Row],[Máximo]],Formato_Rango_Categorias)</f>
        <v>353 - 405</v>
      </c>
    </row>
    <row r="2276" spans="2:8">
      <c r="B2276" s="15">
        <f>Techo - ROW() + ROW(Categorias_Registro[])</f>
        <v>353</v>
      </c>
      <c r="C2276" s="15">
        <f>IF(Categorias_Registro[[#This Row],[Puntos]]&lt;=ROUND(Piso,0),Piso,IF(Categorias_Registro[[#This Row],[Puntos]]&lt;D2277,C2277,D2277+1))</f>
        <v>353</v>
      </c>
      <c r="D2276" s="15">
        <f>IF(Categorias_Registro[[#This Row],[Puntos]]=ROUND(Piso,0),ROUND(Categorias_Registro[[#This Row],[Puntos]]*(1+Categorias_Registro[[#This Row],[Amplitud]]),0),IF(Categorias_Registro[[#This Row],[Puntos]]&lt;D2277,D2277,ROUND(D2277*(1+Categorias_Registro[[#This Row],[Amplitud]]),0)))</f>
        <v>405</v>
      </c>
      <c r="E2276" s="15">
        <f>E2277+IF(D2277=Categorias_Registro[[#This Row],[Máximo]],0,1)</f>
        <v>11</v>
      </c>
      <c r="F2276" s="15">
        <f>ROUND(Categorias_Registro[[#This Row],[Mínimo]]+((Categorias_Registro[[#This Row],[Máximo]]-Categorias_Registro[[#This Row],[Mínimo]])/2),0)</f>
        <v>379</v>
      </c>
      <c r="G2276" s="78">
        <f>VLOOKUP(Categorias_Registro[[#This Row],[Puntos]],Categorias_Configuracion[],MATCH(Categorias_Configuracion[[#Headers],[% Amplitud]],Categorias_Configuracion[#Headers],0),TRUE)</f>
        <v>0.15</v>
      </c>
      <c r="H2276" s="15" t="str">
        <f ca="1">TEXT(Categorias_Registro[[#This Row],[Mínimo]],Formato_Rango_Categorias)&amp;" - "&amp;TEXT(Categorias_Registro[[#This Row],[Máximo]],Formato_Rango_Categorias)</f>
        <v>353 - 405</v>
      </c>
    </row>
    <row r="2277" spans="2:8">
      <c r="B2277" s="15">
        <f>Techo - ROW() + ROW(Categorias_Registro[])</f>
        <v>352</v>
      </c>
      <c r="C2277" s="15">
        <f>IF(Categorias_Registro[[#This Row],[Puntos]]&lt;=ROUND(Piso,0),Piso,IF(Categorias_Registro[[#This Row],[Puntos]]&lt;D2278,C2278,D2278+1))</f>
        <v>353</v>
      </c>
      <c r="D2277" s="15">
        <f>IF(Categorias_Registro[[#This Row],[Puntos]]=ROUND(Piso,0),ROUND(Categorias_Registro[[#This Row],[Puntos]]*(1+Categorias_Registro[[#This Row],[Amplitud]]),0),IF(Categorias_Registro[[#This Row],[Puntos]]&lt;D2278,D2278,ROUND(D2278*(1+Categorias_Registro[[#This Row],[Amplitud]]),0)))</f>
        <v>405</v>
      </c>
      <c r="E2277" s="15">
        <f>E2278+IF(D2278=Categorias_Registro[[#This Row],[Máximo]],0,1)</f>
        <v>11</v>
      </c>
      <c r="F2277" s="15">
        <f>ROUND(Categorias_Registro[[#This Row],[Mínimo]]+((Categorias_Registro[[#This Row],[Máximo]]-Categorias_Registro[[#This Row],[Mínimo]])/2),0)</f>
        <v>379</v>
      </c>
      <c r="G2277" s="78">
        <f>VLOOKUP(Categorias_Registro[[#This Row],[Puntos]],Categorias_Configuracion[],MATCH(Categorias_Configuracion[[#Headers],[% Amplitud]],Categorias_Configuracion[#Headers],0),TRUE)</f>
        <v>0.15</v>
      </c>
      <c r="H2277" s="15" t="str">
        <f ca="1">TEXT(Categorias_Registro[[#This Row],[Mínimo]],Formato_Rango_Categorias)&amp;" - "&amp;TEXT(Categorias_Registro[[#This Row],[Máximo]],Formato_Rango_Categorias)</f>
        <v>353 - 405</v>
      </c>
    </row>
    <row r="2278" spans="2:8">
      <c r="B2278" s="15">
        <f>Techo - ROW() + ROW(Categorias_Registro[])</f>
        <v>351</v>
      </c>
      <c r="C2278" s="15">
        <f>IF(Categorias_Registro[[#This Row],[Puntos]]&lt;=ROUND(Piso,0),Piso,IF(Categorias_Registro[[#This Row],[Puntos]]&lt;D2279,C2279,D2279+1))</f>
        <v>307</v>
      </c>
      <c r="D2278" s="15">
        <f>IF(Categorias_Registro[[#This Row],[Puntos]]=ROUND(Piso,0),ROUND(Categorias_Registro[[#This Row],[Puntos]]*(1+Categorias_Registro[[#This Row],[Amplitud]]),0),IF(Categorias_Registro[[#This Row],[Puntos]]&lt;D2279,D2279,ROUND(D2279*(1+Categorias_Registro[[#This Row],[Amplitud]]),0)))</f>
        <v>352</v>
      </c>
      <c r="E2278" s="15">
        <f>E2279+IF(D2279=Categorias_Registro[[#This Row],[Máximo]],0,1)</f>
        <v>10</v>
      </c>
      <c r="F2278" s="15">
        <f>ROUND(Categorias_Registro[[#This Row],[Mínimo]]+((Categorias_Registro[[#This Row],[Máximo]]-Categorias_Registro[[#This Row],[Mínimo]])/2),0)</f>
        <v>330</v>
      </c>
      <c r="G2278" s="78">
        <f>VLOOKUP(Categorias_Registro[[#This Row],[Puntos]],Categorias_Configuracion[],MATCH(Categorias_Configuracion[[#Headers],[% Amplitud]],Categorias_Configuracion[#Headers],0),TRUE)</f>
        <v>0.15</v>
      </c>
      <c r="H2278" s="15" t="str">
        <f ca="1">TEXT(Categorias_Registro[[#This Row],[Mínimo]],Formato_Rango_Categorias)&amp;" - "&amp;TEXT(Categorias_Registro[[#This Row],[Máximo]],Formato_Rango_Categorias)</f>
        <v>307 - 352</v>
      </c>
    </row>
    <row r="2279" spans="2:8">
      <c r="B2279" s="15">
        <f>Techo - ROW() + ROW(Categorias_Registro[])</f>
        <v>350</v>
      </c>
      <c r="C2279" s="15">
        <f>IF(Categorias_Registro[[#This Row],[Puntos]]&lt;=ROUND(Piso,0),Piso,IF(Categorias_Registro[[#This Row],[Puntos]]&lt;D2280,C2280,D2280+1))</f>
        <v>307</v>
      </c>
      <c r="D2279" s="15">
        <f>IF(Categorias_Registro[[#This Row],[Puntos]]=ROUND(Piso,0),ROUND(Categorias_Registro[[#This Row],[Puntos]]*(1+Categorias_Registro[[#This Row],[Amplitud]]),0),IF(Categorias_Registro[[#This Row],[Puntos]]&lt;D2280,D2280,ROUND(D2280*(1+Categorias_Registro[[#This Row],[Amplitud]]),0)))</f>
        <v>352</v>
      </c>
      <c r="E2279" s="15">
        <f>E2280+IF(D2280=Categorias_Registro[[#This Row],[Máximo]],0,1)</f>
        <v>10</v>
      </c>
      <c r="F2279" s="15">
        <f>ROUND(Categorias_Registro[[#This Row],[Mínimo]]+((Categorias_Registro[[#This Row],[Máximo]]-Categorias_Registro[[#This Row],[Mínimo]])/2),0)</f>
        <v>330</v>
      </c>
      <c r="G2279" s="78">
        <f>VLOOKUP(Categorias_Registro[[#This Row],[Puntos]],Categorias_Configuracion[],MATCH(Categorias_Configuracion[[#Headers],[% Amplitud]],Categorias_Configuracion[#Headers],0),TRUE)</f>
        <v>0.15</v>
      </c>
      <c r="H2279" s="15" t="str">
        <f ca="1">TEXT(Categorias_Registro[[#This Row],[Mínimo]],Formato_Rango_Categorias)&amp;" - "&amp;TEXT(Categorias_Registro[[#This Row],[Máximo]],Formato_Rango_Categorias)</f>
        <v>307 - 352</v>
      </c>
    </row>
    <row r="2280" spans="2:8">
      <c r="B2280" s="15">
        <f>Techo - ROW() + ROW(Categorias_Registro[])</f>
        <v>349</v>
      </c>
      <c r="C2280" s="15">
        <f>IF(Categorias_Registro[[#This Row],[Puntos]]&lt;=ROUND(Piso,0),Piso,IF(Categorias_Registro[[#This Row],[Puntos]]&lt;D2281,C2281,D2281+1))</f>
        <v>307</v>
      </c>
      <c r="D2280" s="15">
        <f>IF(Categorias_Registro[[#This Row],[Puntos]]=ROUND(Piso,0),ROUND(Categorias_Registro[[#This Row],[Puntos]]*(1+Categorias_Registro[[#This Row],[Amplitud]]),0),IF(Categorias_Registro[[#This Row],[Puntos]]&lt;D2281,D2281,ROUND(D2281*(1+Categorias_Registro[[#This Row],[Amplitud]]),0)))</f>
        <v>352</v>
      </c>
      <c r="E2280" s="15">
        <f>E2281+IF(D2281=Categorias_Registro[[#This Row],[Máximo]],0,1)</f>
        <v>10</v>
      </c>
      <c r="F2280" s="15">
        <f>ROUND(Categorias_Registro[[#This Row],[Mínimo]]+((Categorias_Registro[[#This Row],[Máximo]]-Categorias_Registro[[#This Row],[Mínimo]])/2),0)</f>
        <v>330</v>
      </c>
      <c r="G2280" s="78">
        <f>VLOOKUP(Categorias_Registro[[#This Row],[Puntos]],Categorias_Configuracion[],MATCH(Categorias_Configuracion[[#Headers],[% Amplitud]],Categorias_Configuracion[#Headers],0),TRUE)</f>
        <v>0.15</v>
      </c>
      <c r="H2280" s="15" t="str">
        <f ca="1">TEXT(Categorias_Registro[[#This Row],[Mínimo]],Formato_Rango_Categorias)&amp;" - "&amp;TEXT(Categorias_Registro[[#This Row],[Máximo]],Formato_Rango_Categorias)</f>
        <v>307 - 352</v>
      </c>
    </row>
    <row r="2281" spans="2:8">
      <c r="B2281" s="15">
        <f>Techo - ROW() + ROW(Categorias_Registro[])</f>
        <v>348</v>
      </c>
      <c r="C2281" s="15">
        <f>IF(Categorias_Registro[[#This Row],[Puntos]]&lt;=ROUND(Piso,0),Piso,IF(Categorias_Registro[[#This Row],[Puntos]]&lt;D2282,C2282,D2282+1))</f>
        <v>307</v>
      </c>
      <c r="D2281" s="15">
        <f>IF(Categorias_Registro[[#This Row],[Puntos]]=ROUND(Piso,0),ROUND(Categorias_Registro[[#This Row],[Puntos]]*(1+Categorias_Registro[[#This Row],[Amplitud]]),0),IF(Categorias_Registro[[#This Row],[Puntos]]&lt;D2282,D2282,ROUND(D2282*(1+Categorias_Registro[[#This Row],[Amplitud]]),0)))</f>
        <v>352</v>
      </c>
      <c r="E2281" s="15">
        <f>E2282+IF(D2282=Categorias_Registro[[#This Row],[Máximo]],0,1)</f>
        <v>10</v>
      </c>
      <c r="F2281" s="15">
        <f>ROUND(Categorias_Registro[[#This Row],[Mínimo]]+((Categorias_Registro[[#This Row],[Máximo]]-Categorias_Registro[[#This Row],[Mínimo]])/2),0)</f>
        <v>330</v>
      </c>
      <c r="G2281" s="78">
        <f>VLOOKUP(Categorias_Registro[[#This Row],[Puntos]],Categorias_Configuracion[],MATCH(Categorias_Configuracion[[#Headers],[% Amplitud]],Categorias_Configuracion[#Headers],0),TRUE)</f>
        <v>0.15</v>
      </c>
      <c r="H2281" s="15" t="str">
        <f ca="1">TEXT(Categorias_Registro[[#This Row],[Mínimo]],Formato_Rango_Categorias)&amp;" - "&amp;TEXT(Categorias_Registro[[#This Row],[Máximo]],Formato_Rango_Categorias)</f>
        <v>307 - 352</v>
      </c>
    </row>
    <row r="2282" spans="2:8">
      <c r="B2282" s="15">
        <f>Techo - ROW() + ROW(Categorias_Registro[])</f>
        <v>347</v>
      </c>
      <c r="C2282" s="15">
        <f>IF(Categorias_Registro[[#This Row],[Puntos]]&lt;=ROUND(Piso,0),Piso,IF(Categorias_Registro[[#This Row],[Puntos]]&lt;D2283,C2283,D2283+1))</f>
        <v>307</v>
      </c>
      <c r="D2282" s="15">
        <f>IF(Categorias_Registro[[#This Row],[Puntos]]=ROUND(Piso,0),ROUND(Categorias_Registro[[#This Row],[Puntos]]*(1+Categorias_Registro[[#This Row],[Amplitud]]),0),IF(Categorias_Registro[[#This Row],[Puntos]]&lt;D2283,D2283,ROUND(D2283*(1+Categorias_Registro[[#This Row],[Amplitud]]),0)))</f>
        <v>352</v>
      </c>
      <c r="E2282" s="15">
        <f>E2283+IF(D2283=Categorias_Registro[[#This Row],[Máximo]],0,1)</f>
        <v>10</v>
      </c>
      <c r="F2282" s="15">
        <f>ROUND(Categorias_Registro[[#This Row],[Mínimo]]+((Categorias_Registro[[#This Row],[Máximo]]-Categorias_Registro[[#This Row],[Mínimo]])/2),0)</f>
        <v>330</v>
      </c>
      <c r="G2282" s="78">
        <f>VLOOKUP(Categorias_Registro[[#This Row],[Puntos]],Categorias_Configuracion[],MATCH(Categorias_Configuracion[[#Headers],[% Amplitud]],Categorias_Configuracion[#Headers],0),TRUE)</f>
        <v>0.15</v>
      </c>
      <c r="H2282" s="15" t="str">
        <f ca="1">TEXT(Categorias_Registro[[#This Row],[Mínimo]],Formato_Rango_Categorias)&amp;" - "&amp;TEXT(Categorias_Registro[[#This Row],[Máximo]],Formato_Rango_Categorias)</f>
        <v>307 - 352</v>
      </c>
    </row>
    <row r="2283" spans="2:8">
      <c r="B2283" s="15">
        <f>Techo - ROW() + ROW(Categorias_Registro[])</f>
        <v>346</v>
      </c>
      <c r="C2283" s="15">
        <f>IF(Categorias_Registro[[#This Row],[Puntos]]&lt;=ROUND(Piso,0),Piso,IF(Categorias_Registro[[#This Row],[Puntos]]&lt;D2284,C2284,D2284+1))</f>
        <v>307</v>
      </c>
      <c r="D2283" s="15">
        <f>IF(Categorias_Registro[[#This Row],[Puntos]]=ROUND(Piso,0),ROUND(Categorias_Registro[[#This Row],[Puntos]]*(1+Categorias_Registro[[#This Row],[Amplitud]]),0),IF(Categorias_Registro[[#This Row],[Puntos]]&lt;D2284,D2284,ROUND(D2284*(1+Categorias_Registro[[#This Row],[Amplitud]]),0)))</f>
        <v>352</v>
      </c>
      <c r="E2283" s="15">
        <f>E2284+IF(D2284=Categorias_Registro[[#This Row],[Máximo]],0,1)</f>
        <v>10</v>
      </c>
      <c r="F2283" s="15">
        <f>ROUND(Categorias_Registro[[#This Row],[Mínimo]]+((Categorias_Registro[[#This Row],[Máximo]]-Categorias_Registro[[#This Row],[Mínimo]])/2),0)</f>
        <v>330</v>
      </c>
      <c r="G2283" s="78">
        <f>VLOOKUP(Categorias_Registro[[#This Row],[Puntos]],Categorias_Configuracion[],MATCH(Categorias_Configuracion[[#Headers],[% Amplitud]],Categorias_Configuracion[#Headers],0),TRUE)</f>
        <v>0.15</v>
      </c>
      <c r="H2283" s="15" t="str">
        <f ca="1">TEXT(Categorias_Registro[[#This Row],[Mínimo]],Formato_Rango_Categorias)&amp;" - "&amp;TEXT(Categorias_Registro[[#This Row],[Máximo]],Formato_Rango_Categorias)</f>
        <v>307 - 352</v>
      </c>
    </row>
    <row r="2284" spans="2:8">
      <c r="B2284" s="15">
        <f>Techo - ROW() + ROW(Categorias_Registro[])</f>
        <v>345</v>
      </c>
      <c r="C2284" s="15">
        <f>IF(Categorias_Registro[[#This Row],[Puntos]]&lt;=ROUND(Piso,0),Piso,IF(Categorias_Registro[[#This Row],[Puntos]]&lt;D2285,C2285,D2285+1))</f>
        <v>307</v>
      </c>
      <c r="D2284" s="15">
        <f>IF(Categorias_Registro[[#This Row],[Puntos]]=ROUND(Piso,0),ROUND(Categorias_Registro[[#This Row],[Puntos]]*(1+Categorias_Registro[[#This Row],[Amplitud]]),0),IF(Categorias_Registro[[#This Row],[Puntos]]&lt;D2285,D2285,ROUND(D2285*(1+Categorias_Registro[[#This Row],[Amplitud]]),0)))</f>
        <v>352</v>
      </c>
      <c r="E2284" s="15">
        <f>E2285+IF(D2285=Categorias_Registro[[#This Row],[Máximo]],0,1)</f>
        <v>10</v>
      </c>
      <c r="F2284" s="15">
        <f>ROUND(Categorias_Registro[[#This Row],[Mínimo]]+((Categorias_Registro[[#This Row],[Máximo]]-Categorias_Registro[[#This Row],[Mínimo]])/2),0)</f>
        <v>330</v>
      </c>
      <c r="G2284" s="78">
        <f>VLOOKUP(Categorias_Registro[[#This Row],[Puntos]],Categorias_Configuracion[],MATCH(Categorias_Configuracion[[#Headers],[% Amplitud]],Categorias_Configuracion[#Headers],0),TRUE)</f>
        <v>0.15</v>
      </c>
      <c r="H2284" s="15" t="str">
        <f ca="1">TEXT(Categorias_Registro[[#This Row],[Mínimo]],Formato_Rango_Categorias)&amp;" - "&amp;TEXT(Categorias_Registro[[#This Row],[Máximo]],Formato_Rango_Categorias)</f>
        <v>307 - 352</v>
      </c>
    </row>
    <row r="2285" spans="2:8">
      <c r="B2285" s="15">
        <f>Techo - ROW() + ROW(Categorias_Registro[])</f>
        <v>344</v>
      </c>
      <c r="C2285" s="15">
        <f>IF(Categorias_Registro[[#This Row],[Puntos]]&lt;=ROUND(Piso,0),Piso,IF(Categorias_Registro[[#This Row],[Puntos]]&lt;D2286,C2286,D2286+1))</f>
        <v>307</v>
      </c>
      <c r="D2285" s="15">
        <f>IF(Categorias_Registro[[#This Row],[Puntos]]=ROUND(Piso,0),ROUND(Categorias_Registro[[#This Row],[Puntos]]*(1+Categorias_Registro[[#This Row],[Amplitud]]),0),IF(Categorias_Registro[[#This Row],[Puntos]]&lt;D2286,D2286,ROUND(D2286*(1+Categorias_Registro[[#This Row],[Amplitud]]),0)))</f>
        <v>352</v>
      </c>
      <c r="E2285" s="15">
        <f>E2286+IF(D2286=Categorias_Registro[[#This Row],[Máximo]],0,1)</f>
        <v>10</v>
      </c>
      <c r="F2285" s="15">
        <f>ROUND(Categorias_Registro[[#This Row],[Mínimo]]+((Categorias_Registro[[#This Row],[Máximo]]-Categorias_Registro[[#This Row],[Mínimo]])/2),0)</f>
        <v>330</v>
      </c>
      <c r="G2285" s="78">
        <f>VLOOKUP(Categorias_Registro[[#This Row],[Puntos]],Categorias_Configuracion[],MATCH(Categorias_Configuracion[[#Headers],[% Amplitud]],Categorias_Configuracion[#Headers],0),TRUE)</f>
        <v>0.15</v>
      </c>
      <c r="H2285" s="15" t="str">
        <f ca="1">TEXT(Categorias_Registro[[#This Row],[Mínimo]],Formato_Rango_Categorias)&amp;" - "&amp;TEXT(Categorias_Registro[[#This Row],[Máximo]],Formato_Rango_Categorias)</f>
        <v>307 - 352</v>
      </c>
    </row>
    <row r="2286" spans="2:8">
      <c r="B2286" s="15">
        <f>Techo - ROW() + ROW(Categorias_Registro[])</f>
        <v>343</v>
      </c>
      <c r="C2286" s="15">
        <f>IF(Categorias_Registro[[#This Row],[Puntos]]&lt;=ROUND(Piso,0),Piso,IF(Categorias_Registro[[#This Row],[Puntos]]&lt;D2287,C2287,D2287+1))</f>
        <v>307</v>
      </c>
      <c r="D2286" s="15">
        <f>IF(Categorias_Registro[[#This Row],[Puntos]]=ROUND(Piso,0),ROUND(Categorias_Registro[[#This Row],[Puntos]]*(1+Categorias_Registro[[#This Row],[Amplitud]]),0),IF(Categorias_Registro[[#This Row],[Puntos]]&lt;D2287,D2287,ROUND(D2287*(1+Categorias_Registro[[#This Row],[Amplitud]]),0)))</f>
        <v>352</v>
      </c>
      <c r="E2286" s="15">
        <f>E2287+IF(D2287=Categorias_Registro[[#This Row],[Máximo]],0,1)</f>
        <v>10</v>
      </c>
      <c r="F2286" s="15">
        <f>ROUND(Categorias_Registro[[#This Row],[Mínimo]]+((Categorias_Registro[[#This Row],[Máximo]]-Categorias_Registro[[#This Row],[Mínimo]])/2),0)</f>
        <v>330</v>
      </c>
      <c r="G2286" s="78">
        <f>VLOOKUP(Categorias_Registro[[#This Row],[Puntos]],Categorias_Configuracion[],MATCH(Categorias_Configuracion[[#Headers],[% Amplitud]],Categorias_Configuracion[#Headers],0),TRUE)</f>
        <v>0.15</v>
      </c>
      <c r="H2286" s="15" t="str">
        <f ca="1">TEXT(Categorias_Registro[[#This Row],[Mínimo]],Formato_Rango_Categorias)&amp;" - "&amp;TEXT(Categorias_Registro[[#This Row],[Máximo]],Formato_Rango_Categorias)</f>
        <v>307 - 352</v>
      </c>
    </row>
    <row r="2287" spans="2:8">
      <c r="B2287" s="15">
        <f>Techo - ROW() + ROW(Categorias_Registro[])</f>
        <v>342</v>
      </c>
      <c r="C2287" s="15">
        <f>IF(Categorias_Registro[[#This Row],[Puntos]]&lt;=ROUND(Piso,0),Piso,IF(Categorias_Registro[[#This Row],[Puntos]]&lt;D2288,C2288,D2288+1))</f>
        <v>307</v>
      </c>
      <c r="D2287" s="15">
        <f>IF(Categorias_Registro[[#This Row],[Puntos]]=ROUND(Piso,0),ROUND(Categorias_Registro[[#This Row],[Puntos]]*(1+Categorias_Registro[[#This Row],[Amplitud]]),0),IF(Categorias_Registro[[#This Row],[Puntos]]&lt;D2288,D2288,ROUND(D2288*(1+Categorias_Registro[[#This Row],[Amplitud]]),0)))</f>
        <v>352</v>
      </c>
      <c r="E2287" s="15">
        <f>E2288+IF(D2288=Categorias_Registro[[#This Row],[Máximo]],0,1)</f>
        <v>10</v>
      </c>
      <c r="F2287" s="15">
        <f>ROUND(Categorias_Registro[[#This Row],[Mínimo]]+((Categorias_Registro[[#This Row],[Máximo]]-Categorias_Registro[[#This Row],[Mínimo]])/2),0)</f>
        <v>330</v>
      </c>
      <c r="G2287" s="78">
        <f>VLOOKUP(Categorias_Registro[[#This Row],[Puntos]],Categorias_Configuracion[],MATCH(Categorias_Configuracion[[#Headers],[% Amplitud]],Categorias_Configuracion[#Headers],0),TRUE)</f>
        <v>0.15</v>
      </c>
      <c r="H2287" s="15" t="str">
        <f ca="1">TEXT(Categorias_Registro[[#This Row],[Mínimo]],Formato_Rango_Categorias)&amp;" - "&amp;TEXT(Categorias_Registro[[#This Row],[Máximo]],Formato_Rango_Categorias)</f>
        <v>307 - 352</v>
      </c>
    </row>
    <row r="2288" spans="2:8">
      <c r="B2288" s="15">
        <f>Techo - ROW() + ROW(Categorias_Registro[])</f>
        <v>341</v>
      </c>
      <c r="C2288" s="15">
        <f>IF(Categorias_Registro[[#This Row],[Puntos]]&lt;=ROUND(Piso,0),Piso,IF(Categorias_Registro[[#This Row],[Puntos]]&lt;D2289,C2289,D2289+1))</f>
        <v>307</v>
      </c>
      <c r="D2288" s="15">
        <f>IF(Categorias_Registro[[#This Row],[Puntos]]=ROUND(Piso,0),ROUND(Categorias_Registro[[#This Row],[Puntos]]*(1+Categorias_Registro[[#This Row],[Amplitud]]),0),IF(Categorias_Registro[[#This Row],[Puntos]]&lt;D2289,D2289,ROUND(D2289*(1+Categorias_Registro[[#This Row],[Amplitud]]),0)))</f>
        <v>352</v>
      </c>
      <c r="E2288" s="15">
        <f>E2289+IF(D2289=Categorias_Registro[[#This Row],[Máximo]],0,1)</f>
        <v>10</v>
      </c>
      <c r="F2288" s="15">
        <f>ROUND(Categorias_Registro[[#This Row],[Mínimo]]+((Categorias_Registro[[#This Row],[Máximo]]-Categorias_Registro[[#This Row],[Mínimo]])/2),0)</f>
        <v>330</v>
      </c>
      <c r="G2288" s="78">
        <f>VLOOKUP(Categorias_Registro[[#This Row],[Puntos]],Categorias_Configuracion[],MATCH(Categorias_Configuracion[[#Headers],[% Amplitud]],Categorias_Configuracion[#Headers],0),TRUE)</f>
        <v>0.15</v>
      </c>
      <c r="H2288" s="15" t="str">
        <f ca="1">TEXT(Categorias_Registro[[#This Row],[Mínimo]],Formato_Rango_Categorias)&amp;" - "&amp;TEXT(Categorias_Registro[[#This Row],[Máximo]],Formato_Rango_Categorias)</f>
        <v>307 - 352</v>
      </c>
    </row>
    <row r="2289" spans="2:8">
      <c r="B2289" s="15">
        <f>Techo - ROW() + ROW(Categorias_Registro[])</f>
        <v>340</v>
      </c>
      <c r="C2289" s="15">
        <f>IF(Categorias_Registro[[#This Row],[Puntos]]&lt;=ROUND(Piso,0),Piso,IF(Categorias_Registro[[#This Row],[Puntos]]&lt;D2290,C2290,D2290+1))</f>
        <v>307</v>
      </c>
      <c r="D2289" s="15">
        <f>IF(Categorias_Registro[[#This Row],[Puntos]]=ROUND(Piso,0),ROUND(Categorias_Registro[[#This Row],[Puntos]]*(1+Categorias_Registro[[#This Row],[Amplitud]]),0),IF(Categorias_Registro[[#This Row],[Puntos]]&lt;D2290,D2290,ROUND(D2290*(1+Categorias_Registro[[#This Row],[Amplitud]]),0)))</f>
        <v>352</v>
      </c>
      <c r="E2289" s="15">
        <f>E2290+IF(D2290=Categorias_Registro[[#This Row],[Máximo]],0,1)</f>
        <v>10</v>
      </c>
      <c r="F2289" s="15">
        <f>ROUND(Categorias_Registro[[#This Row],[Mínimo]]+((Categorias_Registro[[#This Row],[Máximo]]-Categorias_Registro[[#This Row],[Mínimo]])/2),0)</f>
        <v>330</v>
      </c>
      <c r="G2289" s="78">
        <f>VLOOKUP(Categorias_Registro[[#This Row],[Puntos]],Categorias_Configuracion[],MATCH(Categorias_Configuracion[[#Headers],[% Amplitud]],Categorias_Configuracion[#Headers],0),TRUE)</f>
        <v>0.15</v>
      </c>
      <c r="H2289" s="15" t="str">
        <f ca="1">TEXT(Categorias_Registro[[#This Row],[Mínimo]],Formato_Rango_Categorias)&amp;" - "&amp;TEXT(Categorias_Registro[[#This Row],[Máximo]],Formato_Rango_Categorias)</f>
        <v>307 - 352</v>
      </c>
    </row>
    <row r="2290" spans="2:8">
      <c r="B2290" s="15">
        <f>Techo - ROW() + ROW(Categorias_Registro[])</f>
        <v>339</v>
      </c>
      <c r="C2290" s="15">
        <f>IF(Categorias_Registro[[#This Row],[Puntos]]&lt;=ROUND(Piso,0),Piso,IF(Categorias_Registro[[#This Row],[Puntos]]&lt;D2291,C2291,D2291+1))</f>
        <v>307</v>
      </c>
      <c r="D2290" s="15">
        <f>IF(Categorias_Registro[[#This Row],[Puntos]]=ROUND(Piso,0),ROUND(Categorias_Registro[[#This Row],[Puntos]]*(1+Categorias_Registro[[#This Row],[Amplitud]]),0),IF(Categorias_Registro[[#This Row],[Puntos]]&lt;D2291,D2291,ROUND(D2291*(1+Categorias_Registro[[#This Row],[Amplitud]]),0)))</f>
        <v>352</v>
      </c>
      <c r="E2290" s="15">
        <f>E2291+IF(D2291=Categorias_Registro[[#This Row],[Máximo]],0,1)</f>
        <v>10</v>
      </c>
      <c r="F2290" s="15">
        <f>ROUND(Categorias_Registro[[#This Row],[Mínimo]]+((Categorias_Registro[[#This Row],[Máximo]]-Categorias_Registro[[#This Row],[Mínimo]])/2),0)</f>
        <v>330</v>
      </c>
      <c r="G2290" s="78">
        <f>VLOOKUP(Categorias_Registro[[#This Row],[Puntos]],Categorias_Configuracion[],MATCH(Categorias_Configuracion[[#Headers],[% Amplitud]],Categorias_Configuracion[#Headers],0),TRUE)</f>
        <v>0.15</v>
      </c>
      <c r="H2290" s="15" t="str">
        <f ca="1">TEXT(Categorias_Registro[[#This Row],[Mínimo]],Formato_Rango_Categorias)&amp;" - "&amp;TEXT(Categorias_Registro[[#This Row],[Máximo]],Formato_Rango_Categorias)</f>
        <v>307 - 352</v>
      </c>
    </row>
    <row r="2291" spans="2:8">
      <c r="B2291" s="15">
        <f>Techo - ROW() + ROW(Categorias_Registro[])</f>
        <v>338</v>
      </c>
      <c r="C2291" s="15">
        <f>IF(Categorias_Registro[[#This Row],[Puntos]]&lt;=ROUND(Piso,0),Piso,IF(Categorias_Registro[[#This Row],[Puntos]]&lt;D2292,C2292,D2292+1))</f>
        <v>307</v>
      </c>
      <c r="D2291" s="15">
        <f>IF(Categorias_Registro[[#This Row],[Puntos]]=ROUND(Piso,0),ROUND(Categorias_Registro[[#This Row],[Puntos]]*(1+Categorias_Registro[[#This Row],[Amplitud]]),0),IF(Categorias_Registro[[#This Row],[Puntos]]&lt;D2292,D2292,ROUND(D2292*(1+Categorias_Registro[[#This Row],[Amplitud]]),0)))</f>
        <v>352</v>
      </c>
      <c r="E2291" s="15">
        <f>E2292+IF(D2292=Categorias_Registro[[#This Row],[Máximo]],0,1)</f>
        <v>10</v>
      </c>
      <c r="F2291" s="15">
        <f>ROUND(Categorias_Registro[[#This Row],[Mínimo]]+((Categorias_Registro[[#This Row],[Máximo]]-Categorias_Registro[[#This Row],[Mínimo]])/2),0)</f>
        <v>330</v>
      </c>
      <c r="G2291" s="78">
        <f>VLOOKUP(Categorias_Registro[[#This Row],[Puntos]],Categorias_Configuracion[],MATCH(Categorias_Configuracion[[#Headers],[% Amplitud]],Categorias_Configuracion[#Headers],0),TRUE)</f>
        <v>0.15</v>
      </c>
      <c r="H2291" s="15" t="str">
        <f ca="1">TEXT(Categorias_Registro[[#This Row],[Mínimo]],Formato_Rango_Categorias)&amp;" - "&amp;TEXT(Categorias_Registro[[#This Row],[Máximo]],Formato_Rango_Categorias)</f>
        <v>307 - 352</v>
      </c>
    </row>
    <row r="2292" spans="2:8">
      <c r="B2292" s="15">
        <f>Techo - ROW() + ROW(Categorias_Registro[])</f>
        <v>337</v>
      </c>
      <c r="C2292" s="15">
        <f>IF(Categorias_Registro[[#This Row],[Puntos]]&lt;=ROUND(Piso,0),Piso,IF(Categorias_Registro[[#This Row],[Puntos]]&lt;D2293,C2293,D2293+1))</f>
        <v>307</v>
      </c>
      <c r="D2292" s="15">
        <f>IF(Categorias_Registro[[#This Row],[Puntos]]=ROUND(Piso,0),ROUND(Categorias_Registro[[#This Row],[Puntos]]*(1+Categorias_Registro[[#This Row],[Amplitud]]),0),IF(Categorias_Registro[[#This Row],[Puntos]]&lt;D2293,D2293,ROUND(D2293*(1+Categorias_Registro[[#This Row],[Amplitud]]),0)))</f>
        <v>352</v>
      </c>
      <c r="E2292" s="15">
        <f>E2293+IF(D2293=Categorias_Registro[[#This Row],[Máximo]],0,1)</f>
        <v>10</v>
      </c>
      <c r="F2292" s="15">
        <f>ROUND(Categorias_Registro[[#This Row],[Mínimo]]+((Categorias_Registro[[#This Row],[Máximo]]-Categorias_Registro[[#This Row],[Mínimo]])/2),0)</f>
        <v>330</v>
      </c>
      <c r="G2292" s="78">
        <f>VLOOKUP(Categorias_Registro[[#This Row],[Puntos]],Categorias_Configuracion[],MATCH(Categorias_Configuracion[[#Headers],[% Amplitud]],Categorias_Configuracion[#Headers],0),TRUE)</f>
        <v>0.15</v>
      </c>
      <c r="H2292" s="15" t="str">
        <f ca="1">TEXT(Categorias_Registro[[#This Row],[Mínimo]],Formato_Rango_Categorias)&amp;" - "&amp;TEXT(Categorias_Registro[[#This Row],[Máximo]],Formato_Rango_Categorias)</f>
        <v>307 - 352</v>
      </c>
    </row>
    <row r="2293" spans="2:8">
      <c r="B2293" s="15">
        <f>Techo - ROW() + ROW(Categorias_Registro[])</f>
        <v>336</v>
      </c>
      <c r="C2293" s="15">
        <f>IF(Categorias_Registro[[#This Row],[Puntos]]&lt;=ROUND(Piso,0),Piso,IF(Categorias_Registro[[#This Row],[Puntos]]&lt;D2294,C2294,D2294+1))</f>
        <v>307</v>
      </c>
      <c r="D2293" s="15">
        <f>IF(Categorias_Registro[[#This Row],[Puntos]]=ROUND(Piso,0),ROUND(Categorias_Registro[[#This Row],[Puntos]]*(1+Categorias_Registro[[#This Row],[Amplitud]]),0),IF(Categorias_Registro[[#This Row],[Puntos]]&lt;D2294,D2294,ROUND(D2294*(1+Categorias_Registro[[#This Row],[Amplitud]]),0)))</f>
        <v>352</v>
      </c>
      <c r="E2293" s="15">
        <f>E2294+IF(D2294=Categorias_Registro[[#This Row],[Máximo]],0,1)</f>
        <v>10</v>
      </c>
      <c r="F2293" s="15">
        <f>ROUND(Categorias_Registro[[#This Row],[Mínimo]]+((Categorias_Registro[[#This Row],[Máximo]]-Categorias_Registro[[#This Row],[Mínimo]])/2),0)</f>
        <v>330</v>
      </c>
      <c r="G2293" s="78">
        <f>VLOOKUP(Categorias_Registro[[#This Row],[Puntos]],Categorias_Configuracion[],MATCH(Categorias_Configuracion[[#Headers],[% Amplitud]],Categorias_Configuracion[#Headers],0),TRUE)</f>
        <v>0.15</v>
      </c>
      <c r="H2293" s="15" t="str">
        <f ca="1">TEXT(Categorias_Registro[[#This Row],[Mínimo]],Formato_Rango_Categorias)&amp;" - "&amp;TEXT(Categorias_Registro[[#This Row],[Máximo]],Formato_Rango_Categorias)</f>
        <v>307 - 352</v>
      </c>
    </row>
    <row r="2294" spans="2:8">
      <c r="B2294" s="15">
        <f>Techo - ROW() + ROW(Categorias_Registro[])</f>
        <v>335</v>
      </c>
      <c r="C2294" s="15">
        <f>IF(Categorias_Registro[[#This Row],[Puntos]]&lt;=ROUND(Piso,0),Piso,IF(Categorias_Registro[[#This Row],[Puntos]]&lt;D2295,C2295,D2295+1))</f>
        <v>307</v>
      </c>
      <c r="D2294" s="15">
        <f>IF(Categorias_Registro[[#This Row],[Puntos]]=ROUND(Piso,0),ROUND(Categorias_Registro[[#This Row],[Puntos]]*(1+Categorias_Registro[[#This Row],[Amplitud]]),0),IF(Categorias_Registro[[#This Row],[Puntos]]&lt;D2295,D2295,ROUND(D2295*(1+Categorias_Registro[[#This Row],[Amplitud]]),0)))</f>
        <v>352</v>
      </c>
      <c r="E2294" s="15">
        <f>E2295+IF(D2295=Categorias_Registro[[#This Row],[Máximo]],0,1)</f>
        <v>10</v>
      </c>
      <c r="F2294" s="15">
        <f>ROUND(Categorias_Registro[[#This Row],[Mínimo]]+((Categorias_Registro[[#This Row],[Máximo]]-Categorias_Registro[[#This Row],[Mínimo]])/2),0)</f>
        <v>330</v>
      </c>
      <c r="G2294" s="78">
        <f>VLOOKUP(Categorias_Registro[[#This Row],[Puntos]],Categorias_Configuracion[],MATCH(Categorias_Configuracion[[#Headers],[% Amplitud]],Categorias_Configuracion[#Headers],0),TRUE)</f>
        <v>0.15</v>
      </c>
      <c r="H2294" s="15" t="str">
        <f ca="1">TEXT(Categorias_Registro[[#This Row],[Mínimo]],Formato_Rango_Categorias)&amp;" - "&amp;TEXT(Categorias_Registro[[#This Row],[Máximo]],Formato_Rango_Categorias)</f>
        <v>307 - 352</v>
      </c>
    </row>
    <row r="2295" spans="2:8">
      <c r="B2295" s="15">
        <f>Techo - ROW() + ROW(Categorias_Registro[])</f>
        <v>334</v>
      </c>
      <c r="C2295" s="15">
        <f>IF(Categorias_Registro[[#This Row],[Puntos]]&lt;=ROUND(Piso,0),Piso,IF(Categorias_Registro[[#This Row],[Puntos]]&lt;D2296,C2296,D2296+1))</f>
        <v>307</v>
      </c>
      <c r="D2295" s="15">
        <f>IF(Categorias_Registro[[#This Row],[Puntos]]=ROUND(Piso,0),ROUND(Categorias_Registro[[#This Row],[Puntos]]*(1+Categorias_Registro[[#This Row],[Amplitud]]),0),IF(Categorias_Registro[[#This Row],[Puntos]]&lt;D2296,D2296,ROUND(D2296*(1+Categorias_Registro[[#This Row],[Amplitud]]),0)))</f>
        <v>352</v>
      </c>
      <c r="E2295" s="15">
        <f>E2296+IF(D2296=Categorias_Registro[[#This Row],[Máximo]],0,1)</f>
        <v>10</v>
      </c>
      <c r="F2295" s="15">
        <f>ROUND(Categorias_Registro[[#This Row],[Mínimo]]+((Categorias_Registro[[#This Row],[Máximo]]-Categorias_Registro[[#This Row],[Mínimo]])/2),0)</f>
        <v>330</v>
      </c>
      <c r="G2295" s="78">
        <f>VLOOKUP(Categorias_Registro[[#This Row],[Puntos]],Categorias_Configuracion[],MATCH(Categorias_Configuracion[[#Headers],[% Amplitud]],Categorias_Configuracion[#Headers],0),TRUE)</f>
        <v>0.15</v>
      </c>
      <c r="H2295" s="15" t="str">
        <f ca="1">TEXT(Categorias_Registro[[#This Row],[Mínimo]],Formato_Rango_Categorias)&amp;" - "&amp;TEXT(Categorias_Registro[[#This Row],[Máximo]],Formato_Rango_Categorias)</f>
        <v>307 - 352</v>
      </c>
    </row>
    <row r="2296" spans="2:8">
      <c r="B2296" s="15">
        <f>Techo - ROW() + ROW(Categorias_Registro[])</f>
        <v>333</v>
      </c>
      <c r="C2296" s="15">
        <f>IF(Categorias_Registro[[#This Row],[Puntos]]&lt;=ROUND(Piso,0),Piso,IF(Categorias_Registro[[#This Row],[Puntos]]&lt;D2297,C2297,D2297+1))</f>
        <v>307</v>
      </c>
      <c r="D2296" s="15">
        <f>IF(Categorias_Registro[[#This Row],[Puntos]]=ROUND(Piso,0),ROUND(Categorias_Registro[[#This Row],[Puntos]]*(1+Categorias_Registro[[#This Row],[Amplitud]]),0),IF(Categorias_Registro[[#This Row],[Puntos]]&lt;D2297,D2297,ROUND(D2297*(1+Categorias_Registro[[#This Row],[Amplitud]]),0)))</f>
        <v>352</v>
      </c>
      <c r="E2296" s="15">
        <f>E2297+IF(D2297=Categorias_Registro[[#This Row],[Máximo]],0,1)</f>
        <v>10</v>
      </c>
      <c r="F2296" s="15">
        <f>ROUND(Categorias_Registro[[#This Row],[Mínimo]]+((Categorias_Registro[[#This Row],[Máximo]]-Categorias_Registro[[#This Row],[Mínimo]])/2),0)</f>
        <v>330</v>
      </c>
      <c r="G2296" s="78">
        <f>VLOOKUP(Categorias_Registro[[#This Row],[Puntos]],Categorias_Configuracion[],MATCH(Categorias_Configuracion[[#Headers],[% Amplitud]],Categorias_Configuracion[#Headers],0),TRUE)</f>
        <v>0.15</v>
      </c>
      <c r="H2296" s="15" t="str">
        <f ca="1">TEXT(Categorias_Registro[[#This Row],[Mínimo]],Formato_Rango_Categorias)&amp;" - "&amp;TEXT(Categorias_Registro[[#This Row],[Máximo]],Formato_Rango_Categorias)</f>
        <v>307 - 352</v>
      </c>
    </row>
    <row r="2297" spans="2:8">
      <c r="B2297" s="15">
        <f>Techo - ROW() + ROW(Categorias_Registro[])</f>
        <v>332</v>
      </c>
      <c r="C2297" s="15">
        <f>IF(Categorias_Registro[[#This Row],[Puntos]]&lt;=ROUND(Piso,0),Piso,IF(Categorias_Registro[[#This Row],[Puntos]]&lt;D2298,C2298,D2298+1))</f>
        <v>307</v>
      </c>
      <c r="D2297" s="15">
        <f>IF(Categorias_Registro[[#This Row],[Puntos]]=ROUND(Piso,0),ROUND(Categorias_Registro[[#This Row],[Puntos]]*(1+Categorias_Registro[[#This Row],[Amplitud]]),0),IF(Categorias_Registro[[#This Row],[Puntos]]&lt;D2298,D2298,ROUND(D2298*(1+Categorias_Registro[[#This Row],[Amplitud]]),0)))</f>
        <v>352</v>
      </c>
      <c r="E2297" s="15">
        <f>E2298+IF(D2298=Categorias_Registro[[#This Row],[Máximo]],0,1)</f>
        <v>10</v>
      </c>
      <c r="F2297" s="15">
        <f>ROUND(Categorias_Registro[[#This Row],[Mínimo]]+((Categorias_Registro[[#This Row],[Máximo]]-Categorias_Registro[[#This Row],[Mínimo]])/2),0)</f>
        <v>330</v>
      </c>
      <c r="G2297" s="78">
        <f>VLOOKUP(Categorias_Registro[[#This Row],[Puntos]],Categorias_Configuracion[],MATCH(Categorias_Configuracion[[#Headers],[% Amplitud]],Categorias_Configuracion[#Headers],0),TRUE)</f>
        <v>0.15</v>
      </c>
      <c r="H2297" s="15" t="str">
        <f ca="1">TEXT(Categorias_Registro[[#This Row],[Mínimo]],Formato_Rango_Categorias)&amp;" - "&amp;TEXT(Categorias_Registro[[#This Row],[Máximo]],Formato_Rango_Categorias)</f>
        <v>307 - 352</v>
      </c>
    </row>
    <row r="2298" spans="2:8">
      <c r="B2298" s="15">
        <f>Techo - ROW() + ROW(Categorias_Registro[])</f>
        <v>331</v>
      </c>
      <c r="C2298" s="15">
        <f>IF(Categorias_Registro[[#This Row],[Puntos]]&lt;=ROUND(Piso,0),Piso,IF(Categorias_Registro[[#This Row],[Puntos]]&lt;D2299,C2299,D2299+1))</f>
        <v>307</v>
      </c>
      <c r="D2298" s="15">
        <f>IF(Categorias_Registro[[#This Row],[Puntos]]=ROUND(Piso,0),ROUND(Categorias_Registro[[#This Row],[Puntos]]*(1+Categorias_Registro[[#This Row],[Amplitud]]),0),IF(Categorias_Registro[[#This Row],[Puntos]]&lt;D2299,D2299,ROUND(D2299*(1+Categorias_Registro[[#This Row],[Amplitud]]),0)))</f>
        <v>352</v>
      </c>
      <c r="E2298" s="15">
        <f>E2299+IF(D2299=Categorias_Registro[[#This Row],[Máximo]],0,1)</f>
        <v>10</v>
      </c>
      <c r="F2298" s="15">
        <f>ROUND(Categorias_Registro[[#This Row],[Mínimo]]+((Categorias_Registro[[#This Row],[Máximo]]-Categorias_Registro[[#This Row],[Mínimo]])/2),0)</f>
        <v>330</v>
      </c>
      <c r="G2298" s="78">
        <f>VLOOKUP(Categorias_Registro[[#This Row],[Puntos]],Categorias_Configuracion[],MATCH(Categorias_Configuracion[[#Headers],[% Amplitud]],Categorias_Configuracion[#Headers],0),TRUE)</f>
        <v>0.15</v>
      </c>
      <c r="H2298" s="15" t="str">
        <f ca="1">TEXT(Categorias_Registro[[#This Row],[Mínimo]],Formato_Rango_Categorias)&amp;" - "&amp;TEXT(Categorias_Registro[[#This Row],[Máximo]],Formato_Rango_Categorias)</f>
        <v>307 - 352</v>
      </c>
    </row>
    <row r="2299" spans="2:8">
      <c r="B2299" s="15">
        <f>Techo - ROW() + ROW(Categorias_Registro[])</f>
        <v>330</v>
      </c>
      <c r="C2299" s="15">
        <f>IF(Categorias_Registro[[#This Row],[Puntos]]&lt;=ROUND(Piso,0),Piso,IF(Categorias_Registro[[#This Row],[Puntos]]&lt;D2300,C2300,D2300+1))</f>
        <v>307</v>
      </c>
      <c r="D2299" s="15">
        <f>IF(Categorias_Registro[[#This Row],[Puntos]]=ROUND(Piso,0),ROUND(Categorias_Registro[[#This Row],[Puntos]]*(1+Categorias_Registro[[#This Row],[Amplitud]]),0),IF(Categorias_Registro[[#This Row],[Puntos]]&lt;D2300,D2300,ROUND(D2300*(1+Categorias_Registro[[#This Row],[Amplitud]]),0)))</f>
        <v>352</v>
      </c>
      <c r="E2299" s="15">
        <f>E2300+IF(D2300=Categorias_Registro[[#This Row],[Máximo]],0,1)</f>
        <v>10</v>
      </c>
      <c r="F2299" s="15">
        <f>ROUND(Categorias_Registro[[#This Row],[Mínimo]]+((Categorias_Registro[[#This Row],[Máximo]]-Categorias_Registro[[#This Row],[Mínimo]])/2),0)</f>
        <v>330</v>
      </c>
      <c r="G2299" s="78">
        <f>VLOOKUP(Categorias_Registro[[#This Row],[Puntos]],Categorias_Configuracion[],MATCH(Categorias_Configuracion[[#Headers],[% Amplitud]],Categorias_Configuracion[#Headers],0),TRUE)</f>
        <v>0.15</v>
      </c>
      <c r="H2299" s="15" t="str">
        <f ca="1">TEXT(Categorias_Registro[[#This Row],[Mínimo]],Formato_Rango_Categorias)&amp;" - "&amp;TEXT(Categorias_Registro[[#This Row],[Máximo]],Formato_Rango_Categorias)</f>
        <v>307 - 352</v>
      </c>
    </row>
    <row r="2300" spans="2:8">
      <c r="B2300" s="15">
        <f>Techo - ROW() + ROW(Categorias_Registro[])</f>
        <v>329</v>
      </c>
      <c r="C2300" s="15">
        <f>IF(Categorias_Registro[[#This Row],[Puntos]]&lt;=ROUND(Piso,0),Piso,IF(Categorias_Registro[[#This Row],[Puntos]]&lt;D2301,C2301,D2301+1))</f>
        <v>307</v>
      </c>
      <c r="D2300" s="15">
        <f>IF(Categorias_Registro[[#This Row],[Puntos]]=ROUND(Piso,0),ROUND(Categorias_Registro[[#This Row],[Puntos]]*(1+Categorias_Registro[[#This Row],[Amplitud]]),0),IF(Categorias_Registro[[#This Row],[Puntos]]&lt;D2301,D2301,ROUND(D2301*(1+Categorias_Registro[[#This Row],[Amplitud]]),0)))</f>
        <v>352</v>
      </c>
      <c r="E2300" s="15">
        <f>E2301+IF(D2301=Categorias_Registro[[#This Row],[Máximo]],0,1)</f>
        <v>10</v>
      </c>
      <c r="F2300" s="15">
        <f>ROUND(Categorias_Registro[[#This Row],[Mínimo]]+((Categorias_Registro[[#This Row],[Máximo]]-Categorias_Registro[[#This Row],[Mínimo]])/2),0)</f>
        <v>330</v>
      </c>
      <c r="G2300" s="78">
        <f>VLOOKUP(Categorias_Registro[[#This Row],[Puntos]],Categorias_Configuracion[],MATCH(Categorias_Configuracion[[#Headers],[% Amplitud]],Categorias_Configuracion[#Headers],0),TRUE)</f>
        <v>0.15</v>
      </c>
      <c r="H2300" s="15" t="str">
        <f ca="1">TEXT(Categorias_Registro[[#This Row],[Mínimo]],Formato_Rango_Categorias)&amp;" - "&amp;TEXT(Categorias_Registro[[#This Row],[Máximo]],Formato_Rango_Categorias)</f>
        <v>307 - 352</v>
      </c>
    </row>
    <row r="2301" spans="2:8">
      <c r="B2301" s="15">
        <f>Techo - ROW() + ROW(Categorias_Registro[])</f>
        <v>328</v>
      </c>
      <c r="C2301" s="15">
        <f>IF(Categorias_Registro[[#This Row],[Puntos]]&lt;=ROUND(Piso,0),Piso,IF(Categorias_Registro[[#This Row],[Puntos]]&lt;D2302,C2302,D2302+1))</f>
        <v>307</v>
      </c>
      <c r="D2301" s="15">
        <f>IF(Categorias_Registro[[#This Row],[Puntos]]=ROUND(Piso,0),ROUND(Categorias_Registro[[#This Row],[Puntos]]*(1+Categorias_Registro[[#This Row],[Amplitud]]),0),IF(Categorias_Registro[[#This Row],[Puntos]]&lt;D2302,D2302,ROUND(D2302*(1+Categorias_Registro[[#This Row],[Amplitud]]),0)))</f>
        <v>352</v>
      </c>
      <c r="E2301" s="15">
        <f>E2302+IF(D2302=Categorias_Registro[[#This Row],[Máximo]],0,1)</f>
        <v>10</v>
      </c>
      <c r="F2301" s="15">
        <f>ROUND(Categorias_Registro[[#This Row],[Mínimo]]+((Categorias_Registro[[#This Row],[Máximo]]-Categorias_Registro[[#This Row],[Mínimo]])/2),0)</f>
        <v>330</v>
      </c>
      <c r="G2301" s="78">
        <f>VLOOKUP(Categorias_Registro[[#This Row],[Puntos]],Categorias_Configuracion[],MATCH(Categorias_Configuracion[[#Headers],[% Amplitud]],Categorias_Configuracion[#Headers],0),TRUE)</f>
        <v>0.15</v>
      </c>
      <c r="H2301" s="15" t="str">
        <f ca="1">TEXT(Categorias_Registro[[#This Row],[Mínimo]],Formato_Rango_Categorias)&amp;" - "&amp;TEXT(Categorias_Registro[[#This Row],[Máximo]],Formato_Rango_Categorias)</f>
        <v>307 - 352</v>
      </c>
    </row>
    <row r="2302" spans="2:8">
      <c r="B2302" s="15">
        <f>Techo - ROW() + ROW(Categorias_Registro[])</f>
        <v>327</v>
      </c>
      <c r="C2302" s="15">
        <f>IF(Categorias_Registro[[#This Row],[Puntos]]&lt;=ROUND(Piso,0),Piso,IF(Categorias_Registro[[#This Row],[Puntos]]&lt;D2303,C2303,D2303+1))</f>
        <v>307</v>
      </c>
      <c r="D2302" s="15">
        <f>IF(Categorias_Registro[[#This Row],[Puntos]]=ROUND(Piso,0),ROUND(Categorias_Registro[[#This Row],[Puntos]]*(1+Categorias_Registro[[#This Row],[Amplitud]]),0),IF(Categorias_Registro[[#This Row],[Puntos]]&lt;D2303,D2303,ROUND(D2303*(1+Categorias_Registro[[#This Row],[Amplitud]]),0)))</f>
        <v>352</v>
      </c>
      <c r="E2302" s="15">
        <f>E2303+IF(D2303=Categorias_Registro[[#This Row],[Máximo]],0,1)</f>
        <v>10</v>
      </c>
      <c r="F2302" s="15">
        <f>ROUND(Categorias_Registro[[#This Row],[Mínimo]]+((Categorias_Registro[[#This Row],[Máximo]]-Categorias_Registro[[#This Row],[Mínimo]])/2),0)</f>
        <v>330</v>
      </c>
      <c r="G2302" s="78">
        <f>VLOOKUP(Categorias_Registro[[#This Row],[Puntos]],Categorias_Configuracion[],MATCH(Categorias_Configuracion[[#Headers],[% Amplitud]],Categorias_Configuracion[#Headers],0),TRUE)</f>
        <v>0.15</v>
      </c>
      <c r="H2302" s="15" t="str">
        <f ca="1">TEXT(Categorias_Registro[[#This Row],[Mínimo]],Formato_Rango_Categorias)&amp;" - "&amp;TEXT(Categorias_Registro[[#This Row],[Máximo]],Formato_Rango_Categorias)</f>
        <v>307 - 352</v>
      </c>
    </row>
    <row r="2303" spans="2:8">
      <c r="B2303" s="15">
        <f>Techo - ROW() + ROW(Categorias_Registro[])</f>
        <v>326</v>
      </c>
      <c r="C2303" s="15">
        <f>IF(Categorias_Registro[[#This Row],[Puntos]]&lt;=ROUND(Piso,0),Piso,IF(Categorias_Registro[[#This Row],[Puntos]]&lt;D2304,C2304,D2304+1))</f>
        <v>307</v>
      </c>
      <c r="D2303" s="15">
        <f>IF(Categorias_Registro[[#This Row],[Puntos]]=ROUND(Piso,0),ROUND(Categorias_Registro[[#This Row],[Puntos]]*(1+Categorias_Registro[[#This Row],[Amplitud]]),0),IF(Categorias_Registro[[#This Row],[Puntos]]&lt;D2304,D2304,ROUND(D2304*(1+Categorias_Registro[[#This Row],[Amplitud]]),0)))</f>
        <v>352</v>
      </c>
      <c r="E2303" s="15">
        <f>E2304+IF(D2304=Categorias_Registro[[#This Row],[Máximo]],0,1)</f>
        <v>10</v>
      </c>
      <c r="F2303" s="15">
        <f>ROUND(Categorias_Registro[[#This Row],[Mínimo]]+((Categorias_Registro[[#This Row],[Máximo]]-Categorias_Registro[[#This Row],[Mínimo]])/2),0)</f>
        <v>330</v>
      </c>
      <c r="G2303" s="78">
        <f>VLOOKUP(Categorias_Registro[[#This Row],[Puntos]],Categorias_Configuracion[],MATCH(Categorias_Configuracion[[#Headers],[% Amplitud]],Categorias_Configuracion[#Headers],0),TRUE)</f>
        <v>0.15</v>
      </c>
      <c r="H2303" s="15" t="str">
        <f ca="1">TEXT(Categorias_Registro[[#This Row],[Mínimo]],Formato_Rango_Categorias)&amp;" - "&amp;TEXT(Categorias_Registro[[#This Row],[Máximo]],Formato_Rango_Categorias)</f>
        <v>307 - 352</v>
      </c>
    </row>
    <row r="2304" spans="2:8">
      <c r="B2304" s="15">
        <f>Techo - ROW() + ROW(Categorias_Registro[])</f>
        <v>325</v>
      </c>
      <c r="C2304" s="15">
        <f>IF(Categorias_Registro[[#This Row],[Puntos]]&lt;=ROUND(Piso,0),Piso,IF(Categorias_Registro[[#This Row],[Puntos]]&lt;D2305,C2305,D2305+1))</f>
        <v>307</v>
      </c>
      <c r="D2304" s="15">
        <f>IF(Categorias_Registro[[#This Row],[Puntos]]=ROUND(Piso,0),ROUND(Categorias_Registro[[#This Row],[Puntos]]*(1+Categorias_Registro[[#This Row],[Amplitud]]),0),IF(Categorias_Registro[[#This Row],[Puntos]]&lt;D2305,D2305,ROUND(D2305*(1+Categorias_Registro[[#This Row],[Amplitud]]),0)))</f>
        <v>352</v>
      </c>
      <c r="E2304" s="15">
        <f>E2305+IF(D2305=Categorias_Registro[[#This Row],[Máximo]],0,1)</f>
        <v>10</v>
      </c>
      <c r="F2304" s="15">
        <f>ROUND(Categorias_Registro[[#This Row],[Mínimo]]+((Categorias_Registro[[#This Row],[Máximo]]-Categorias_Registro[[#This Row],[Mínimo]])/2),0)</f>
        <v>330</v>
      </c>
      <c r="G2304" s="78">
        <f>VLOOKUP(Categorias_Registro[[#This Row],[Puntos]],Categorias_Configuracion[],MATCH(Categorias_Configuracion[[#Headers],[% Amplitud]],Categorias_Configuracion[#Headers],0),TRUE)</f>
        <v>0.15</v>
      </c>
      <c r="H2304" s="15" t="str">
        <f ca="1">TEXT(Categorias_Registro[[#This Row],[Mínimo]],Formato_Rango_Categorias)&amp;" - "&amp;TEXT(Categorias_Registro[[#This Row],[Máximo]],Formato_Rango_Categorias)</f>
        <v>307 - 352</v>
      </c>
    </row>
    <row r="2305" spans="2:8">
      <c r="B2305" s="15">
        <f>Techo - ROW() + ROW(Categorias_Registro[])</f>
        <v>324</v>
      </c>
      <c r="C2305" s="15">
        <f>IF(Categorias_Registro[[#This Row],[Puntos]]&lt;=ROUND(Piso,0),Piso,IF(Categorias_Registro[[#This Row],[Puntos]]&lt;D2306,C2306,D2306+1))</f>
        <v>307</v>
      </c>
      <c r="D2305" s="15">
        <f>IF(Categorias_Registro[[#This Row],[Puntos]]=ROUND(Piso,0),ROUND(Categorias_Registro[[#This Row],[Puntos]]*(1+Categorias_Registro[[#This Row],[Amplitud]]),0),IF(Categorias_Registro[[#This Row],[Puntos]]&lt;D2306,D2306,ROUND(D2306*(1+Categorias_Registro[[#This Row],[Amplitud]]),0)))</f>
        <v>352</v>
      </c>
      <c r="E2305" s="15">
        <f>E2306+IF(D2306=Categorias_Registro[[#This Row],[Máximo]],0,1)</f>
        <v>10</v>
      </c>
      <c r="F2305" s="15">
        <f>ROUND(Categorias_Registro[[#This Row],[Mínimo]]+((Categorias_Registro[[#This Row],[Máximo]]-Categorias_Registro[[#This Row],[Mínimo]])/2),0)</f>
        <v>330</v>
      </c>
      <c r="G2305" s="78">
        <f>VLOOKUP(Categorias_Registro[[#This Row],[Puntos]],Categorias_Configuracion[],MATCH(Categorias_Configuracion[[#Headers],[% Amplitud]],Categorias_Configuracion[#Headers],0),TRUE)</f>
        <v>0.15</v>
      </c>
      <c r="H2305" s="15" t="str">
        <f ca="1">TEXT(Categorias_Registro[[#This Row],[Mínimo]],Formato_Rango_Categorias)&amp;" - "&amp;TEXT(Categorias_Registro[[#This Row],[Máximo]],Formato_Rango_Categorias)</f>
        <v>307 - 352</v>
      </c>
    </row>
    <row r="2306" spans="2:8">
      <c r="B2306" s="15">
        <f>Techo - ROW() + ROW(Categorias_Registro[])</f>
        <v>323</v>
      </c>
      <c r="C2306" s="15">
        <f>IF(Categorias_Registro[[#This Row],[Puntos]]&lt;=ROUND(Piso,0),Piso,IF(Categorias_Registro[[#This Row],[Puntos]]&lt;D2307,C2307,D2307+1))</f>
        <v>307</v>
      </c>
      <c r="D2306" s="15">
        <f>IF(Categorias_Registro[[#This Row],[Puntos]]=ROUND(Piso,0),ROUND(Categorias_Registro[[#This Row],[Puntos]]*(1+Categorias_Registro[[#This Row],[Amplitud]]),0),IF(Categorias_Registro[[#This Row],[Puntos]]&lt;D2307,D2307,ROUND(D2307*(1+Categorias_Registro[[#This Row],[Amplitud]]),0)))</f>
        <v>352</v>
      </c>
      <c r="E2306" s="15">
        <f>E2307+IF(D2307=Categorias_Registro[[#This Row],[Máximo]],0,1)</f>
        <v>10</v>
      </c>
      <c r="F2306" s="15">
        <f>ROUND(Categorias_Registro[[#This Row],[Mínimo]]+((Categorias_Registro[[#This Row],[Máximo]]-Categorias_Registro[[#This Row],[Mínimo]])/2),0)</f>
        <v>330</v>
      </c>
      <c r="G2306" s="78">
        <f>VLOOKUP(Categorias_Registro[[#This Row],[Puntos]],Categorias_Configuracion[],MATCH(Categorias_Configuracion[[#Headers],[% Amplitud]],Categorias_Configuracion[#Headers],0),TRUE)</f>
        <v>0.15</v>
      </c>
      <c r="H2306" s="15" t="str">
        <f ca="1">TEXT(Categorias_Registro[[#This Row],[Mínimo]],Formato_Rango_Categorias)&amp;" - "&amp;TEXT(Categorias_Registro[[#This Row],[Máximo]],Formato_Rango_Categorias)</f>
        <v>307 - 352</v>
      </c>
    </row>
    <row r="2307" spans="2:8">
      <c r="B2307" s="15">
        <f>Techo - ROW() + ROW(Categorias_Registro[])</f>
        <v>322</v>
      </c>
      <c r="C2307" s="15">
        <f>IF(Categorias_Registro[[#This Row],[Puntos]]&lt;=ROUND(Piso,0),Piso,IF(Categorias_Registro[[#This Row],[Puntos]]&lt;D2308,C2308,D2308+1))</f>
        <v>307</v>
      </c>
      <c r="D2307" s="15">
        <f>IF(Categorias_Registro[[#This Row],[Puntos]]=ROUND(Piso,0),ROUND(Categorias_Registro[[#This Row],[Puntos]]*(1+Categorias_Registro[[#This Row],[Amplitud]]),0),IF(Categorias_Registro[[#This Row],[Puntos]]&lt;D2308,D2308,ROUND(D2308*(1+Categorias_Registro[[#This Row],[Amplitud]]),0)))</f>
        <v>352</v>
      </c>
      <c r="E2307" s="15">
        <f>E2308+IF(D2308=Categorias_Registro[[#This Row],[Máximo]],0,1)</f>
        <v>10</v>
      </c>
      <c r="F2307" s="15">
        <f>ROUND(Categorias_Registro[[#This Row],[Mínimo]]+((Categorias_Registro[[#This Row],[Máximo]]-Categorias_Registro[[#This Row],[Mínimo]])/2),0)</f>
        <v>330</v>
      </c>
      <c r="G2307" s="78">
        <f>VLOOKUP(Categorias_Registro[[#This Row],[Puntos]],Categorias_Configuracion[],MATCH(Categorias_Configuracion[[#Headers],[% Amplitud]],Categorias_Configuracion[#Headers],0),TRUE)</f>
        <v>0.15</v>
      </c>
      <c r="H2307" s="15" t="str">
        <f ca="1">TEXT(Categorias_Registro[[#This Row],[Mínimo]],Formato_Rango_Categorias)&amp;" - "&amp;TEXT(Categorias_Registro[[#This Row],[Máximo]],Formato_Rango_Categorias)</f>
        <v>307 - 352</v>
      </c>
    </row>
    <row r="2308" spans="2:8">
      <c r="B2308" s="15">
        <f>Techo - ROW() + ROW(Categorias_Registro[])</f>
        <v>321</v>
      </c>
      <c r="C2308" s="15">
        <f>IF(Categorias_Registro[[#This Row],[Puntos]]&lt;=ROUND(Piso,0),Piso,IF(Categorias_Registro[[#This Row],[Puntos]]&lt;D2309,C2309,D2309+1))</f>
        <v>307</v>
      </c>
      <c r="D2308" s="15">
        <f>IF(Categorias_Registro[[#This Row],[Puntos]]=ROUND(Piso,0),ROUND(Categorias_Registro[[#This Row],[Puntos]]*(1+Categorias_Registro[[#This Row],[Amplitud]]),0),IF(Categorias_Registro[[#This Row],[Puntos]]&lt;D2309,D2309,ROUND(D2309*(1+Categorias_Registro[[#This Row],[Amplitud]]),0)))</f>
        <v>352</v>
      </c>
      <c r="E2308" s="15">
        <f>E2309+IF(D2309=Categorias_Registro[[#This Row],[Máximo]],0,1)</f>
        <v>10</v>
      </c>
      <c r="F2308" s="15">
        <f>ROUND(Categorias_Registro[[#This Row],[Mínimo]]+((Categorias_Registro[[#This Row],[Máximo]]-Categorias_Registro[[#This Row],[Mínimo]])/2),0)</f>
        <v>330</v>
      </c>
      <c r="G2308" s="78">
        <f>VLOOKUP(Categorias_Registro[[#This Row],[Puntos]],Categorias_Configuracion[],MATCH(Categorias_Configuracion[[#Headers],[% Amplitud]],Categorias_Configuracion[#Headers],0),TRUE)</f>
        <v>0.15</v>
      </c>
      <c r="H2308" s="15" t="str">
        <f ca="1">TEXT(Categorias_Registro[[#This Row],[Mínimo]],Formato_Rango_Categorias)&amp;" - "&amp;TEXT(Categorias_Registro[[#This Row],[Máximo]],Formato_Rango_Categorias)</f>
        <v>307 - 352</v>
      </c>
    </row>
    <row r="2309" spans="2:8">
      <c r="B2309" s="15">
        <f>Techo - ROW() + ROW(Categorias_Registro[])</f>
        <v>320</v>
      </c>
      <c r="C2309" s="15">
        <f>IF(Categorias_Registro[[#This Row],[Puntos]]&lt;=ROUND(Piso,0),Piso,IF(Categorias_Registro[[#This Row],[Puntos]]&lt;D2310,C2310,D2310+1))</f>
        <v>307</v>
      </c>
      <c r="D2309" s="15">
        <f>IF(Categorias_Registro[[#This Row],[Puntos]]=ROUND(Piso,0),ROUND(Categorias_Registro[[#This Row],[Puntos]]*(1+Categorias_Registro[[#This Row],[Amplitud]]),0),IF(Categorias_Registro[[#This Row],[Puntos]]&lt;D2310,D2310,ROUND(D2310*(1+Categorias_Registro[[#This Row],[Amplitud]]),0)))</f>
        <v>352</v>
      </c>
      <c r="E2309" s="15">
        <f>E2310+IF(D2310=Categorias_Registro[[#This Row],[Máximo]],0,1)</f>
        <v>10</v>
      </c>
      <c r="F2309" s="15">
        <f>ROUND(Categorias_Registro[[#This Row],[Mínimo]]+((Categorias_Registro[[#This Row],[Máximo]]-Categorias_Registro[[#This Row],[Mínimo]])/2),0)</f>
        <v>330</v>
      </c>
      <c r="G2309" s="78">
        <f>VLOOKUP(Categorias_Registro[[#This Row],[Puntos]],Categorias_Configuracion[],MATCH(Categorias_Configuracion[[#Headers],[% Amplitud]],Categorias_Configuracion[#Headers],0),TRUE)</f>
        <v>0.15</v>
      </c>
      <c r="H2309" s="15" t="str">
        <f ca="1">TEXT(Categorias_Registro[[#This Row],[Mínimo]],Formato_Rango_Categorias)&amp;" - "&amp;TEXT(Categorias_Registro[[#This Row],[Máximo]],Formato_Rango_Categorias)</f>
        <v>307 - 352</v>
      </c>
    </row>
    <row r="2310" spans="2:8">
      <c r="B2310" s="15">
        <f>Techo - ROW() + ROW(Categorias_Registro[])</f>
        <v>319</v>
      </c>
      <c r="C2310" s="15">
        <f>IF(Categorias_Registro[[#This Row],[Puntos]]&lt;=ROUND(Piso,0),Piso,IF(Categorias_Registro[[#This Row],[Puntos]]&lt;D2311,C2311,D2311+1))</f>
        <v>307</v>
      </c>
      <c r="D2310" s="15">
        <f>IF(Categorias_Registro[[#This Row],[Puntos]]=ROUND(Piso,0),ROUND(Categorias_Registro[[#This Row],[Puntos]]*(1+Categorias_Registro[[#This Row],[Amplitud]]),0),IF(Categorias_Registro[[#This Row],[Puntos]]&lt;D2311,D2311,ROUND(D2311*(1+Categorias_Registro[[#This Row],[Amplitud]]),0)))</f>
        <v>352</v>
      </c>
      <c r="E2310" s="15">
        <f>E2311+IF(D2311=Categorias_Registro[[#This Row],[Máximo]],0,1)</f>
        <v>10</v>
      </c>
      <c r="F2310" s="15">
        <f>ROUND(Categorias_Registro[[#This Row],[Mínimo]]+((Categorias_Registro[[#This Row],[Máximo]]-Categorias_Registro[[#This Row],[Mínimo]])/2),0)</f>
        <v>330</v>
      </c>
      <c r="G2310" s="78">
        <f>VLOOKUP(Categorias_Registro[[#This Row],[Puntos]],Categorias_Configuracion[],MATCH(Categorias_Configuracion[[#Headers],[% Amplitud]],Categorias_Configuracion[#Headers],0),TRUE)</f>
        <v>0.15</v>
      </c>
      <c r="H2310" s="15" t="str">
        <f ca="1">TEXT(Categorias_Registro[[#This Row],[Mínimo]],Formato_Rango_Categorias)&amp;" - "&amp;TEXT(Categorias_Registro[[#This Row],[Máximo]],Formato_Rango_Categorias)</f>
        <v>307 - 352</v>
      </c>
    </row>
    <row r="2311" spans="2:8">
      <c r="B2311" s="15">
        <f>Techo - ROW() + ROW(Categorias_Registro[])</f>
        <v>318</v>
      </c>
      <c r="C2311" s="15">
        <f>IF(Categorias_Registro[[#This Row],[Puntos]]&lt;=ROUND(Piso,0),Piso,IF(Categorias_Registro[[#This Row],[Puntos]]&lt;D2312,C2312,D2312+1))</f>
        <v>307</v>
      </c>
      <c r="D2311" s="15">
        <f>IF(Categorias_Registro[[#This Row],[Puntos]]=ROUND(Piso,0),ROUND(Categorias_Registro[[#This Row],[Puntos]]*(1+Categorias_Registro[[#This Row],[Amplitud]]),0),IF(Categorias_Registro[[#This Row],[Puntos]]&lt;D2312,D2312,ROUND(D2312*(1+Categorias_Registro[[#This Row],[Amplitud]]),0)))</f>
        <v>352</v>
      </c>
      <c r="E2311" s="15">
        <f>E2312+IF(D2312=Categorias_Registro[[#This Row],[Máximo]],0,1)</f>
        <v>10</v>
      </c>
      <c r="F2311" s="15">
        <f>ROUND(Categorias_Registro[[#This Row],[Mínimo]]+((Categorias_Registro[[#This Row],[Máximo]]-Categorias_Registro[[#This Row],[Mínimo]])/2),0)</f>
        <v>330</v>
      </c>
      <c r="G2311" s="78">
        <f>VLOOKUP(Categorias_Registro[[#This Row],[Puntos]],Categorias_Configuracion[],MATCH(Categorias_Configuracion[[#Headers],[% Amplitud]],Categorias_Configuracion[#Headers],0),TRUE)</f>
        <v>0.15</v>
      </c>
      <c r="H2311" s="15" t="str">
        <f ca="1">TEXT(Categorias_Registro[[#This Row],[Mínimo]],Formato_Rango_Categorias)&amp;" - "&amp;TEXT(Categorias_Registro[[#This Row],[Máximo]],Formato_Rango_Categorias)</f>
        <v>307 - 352</v>
      </c>
    </row>
    <row r="2312" spans="2:8">
      <c r="B2312" s="15">
        <f>Techo - ROW() + ROW(Categorias_Registro[])</f>
        <v>317</v>
      </c>
      <c r="C2312" s="15">
        <f>IF(Categorias_Registro[[#This Row],[Puntos]]&lt;=ROUND(Piso,0),Piso,IF(Categorias_Registro[[#This Row],[Puntos]]&lt;D2313,C2313,D2313+1))</f>
        <v>307</v>
      </c>
      <c r="D2312" s="15">
        <f>IF(Categorias_Registro[[#This Row],[Puntos]]=ROUND(Piso,0),ROUND(Categorias_Registro[[#This Row],[Puntos]]*(1+Categorias_Registro[[#This Row],[Amplitud]]),0),IF(Categorias_Registro[[#This Row],[Puntos]]&lt;D2313,D2313,ROUND(D2313*(1+Categorias_Registro[[#This Row],[Amplitud]]),0)))</f>
        <v>352</v>
      </c>
      <c r="E2312" s="15">
        <f>E2313+IF(D2313=Categorias_Registro[[#This Row],[Máximo]],0,1)</f>
        <v>10</v>
      </c>
      <c r="F2312" s="15">
        <f>ROUND(Categorias_Registro[[#This Row],[Mínimo]]+((Categorias_Registro[[#This Row],[Máximo]]-Categorias_Registro[[#This Row],[Mínimo]])/2),0)</f>
        <v>330</v>
      </c>
      <c r="G2312" s="78">
        <f>VLOOKUP(Categorias_Registro[[#This Row],[Puntos]],Categorias_Configuracion[],MATCH(Categorias_Configuracion[[#Headers],[% Amplitud]],Categorias_Configuracion[#Headers],0),TRUE)</f>
        <v>0.15</v>
      </c>
      <c r="H2312" s="15" t="str">
        <f ca="1">TEXT(Categorias_Registro[[#This Row],[Mínimo]],Formato_Rango_Categorias)&amp;" - "&amp;TEXT(Categorias_Registro[[#This Row],[Máximo]],Formato_Rango_Categorias)</f>
        <v>307 - 352</v>
      </c>
    </row>
    <row r="2313" spans="2:8">
      <c r="B2313" s="15">
        <f>Techo - ROW() + ROW(Categorias_Registro[])</f>
        <v>316</v>
      </c>
      <c r="C2313" s="15">
        <f>IF(Categorias_Registro[[#This Row],[Puntos]]&lt;=ROUND(Piso,0),Piso,IF(Categorias_Registro[[#This Row],[Puntos]]&lt;D2314,C2314,D2314+1))</f>
        <v>307</v>
      </c>
      <c r="D2313" s="15">
        <f>IF(Categorias_Registro[[#This Row],[Puntos]]=ROUND(Piso,0),ROUND(Categorias_Registro[[#This Row],[Puntos]]*(1+Categorias_Registro[[#This Row],[Amplitud]]),0),IF(Categorias_Registro[[#This Row],[Puntos]]&lt;D2314,D2314,ROUND(D2314*(1+Categorias_Registro[[#This Row],[Amplitud]]),0)))</f>
        <v>352</v>
      </c>
      <c r="E2313" s="15">
        <f>E2314+IF(D2314=Categorias_Registro[[#This Row],[Máximo]],0,1)</f>
        <v>10</v>
      </c>
      <c r="F2313" s="15">
        <f>ROUND(Categorias_Registro[[#This Row],[Mínimo]]+((Categorias_Registro[[#This Row],[Máximo]]-Categorias_Registro[[#This Row],[Mínimo]])/2),0)</f>
        <v>330</v>
      </c>
      <c r="G2313" s="78">
        <f>VLOOKUP(Categorias_Registro[[#This Row],[Puntos]],Categorias_Configuracion[],MATCH(Categorias_Configuracion[[#Headers],[% Amplitud]],Categorias_Configuracion[#Headers],0),TRUE)</f>
        <v>0.15</v>
      </c>
      <c r="H2313" s="15" t="str">
        <f ca="1">TEXT(Categorias_Registro[[#This Row],[Mínimo]],Formato_Rango_Categorias)&amp;" - "&amp;TEXT(Categorias_Registro[[#This Row],[Máximo]],Formato_Rango_Categorias)</f>
        <v>307 - 352</v>
      </c>
    </row>
    <row r="2314" spans="2:8">
      <c r="B2314" s="15">
        <f>Techo - ROW() + ROW(Categorias_Registro[])</f>
        <v>315</v>
      </c>
      <c r="C2314" s="15">
        <f>IF(Categorias_Registro[[#This Row],[Puntos]]&lt;=ROUND(Piso,0),Piso,IF(Categorias_Registro[[#This Row],[Puntos]]&lt;D2315,C2315,D2315+1))</f>
        <v>307</v>
      </c>
      <c r="D2314" s="15">
        <f>IF(Categorias_Registro[[#This Row],[Puntos]]=ROUND(Piso,0),ROUND(Categorias_Registro[[#This Row],[Puntos]]*(1+Categorias_Registro[[#This Row],[Amplitud]]),0),IF(Categorias_Registro[[#This Row],[Puntos]]&lt;D2315,D2315,ROUND(D2315*(1+Categorias_Registro[[#This Row],[Amplitud]]),0)))</f>
        <v>352</v>
      </c>
      <c r="E2314" s="15">
        <f>E2315+IF(D2315=Categorias_Registro[[#This Row],[Máximo]],0,1)</f>
        <v>10</v>
      </c>
      <c r="F2314" s="15">
        <f>ROUND(Categorias_Registro[[#This Row],[Mínimo]]+((Categorias_Registro[[#This Row],[Máximo]]-Categorias_Registro[[#This Row],[Mínimo]])/2),0)</f>
        <v>330</v>
      </c>
      <c r="G2314" s="78">
        <f>VLOOKUP(Categorias_Registro[[#This Row],[Puntos]],Categorias_Configuracion[],MATCH(Categorias_Configuracion[[#Headers],[% Amplitud]],Categorias_Configuracion[#Headers],0),TRUE)</f>
        <v>0.15</v>
      </c>
      <c r="H2314" s="15" t="str">
        <f ca="1">TEXT(Categorias_Registro[[#This Row],[Mínimo]],Formato_Rango_Categorias)&amp;" - "&amp;TEXT(Categorias_Registro[[#This Row],[Máximo]],Formato_Rango_Categorias)</f>
        <v>307 - 352</v>
      </c>
    </row>
    <row r="2315" spans="2:8">
      <c r="B2315" s="15">
        <f>Techo - ROW() + ROW(Categorias_Registro[])</f>
        <v>314</v>
      </c>
      <c r="C2315" s="15">
        <f>IF(Categorias_Registro[[#This Row],[Puntos]]&lt;=ROUND(Piso,0),Piso,IF(Categorias_Registro[[#This Row],[Puntos]]&lt;D2316,C2316,D2316+1))</f>
        <v>307</v>
      </c>
      <c r="D2315" s="15">
        <f>IF(Categorias_Registro[[#This Row],[Puntos]]=ROUND(Piso,0),ROUND(Categorias_Registro[[#This Row],[Puntos]]*(1+Categorias_Registro[[#This Row],[Amplitud]]),0),IF(Categorias_Registro[[#This Row],[Puntos]]&lt;D2316,D2316,ROUND(D2316*(1+Categorias_Registro[[#This Row],[Amplitud]]),0)))</f>
        <v>352</v>
      </c>
      <c r="E2315" s="15">
        <f>E2316+IF(D2316=Categorias_Registro[[#This Row],[Máximo]],0,1)</f>
        <v>10</v>
      </c>
      <c r="F2315" s="15">
        <f>ROUND(Categorias_Registro[[#This Row],[Mínimo]]+((Categorias_Registro[[#This Row],[Máximo]]-Categorias_Registro[[#This Row],[Mínimo]])/2),0)</f>
        <v>330</v>
      </c>
      <c r="G2315" s="78">
        <f>VLOOKUP(Categorias_Registro[[#This Row],[Puntos]],Categorias_Configuracion[],MATCH(Categorias_Configuracion[[#Headers],[% Amplitud]],Categorias_Configuracion[#Headers],0),TRUE)</f>
        <v>0.15</v>
      </c>
      <c r="H2315" s="15" t="str">
        <f ca="1">TEXT(Categorias_Registro[[#This Row],[Mínimo]],Formato_Rango_Categorias)&amp;" - "&amp;TEXT(Categorias_Registro[[#This Row],[Máximo]],Formato_Rango_Categorias)</f>
        <v>307 - 352</v>
      </c>
    </row>
    <row r="2316" spans="2:8">
      <c r="B2316" s="15">
        <f>Techo - ROW() + ROW(Categorias_Registro[])</f>
        <v>313</v>
      </c>
      <c r="C2316" s="15">
        <f>IF(Categorias_Registro[[#This Row],[Puntos]]&lt;=ROUND(Piso,0),Piso,IF(Categorias_Registro[[#This Row],[Puntos]]&lt;D2317,C2317,D2317+1))</f>
        <v>307</v>
      </c>
      <c r="D2316" s="15">
        <f>IF(Categorias_Registro[[#This Row],[Puntos]]=ROUND(Piso,0),ROUND(Categorias_Registro[[#This Row],[Puntos]]*(1+Categorias_Registro[[#This Row],[Amplitud]]),0),IF(Categorias_Registro[[#This Row],[Puntos]]&lt;D2317,D2317,ROUND(D2317*(1+Categorias_Registro[[#This Row],[Amplitud]]),0)))</f>
        <v>352</v>
      </c>
      <c r="E2316" s="15">
        <f>E2317+IF(D2317=Categorias_Registro[[#This Row],[Máximo]],0,1)</f>
        <v>10</v>
      </c>
      <c r="F2316" s="15">
        <f>ROUND(Categorias_Registro[[#This Row],[Mínimo]]+((Categorias_Registro[[#This Row],[Máximo]]-Categorias_Registro[[#This Row],[Mínimo]])/2),0)</f>
        <v>330</v>
      </c>
      <c r="G2316" s="78">
        <f>VLOOKUP(Categorias_Registro[[#This Row],[Puntos]],Categorias_Configuracion[],MATCH(Categorias_Configuracion[[#Headers],[% Amplitud]],Categorias_Configuracion[#Headers],0),TRUE)</f>
        <v>0.15</v>
      </c>
      <c r="H2316" s="15" t="str">
        <f ca="1">TEXT(Categorias_Registro[[#This Row],[Mínimo]],Formato_Rango_Categorias)&amp;" - "&amp;TEXT(Categorias_Registro[[#This Row],[Máximo]],Formato_Rango_Categorias)</f>
        <v>307 - 352</v>
      </c>
    </row>
    <row r="2317" spans="2:8">
      <c r="B2317" s="15">
        <f>Techo - ROW() + ROW(Categorias_Registro[])</f>
        <v>312</v>
      </c>
      <c r="C2317" s="15">
        <f>IF(Categorias_Registro[[#This Row],[Puntos]]&lt;=ROUND(Piso,0),Piso,IF(Categorias_Registro[[#This Row],[Puntos]]&lt;D2318,C2318,D2318+1))</f>
        <v>307</v>
      </c>
      <c r="D2317" s="15">
        <f>IF(Categorias_Registro[[#This Row],[Puntos]]=ROUND(Piso,0),ROUND(Categorias_Registro[[#This Row],[Puntos]]*(1+Categorias_Registro[[#This Row],[Amplitud]]),0),IF(Categorias_Registro[[#This Row],[Puntos]]&lt;D2318,D2318,ROUND(D2318*(1+Categorias_Registro[[#This Row],[Amplitud]]),0)))</f>
        <v>352</v>
      </c>
      <c r="E2317" s="15">
        <f>E2318+IF(D2318=Categorias_Registro[[#This Row],[Máximo]],0,1)</f>
        <v>10</v>
      </c>
      <c r="F2317" s="15">
        <f>ROUND(Categorias_Registro[[#This Row],[Mínimo]]+((Categorias_Registro[[#This Row],[Máximo]]-Categorias_Registro[[#This Row],[Mínimo]])/2),0)</f>
        <v>330</v>
      </c>
      <c r="G2317" s="78">
        <f>VLOOKUP(Categorias_Registro[[#This Row],[Puntos]],Categorias_Configuracion[],MATCH(Categorias_Configuracion[[#Headers],[% Amplitud]],Categorias_Configuracion[#Headers],0),TRUE)</f>
        <v>0.15</v>
      </c>
      <c r="H2317" s="15" t="str">
        <f ca="1">TEXT(Categorias_Registro[[#This Row],[Mínimo]],Formato_Rango_Categorias)&amp;" - "&amp;TEXT(Categorias_Registro[[#This Row],[Máximo]],Formato_Rango_Categorias)</f>
        <v>307 - 352</v>
      </c>
    </row>
    <row r="2318" spans="2:8">
      <c r="B2318" s="15">
        <f>Techo - ROW() + ROW(Categorias_Registro[])</f>
        <v>311</v>
      </c>
      <c r="C2318" s="15">
        <f>IF(Categorias_Registro[[#This Row],[Puntos]]&lt;=ROUND(Piso,0),Piso,IF(Categorias_Registro[[#This Row],[Puntos]]&lt;D2319,C2319,D2319+1))</f>
        <v>307</v>
      </c>
      <c r="D2318" s="15">
        <f>IF(Categorias_Registro[[#This Row],[Puntos]]=ROUND(Piso,0),ROUND(Categorias_Registro[[#This Row],[Puntos]]*(1+Categorias_Registro[[#This Row],[Amplitud]]),0),IF(Categorias_Registro[[#This Row],[Puntos]]&lt;D2319,D2319,ROUND(D2319*(1+Categorias_Registro[[#This Row],[Amplitud]]),0)))</f>
        <v>352</v>
      </c>
      <c r="E2318" s="15">
        <f>E2319+IF(D2319=Categorias_Registro[[#This Row],[Máximo]],0,1)</f>
        <v>10</v>
      </c>
      <c r="F2318" s="15">
        <f>ROUND(Categorias_Registro[[#This Row],[Mínimo]]+((Categorias_Registro[[#This Row],[Máximo]]-Categorias_Registro[[#This Row],[Mínimo]])/2),0)</f>
        <v>330</v>
      </c>
      <c r="G2318" s="78">
        <f>VLOOKUP(Categorias_Registro[[#This Row],[Puntos]],Categorias_Configuracion[],MATCH(Categorias_Configuracion[[#Headers],[% Amplitud]],Categorias_Configuracion[#Headers],0),TRUE)</f>
        <v>0.15</v>
      </c>
      <c r="H2318" s="15" t="str">
        <f ca="1">TEXT(Categorias_Registro[[#This Row],[Mínimo]],Formato_Rango_Categorias)&amp;" - "&amp;TEXT(Categorias_Registro[[#This Row],[Máximo]],Formato_Rango_Categorias)</f>
        <v>307 - 352</v>
      </c>
    </row>
    <row r="2319" spans="2:8">
      <c r="B2319" s="15">
        <f>Techo - ROW() + ROW(Categorias_Registro[])</f>
        <v>310</v>
      </c>
      <c r="C2319" s="15">
        <f>IF(Categorias_Registro[[#This Row],[Puntos]]&lt;=ROUND(Piso,0),Piso,IF(Categorias_Registro[[#This Row],[Puntos]]&lt;D2320,C2320,D2320+1))</f>
        <v>307</v>
      </c>
      <c r="D2319" s="15">
        <f>IF(Categorias_Registro[[#This Row],[Puntos]]=ROUND(Piso,0),ROUND(Categorias_Registro[[#This Row],[Puntos]]*(1+Categorias_Registro[[#This Row],[Amplitud]]),0),IF(Categorias_Registro[[#This Row],[Puntos]]&lt;D2320,D2320,ROUND(D2320*(1+Categorias_Registro[[#This Row],[Amplitud]]),0)))</f>
        <v>352</v>
      </c>
      <c r="E2319" s="15">
        <f>E2320+IF(D2320=Categorias_Registro[[#This Row],[Máximo]],0,1)</f>
        <v>10</v>
      </c>
      <c r="F2319" s="15">
        <f>ROUND(Categorias_Registro[[#This Row],[Mínimo]]+((Categorias_Registro[[#This Row],[Máximo]]-Categorias_Registro[[#This Row],[Mínimo]])/2),0)</f>
        <v>330</v>
      </c>
      <c r="G2319" s="78">
        <f>VLOOKUP(Categorias_Registro[[#This Row],[Puntos]],Categorias_Configuracion[],MATCH(Categorias_Configuracion[[#Headers],[% Amplitud]],Categorias_Configuracion[#Headers],0),TRUE)</f>
        <v>0.15</v>
      </c>
      <c r="H2319" s="15" t="str">
        <f ca="1">TEXT(Categorias_Registro[[#This Row],[Mínimo]],Formato_Rango_Categorias)&amp;" - "&amp;TEXT(Categorias_Registro[[#This Row],[Máximo]],Formato_Rango_Categorias)</f>
        <v>307 - 352</v>
      </c>
    </row>
    <row r="2320" spans="2:8">
      <c r="B2320" s="15">
        <f>Techo - ROW() + ROW(Categorias_Registro[])</f>
        <v>309</v>
      </c>
      <c r="C2320" s="15">
        <f>IF(Categorias_Registro[[#This Row],[Puntos]]&lt;=ROUND(Piso,0),Piso,IF(Categorias_Registro[[#This Row],[Puntos]]&lt;D2321,C2321,D2321+1))</f>
        <v>307</v>
      </c>
      <c r="D2320" s="15">
        <f>IF(Categorias_Registro[[#This Row],[Puntos]]=ROUND(Piso,0),ROUND(Categorias_Registro[[#This Row],[Puntos]]*(1+Categorias_Registro[[#This Row],[Amplitud]]),0),IF(Categorias_Registro[[#This Row],[Puntos]]&lt;D2321,D2321,ROUND(D2321*(1+Categorias_Registro[[#This Row],[Amplitud]]),0)))</f>
        <v>352</v>
      </c>
      <c r="E2320" s="15">
        <f>E2321+IF(D2321=Categorias_Registro[[#This Row],[Máximo]],0,1)</f>
        <v>10</v>
      </c>
      <c r="F2320" s="15">
        <f>ROUND(Categorias_Registro[[#This Row],[Mínimo]]+((Categorias_Registro[[#This Row],[Máximo]]-Categorias_Registro[[#This Row],[Mínimo]])/2),0)</f>
        <v>330</v>
      </c>
      <c r="G2320" s="78">
        <f>VLOOKUP(Categorias_Registro[[#This Row],[Puntos]],Categorias_Configuracion[],MATCH(Categorias_Configuracion[[#Headers],[% Amplitud]],Categorias_Configuracion[#Headers],0),TRUE)</f>
        <v>0.15</v>
      </c>
      <c r="H2320" s="15" t="str">
        <f ca="1">TEXT(Categorias_Registro[[#This Row],[Mínimo]],Formato_Rango_Categorias)&amp;" - "&amp;TEXT(Categorias_Registro[[#This Row],[Máximo]],Formato_Rango_Categorias)</f>
        <v>307 - 352</v>
      </c>
    </row>
    <row r="2321" spans="2:8">
      <c r="B2321" s="15">
        <f>Techo - ROW() + ROW(Categorias_Registro[])</f>
        <v>308</v>
      </c>
      <c r="C2321" s="15">
        <f>IF(Categorias_Registro[[#This Row],[Puntos]]&lt;=ROUND(Piso,0),Piso,IF(Categorias_Registro[[#This Row],[Puntos]]&lt;D2322,C2322,D2322+1))</f>
        <v>307</v>
      </c>
      <c r="D2321" s="15">
        <f>IF(Categorias_Registro[[#This Row],[Puntos]]=ROUND(Piso,0),ROUND(Categorias_Registro[[#This Row],[Puntos]]*(1+Categorias_Registro[[#This Row],[Amplitud]]),0),IF(Categorias_Registro[[#This Row],[Puntos]]&lt;D2322,D2322,ROUND(D2322*(1+Categorias_Registro[[#This Row],[Amplitud]]),0)))</f>
        <v>352</v>
      </c>
      <c r="E2321" s="15">
        <f>E2322+IF(D2322=Categorias_Registro[[#This Row],[Máximo]],0,1)</f>
        <v>10</v>
      </c>
      <c r="F2321" s="15">
        <f>ROUND(Categorias_Registro[[#This Row],[Mínimo]]+((Categorias_Registro[[#This Row],[Máximo]]-Categorias_Registro[[#This Row],[Mínimo]])/2),0)</f>
        <v>330</v>
      </c>
      <c r="G2321" s="78">
        <f>VLOOKUP(Categorias_Registro[[#This Row],[Puntos]],Categorias_Configuracion[],MATCH(Categorias_Configuracion[[#Headers],[% Amplitud]],Categorias_Configuracion[#Headers],0),TRUE)</f>
        <v>0.15</v>
      </c>
      <c r="H2321" s="15" t="str">
        <f ca="1">TEXT(Categorias_Registro[[#This Row],[Mínimo]],Formato_Rango_Categorias)&amp;" - "&amp;TEXT(Categorias_Registro[[#This Row],[Máximo]],Formato_Rango_Categorias)</f>
        <v>307 - 352</v>
      </c>
    </row>
    <row r="2322" spans="2:8">
      <c r="B2322" s="15">
        <f>Techo - ROW() + ROW(Categorias_Registro[])</f>
        <v>307</v>
      </c>
      <c r="C2322" s="15">
        <f>IF(Categorias_Registro[[#This Row],[Puntos]]&lt;=ROUND(Piso,0),Piso,IF(Categorias_Registro[[#This Row],[Puntos]]&lt;D2323,C2323,D2323+1))</f>
        <v>307</v>
      </c>
      <c r="D2322" s="15">
        <f>IF(Categorias_Registro[[#This Row],[Puntos]]=ROUND(Piso,0),ROUND(Categorias_Registro[[#This Row],[Puntos]]*(1+Categorias_Registro[[#This Row],[Amplitud]]),0),IF(Categorias_Registro[[#This Row],[Puntos]]&lt;D2323,D2323,ROUND(D2323*(1+Categorias_Registro[[#This Row],[Amplitud]]),0)))</f>
        <v>352</v>
      </c>
      <c r="E2322" s="15">
        <f>E2323+IF(D2323=Categorias_Registro[[#This Row],[Máximo]],0,1)</f>
        <v>10</v>
      </c>
      <c r="F2322" s="15">
        <f>ROUND(Categorias_Registro[[#This Row],[Mínimo]]+((Categorias_Registro[[#This Row],[Máximo]]-Categorias_Registro[[#This Row],[Mínimo]])/2),0)</f>
        <v>330</v>
      </c>
      <c r="G2322" s="78">
        <f>VLOOKUP(Categorias_Registro[[#This Row],[Puntos]],Categorias_Configuracion[],MATCH(Categorias_Configuracion[[#Headers],[% Amplitud]],Categorias_Configuracion[#Headers],0),TRUE)</f>
        <v>0.15</v>
      </c>
      <c r="H2322" s="15" t="str">
        <f ca="1">TEXT(Categorias_Registro[[#This Row],[Mínimo]],Formato_Rango_Categorias)&amp;" - "&amp;TEXT(Categorias_Registro[[#This Row],[Máximo]],Formato_Rango_Categorias)</f>
        <v>307 - 352</v>
      </c>
    </row>
    <row r="2323" spans="2:8">
      <c r="B2323" s="15">
        <f>Techo - ROW() + ROW(Categorias_Registro[])</f>
        <v>306</v>
      </c>
      <c r="C2323" s="15">
        <f>IF(Categorias_Registro[[#This Row],[Puntos]]&lt;=ROUND(Piso,0),Piso,IF(Categorias_Registro[[#This Row],[Puntos]]&lt;D2324,C2324,D2324+1))</f>
        <v>307</v>
      </c>
      <c r="D2323" s="15">
        <f>IF(Categorias_Registro[[#This Row],[Puntos]]=ROUND(Piso,0),ROUND(Categorias_Registro[[#This Row],[Puntos]]*(1+Categorias_Registro[[#This Row],[Amplitud]]),0),IF(Categorias_Registro[[#This Row],[Puntos]]&lt;D2324,D2324,ROUND(D2324*(1+Categorias_Registro[[#This Row],[Amplitud]]),0)))</f>
        <v>352</v>
      </c>
      <c r="E2323" s="15">
        <f>E2324+IF(D2324=Categorias_Registro[[#This Row],[Máximo]],0,1)</f>
        <v>10</v>
      </c>
      <c r="F2323" s="15">
        <f>ROUND(Categorias_Registro[[#This Row],[Mínimo]]+((Categorias_Registro[[#This Row],[Máximo]]-Categorias_Registro[[#This Row],[Mínimo]])/2),0)</f>
        <v>330</v>
      </c>
      <c r="G2323" s="78">
        <f>VLOOKUP(Categorias_Registro[[#This Row],[Puntos]],Categorias_Configuracion[],MATCH(Categorias_Configuracion[[#Headers],[% Amplitud]],Categorias_Configuracion[#Headers],0),TRUE)</f>
        <v>0.15</v>
      </c>
      <c r="H2323" s="15" t="str">
        <f ca="1">TEXT(Categorias_Registro[[#This Row],[Mínimo]],Formato_Rango_Categorias)&amp;" - "&amp;TEXT(Categorias_Registro[[#This Row],[Máximo]],Formato_Rango_Categorias)</f>
        <v>307 - 352</v>
      </c>
    </row>
    <row r="2324" spans="2:8">
      <c r="B2324" s="15">
        <f>Techo - ROW() + ROW(Categorias_Registro[])</f>
        <v>305</v>
      </c>
      <c r="C2324" s="15">
        <f>IF(Categorias_Registro[[#This Row],[Puntos]]&lt;=ROUND(Piso,0),Piso,IF(Categorias_Registro[[#This Row],[Puntos]]&lt;D2325,C2325,D2325+1))</f>
        <v>267</v>
      </c>
      <c r="D2324" s="15">
        <f>IF(Categorias_Registro[[#This Row],[Puntos]]=ROUND(Piso,0),ROUND(Categorias_Registro[[#This Row],[Puntos]]*(1+Categorias_Registro[[#This Row],[Amplitud]]),0),IF(Categorias_Registro[[#This Row],[Puntos]]&lt;D2325,D2325,ROUND(D2325*(1+Categorias_Registro[[#This Row],[Amplitud]]),0)))</f>
        <v>306</v>
      </c>
      <c r="E2324" s="15">
        <f>E2325+IF(D2325=Categorias_Registro[[#This Row],[Máximo]],0,1)</f>
        <v>9</v>
      </c>
      <c r="F2324" s="15">
        <f>ROUND(Categorias_Registro[[#This Row],[Mínimo]]+((Categorias_Registro[[#This Row],[Máximo]]-Categorias_Registro[[#This Row],[Mínimo]])/2),0)</f>
        <v>287</v>
      </c>
      <c r="G2324" s="78">
        <f>VLOOKUP(Categorias_Registro[[#This Row],[Puntos]],Categorias_Configuracion[],MATCH(Categorias_Configuracion[[#Headers],[% Amplitud]],Categorias_Configuracion[#Headers],0),TRUE)</f>
        <v>0.15</v>
      </c>
      <c r="H2324" s="15" t="str">
        <f ca="1">TEXT(Categorias_Registro[[#This Row],[Mínimo]],Formato_Rango_Categorias)&amp;" - "&amp;TEXT(Categorias_Registro[[#This Row],[Máximo]],Formato_Rango_Categorias)</f>
        <v>267 - 306</v>
      </c>
    </row>
    <row r="2325" spans="2:8">
      <c r="B2325" s="15">
        <f>Techo - ROW() + ROW(Categorias_Registro[])</f>
        <v>304</v>
      </c>
      <c r="C2325" s="15">
        <f>IF(Categorias_Registro[[#This Row],[Puntos]]&lt;=ROUND(Piso,0),Piso,IF(Categorias_Registro[[#This Row],[Puntos]]&lt;D2326,C2326,D2326+1))</f>
        <v>267</v>
      </c>
      <c r="D2325" s="15">
        <f>IF(Categorias_Registro[[#This Row],[Puntos]]=ROUND(Piso,0),ROUND(Categorias_Registro[[#This Row],[Puntos]]*(1+Categorias_Registro[[#This Row],[Amplitud]]),0),IF(Categorias_Registro[[#This Row],[Puntos]]&lt;D2326,D2326,ROUND(D2326*(1+Categorias_Registro[[#This Row],[Amplitud]]),0)))</f>
        <v>306</v>
      </c>
      <c r="E2325" s="15">
        <f>E2326+IF(D2326=Categorias_Registro[[#This Row],[Máximo]],0,1)</f>
        <v>9</v>
      </c>
      <c r="F2325" s="15">
        <f>ROUND(Categorias_Registro[[#This Row],[Mínimo]]+((Categorias_Registro[[#This Row],[Máximo]]-Categorias_Registro[[#This Row],[Mínimo]])/2),0)</f>
        <v>287</v>
      </c>
      <c r="G2325" s="78">
        <f>VLOOKUP(Categorias_Registro[[#This Row],[Puntos]],Categorias_Configuracion[],MATCH(Categorias_Configuracion[[#Headers],[% Amplitud]],Categorias_Configuracion[#Headers],0),TRUE)</f>
        <v>0.15</v>
      </c>
      <c r="H2325" s="15" t="str">
        <f ca="1">TEXT(Categorias_Registro[[#This Row],[Mínimo]],Formato_Rango_Categorias)&amp;" - "&amp;TEXT(Categorias_Registro[[#This Row],[Máximo]],Formato_Rango_Categorias)</f>
        <v>267 - 306</v>
      </c>
    </row>
    <row r="2326" spans="2:8">
      <c r="B2326" s="15">
        <f>Techo - ROW() + ROW(Categorias_Registro[])</f>
        <v>303</v>
      </c>
      <c r="C2326" s="15">
        <f>IF(Categorias_Registro[[#This Row],[Puntos]]&lt;=ROUND(Piso,0),Piso,IF(Categorias_Registro[[#This Row],[Puntos]]&lt;D2327,C2327,D2327+1))</f>
        <v>267</v>
      </c>
      <c r="D2326" s="15">
        <f>IF(Categorias_Registro[[#This Row],[Puntos]]=ROUND(Piso,0),ROUND(Categorias_Registro[[#This Row],[Puntos]]*(1+Categorias_Registro[[#This Row],[Amplitud]]),0),IF(Categorias_Registro[[#This Row],[Puntos]]&lt;D2327,D2327,ROUND(D2327*(1+Categorias_Registro[[#This Row],[Amplitud]]),0)))</f>
        <v>306</v>
      </c>
      <c r="E2326" s="15">
        <f>E2327+IF(D2327=Categorias_Registro[[#This Row],[Máximo]],0,1)</f>
        <v>9</v>
      </c>
      <c r="F2326" s="15">
        <f>ROUND(Categorias_Registro[[#This Row],[Mínimo]]+((Categorias_Registro[[#This Row],[Máximo]]-Categorias_Registro[[#This Row],[Mínimo]])/2),0)</f>
        <v>287</v>
      </c>
      <c r="G2326" s="78">
        <f>VLOOKUP(Categorias_Registro[[#This Row],[Puntos]],Categorias_Configuracion[],MATCH(Categorias_Configuracion[[#Headers],[% Amplitud]],Categorias_Configuracion[#Headers],0),TRUE)</f>
        <v>0.15</v>
      </c>
      <c r="H2326" s="15" t="str">
        <f ca="1">TEXT(Categorias_Registro[[#This Row],[Mínimo]],Formato_Rango_Categorias)&amp;" - "&amp;TEXT(Categorias_Registro[[#This Row],[Máximo]],Formato_Rango_Categorias)</f>
        <v>267 - 306</v>
      </c>
    </row>
    <row r="2327" spans="2:8">
      <c r="B2327" s="15">
        <f>Techo - ROW() + ROW(Categorias_Registro[])</f>
        <v>302</v>
      </c>
      <c r="C2327" s="15">
        <f>IF(Categorias_Registro[[#This Row],[Puntos]]&lt;=ROUND(Piso,0),Piso,IF(Categorias_Registro[[#This Row],[Puntos]]&lt;D2328,C2328,D2328+1))</f>
        <v>267</v>
      </c>
      <c r="D2327" s="15">
        <f>IF(Categorias_Registro[[#This Row],[Puntos]]=ROUND(Piso,0),ROUND(Categorias_Registro[[#This Row],[Puntos]]*(1+Categorias_Registro[[#This Row],[Amplitud]]),0),IF(Categorias_Registro[[#This Row],[Puntos]]&lt;D2328,D2328,ROUND(D2328*(1+Categorias_Registro[[#This Row],[Amplitud]]),0)))</f>
        <v>306</v>
      </c>
      <c r="E2327" s="15">
        <f>E2328+IF(D2328=Categorias_Registro[[#This Row],[Máximo]],0,1)</f>
        <v>9</v>
      </c>
      <c r="F2327" s="15">
        <f>ROUND(Categorias_Registro[[#This Row],[Mínimo]]+((Categorias_Registro[[#This Row],[Máximo]]-Categorias_Registro[[#This Row],[Mínimo]])/2),0)</f>
        <v>287</v>
      </c>
      <c r="G2327" s="78">
        <f>VLOOKUP(Categorias_Registro[[#This Row],[Puntos]],Categorias_Configuracion[],MATCH(Categorias_Configuracion[[#Headers],[% Amplitud]],Categorias_Configuracion[#Headers],0),TRUE)</f>
        <v>0.15</v>
      </c>
      <c r="H2327" s="15" t="str">
        <f ca="1">TEXT(Categorias_Registro[[#This Row],[Mínimo]],Formato_Rango_Categorias)&amp;" - "&amp;TEXT(Categorias_Registro[[#This Row],[Máximo]],Formato_Rango_Categorias)</f>
        <v>267 - 306</v>
      </c>
    </row>
    <row r="2328" spans="2:8">
      <c r="B2328" s="15">
        <f>Techo - ROW() + ROW(Categorias_Registro[])</f>
        <v>301</v>
      </c>
      <c r="C2328" s="15">
        <f>IF(Categorias_Registro[[#This Row],[Puntos]]&lt;=ROUND(Piso,0),Piso,IF(Categorias_Registro[[#This Row],[Puntos]]&lt;D2329,C2329,D2329+1))</f>
        <v>267</v>
      </c>
      <c r="D2328" s="15">
        <f>IF(Categorias_Registro[[#This Row],[Puntos]]=ROUND(Piso,0),ROUND(Categorias_Registro[[#This Row],[Puntos]]*(1+Categorias_Registro[[#This Row],[Amplitud]]),0),IF(Categorias_Registro[[#This Row],[Puntos]]&lt;D2329,D2329,ROUND(D2329*(1+Categorias_Registro[[#This Row],[Amplitud]]),0)))</f>
        <v>306</v>
      </c>
      <c r="E2328" s="15">
        <f>E2329+IF(D2329=Categorias_Registro[[#This Row],[Máximo]],0,1)</f>
        <v>9</v>
      </c>
      <c r="F2328" s="15">
        <f>ROUND(Categorias_Registro[[#This Row],[Mínimo]]+((Categorias_Registro[[#This Row],[Máximo]]-Categorias_Registro[[#This Row],[Mínimo]])/2),0)</f>
        <v>287</v>
      </c>
      <c r="G2328" s="78">
        <f>VLOOKUP(Categorias_Registro[[#This Row],[Puntos]],Categorias_Configuracion[],MATCH(Categorias_Configuracion[[#Headers],[% Amplitud]],Categorias_Configuracion[#Headers],0),TRUE)</f>
        <v>0.15</v>
      </c>
      <c r="H2328" s="15" t="str">
        <f ca="1">TEXT(Categorias_Registro[[#This Row],[Mínimo]],Formato_Rango_Categorias)&amp;" - "&amp;TEXT(Categorias_Registro[[#This Row],[Máximo]],Formato_Rango_Categorias)</f>
        <v>267 - 306</v>
      </c>
    </row>
    <row r="2329" spans="2:8">
      <c r="B2329" s="15">
        <f>Techo - ROW() + ROW(Categorias_Registro[])</f>
        <v>300</v>
      </c>
      <c r="C2329" s="15">
        <f>IF(Categorias_Registro[[#This Row],[Puntos]]&lt;=ROUND(Piso,0),Piso,IF(Categorias_Registro[[#This Row],[Puntos]]&lt;D2330,C2330,D2330+1))</f>
        <v>267</v>
      </c>
      <c r="D2329" s="15">
        <f>IF(Categorias_Registro[[#This Row],[Puntos]]=ROUND(Piso,0),ROUND(Categorias_Registro[[#This Row],[Puntos]]*(1+Categorias_Registro[[#This Row],[Amplitud]]),0),IF(Categorias_Registro[[#This Row],[Puntos]]&lt;D2330,D2330,ROUND(D2330*(1+Categorias_Registro[[#This Row],[Amplitud]]),0)))</f>
        <v>306</v>
      </c>
      <c r="E2329" s="15">
        <f>E2330+IF(D2330=Categorias_Registro[[#This Row],[Máximo]],0,1)</f>
        <v>9</v>
      </c>
      <c r="F2329" s="15">
        <f>ROUND(Categorias_Registro[[#This Row],[Mínimo]]+((Categorias_Registro[[#This Row],[Máximo]]-Categorias_Registro[[#This Row],[Mínimo]])/2),0)</f>
        <v>287</v>
      </c>
      <c r="G2329" s="78">
        <f>VLOOKUP(Categorias_Registro[[#This Row],[Puntos]],Categorias_Configuracion[],MATCH(Categorias_Configuracion[[#Headers],[% Amplitud]],Categorias_Configuracion[#Headers],0),TRUE)</f>
        <v>0.15</v>
      </c>
      <c r="H2329" s="15" t="str">
        <f ca="1">TEXT(Categorias_Registro[[#This Row],[Mínimo]],Formato_Rango_Categorias)&amp;" - "&amp;TEXT(Categorias_Registro[[#This Row],[Máximo]],Formato_Rango_Categorias)</f>
        <v>267 - 306</v>
      </c>
    </row>
    <row r="2330" spans="2:8">
      <c r="B2330" s="15">
        <f>Techo - ROW() + ROW(Categorias_Registro[])</f>
        <v>299</v>
      </c>
      <c r="C2330" s="15">
        <f>IF(Categorias_Registro[[#This Row],[Puntos]]&lt;=ROUND(Piso,0),Piso,IF(Categorias_Registro[[#This Row],[Puntos]]&lt;D2331,C2331,D2331+1))</f>
        <v>267</v>
      </c>
      <c r="D2330" s="15">
        <f>IF(Categorias_Registro[[#This Row],[Puntos]]=ROUND(Piso,0),ROUND(Categorias_Registro[[#This Row],[Puntos]]*(1+Categorias_Registro[[#This Row],[Amplitud]]),0),IF(Categorias_Registro[[#This Row],[Puntos]]&lt;D2331,D2331,ROUND(D2331*(1+Categorias_Registro[[#This Row],[Amplitud]]),0)))</f>
        <v>306</v>
      </c>
      <c r="E2330" s="15">
        <f>E2331+IF(D2331=Categorias_Registro[[#This Row],[Máximo]],0,1)</f>
        <v>9</v>
      </c>
      <c r="F2330" s="15">
        <f>ROUND(Categorias_Registro[[#This Row],[Mínimo]]+((Categorias_Registro[[#This Row],[Máximo]]-Categorias_Registro[[#This Row],[Mínimo]])/2),0)</f>
        <v>287</v>
      </c>
      <c r="G2330" s="78">
        <f>VLOOKUP(Categorias_Registro[[#This Row],[Puntos]],Categorias_Configuracion[],MATCH(Categorias_Configuracion[[#Headers],[% Amplitud]],Categorias_Configuracion[#Headers],0),TRUE)</f>
        <v>0.15</v>
      </c>
      <c r="H2330" s="15" t="str">
        <f ca="1">TEXT(Categorias_Registro[[#This Row],[Mínimo]],Formato_Rango_Categorias)&amp;" - "&amp;TEXT(Categorias_Registro[[#This Row],[Máximo]],Formato_Rango_Categorias)</f>
        <v>267 - 306</v>
      </c>
    </row>
    <row r="2331" spans="2:8">
      <c r="B2331" s="15">
        <f>Techo - ROW() + ROW(Categorias_Registro[])</f>
        <v>298</v>
      </c>
      <c r="C2331" s="15">
        <f>IF(Categorias_Registro[[#This Row],[Puntos]]&lt;=ROUND(Piso,0),Piso,IF(Categorias_Registro[[#This Row],[Puntos]]&lt;D2332,C2332,D2332+1))</f>
        <v>267</v>
      </c>
      <c r="D2331" s="15">
        <f>IF(Categorias_Registro[[#This Row],[Puntos]]=ROUND(Piso,0),ROUND(Categorias_Registro[[#This Row],[Puntos]]*(1+Categorias_Registro[[#This Row],[Amplitud]]),0),IF(Categorias_Registro[[#This Row],[Puntos]]&lt;D2332,D2332,ROUND(D2332*(1+Categorias_Registro[[#This Row],[Amplitud]]),0)))</f>
        <v>306</v>
      </c>
      <c r="E2331" s="15">
        <f>E2332+IF(D2332=Categorias_Registro[[#This Row],[Máximo]],0,1)</f>
        <v>9</v>
      </c>
      <c r="F2331" s="15">
        <f>ROUND(Categorias_Registro[[#This Row],[Mínimo]]+((Categorias_Registro[[#This Row],[Máximo]]-Categorias_Registro[[#This Row],[Mínimo]])/2),0)</f>
        <v>287</v>
      </c>
      <c r="G2331" s="78">
        <f>VLOOKUP(Categorias_Registro[[#This Row],[Puntos]],Categorias_Configuracion[],MATCH(Categorias_Configuracion[[#Headers],[% Amplitud]],Categorias_Configuracion[#Headers],0),TRUE)</f>
        <v>0.15</v>
      </c>
      <c r="H2331" s="15" t="str">
        <f ca="1">TEXT(Categorias_Registro[[#This Row],[Mínimo]],Formato_Rango_Categorias)&amp;" - "&amp;TEXT(Categorias_Registro[[#This Row],[Máximo]],Formato_Rango_Categorias)</f>
        <v>267 - 306</v>
      </c>
    </row>
    <row r="2332" spans="2:8">
      <c r="B2332" s="15">
        <f>Techo - ROW() + ROW(Categorias_Registro[])</f>
        <v>297</v>
      </c>
      <c r="C2332" s="15">
        <f>IF(Categorias_Registro[[#This Row],[Puntos]]&lt;=ROUND(Piso,0),Piso,IF(Categorias_Registro[[#This Row],[Puntos]]&lt;D2333,C2333,D2333+1))</f>
        <v>267</v>
      </c>
      <c r="D2332" s="15">
        <f>IF(Categorias_Registro[[#This Row],[Puntos]]=ROUND(Piso,0),ROUND(Categorias_Registro[[#This Row],[Puntos]]*(1+Categorias_Registro[[#This Row],[Amplitud]]),0),IF(Categorias_Registro[[#This Row],[Puntos]]&lt;D2333,D2333,ROUND(D2333*(1+Categorias_Registro[[#This Row],[Amplitud]]),0)))</f>
        <v>306</v>
      </c>
      <c r="E2332" s="15">
        <f>E2333+IF(D2333=Categorias_Registro[[#This Row],[Máximo]],0,1)</f>
        <v>9</v>
      </c>
      <c r="F2332" s="15">
        <f>ROUND(Categorias_Registro[[#This Row],[Mínimo]]+((Categorias_Registro[[#This Row],[Máximo]]-Categorias_Registro[[#This Row],[Mínimo]])/2),0)</f>
        <v>287</v>
      </c>
      <c r="G2332" s="78">
        <f>VLOOKUP(Categorias_Registro[[#This Row],[Puntos]],Categorias_Configuracion[],MATCH(Categorias_Configuracion[[#Headers],[% Amplitud]],Categorias_Configuracion[#Headers],0),TRUE)</f>
        <v>0.15</v>
      </c>
      <c r="H2332" s="15" t="str">
        <f ca="1">TEXT(Categorias_Registro[[#This Row],[Mínimo]],Formato_Rango_Categorias)&amp;" - "&amp;TEXT(Categorias_Registro[[#This Row],[Máximo]],Formato_Rango_Categorias)</f>
        <v>267 - 306</v>
      </c>
    </row>
    <row r="2333" spans="2:8">
      <c r="B2333" s="15">
        <f>Techo - ROW() + ROW(Categorias_Registro[])</f>
        <v>296</v>
      </c>
      <c r="C2333" s="15">
        <f>IF(Categorias_Registro[[#This Row],[Puntos]]&lt;=ROUND(Piso,0),Piso,IF(Categorias_Registro[[#This Row],[Puntos]]&lt;D2334,C2334,D2334+1))</f>
        <v>267</v>
      </c>
      <c r="D2333" s="15">
        <f>IF(Categorias_Registro[[#This Row],[Puntos]]=ROUND(Piso,0),ROUND(Categorias_Registro[[#This Row],[Puntos]]*(1+Categorias_Registro[[#This Row],[Amplitud]]),0),IF(Categorias_Registro[[#This Row],[Puntos]]&lt;D2334,D2334,ROUND(D2334*(1+Categorias_Registro[[#This Row],[Amplitud]]),0)))</f>
        <v>306</v>
      </c>
      <c r="E2333" s="15">
        <f>E2334+IF(D2334=Categorias_Registro[[#This Row],[Máximo]],0,1)</f>
        <v>9</v>
      </c>
      <c r="F2333" s="15">
        <f>ROUND(Categorias_Registro[[#This Row],[Mínimo]]+((Categorias_Registro[[#This Row],[Máximo]]-Categorias_Registro[[#This Row],[Mínimo]])/2),0)</f>
        <v>287</v>
      </c>
      <c r="G2333" s="78">
        <f>VLOOKUP(Categorias_Registro[[#This Row],[Puntos]],Categorias_Configuracion[],MATCH(Categorias_Configuracion[[#Headers],[% Amplitud]],Categorias_Configuracion[#Headers],0),TRUE)</f>
        <v>0.15</v>
      </c>
      <c r="H2333" s="15" t="str">
        <f ca="1">TEXT(Categorias_Registro[[#This Row],[Mínimo]],Formato_Rango_Categorias)&amp;" - "&amp;TEXT(Categorias_Registro[[#This Row],[Máximo]],Formato_Rango_Categorias)</f>
        <v>267 - 306</v>
      </c>
    </row>
    <row r="2334" spans="2:8">
      <c r="B2334" s="15">
        <f>Techo - ROW() + ROW(Categorias_Registro[])</f>
        <v>295</v>
      </c>
      <c r="C2334" s="15">
        <f>IF(Categorias_Registro[[#This Row],[Puntos]]&lt;=ROUND(Piso,0),Piso,IF(Categorias_Registro[[#This Row],[Puntos]]&lt;D2335,C2335,D2335+1))</f>
        <v>267</v>
      </c>
      <c r="D2334" s="15">
        <f>IF(Categorias_Registro[[#This Row],[Puntos]]=ROUND(Piso,0),ROUND(Categorias_Registro[[#This Row],[Puntos]]*(1+Categorias_Registro[[#This Row],[Amplitud]]),0),IF(Categorias_Registro[[#This Row],[Puntos]]&lt;D2335,D2335,ROUND(D2335*(1+Categorias_Registro[[#This Row],[Amplitud]]),0)))</f>
        <v>306</v>
      </c>
      <c r="E2334" s="15">
        <f>E2335+IF(D2335=Categorias_Registro[[#This Row],[Máximo]],0,1)</f>
        <v>9</v>
      </c>
      <c r="F2334" s="15">
        <f>ROUND(Categorias_Registro[[#This Row],[Mínimo]]+((Categorias_Registro[[#This Row],[Máximo]]-Categorias_Registro[[#This Row],[Mínimo]])/2),0)</f>
        <v>287</v>
      </c>
      <c r="G2334" s="78">
        <f>VLOOKUP(Categorias_Registro[[#This Row],[Puntos]],Categorias_Configuracion[],MATCH(Categorias_Configuracion[[#Headers],[% Amplitud]],Categorias_Configuracion[#Headers],0),TRUE)</f>
        <v>0.15</v>
      </c>
      <c r="H2334" s="15" t="str">
        <f ca="1">TEXT(Categorias_Registro[[#This Row],[Mínimo]],Formato_Rango_Categorias)&amp;" - "&amp;TEXT(Categorias_Registro[[#This Row],[Máximo]],Formato_Rango_Categorias)</f>
        <v>267 - 306</v>
      </c>
    </row>
    <row r="2335" spans="2:8">
      <c r="B2335" s="15">
        <f>Techo - ROW() + ROW(Categorias_Registro[])</f>
        <v>294</v>
      </c>
      <c r="C2335" s="15">
        <f>IF(Categorias_Registro[[#This Row],[Puntos]]&lt;=ROUND(Piso,0),Piso,IF(Categorias_Registro[[#This Row],[Puntos]]&lt;D2336,C2336,D2336+1))</f>
        <v>267</v>
      </c>
      <c r="D2335" s="15">
        <f>IF(Categorias_Registro[[#This Row],[Puntos]]=ROUND(Piso,0),ROUND(Categorias_Registro[[#This Row],[Puntos]]*(1+Categorias_Registro[[#This Row],[Amplitud]]),0),IF(Categorias_Registro[[#This Row],[Puntos]]&lt;D2336,D2336,ROUND(D2336*(1+Categorias_Registro[[#This Row],[Amplitud]]),0)))</f>
        <v>306</v>
      </c>
      <c r="E2335" s="15">
        <f>E2336+IF(D2336=Categorias_Registro[[#This Row],[Máximo]],0,1)</f>
        <v>9</v>
      </c>
      <c r="F2335" s="15">
        <f>ROUND(Categorias_Registro[[#This Row],[Mínimo]]+((Categorias_Registro[[#This Row],[Máximo]]-Categorias_Registro[[#This Row],[Mínimo]])/2),0)</f>
        <v>287</v>
      </c>
      <c r="G2335" s="78">
        <f>VLOOKUP(Categorias_Registro[[#This Row],[Puntos]],Categorias_Configuracion[],MATCH(Categorias_Configuracion[[#Headers],[% Amplitud]],Categorias_Configuracion[#Headers],0),TRUE)</f>
        <v>0.15</v>
      </c>
      <c r="H2335" s="15" t="str">
        <f ca="1">TEXT(Categorias_Registro[[#This Row],[Mínimo]],Formato_Rango_Categorias)&amp;" - "&amp;TEXT(Categorias_Registro[[#This Row],[Máximo]],Formato_Rango_Categorias)</f>
        <v>267 - 306</v>
      </c>
    </row>
    <row r="2336" spans="2:8">
      <c r="B2336" s="15">
        <f>Techo - ROW() + ROW(Categorias_Registro[])</f>
        <v>293</v>
      </c>
      <c r="C2336" s="15">
        <f>IF(Categorias_Registro[[#This Row],[Puntos]]&lt;=ROUND(Piso,0),Piso,IF(Categorias_Registro[[#This Row],[Puntos]]&lt;D2337,C2337,D2337+1))</f>
        <v>267</v>
      </c>
      <c r="D2336" s="15">
        <f>IF(Categorias_Registro[[#This Row],[Puntos]]=ROUND(Piso,0),ROUND(Categorias_Registro[[#This Row],[Puntos]]*(1+Categorias_Registro[[#This Row],[Amplitud]]),0),IF(Categorias_Registro[[#This Row],[Puntos]]&lt;D2337,D2337,ROUND(D2337*(1+Categorias_Registro[[#This Row],[Amplitud]]),0)))</f>
        <v>306</v>
      </c>
      <c r="E2336" s="15">
        <f>E2337+IF(D2337=Categorias_Registro[[#This Row],[Máximo]],0,1)</f>
        <v>9</v>
      </c>
      <c r="F2336" s="15">
        <f>ROUND(Categorias_Registro[[#This Row],[Mínimo]]+((Categorias_Registro[[#This Row],[Máximo]]-Categorias_Registro[[#This Row],[Mínimo]])/2),0)</f>
        <v>287</v>
      </c>
      <c r="G2336" s="78">
        <f>VLOOKUP(Categorias_Registro[[#This Row],[Puntos]],Categorias_Configuracion[],MATCH(Categorias_Configuracion[[#Headers],[% Amplitud]],Categorias_Configuracion[#Headers],0),TRUE)</f>
        <v>0.15</v>
      </c>
      <c r="H2336" s="15" t="str">
        <f ca="1">TEXT(Categorias_Registro[[#This Row],[Mínimo]],Formato_Rango_Categorias)&amp;" - "&amp;TEXT(Categorias_Registro[[#This Row],[Máximo]],Formato_Rango_Categorias)</f>
        <v>267 - 306</v>
      </c>
    </row>
    <row r="2337" spans="2:8">
      <c r="B2337" s="15">
        <f>Techo - ROW() + ROW(Categorias_Registro[])</f>
        <v>292</v>
      </c>
      <c r="C2337" s="15">
        <f>IF(Categorias_Registro[[#This Row],[Puntos]]&lt;=ROUND(Piso,0),Piso,IF(Categorias_Registro[[#This Row],[Puntos]]&lt;D2338,C2338,D2338+1))</f>
        <v>267</v>
      </c>
      <c r="D2337" s="15">
        <f>IF(Categorias_Registro[[#This Row],[Puntos]]=ROUND(Piso,0),ROUND(Categorias_Registro[[#This Row],[Puntos]]*(1+Categorias_Registro[[#This Row],[Amplitud]]),0),IF(Categorias_Registro[[#This Row],[Puntos]]&lt;D2338,D2338,ROUND(D2338*(1+Categorias_Registro[[#This Row],[Amplitud]]),0)))</f>
        <v>306</v>
      </c>
      <c r="E2337" s="15">
        <f>E2338+IF(D2338=Categorias_Registro[[#This Row],[Máximo]],0,1)</f>
        <v>9</v>
      </c>
      <c r="F2337" s="15">
        <f>ROUND(Categorias_Registro[[#This Row],[Mínimo]]+((Categorias_Registro[[#This Row],[Máximo]]-Categorias_Registro[[#This Row],[Mínimo]])/2),0)</f>
        <v>287</v>
      </c>
      <c r="G2337" s="78">
        <f>VLOOKUP(Categorias_Registro[[#This Row],[Puntos]],Categorias_Configuracion[],MATCH(Categorias_Configuracion[[#Headers],[% Amplitud]],Categorias_Configuracion[#Headers],0),TRUE)</f>
        <v>0.15</v>
      </c>
      <c r="H2337" s="15" t="str">
        <f ca="1">TEXT(Categorias_Registro[[#This Row],[Mínimo]],Formato_Rango_Categorias)&amp;" - "&amp;TEXT(Categorias_Registro[[#This Row],[Máximo]],Formato_Rango_Categorias)</f>
        <v>267 - 306</v>
      </c>
    </row>
    <row r="2338" spans="2:8">
      <c r="B2338" s="15">
        <f>Techo - ROW() + ROW(Categorias_Registro[])</f>
        <v>291</v>
      </c>
      <c r="C2338" s="15">
        <f>IF(Categorias_Registro[[#This Row],[Puntos]]&lt;=ROUND(Piso,0),Piso,IF(Categorias_Registro[[#This Row],[Puntos]]&lt;D2339,C2339,D2339+1))</f>
        <v>267</v>
      </c>
      <c r="D2338" s="15">
        <f>IF(Categorias_Registro[[#This Row],[Puntos]]=ROUND(Piso,0),ROUND(Categorias_Registro[[#This Row],[Puntos]]*(1+Categorias_Registro[[#This Row],[Amplitud]]),0),IF(Categorias_Registro[[#This Row],[Puntos]]&lt;D2339,D2339,ROUND(D2339*(1+Categorias_Registro[[#This Row],[Amplitud]]),0)))</f>
        <v>306</v>
      </c>
      <c r="E2338" s="15">
        <f>E2339+IF(D2339=Categorias_Registro[[#This Row],[Máximo]],0,1)</f>
        <v>9</v>
      </c>
      <c r="F2338" s="15">
        <f>ROUND(Categorias_Registro[[#This Row],[Mínimo]]+((Categorias_Registro[[#This Row],[Máximo]]-Categorias_Registro[[#This Row],[Mínimo]])/2),0)</f>
        <v>287</v>
      </c>
      <c r="G2338" s="78">
        <f>VLOOKUP(Categorias_Registro[[#This Row],[Puntos]],Categorias_Configuracion[],MATCH(Categorias_Configuracion[[#Headers],[% Amplitud]],Categorias_Configuracion[#Headers],0),TRUE)</f>
        <v>0.15</v>
      </c>
      <c r="H2338" s="15" t="str">
        <f ca="1">TEXT(Categorias_Registro[[#This Row],[Mínimo]],Formato_Rango_Categorias)&amp;" - "&amp;TEXT(Categorias_Registro[[#This Row],[Máximo]],Formato_Rango_Categorias)</f>
        <v>267 - 306</v>
      </c>
    </row>
    <row r="2339" spans="2:8">
      <c r="B2339" s="15">
        <f>Techo - ROW() + ROW(Categorias_Registro[])</f>
        <v>290</v>
      </c>
      <c r="C2339" s="15">
        <f>IF(Categorias_Registro[[#This Row],[Puntos]]&lt;=ROUND(Piso,0),Piso,IF(Categorias_Registro[[#This Row],[Puntos]]&lt;D2340,C2340,D2340+1))</f>
        <v>267</v>
      </c>
      <c r="D2339" s="15">
        <f>IF(Categorias_Registro[[#This Row],[Puntos]]=ROUND(Piso,0),ROUND(Categorias_Registro[[#This Row],[Puntos]]*(1+Categorias_Registro[[#This Row],[Amplitud]]),0),IF(Categorias_Registro[[#This Row],[Puntos]]&lt;D2340,D2340,ROUND(D2340*(1+Categorias_Registro[[#This Row],[Amplitud]]),0)))</f>
        <v>306</v>
      </c>
      <c r="E2339" s="15">
        <f>E2340+IF(D2340=Categorias_Registro[[#This Row],[Máximo]],0,1)</f>
        <v>9</v>
      </c>
      <c r="F2339" s="15">
        <f>ROUND(Categorias_Registro[[#This Row],[Mínimo]]+((Categorias_Registro[[#This Row],[Máximo]]-Categorias_Registro[[#This Row],[Mínimo]])/2),0)</f>
        <v>287</v>
      </c>
      <c r="G2339" s="78">
        <f>VLOOKUP(Categorias_Registro[[#This Row],[Puntos]],Categorias_Configuracion[],MATCH(Categorias_Configuracion[[#Headers],[% Amplitud]],Categorias_Configuracion[#Headers],0),TRUE)</f>
        <v>0.15</v>
      </c>
      <c r="H2339" s="15" t="str">
        <f ca="1">TEXT(Categorias_Registro[[#This Row],[Mínimo]],Formato_Rango_Categorias)&amp;" - "&amp;TEXT(Categorias_Registro[[#This Row],[Máximo]],Formato_Rango_Categorias)</f>
        <v>267 - 306</v>
      </c>
    </row>
    <row r="2340" spans="2:8">
      <c r="B2340" s="15">
        <f>Techo - ROW() + ROW(Categorias_Registro[])</f>
        <v>289</v>
      </c>
      <c r="C2340" s="15">
        <f>IF(Categorias_Registro[[#This Row],[Puntos]]&lt;=ROUND(Piso,0),Piso,IF(Categorias_Registro[[#This Row],[Puntos]]&lt;D2341,C2341,D2341+1))</f>
        <v>267</v>
      </c>
      <c r="D2340" s="15">
        <f>IF(Categorias_Registro[[#This Row],[Puntos]]=ROUND(Piso,0),ROUND(Categorias_Registro[[#This Row],[Puntos]]*(1+Categorias_Registro[[#This Row],[Amplitud]]),0),IF(Categorias_Registro[[#This Row],[Puntos]]&lt;D2341,D2341,ROUND(D2341*(1+Categorias_Registro[[#This Row],[Amplitud]]),0)))</f>
        <v>306</v>
      </c>
      <c r="E2340" s="15">
        <f>E2341+IF(D2341=Categorias_Registro[[#This Row],[Máximo]],0,1)</f>
        <v>9</v>
      </c>
      <c r="F2340" s="15">
        <f>ROUND(Categorias_Registro[[#This Row],[Mínimo]]+((Categorias_Registro[[#This Row],[Máximo]]-Categorias_Registro[[#This Row],[Mínimo]])/2),0)</f>
        <v>287</v>
      </c>
      <c r="G2340" s="78">
        <f>VLOOKUP(Categorias_Registro[[#This Row],[Puntos]],Categorias_Configuracion[],MATCH(Categorias_Configuracion[[#Headers],[% Amplitud]],Categorias_Configuracion[#Headers],0),TRUE)</f>
        <v>0.15</v>
      </c>
      <c r="H2340" s="15" t="str">
        <f ca="1">TEXT(Categorias_Registro[[#This Row],[Mínimo]],Formato_Rango_Categorias)&amp;" - "&amp;TEXT(Categorias_Registro[[#This Row],[Máximo]],Formato_Rango_Categorias)</f>
        <v>267 - 306</v>
      </c>
    </row>
    <row r="2341" spans="2:8">
      <c r="B2341" s="15">
        <f>Techo - ROW() + ROW(Categorias_Registro[])</f>
        <v>288</v>
      </c>
      <c r="C2341" s="15">
        <f>IF(Categorias_Registro[[#This Row],[Puntos]]&lt;=ROUND(Piso,0),Piso,IF(Categorias_Registro[[#This Row],[Puntos]]&lt;D2342,C2342,D2342+1))</f>
        <v>267</v>
      </c>
      <c r="D2341" s="15">
        <f>IF(Categorias_Registro[[#This Row],[Puntos]]=ROUND(Piso,0),ROUND(Categorias_Registro[[#This Row],[Puntos]]*(1+Categorias_Registro[[#This Row],[Amplitud]]),0),IF(Categorias_Registro[[#This Row],[Puntos]]&lt;D2342,D2342,ROUND(D2342*(1+Categorias_Registro[[#This Row],[Amplitud]]),0)))</f>
        <v>306</v>
      </c>
      <c r="E2341" s="15">
        <f>E2342+IF(D2342=Categorias_Registro[[#This Row],[Máximo]],0,1)</f>
        <v>9</v>
      </c>
      <c r="F2341" s="15">
        <f>ROUND(Categorias_Registro[[#This Row],[Mínimo]]+((Categorias_Registro[[#This Row],[Máximo]]-Categorias_Registro[[#This Row],[Mínimo]])/2),0)</f>
        <v>287</v>
      </c>
      <c r="G2341" s="78">
        <f>VLOOKUP(Categorias_Registro[[#This Row],[Puntos]],Categorias_Configuracion[],MATCH(Categorias_Configuracion[[#Headers],[% Amplitud]],Categorias_Configuracion[#Headers],0),TRUE)</f>
        <v>0.15</v>
      </c>
      <c r="H2341" s="15" t="str">
        <f ca="1">TEXT(Categorias_Registro[[#This Row],[Mínimo]],Formato_Rango_Categorias)&amp;" - "&amp;TEXT(Categorias_Registro[[#This Row],[Máximo]],Formato_Rango_Categorias)</f>
        <v>267 - 306</v>
      </c>
    </row>
    <row r="2342" spans="2:8">
      <c r="B2342" s="15">
        <f>Techo - ROW() + ROW(Categorias_Registro[])</f>
        <v>287</v>
      </c>
      <c r="C2342" s="15">
        <f>IF(Categorias_Registro[[#This Row],[Puntos]]&lt;=ROUND(Piso,0),Piso,IF(Categorias_Registro[[#This Row],[Puntos]]&lt;D2343,C2343,D2343+1))</f>
        <v>267</v>
      </c>
      <c r="D2342" s="15">
        <f>IF(Categorias_Registro[[#This Row],[Puntos]]=ROUND(Piso,0),ROUND(Categorias_Registro[[#This Row],[Puntos]]*(1+Categorias_Registro[[#This Row],[Amplitud]]),0),IF(Categorias_Registro[[#This Row],[Puntos]]&lt;D2343,D2343,ROUND(D2343*(1+Categorias_Registro[[#This Row],[Amplitud]]),0)))</f>
        <v>306</v>
      </c>
      <c r="E2342" s="15">
        <f>E2343+IF(D2343=Categorias_Registro[[#This Row],[Máximo]],0,1)</f>
        <v>9</v>
      </c>
      <c r="F2342" s="15">
        <f>ROUND(Categorias_Registro[[#This Row],[Mínimo]]+((Categorias_Registro[[#This Row],[Máximo]]-Categorias_Registro[[#This Row],[Mínimo]])/2),0)</f>
        <v>287</v>
      </c>
      <c r="G2342" s="78">
        <f>VLOOKUP(Categorias_Registro[[#This Row],[Puntos]],Categorias_Configuracion[],MATCH(Categorias_Configuracion[[#Headers],[% Amplitud]],Categorias_Configuracion[#Headers],0),TRUE)</f>
        <v>0.15</v>
      </c>
      <c r="H2342" s="15" t="str">
        <f ca="1">TEXT(Categorias_Registro[[#This Row],[Mínimo]],Formato_Rango_Categorias)&amp;" - "&amp;TEXT(Categorias_Registro[[#This Row],[Máximo]],Formato_Rango_Categorias)</f>
        <v>267 - 306</v>
      </c>
    </row>
    <row r="2343" spans="2:8">
      <c r="B2343" s="15">
        <f>Techo - ROW() + ROW(Categorias_Registro[])</f>
        <v>286</v>
      </c>
      <c r="C2343" s="15">
        <f>IF(Categorias_Registro[[#This Row],[Puntos]]&lt;=ROUND(Piso,0),Piso,IF(Categorias_Registro[[#This Row],[Puntos]]&lt;D2344,C2344,D2344+1))</f>
        <v>267</v>
      </c>
      <c r="D2343" s="15">
        <f>IF(Categorias_Registro[[#This Row],[Puntos]]=ROUND(Piso,0),ROUND(Categorias_Registro[[#This Row],[Puntos]]*(1+Categorias_Registro[[#This Row],[Amplitud]]),0),IF(Categorias_Registro[[#This Row],[Puntos]]&lt;D2344,D2344,ROUND(D2344*(1+Categorias_Registro[[#This Row],[Amplitud]]),0)))</f>
        <v>306</v>
      </c>
      <c r="E2343" s="15">
        <f>E2344+IF(D2344=Categorias_Registro[[#This Row],[Máximo]],0,1)</f>
        <v>9</v>
      </c>
      <c r="F2343" s="15">
        <f>ROUND(Categorias_Registro[[#This Row],[Mínimo]]+((Categorias_Registro[[#This Row],[Máximo]]-Categorias_Registro[[#This Row],[Mínimo]])/2),0)</f>
        <v>287</v>
      </c>
      <c r="G2343" s="78">
        <f>VLOOKUP(Categorias_Registro[[#This Row],[Puntos]],Categorias_Configuracion[],MATCH(Categorias_Configuracion[[#Headers],[% Amplitud]],Categorias_Configuracion[#Headers],0),TRUE)</f>
        <v>0.15</v>
      </c>
      <c r="H2343" s="15" t="str">
        <f ca="1">TEXT(Categorias_Registro[[#This Row],[Mínimo]],Formato_Rango_Categorias)&amp;" - "&amp;TEXT(Categorias_Registro[[#This Row],[Máximo]],Formato_Rango_Categorias)</f>
        <v>267 - 306</v>
      </c>
    </row>
    <row r="2344" spans="2:8">
      <c r="B2344" s="15">
        <f>Techo - ROW() + ROW(Categorias_Registro[])</f>
        <v>285</v>
      </c>
      <c r="C2344" s="15">
        <f>IF(Categorias_Registro[[#This Row],[Puntos]]&lt;=ROUND(Piso,0),Piso,IF(Categorias_Registro[[#This Row],[Puntos]]&lt;D2345,C2345,D2345+1))</f>
        <v>267</v>
      </c>
      <c r="D2344" s="15">
        <f>IF(Categorias_Registro[[#This Row],[Puntos]]=ROUND(Piso,0),ROUND(Categorias_Registro[[#This Row],[Puntos]]*(1+Categorias_Registro[[#This Row],[Amplitud]]),0),IF(Categorias_Registro[[#This Row],[Puntos]]&lt;D2345,D2345,ROUND(D2345*(1+Categorias_Registro[[#This Row],[Amplitud]]),0)))</f>
        <v>306</v>
      </c>
      <c r="E2344" s="15">
        <f>E2345+IF(D2345=Categorias_Registro[[#This Row],[Máximo]],0,1)</f>
        <v>9</v>
      </c>
      <c r="F2344" s="15">
        <f>ROUND(Categorias_Registro[[#This Row],[Mínimo]]+((Categorias_Registro[[#This Row],[Máximo]]-Categorias_Registro[[#This Row],[Mínimo]])/2),0)</f>
        <v>287</v>
      </c>
      <c r="G2344" s="78">
        <f>VLOOKUP(Categorias_Registro[[#This Row],[Puntos]],Categorias_Configuracion[],MATCH(Categorias_Configuracion[[#Headers],[% Amplitud]],Categorias_Configuracion[#Headers],0),TRUE)</f>
        <v>0.15</v>
      </c>
      <c r="H2344" s="15" t="str">
        <f ca="1">TEXT(Categorias_Registro[[#This Row],[Mínimo]],Formato_Rango_Categorias)&amp;" - "&amp;TEXT(Categorias_Registro[[#This Row],[Máximo]],Formato_Rango_Categorias)</f>
        <v>267 - 306</v>
      </c>
    </row>
    <row r="2345" spans="2:8">
      <c r="B2345" s="15">
        <f>Techo - ROW() + ROW(Categorias_Registro[])</f>
        <v>284</v>
      </c>
      <c r="C2345" s="15">
        <f>IF(Categorias_Registro[[#This Row],[Puntos]]&lt;=ROUND(Piso,0),Piso,IF(Categorias_Registro[[#This Row],[Puntos]]&lt;D2346,C2346,D2346+1))</f>
        <v>267</v>
      </c>
      <c r="D2345" s="15">
        <f>IF(Categorias_Registro[[#This Row],[Puntos]]=ROUND(Piso,0),ROUND(Categorias_Registro[[#This Row],[Puntos]]*(1+Categorias_Registro[[#This Row],[Amplitud]]),0),IF(Categorias_Registro[[#This Row],[Puntos]]&lt;D2346,D2346,ROUND(D2346*(1+Categorias_Registro[[#This Row],[Amplitud]]),0)))</f>
        <v>306</v>
      </c>
      <c r="E2345" s="15">
        <f>E2346+IF(D2346=Categorias_Registro[[#This Row],[Máximo]],0,1)</f>
        <v>9</v>
      </c>
      <c r="F2345" s="15">
        <f>ROUND(Categorias_Registro[[#This Row],[Mínimo]]+((Categorias_Registro[[#This Row],[Máximo]]-Categorias_Registro[[#This Row],[Mínimo]])/2),0)</f>
        <v>287</v>
      </c>
      <c r="G2345" s="78">
        <f>VLOOKUP(Categorias_Registro[[#This Row],[Puntos]],Categorias_Configuracion[],MATCH(Categorias_Configuracion[[#Headers],[% Amplitud]],Categorias_Configuracion[#Headers],0),TRUE)</f>
        <v>0.15</v>
      </c>
      <c r="H2345" s="15" t="str">
        <f ca="1">TEXT(Categorias_Registro[[#This Row],[Mínimo]],Formato_Rango_Categorias)&amp;" - "&amp;TEXT(Categorias_Registro[[#This Row],[Máximo]],Formato_Rango_Categorias)</f>
        <v>267 - 306</v>
      </c>
    </row>
    <row r="2346" spans="2:8">
      <c r="B2346" s="15">
        <f>Techo - ROW() + ROW(Categorias_Registro[])</f>
        <v>283</v>
      </c>
      <c r="C2346" s="15">
        <f>IF(Categorias_Registro[[#This Row],[Puntos]]&lt;=ROUND(Piso,0),Piso,IF(Categorias_Registro[[#This Row],[Puntos]]&lt;D2347,C2347,D2347+1))</f>
        <v>267</v>
      </c>
      <c r="D2346" s="15">
        <f>IF(Categorias_Registro[[#This Row],[Puntos]]=ROUND(Piso,0),ROUND(Categorias_Registro[[#This Row],[Puntos]]*(1+Categorias_Registro[[#This Row],[Amplitud]]),0),IF(Categorias_Registro[[#This Row],[Puntos]]&lt;D2347,D2347,ROUND(D2347*(1+Categorias_Registro[[#This Row],[Amplitud]]),0)))</f>
        <v>306</v>
      </c>
      <c r="E2346" s="15">
        <f>E2347+IF(D2347=Categorias_Registro[[#This Row],[Máximo]],0,1)</f>
        <v>9</v>
      </c>
      <c r="F2346" s="15">
        <f>ROUND(Categorias_Registro[[#This Row],[Mínimo]]+((Categorias_Registro[[#This Row],[Máximo]]-Categorias_Registro[[#This Row],[Mínimo]])/2),0)</f>
        <v>287</v>
      </c>
      <c r="G2346" s="78">
        <f>VLOOKUP(Categorias_Registro[[#This Row],[Puntos]],Categorias_Configuracion[],MATCH(Categorias_Configuracion[[#Headers],[% Amplitud]],Categorias_Configuracion[#Headers],0),TRUE)</f>
        <v>0.15</v>
      </c>
      <c r="H2346" s="15" t="str">
        <f ca="1">TEXT(Categorias_Registro[[#This Row],[Mínimo]],Formato_Rango_Categorias)&amp;" - "&amp;TEXT(Categorias_Registro[[#This Row],[Máximo]],Formato_Rango_Categorias)</f>
        <v>267 - 306</v>
      </c>
    </row>
    <row r="2347" spans="2:8">
      <c r="B2347" s="15">
        <f>Techo - ROW() + ROW(Categorias_Registro[])</f>
        <v>282</v>
      </c>
      <c r="C2347" s="15">
        <f>IF(Categorias_Registro[[#This Row],[Puntos]]&lt;=ROUND(Piso,0),Piso,IF(Categorias_Registro[[#This Row],[Puntos]]&lt;D2348,C2348,D2348+1))</f>
        <v>267</v>
      </c>
      <c r="D2347" s="15">
        <f>IF(Categorias_Registro[[#This Row],[Puntos]]=ROUND(Piso,0),ROUND(Categorias_Registro[[#This Row],[Puntos]]*(1+Categorias_Registro[[#This Row],[Amplitud]]),0),IF(Categorias_Registro[[#This Row],[Puntos]]&lt;D2348,D2348,ROUND(D2348*(1+Categorias_Registro[[#This Row],[Amplitud]]),0)))</f>
        <v>306</v>
      </c>
      <c r="E2347" s="15">
        <f>E2348+IF(D2348=Categorias_Registro[[#This Row],[Máximo]],0,1)</f>
        <v>9</v>
      </c>
      <c r="F2347" s="15">
        <f>ROUND(Categorias_Registro[[#This Row],[Mínimo]]+((Categorias_Registro[[#This Row],[Máximo]]-Categorias_Registro[[#This Row],[Mínimo]])/2),0)</f>
        <v>287</v>
      </c>
      <c r="G2347" s="78">
        <f>VLOOKUP(Categorias_Registro[[#This Row],[Puntos]],Categorias_Configuracion[],MATCH(Categorias_Configuracion[[#Headers],[% Amplitud]],Categorias_Configuracion[#Headers],0),TRUE)</f>
        <v>0.15</v>
      </c>
      <c r="H2347" s="15" t="str">
        <f ca="1">TEXT(Categorias_Registro[[#This Row],[Mínimo]],Formato_Rango_Categorias)&amp;" - "&amp;TEXT(Categorias_Registro[[#This Row],[Máximo]],Formato_Rango_Categorias)</f>
        <v>267 - 306</v>
      </c>
    </row>
    <row r="2348" spans="2:8">
      <c r="B2348" s="15">
        <f>Techo - ROW() + ROW(Categorias_Registro[])</f>
        <v>281</v>
      </c>
      <c r="C2348" s="15">
        <f>IF(Categorias_Registro[[#This Row],[Puntos]]&lt;=ROUND(Piso,0),Piso,IF(Categorias_Registro[[#This Row],[Puntos]]&lt;D2349,C2349,D2349+1))</f>
        <v>267</v>
      </c>
      <c r="D2348" s="15">
        <f>IF(Categorias_Registro[[#This Row],[Puntos]]=ROUND(Piso,0),ROUND(Categorias_Registro[[#This Row],[Puntos]]*(1+Categorias_Registro[[#This Row],[Amplitud]]),0),IF(Categorias_Registro[[#This Row],[Puntos]]&lt;D2349,D2349,ROUND(D2349*(1+Categorias_Registro[[#This Row],[Amplitud]]),0)))</f>
        <v>306</v>
      </c>
      <c r="E2348" s="15">
        <f>E2349+IF(D2349=Categorias_Registro[[#This Row],[Máximo]],0,1)</f>
        <v>9</v>
      </c>
      <c r="F2348" s="15">
        <f>ROUND(Categorias_Registro[[#This Row],[Mínimo]]+((Categorias_Registro[[#This Row],[Máximo]]-Categorias_Registro[[#This Row],[Mínimo]])/2),0)</f>
        <v>287</v>
      </c>
      <c r="G2348" s="78">
        <f>VLOOKUP(Categorias_Registro[[#This Row],[Puntos]],Categorias_Configuracion[],MATCH(Categorias_Configuracion[[#Headers],[% Amplitud]],Categorias_Configuracion[#Headers],0),TRUE)</f>
        <v>0.15</v>
      </c>
      <c r="H2348" s="15" t="str">
        <f ca="1">TEXT(Categorias_Registro[[#This Row],[Mínimo]],Formato_Rango_Categorias)&amp;" - "&amp;TEXT(Categorias_Registro[[#This Row],[Máximo]],Formato_Rango_Categorias)</f>
        <v>267 - 306</v>
      </c>
    </row>
    <row r="2349" spans="2:8">
      <c r="B2349" s="15">
        <f>Techo - ROW() + ROW(Categorias_Registro[])</f>
        <v>280</v>
      </c>
      <c r="C2349" s="15">
        <f>IF(Categorias_Registro[[#This Row],[Puntos]]&lt;=ROUND(Piso,0),Piso,IF(Categorias_Registro[[#This Row],[Puntos]]&lt;D2350,C2350,D2350+1))</f>
        <v>267</v>
      </c>
      <c r="D2349" s="15">
        <f>IF(Categorias_Registro[[#This Row],[Puntos]]=ROUND(Piso,0),ROUND(Categorias_Registro[[#This Row],[Puntos]]*(1+Categorias_Registro[[#This Row],[Amplitud]]),0),IF(Categorias_Registro[[#This Row],[Puntos]]&lt;D2350,D2350,ROUND(D2350*(1+Categorias_Registro[[#This Row],[Amplitud]]),0)))</f>
        <v>306</v>
      </c>
      <c r="E2349" s="15">
        <f>E2350+IF(D2350=Categorias_Registro[[#This Row],[Máximo]],0,1)</f>
        <v>9</v>
      </c>
      <c r="F2349" s="15">
        <f>ROUND(Categorias_Registro[[#This Row],[Mínimo]]+((Categorias_Registro[[#This Row],[Máximo]]-Categorias_Registro[[#This Row],[Mínimo]])/2),0)</f>
        <v>287</v>
      </c>
      <c r="G2349" s="78">
        <f>VLOOKUP(Categorias_Registro[[#This Row],[Puntos]],Categorias_Configuracion[],MATCH(Categorias_Configuracion[[#Headers],[% Amplitud]],Categorias_Configuracion[#Headers],0),TRUE)</f>
        <v>0.15</v>
      </c>
      <c r="H2349" s="15" t="str">
        <f ca="1">TEXT(Categorias_Registro[[#This Row],[Mínimo]],Formato_Rango_Categorias)&amp;" - "&amp;TEXT(Categorias_Registro[[#This Row],[Máximo]],Formato_Rango_Categorias)</f>
        <v>267 - 306</v>
      </c>
    </row>
    <row r="2350" spans="2:8">
      <c r="B2350" s="15">
        <f>Techo - ROW() + ROW(Categorias_Registro[])</f>
        <v>279</v>
      </c>
      <c r="C2350" s="15">
        <f>IF(Categorias_Registro[[#This Row],[Puntos]]&lt;=ROUND(Piso,0),Piso,IF(Categorias_Registro[[#This Row],[Puntos]]&lt;D2351,C2351,D2351+1))</f>
        <v>267</v>
      </c>
      <c r="D2350" s="15">
        <f>IF(Categorias_Registro[[#This Row],[Puntos]]=ROUND(Piso,0),ROUND(Categorias_Registro[[#This Row],[Puntos]]*(1+Categorias_Registro[[#This Row],[Amplitud]]),0),IF(Categorias_Registro[[#This Row],[Puntos]]&lt;D2351,D2351,ROUND(D2351*(1+Categorias_Registro[[#This Row],[Amplitud]]),0)))</f>
        <v>306</v>
      </c>
      <c r="E2350" s="15">
        <f>E2351+IF(D2351=Categorias_Registro[[#This Row],[Máximo]],0,1)</f>
        <v>9</v>
      </c>
      <c r="F2350" s="15">
        <f>ROUND(Categorias_Registro[[#This Row],[Mínimo]]+((Categorias_Registro[[#This Row],[Máximo]]-Categorias_Registro[[#This Row],[Mínimo]])/2),0)</f>
        <v>287</v>
      </c>
      <c r="G2350" s="78">
        <f>VLOOKUP(Categorias_Registro[[#This Row],[Puntos]],Categorias_Configuracion[],MATCH(Categorias_Configuracion[[#Headers],[% Amplitud]],Categorias_Configuracion[#Headers],0),TRUE)</f>
        <v>0.15</v>
      </c>
      <c r="H2350" s="15" t="str">
        <f ca="1">TEXT(Categorias_Registro[[#This Row],[Mínimo]],Formato_Rango_Categorias)&amp;" - "&amp;TEXT(Categorias_Registro[[#This Row],[Máximo]],Formato_Rango_Categorias)</f>
        <v>267 - 306</v>
      </c>
    </row>
    <row r="2351" spans="2:8">
      <c r="B2351" s="15">
        <f>Techo - ROW() + ROW(Categorias_Registro[])</f>
        <v>278</v>
      </c>
      <c r="C2351" s="15">
        <f>IF(Categorias_Registro[[#This Row],[Puntos]]&lt;=ROUND(Piso,0),Piso,IF(Categorias_Registro[[#This Row],[Puntos]]&lt;D2352,C2352,D2352+1))</f>
        <v>267</v>
      </c>
      <c r="D2351" s="15">
        <f>IF(Categorias_Registro[[#This Row],[Puntos]]=ROUND(Piso,0),ROUND(Categorias_Registro[[#This Row],[Puntos]]*(1+Categorias_Registro[[#This Row],[Amplitud]]),0),IF(Categorias_Registro[[#This Row],[Puntos]]&lt;D2352,D2352,ROUND(D2352*(1+Categorias_Registro[[#This Row],[Amplitud]]),0)))</f>
        <v>306</v>
      </c>
      <c r="E2351" s="15">
        <f>E2352+IF(D2352=Categorias_Registro[[#This Row],[Máximo]],0,1)</f>
        <v>9</v>
      </c>
      <c r="F2351" s="15">
        <f>ROUND(Categorias_Registro[[#This Row],[Mínimo]]+((Categorias_Registro[[#This Row],[Máximo]]-Categorias_Registro[[#This Row],[Mínimo]])/2),0)</f>
        <v>287</v>
      </c>
      <c r="G2351" s="78">
        <f>VLOOKUP(Categorias_Registro[[#This Row],[Puntos]],Categorias_Configuracion[],MATCH(Categorias_Configuracion[[#Headers],[% Amplitud]],Categorias_Configuracion[#Headers],0),TRUE)</f>
        <v>0.15</v>
      </c>
      <c r="H2351" s="15" t="str">
        <f ca="1">TEXT(Categorias_Registro[[#This Row],[Mínimo]],Formato_Rango_Categorias)&amp;" - "&amp;TEXT(Categorias_Registro[[#This Row],[Máximo]],Formato_Rango_Categorias)</f>
        <v>267 - 306</v>
      </c>
    </row>
    <row r="2352" spans="2:8">
      <c r="B2352" s="15">
        <f>Techo - ROW() + ROW(Categorias_Registro[])</f>
        <v>277</v>
      </c>
      <c r="C2352" s="15">
        <f>IF(Categorias_Registro[[#This Row],[Puntos]]&lt;=ROUND(Piso,0),Piso,IF(Categorias_Registro[[#This Row],[Puntos]]&lt;D2353,C2353,D2353+1))</f>
        <v>267</v>
      </c>
      <c r="D2352" s="15">
        <f>IF(Categorias_Registro[[#This Row],[Puntos]]=ROUND(Piso,0),ROUND(Categorias_Registro[[#This Row],[Puntos]]*(1+Categorias_Registro[[#This Row],[Amplitud]]),0),IF(Categorias_Registro[[#This Row],[Puntos]]&lt;D2353,D2353,ROUND(D2353*(1+Categorias_Registro[[#This Row],[Amplitud]]),0)))</f>
        <v>306</v>
      </c>
      <c r="E2352" s="15">
        <f>E2353+IF(D2353=Categorias_Registro[[#This Row],[Máximo]],0,1)</f>
        <v>9</v>
      </c>
      <c r="F2352" s="15">
        <f>ROUND(Categorias_Registro[[#This Row],[Mínimo]]+((Categorias_Registro[[#This Row],[Máximo]]-Categorias_Registro[[#This Row],[Mínimo]])/2),0)</f>
        <v>287</v>
      </c>
      <c r="G2352" s="78">
        <f>VLOOKUP(Categorias_Registro[[#This Row],[Puntos]],Categorias_Configuracion[],MATCH(Categorias_Configuracion[[#Headers],[% Amplitud]],Categorias_Configuracion[#Headers],0),TRUE)</f>
        <v>0.15</v>
      </c>
      <c r="H2352" s="15" t="str">
        <f ca="1">TEXT(Categorias_Registro[[#This Row],[Mínimo]],Formato_Rango_Categorias)&amp;" - "&amp;TEXT(Categorias_Registro[[#This Row],[Máximo]],Formato_Rango_Categorias)</f>
        <v>267 - 306</v>
      </c>
    </row>
    <row r="2353" spans="2:8">
      <c r="B2353" s="15">
        <f>Techo - ROW() + ROW(Categorias_Registro[])</f>
        <v>276</v>
      </c>
      <c r="C2353" s="15">
        <f>IF(Categorias_Registro[[#This Row],[Puntos]]&lt;=ROUND(Piso,0),Piso,IF(Categorias_Registro[[#This Row],[Puntos]]&lt;D2354,C2354,D2354+1))</f>
        <v>267</v>
      </c>
      <c r="D2353" s="15">
        <f>IF(Categorias_Registro[[#This Row],[Puntos]]=ROUND(Piso,0),ROUND(Categorias_Registro[[#This Row],[Puntos]]*(1+Categorias_Registro[[#This Row],[Amplitud]]),0),IF(Categorias_Registro[[#This Row],[Puntos]]&lt;D2354,D2354,ROUND(D2354*(1+Categorias_Registro[[#This Row],[Amplitud]]),0)))</f>
        <v>306</v>
      </c>
      <c r="E2353" s="15">
        <f>E2354+IF(D2354=Categorias_Registro[[#This Row],[Máximo]],0,1)</f>
        <v>9</v>
      </c>
      <c r="F2353" s="15">
        <f>ROUND(Categorias_Registro[[#This Row],[Mínimo]]+((Categorias_Registro[[#This Row],[Máximo]]-Categorias_Registro[[#This Row],[Mínimo]])/2),0)</f>
        <v>287</v>
      </c>
      <c r="G2353" s="78">
        <f>VLOOKUP(Categorias_Registro[[#This Row],[Puntos]],Categorias_Configuracion[],MATCH(Categorias_Configuracion[[#Headers],[% Amplitud]],Categorias_Configuracion[#Headers],0),TRUE)</f>
        <v>0.15</v>
      </c>
      <c r="H2353" s="15" t="str">
        <f ca="1">TEXT(Categorias_Registro[[#This Row],[Mínimo]],Formato_Rango_Categorias)&amp;" - "&amp;TEXT(Categorias_Registro[[#This Row],[Máximo]],Formato_Rango_Categorias)</f>
        <v>267 - 306</v>
      </c>
    </row>
    <row r="2354" spans="2:8">
      <c r="B2354" s="15">
        <f>Techo - ROW() + ROW(Categorias_Registro[])</f>
        <v>275</v>
      </c>
      <c r="C2354" s="15">
        <f>IF(Categorias_Registro[[#This Row],[Puntos]]&lt;=ROUND(Piso,0),Piso,IF(Categorias_Registro[[#This Row],[Puntos]]&lt;D2355,C2355,D2355+1))</f>
        <v>267</v>
      </c>
      <c r="D2354" s="15">
        <f>IF(Categorias_Registro[[#This Row],[Puntos]]=ROUND(Piso,0),ROUND(Categorias_Registro[[#This Row],[Puntos]]*(1+Categorias_Registro[[#This Row],[Amplitud]]),0),IF(Categorias_Registro[[#This Row],[Puntos]]&lt;D2355,D2355,ROUND(D2355*(1+Categorias_Registro[[#This Row],[Amplitud]]),0)))</f>
        <v>306</v>
      </c>
      <c r="E2354" s="15">
        <f>E2355+IF(D2355=Categorias_Registro[[#This Row],[Máximo]],0,1)</f>
        <v>9</v>
      </c>
      <c r="F2354" s="15">
        <f>ROUND(Categorias_Registro[[#This Row],[Mínimo]]+((Categorias_Registro[[#This Row],[Máximo]]-Categorias_Registro[[#This Row],[Mínimo]])/2),0)</f>
        <v>287</v>
      </c>
      <c r="G2354" s="78">
        <f>VLOOKUP(Categorias_Registro[[#This Row],[Puntos]],Categorias_Configuracion[],MATCH(Categorias_Configuracion[[#Headers],[% Amplitud]],Categorias_Configuracion[#Headers],0),TRUE)</f>
        <v>0.15</v>
      </c>
      <c r="H2354" s="15" t="str">
        <f ca="1">TEXT(Categorias_Registro[[#This Row],[Mínimo]],Formato_Rango_Categorias)&amp;" - "&amp;TEXT(Categorias_Registro[[#This Row],[Máximo]],Formato_Rango_Categorias)</f>
        <v>267 - 306</v>
      </c>
    </row>
    <row r="2355" spans="2:8">
      <c r="B2355" s="15">
        <f>Techo - ROW() + ROW(Categorias_Registro[])</f>
        <v>274</v>
      </c>
      <c r="C2355" s="15">
        <f>IF(Categorias_Registro[[#This Row],[Puntos]]&lt;=ROUND(Piso,0),Piso,IF(Categorias_Registro[[#This Row],[Puntos]]&lt;D2356,C2356,D2356+1))</f>
        <v>267</v>
      </c>
      <c r="D2355" s="15">
        <f>IF(Categorias_Registro[[#This Row],[Puntos]]=ROUND(Piso,0),ROUND(Categorias_Registro[[#This Row],[Puntos]]*(1+Categorias_Registro[[#This Row],[Amplitud]]),0),IF(Categorias_Registro[[#This Row],[Puntos]]&lt;D2356,D2356,ROUND(D2356*(1+Categorias_Registro[[#This Row],[Amplitud]]),0)))</f>
        <v>306</v>
      </c>
      <c r="E2355" s="15">
        <f>E2356+IF(D2356=Categorias_Registro[[#This Row],[Máximo]],0,1)</f>
        <v>9</v>
      </c>
      <c r="F2355" s="15">
        <f>ROUND(Categorias_Registro[[#This Row],[Mínimo]]+((Categorias_Registro[[#This Row],[Máximo]]-Categorias_Registro[[#This Row],[Mínimo]])/2),0)</f>
        <v>287</v>
      </c>
      <c r="G2355" s="78">
        <f>VLOOKUP(Categorias_Registro[[#This Row],[Puntos]],Categorias_Configuracion[],MATCH(Categorias_Configuracion[[#Headers],[% Amplitud]],Categorias_Configuracion[#Headers],0),TRUE)</f>
        <v>0.15</v>
      </c>
      <c r="H2355" s="15" t="str">
        <f ca="1">TEXT(Categorias_Registro[[#This Row],[Mínimo]],Formato_Rango_Categorias)&amp;" - "&amp;TEXT(Categorias_Registro[[#This Row],[Máximo]],Formato_Rango_Categorias)</f>
        <v>267 - 306</v>
      </c>
    </row>
    <row r="2356" spans="2:8">
      <c r="B2356" s="15">
        <f>Techo - ROW() + ROW(Categorias_Registro[])</f>
        <v>273</v>
      </c>
      <c r="C2356" s="15">
        <f>IF(Categorias_Registro[[#This Row],[Puntos]]&lt;=ROUND(Piso,0),Piso,IF(Categorias_Registro[[#This Row],[Puntos]]&lt;D2357,C2357,D2357+1))</f>
        <v>267</v>
      </c>
      <c r="D2356" s="15">
        <f>IF(Categorias_Registro[[#This Row],[Puntos]]=ROUND(Piso,0),ROUND(Categorias_Registro[[#This Row],[Puntos]]*(1+Categorias_Registro[[#This Row],[Amplitud]]),0),IF(Categorias_Registro[[#This Row],[Puntos]]&lt;D2357,D2357,ROUND(D2357*(1+Categorias_Registro[[#This Row],[Amplitud]]),0)))</f>
        <v>306</v>
      </c>
      <c r="E2356" s="15">
        <f>E2357+IF(D2357=Categorias_Registro[[#This Row],[Máximo]],0,1)</f>
        <v>9</v>
      </c>
      <c r="F2356" s="15">
        <f>ROUND(Categorias_Registro[[#This Row],[Mínimo]]+((Categorias_Registro[[#This Row],[Máximo]]-Categorias_Registro[[#This Row],[Mínimo]])/2),0)</f>
        <v>287</v>
      </c>
      <c r="G2356" s="78">
        <f>VLOOKUP(Categorias_Registro[[#This Row],[Puntos]],Categorias_Configuracion[],MATCH(Categorias_Configuracion[[#Headers],[% Amplitud]],Categorias_Configuracion[#Headers],0),TRUE)</f>
        <v>0.15</v>
      </c>
      <c r="H2356" s="15" t="str">
        <f ca="1">TEXT(Categorias_Registro[[#This Row],[Mínimo]],Formato_Rango_Categorias)&amp;" - "&amp;TEXT(Categorias_Registro[[#This Row],[Máximo]],Formato_Rango_Categorias)</f>
        <v>267 - 306</v>
      </c>
    </row>
    <row r="2357" spans="2:8">
      <c r="B2357" s="15">
        <f>Techo - ROW() + ROW(Categorias_Registro[])</f>
        <v>272</v>
      </c>
      <c r="C2357" s="15">
        <f>IF(Categorias_Registro[[#This Row],[Puntos]]&lt;=ROUND(Piso,0),Piso,IF(Categorias_Registro[[#This Row],[Puntos]]&lt;D2358,C2358,D2358+1))</f>
        <v>267</v>
      </c>
      <c r="D2357" s="15">
        <f>IF(Categorias_Registro[[#This Row],[Puntos]]=ROUND(Piso,0),ROUND(Categorias_Registro[[#This Row],[Puntos]]*(1+Categorias_Registro[[#This Row],[Amplitud]]),0),IF(Categorias_Registro[[#This Row],[Puntos]]&lt;D2358,D2358,ROUND(D2358*(1+Categorias_Registro[[#This Row],[Amplitud]]),0)))</f>
        <v>306</v>
      </c>
      <c r="E2357" s="15">
        <f>E2358+IF(D2358=Categorias_Registro[[#This Row],[Máximo]],0,1)</f>
        <v>9</v>
      </c>
      <c r="F2357" s="15">
        <f>ROUND(Categorias_Registro[[#This Row],[Mínimo]]+((Categorias_Registro[[#This Row],[Máximo]]-Categorias_Registro[[#This Row],[Mínimo]])/2),0)</f>
        <v>287</v>
      </c>
      <c r="G2357" s="78">
        <f>VLOOKUP(Categorias_Registro[[#This Row],[Puntos]],Categorias_Configuracion[],MATCH(Categorias_Configuracion[[#Headers],[% Amplitud]],Categorias_Configuracion[#Headers],0),TRUE)</f>
        <v>0.15</v>
      </c>
      <c r="H2357" s="15" t="str">
        <f ca="1">TEXT(Categorias_Registro[[#This Row],[Mínimo]],Formato_Rango_Categorias)&amp;" - "&amp;TEXT(Categorias_Registro[[#This Row],[Máximo]],Formato_Rango_Categorias)</f>
        <v>267 - 306</v>
      </c>
    </row>
    <row r="2358" spans="2:8">
      <c r="B2358" s="15">
        <f>Techo - ROW() + ROW(Categorias_Registro[])</f>
        <v>271</v>
      </c>
      <c r="C2358" s="15">
        <f>IF(Categorias_Registro[[#This Row],[Puntos]]&lt;=ROUND(Piso,0),Piso,IF(Categorias_Registro[[#This Row],[Puntos]]&lt;D2359,C2359,D2359+1))</f>
        <v>267</v>
      </c>
      <c r="D2358" s="15">
        <f>IF(Categorias_Registro[[#This Row],[Puntos]]=ROUND(Piso,0),ROUND(Categorias_Registro[[#This Row],[Puntos]]*(1+Categorias_Registro[[#This Row],[Amplitud]]),0),IF(Categorias_Registro[[#This Row],[Puntos]]&lt;D2359,D2359,ROUND(D2359*(1+Categorias_Registro[[#This Row],[Amplitud]]),0)))</f>
        <v>306</v>
      </c>
      <c r="E2358" s="15">
        <f>E2359+IF(D2359=Categorias_Registro[[#This Row],[Máximo]],0,1)</f>
        <v>9</v>
      </c>
      <c r="F2358" s="15">
        <f>ROUND(Categorias_Registro[[#This Row],[Mínimo]]+((Categorias_Registro[[#This Row],[Máximo]]-Categorias_Registro[[#This Row],[Mínimo]])/2),0)</f>
        <v>287</v>
      </c>
      <c r="G2358" s="78">
        <f>VLOOKUP(Categorias_Registro[[#This Row],[Puntos]],Categorias_Configuracion[],MATCH(Categorias_Configuracion[[#Headers],[% Amplitud]],Categorias_Configuracion[#Headers],0),TRUE)</f>
        <v>0.15</v>
      </c>
      <c r="H2358" s="15" t="str">
        <f ca="1">TEXT(Categorias_Registro[[#This Row],[Mínimo]],Formato_Rango_Categorias)&amp;" - "&amp;TEXT(Categorias_Registro[[#This Row],[Máximo]],Formato_Rango_Categorias)</f>
        <v>267 - 306</v>
      </c>
    </row>
    <row r="2359" spans="2:8">
      <c r="B2359" s="15">
        <f>Techo - ROW() + ROW(Categorias_Registro[])</f>
        <v>270</v>
      </c>
      <c r="C2359" s="15">
        <f>IF(Categorias_Registro[[#This Row],[Puntos]]&lt;=ROUND(Piso,0),Piso,IF(Categorias_Registro[[#This Row],[Puntos]]&lt;D2360,C2360,D2360+1))</f>
        <v>267</v>
      </c>
      <c r="D2359" s="15">
        <f>IF(Categorias_Registro[[#This Row],[Puntos]]=ROUND(Piso,0),ROUND(Categorias_Registro[[#This Row],[Puntos]]*(1+Categorias_Registro[[#This Row],[Amplitud]]),0),IF(Categorias_Registro[[#This Row],[Puntos]]&lt;D2360,D2360,ROUND(D2360*(1+Categorias_Registro[[#This Row],[Amplitud]]),0)))</f>
        <v>306</v>
      </c>
      <c r="E2359" s="15">
        <f>E2360+IF(D2360=Categorias_Registro[[#This Row],[Máximo]],0,1)</f>
        <v>9</v>
      </c>
      <c r="F2359" s="15">
        <f>ROUND(Categorias_Registro[[#This Row],[Mínimo]]+((Categorias_Registro[[#This Row],[Máximo]]-Categorias_Registro[[#This Row],[Mínimo]])/2),0)</f>
        <v>287</v>
      </c>
      <c r="G2359" s="78">
        <f>VLOOKUP(Categorias_Registro[[#This Row],[Puntos]],Categorias_Configuracion[],MATCH(Categorias_Configuracion[[#Headers],[% Amplitud]],Categorias_Configuracion[#Headers],0),TRUE)</f>
        <v>0.15</v>
      </c>
      <c r="H2359" s="15" t="str">
        <f ca="1">TEXT(Categorias_Registro[[#This Row],[Mínimo]],Formato_Rango_Categorias)&amp;" - "&amp;TEXT(Categorias_Registro[[#This Row],[Máximo]],Formato_Rango_Categorias)</f>
        <v>267 - 306</v>
      </c>
    </row>
    <row r="2360" spans="2:8">
      <c r="B2360" s="15">
        <f>Techo - ROW() + ROW(Categorias_Registro[])</f>
        <v>269</v>
      </c>
      <c r="C2360" s="15">
        <f>IF(Categorias_Registro[[#This Row],[Puntos]]&lt;=ROUND(Piso,0),Piso,IF(Categorias_Registro[[#This Row],[Puntos]]&lt;D2361,C2361,D2361+1))</f>
        <v>267</v>
      </c>
      <c r="D2360" s="15">
        <f>IF(Categorias_Registro[[#This Row],[Puntos]]=ROUND(Piso,0),ROUND(Categorias_Registro[[#This Row],[Puntos]]*(1+Categorias_Registro[[#This Row],[Amplitud]]),0),IF(Categorias_Registro[[#This Row],[Puntos]]&lt;D2361,D2361,ROUND(D2361*(1+Categorias_Registro[[#This Row],[Amplitud]]),0)))</f>
        <v>306</v>
      </c>
      <c r="E2360" s="15">
        <f>E2361+IF(D2361=Categorias_Registro[[#This Row],[Máximo]],0,1)</f>
        <v>9</v>
      </c>
      <c r="F2360" s="15">
        <f>ROUND(Categorias_Registro[[#This Row],[Mínimo]]+((Categorias_Registro[[#This Row],[Máximo]]-Categorias_Registro[[#This Row],[Mínimo]])/2),0)</f>
        <v>287</v>
      </c>
      <c r="G2360" s="78">
        <f>VLOOKUP(Categorias_Registro[[#This Row],[Puntos]],Categorias_Configuracion[],MATCH(Categorias_Configuracion[[#Headers],[% Amplitud]],Categorias_Configuracion[#Headers],0),TRUE)</f>
        <v>0.15</v>
      </c>
      <c r="H2360" s="15" t="str">
        <f ca="1">TEXT(Categorias_Registro[[#This Row],[Mínimo]],Formato_Rango_Categorias)&amp;" - "&amp;TEXT(Categorias_Registro[[#This Row],[Máximo]],Formato_Rango_Categorias)</f>
        <v>267 - 306</v>
      </c>
    </row>
    <row r="2361" spans="2:8">
      <c r="B2361" s="15">
        <f>Techo - ROW() + ROW(Categorias_Registro[])</f>
        <v>268</v>
      </c>
      <c r="C2361" s="15">
        <f>IF(Categorias_Registro[[#This Row],[Puntos]]&lt;=ROUND(Piso,0),Piso,IF(Categorias_Registro[[#This Row],[Puntos]]&lt;D2362,C2362,D2362+1))</f>
        <v>267</v>
      </c>
      <c r="D2361" s="15">
        <f>IF(Categorias_Registro[[#This Row],[Puntos]]=ROUND(Piso,0),ROUND(Categorias_Registro[[#This Row],[Puntos]]*(1+Categorias_Registro[[#This Row],[Amplitud]]),0),IF(Categorias_Registro[[#This Row],[Puntos]]&lt;D2362,D2362,ROUND(D2362*(1+Categorias_Registro[[#This Row],[Amplitud]]),0)))</f>
        <v>306</v>
      </c>
      <c r="E2361" s="15">
        <f>E2362+IF(D2362=Categorias_Registro[[#This Row],[Máximo]],0,1)</f>
        <v>9</v>
      </c>
      <c r="F2361" s="15">
        <f>ROUND(Categorias_Registro[[#This Row],[Mínimo]]+((Categorias_Registro[[#This Row],[Máximo]]-Categorias_Registro[[#This Row],[Mínimo]])/2),0)</f>
        <v>287</v>
      </c>
      <c r="G2361" s="78">
        <f>VLOOKUP(Categorias_Registro[[#This Row],[Puntos]],Categorias_Configuracion[],MATCH(Categorias_Configuracion[[#Headers],[% Amplitud]],Categorias_Configuracion[#Headers],0),TRUE)</f>
        <v>0.15</v>
      </c>
      <c r="H2361" s="15" t="str">
        <f ca="1">TEXT(Categorias_Registro[[#This Row],[Mínimo]],Formato_Rango_Categorias)&amp;" - "&amp;TEXT(Categorias_Registro[[#This Row],[Máximo]],Formato_Rango_Categorias)</f>
        <v>267 - 306</v>
      </c>
    </row>
    <row r="2362" spans="2:8">
      <c r="B2362" s="15">
        <f>Techo - ROW() + ROW(Categorias_Registro[])</f>
        <v>267</v>
      </c>
      <c r="C2362" s="15">
        <f>IF(Categorias_Registro[[#This Row],[Puntos]]&lt;=ROUND(Piso,0),Piso,IF(Categorias_Registro[[#This Row],[Puntos]]&lt;D2363,C2363,D2363+1))</f>
        <v>267</v>
      </c>
      <c r="D2362" s="15">
        <f>IF(Categorias_Registro[[#This Row],[Puntos]]=ROUND(Piso,0),ROUND(Categorias_Registro[[#This Row],[Puntos]]*(1+Categorias_Registro[[#This Row],[Amplitud]]),0),IF(Categorias_Registro[[#This Row],[Puntos]]&lt;D2363,D2363,ROUND(D2363*(1+Categorias_Registro[[#This Row],[Amplitud]]),0)))</f>
        <v>306</v>
      </c>
      <c r="E2362" s="15">
        <f>E2363+IF(D2363=Categorias_Registro[[#This Row],[Máximo]],0,1)</f>
        <v>9</v>
      </c>
      <c r="F2362" s="15">
        <f>ROUND(Categorias_Registro[[#This Row],[Mínimo]]+((Categorias_Registro[[#This Row],[Máximo]]-Categorias_Registro[[#This Row],[Mínimo]])/2),0)</f>
        <v>287</v>
      </c>
      <c r="G2362" s="78">
        <f>VLOOKUP(Categorias_Registro[[#This Row],[Puntos]],Categorias_Configuracion[],MATCH(Categorias_Configuracion[[#Headers],[% Amplitud]],Categorias_Configuracion[#Headers],0),TRUE)</f>
        <v>0.15</v>
      </c>
      <c r="H2362" s="15" t="str">
        <f ca="1">TEXT(Categorias_Registro[[#This Row],[Mínimo]],Formato_Rango_Categorias)&amp;" - "&amp;TEXT(Categorias_Registro[[#This Row],[Máximo]],Formato_Rango_Categorias)</f>
        <v>267 - 306</v>
      </c>
    </row>
    <row r="2363" spans="2:8">
      <c r="B2363" s="15">
        <f>Techo - ROW() + ROW(Categorias_Registro[])</f>
        <v>266</v>
      </c>
      <c r="C2363" s="15">
        <f>IF(Categorias_Registro[[#This Row],[Puntos]]&lt;=ROUND(Piso,0),Piso,IF(Categorias_Registro[[#This Row],[Puntos]]&lt;D2364,C2364,D2364+1))</f>
        <v>267</v>
      </c>
      <c r="D2363" s="15">
        <f>IF(Categorias_Registro[[#This Row],[Puntos]]=ROUND(Piso,0),ROUND(Categorias_Registro[[#This Row],[Puntos]]*(1+Categorias_Registro[[#This Row],[Amplitud]]),0),IF(Categorias_Registro[[#This Row],[Puntos]]&lt;D2364,D2364,ROUND(D2364*(1+Categorias_Registro[[#This Row],[Amplitud]]),0)))</f>
        <v>306</v>
      </c>
      <c r="E2363" s="15">
        <f>E2364+IF(D2364=Categorias_Registro[[#This Row],[Máximo]],0,1)</f>
        <v>9</v>
      </c>
      <c r="F2363" s="15">
        <f>ROUND(Categorias_Registro[[#This Row],[Mínimo]]+((Categorias_Registro[[#This Row],[Máximo]]-Categorias_Registro[[#This Row],[Mínimo]])/2),0)</f>
        <v>287</v>
      </c>
      <c r="G2363" s="78">
        <f>VLOOKUP(Categorias_Registro[[#This Row],[Puntos]],Categorias_Configuracion[],MATCH(Categorias_Configuracion[[#Headers],[% Amplitud]],Categorias_Configuracion[#Headers],0),TRUE)</f>
        <v>0.15</v>
      </c>
      <c r="H2363" s="15" t="str">
        <f ca="1">TEXT(Categorias_Registro[[#This Row],[Mínimo]],Formato_Rango_Categorias)&amp;" - "&amp;TEXT(Categorias_Registro[[#This Row],[Máximo]],Formato_Rango_Categorias)</f>
        <v>267 - 306</v>
      </c>
    </row>
    <row r="2364" spans="2:8">
      <c r="B2364" s="15">
        <f>Techo - ROW() + ROW(Categorias_Registro[])</f>
        <v>265</v>
      </c>
      <c r="C2364" s="15">
        <f>IF(Categorias_Registro[[#This Row],[Puntos]]&lt;=ROUND(Piso,0),Piso,IF(Categorias_Registro[[#This Row],[Puntos]]&lt;D2365,C2365,D2365+1))</f>
        <v>232</v>
      </c>
      <c r="D2364" s="15">
        <f>IF(Categorias_Registro[[#This Row],[Puntos]]=ROUND(Piso,0),ROUND(Categorias_Registro[[#This Row],[Puntos]]*(1+Categorias_Registro[[#This Row],[Amplitud]]),0),IF(Categorias_Registro[[#This Row],[Puntos]]&lt;D2365,D2365,ROUND(D2365*(1+Categorias_Registro[[#This Row],[Amplitud]]),0)))</f>
        <v>266</v>
      </c>
      <c r="E2364" s="15">
        <f>E2365+IF(D2365=Categorias_Registro[[#This Row],[Máximo]],0,1)</f>
        <v>8</v>
      </c>
      <c r="F2364" s="15">
        <f>ROUND(Categorias_Registro[[#This Row],[Mínimo]]+((Categorias_Registro[[#This Row],[Máximo]]-Categorias_Registro[[#This Row],[Mínimo]])/2),0)</f>
        <v>249</v>
      </c>
      <c r="G2364" s="78">
        <f>VLOOKUP(Categorias_Registro[[#This Row],[Puntos]],Categorias_Configuracion[],MATCH(Categorias_Configuracion[[#Headers],[% Amplitud]],Categorias_Configuracion[#Headers],0),TRUE)</f>
        <v>0.15</v>
      </c>
      <c r="H2364" s="15" t="str">
        <f ca="1">TEXT(Categorias_Registro[[#This Row],[Mínimo]],Formato_Rango_Categorias)&amp;" - "&amp;TEXT(Categorias_Registro[[#This Row],[Máximo]],Formato_Rango_Categorias)</f>
        <v>232 - 266</v>
      </c>
    </row>
    <row r="2365" spans="2:8">
      <c r="B2365" s="15">
        <f>Techo - ROW() + ROW(Categorias_Registro[])</f>
        <v>264</v>
      </c>
      <c r="C2365" s="15">
        <f>IF(Categorias_Registro[[#This Row],[Puntos]]&lt;=ROUND(Piso,0),Piso,IF(Categorias_Registro[[#This Row],[Puntos]]&lt;D2366,C2366,D2366+1))</f>
        <v>232</v>
      </c>
      <c r="D2365" s="15">
        <f>IF(Categorias_Registro[[#This Row],[Puntos]]=ROUND(Piso,0),ROUND(Categorias_Registro[[#This Row],[Puntos]]*(1+Categorias_Registro[[#This Row],[Amplitud]]),0),IF(Categorias_Registro[[#This Row],[Puntos]]&lt;D2366,D2366,ROUND(D2366*(1+Categorias_Registro[[#This Row],[Amplitud]]),0)))</f>
        <v>266</v>
      </c>
      <c r="E2365" s="15">
        <f>E2366+IF(D2366=Categorias_Registro[[#This Row],[Máximo]],0,1)</f>
        <v>8</v>
      </c>
      <c r="F2365" s="15">
        <f>ROUND(Categorias_Registro[[#This Row],[Mínimo]]+((Categorias_Registro[[#This Row],[Máximo]]-Categorias_Registro[[#This Row],[Mínimo]])/2),0)</f>
        <v>249</v>
      </c>
      <c r="G2365" s="78">
        <f>VLOOKUP(Categorias_Registro[[#This Row],[Puntos]],Categorias_Configuracion[],MATCH(Categorias_Configuracion[[#Headers],[% Amplitud]],Categorias_Configuracion[#Headers],0),TRUE)</f>
        <v>0.15</v>
      </c>
      <c r="H2365" s="15" t="str">
        <f ca="1">TEXT(Categorias_Registro[[#This Row],[Mínimo]],Formato_Rango_Categorias)&amp;" - "&amp;TEXT(Categorias_Registro[[#This Row],[Máximo]],Formato_Rango_Categorias)</f>
        <v>232 - 266</v>
      </c>
    </row>
    <row r="2366" spans="2:8">
      <c r="B2366" s="15">
        <f>Techo - ROW() + ROW(Categorias_Registro[])</f>
        <v>263</v>
      </c>
      <c r="C2366" s="15">
        <f>IF(Categorias_Registro[[#This Row],[Puntos]]&lt;=ROUND(Piso,0),Piso,IF(Categorias_Registro[[#This Row],[Puntos]]&lt;D2367,C2367,D2367+1))</f>
        <v>232</v>
      </c>
      <c r="D2366" s="15">
        <f>IF(Categorias_Registro[[#This Row],[Puntos]]=ROUND(Piso,0),ROUND(Categorias_Registro[[#This Row],[Puntos]]*(1+Categorias_Registro[[#This Row],[Amplitud]]),0),IF(Categorias_Registro[[#This Row],[Puntos]]&lt;D2367,D2367,ROUND(D2367*(1+Categorias_Registro[[#This Row],[Amplitud]]),0)))</f>
        <v>266</v>
      </c>
      <c r="E2366" s="15">
        <f>E2367+IF(D2367=Categorias_Registro[[#This Row],[Máximo]],0,1)</f>
        <v>8</v>
      </c>
      <c r="F2366" s="15">
        <f>ROUND(Categorias_Registro[[#This Row],[Mínimo]]+((Categorias_Registro[[#This Row],[Máximo]]-Categorias_Registro[[#This Row],[Mínimo]])/2),0)</f>
        <v>249</v>
      </c>
      <c r="G2366" s="78">
        <f>VLOOKUP(Categorias_Registro[[#This Row],[Puntos]],Categorias_Configuracion[],MATCH(Categorias_Configuracion[[#Headers],[% Amplitud]],Categorias_Configuracion[#Headers],0),TRUE)</f>
        <v>0.15</v>
      </c>
      <c r="H2366" s="15" t="str">
        <f ca="1">TEXT(Categorias_Registro[[#This Row],[Mínimo]],Formato_Rango_Categorias)&amp;" - "&amp;TEXT(Categorias_Registro[[#This Row],[Máximo]],Formato_Rango_Categorias)</f>
        <v>232 - 266</v>
      </c>
    </row>
    <row r="2367" spans="2:8">
      <c r="B2367" s="15">
        <f>Techo - ROW() + ROW(Categorias_Registro[])</f>
        <v>262</v>
      </c>
      <c r="C2367" s="15">
        <f>IF(Categorias_Registro[[#This Row],[Puntos]]&lt;=ROUND(Piso,0),Piso,IF(Categorias_Registro[[#This Row],[Puntos]]&lt;D2368,C2368,D2368+1))</f>
        <v>232</v>
      </c>
      <c r="D2367" s="15">
        <f>IF(Categorias_Registro[[#This Row],[Puntos]]=ROUND(Piso,0),ROUND(Categorias_Registro[[#This Row],[Puntos]]*(1+Categorias_Registro[[#This Row],[Amplitud]]),0),IF(Categorias_Registro[[#This Row],[Puntos]]&lt;D2368,D2368,ROUND(D2368*(1+Categorias_Registro[[#This Row],[Amplitud]]),0)))</f>
        <v>266</v>
      </c>
      <c r="E2367" s="15">
        <f>E2368+IF(D2368=Categorias_Registro[[#This Row],[Máximo]],0,1)</f>
        <v>8</v>
      </c>
      <c r="F2367" s="15">
        <f>ROUND(Categorias_Registro[[#This Row],[Mínimo]]+((Categorias_Registro[[#This Row],[Máximo]]-Categorias_Registro[[#This Row],[Mínimo]])/2),0)</f>
        <v>249</v>
      </c>
      <c r="G2367" s="78">
        <f>VLOOKUP(Categorias_Registro[[#This Row],[Puntos]],Categorias_Configuracion[],MATCH(Categorias_Configuracion[[#Headers],[% Amplitud]],Categorias_Configuracion[#Headers],0),TRUE)</f>
        <v>0.15</v>
      </c>
      <c r="H2367" s="15" t="str">
        <f ca="1">TEXT(Categorias_Registro[[#This Row],[Mínimo]],Formato_Rango_Categorias)&amp;" - "&amp;TEXT(Categorias_Registro[[#This Row],[Máximo]],Formato_Rango_Categorias)</f>
        <v>232 - 266</v>
      </c>
    </row>
    <row r="2368" spans="2:8">
      <c r="B2368" s="15">
        <f>Techo - ROW() + ROW(Categorias_Registro[])</f>
        <v>261</v>
      </c>
      <c r="C2368" s="15">
        <f>IF(Categorias_Registro[[#This Row],[Puntos]]&lt;=ROUND(Piso,0),Piso,IF(Categorias_Registro[[#This Row],[Puntos]]&lt;D2369,C2369,D2369+1))</f>
        <v>232</v>
      </c>
      <c r="D2368" s="15">
        <f>IF(Categorias_Registro[[#This Row],[Puntos]]=ROUND(Piso,0),ROUND(Categorias_Registro[[#This Row],[Puntos]]*(1+Categorias_Registro[[#This Row],[Amplitud]]),0),IF(Categorias_Registro[[#This Row],[Puntos]]&lt;D2369,D2369,ROUND(D2369*(1+Categorias_Registro[[#This Row],[Amplitud]]),0)))</f>
        <v>266</v>
      </c>
      <c r="E2368" s="15">
        <f>E2369+IF(D2369=Categorias_Registro[[#This Row],[Máximo]],0,1)</f>
        <v>8</v>
      </c>
      <c r="F2368" s="15">
        <f>ROUND(Categorias_Registro[[#This Row],[Mínimo]]+((Categorias_Registro[[#This Row],[Máximo]]-Categorias_Registro[[#This Row],[Mínimo]])/2),0)</f>
        <v>249</v>
      </c>
      <c r="G2368" s="78">
        <f>VLOOKUP(Categorias_Registro[[#This Row],[Puntos]],Categorias_Configuracion[],MATCH(Categorias_Configuracion[[#Headers],[% Amplitud]],Categorias_Configuracion[#Headers],0),TRUE)</f>
        <v>0.15</v>
      </c>
      <c r="H2368" s="15" t="str">
        <f ca="1">TEXT(Categorias_Registro[[#This Row],[Mínimo]],Formato_Rango_Categorias)&amp;" - "&amp;TEXT(Categorias_Registro[[#This Row],[Máximo]],Formato_Rango_Categorias)</f>
        <v>232 - 266</v>
      </c>
    </row>
    <row r="2369" spans="2:8">
      <c r="B2369" s="15">
        <f>Techo - ROW() + ROW(Categorias_Registro[])</f>
        <v>260</v>
      </c>
      <c r="C2369" s="15">
        <f>IF(Categorias_Registro[[#This Row],[Puntos]]&lt;=ROUND(Piso,0),Piso,IF(Categorias_Registro[[#This Row],[Puntos]]&lt;D2370,C2370,D2370+1))</f>
        <v>232</v>
      </c>
      <c r="D2369" s="15">
        <f>IF(Categorias_Registro[[#This Row],[Puntos]]=ROUND(Piso,0),ROUND(Categorias_Registro[[#This Row],[Puntos]]*(1+Categorias_Registro[[#This Row],[Amplitud]]),0),IF(Categorias_Registro[[#This Row],[Puntos]]&lt;D2370,D2370,ROUND(D2370*(1+Categorias_Registro[[#This Row],[Amplitud]]),0)))</f>
        <v>266</v>
      </c>
      <c r="E2369" s="15">
        <f>E2370+IF(D2370=Categorias_Registro[[#This Row],[Máximo]],0,1)</f>
        <v>8</v>
      </c>
      <c r="F2369" s="15">
        <f>ROUND(Categorias_Registro[[#This Row],[Mínimo]]+((Categorias_Registro[[#This Row],[Máximo]]-Categorias_Registro[[#This Row],[Mínimo]])/2),0)</f>
        <v>249</v>
      </c>
      <c r="G2369" s="78">
        <f>VLOOKUP(Categorias_Registro[[#This Row],[Puntos]],Categorias_Configuracion[],MATCH(Categorias_Configuracion[[#Headers],[% Amplitud]],Categorias_Configuracion[#Headers],0),TRUE)</f>
        <v>0.15</v>
      </c>
      <c r="H2369" s="15" t="str">
        <f ca="1">TEXT(Categorias_Registro[[#This Row],[Mínimo]],Formato_Rango_Categorias)&amp;" - "&amp;TEXT(Categorias_Registro[[#This Row],[Máximo]],Formato_Rango_Categorias)</f>
        <v>232 - 266</v>
      </c>
    </row>
    <row r="2370" spans="2:8">
      <c r="B2370" s="15">
        <f>Techo - ROW() + ROW(Categorias_Registro[])</f>
        <v>259</v>
      </c>
      <c r="C2370" s="15">
        <f>IF(Categorias_Registro[[#This Row],[Puntos]]&lt;=ROUND(Piso,0),Piso,IF(Categorias_Registro[[#This Row],[Puntos]]&lt;D2371,C2371,D2371+1))</f>
        <v>232</v>
      </c>
      <c r="D2370" s="15">
        <f>IF(Categorias_Registro[[#This Row],[Puntos]]=ROUND(Piso,0),ROUND(Categorias_Registro[[#This Row],[Puntos]]*(1+Categorias_Registro[[#This Row],[Amplitud]]),0),IF(Categorias_Registro[[#This Row],[Puntos]]&lt;D2371,D2371,ROUND(D2371*(1+Categorias_Registro[[#This Row],[Amplitud]]),0)))</f>
        <v>266</v>
      </c>
      <c r="E2370" s="15">
        <f>E2371+IF(D2371=Categorias_Registro[[#This Row],[Máximo]],0,1)</f>
        <v>8</v>
      </c>
      <c r="F2370" s="15">
        <f>ROUND(Categorias_Registro[[#This Row],[Mínimo]]+((Categorias_Registro[[#This Row],[Máximo]]-Categorias_Registro[[#This Row],[Mínimo]])/2),0)</f>
        <v>249</v>
      </c>
      <c r="G2370" s="78">
        <f>VLOOKUP(Categorias_Registro[[#This Row],[Puntos]],Categorias_Configuracion[],MATCH(Categorias_Configuracion[[#Headers],[% Amplitud]],Categorias_Configuracion[#Headers],0),TRUE)</f>
        <v>0.15</v>
      </c>
      <c r="H2370" s="15" t="str">
        <f ca="1">TEXT(Categorias_Registro[[#This Row],[Mínimo]],Formato_Rango_Categorias)&amp;" - "&amp;TEXT(Categorias_Registro[[#This Row],[Máximo]],Formato_Rango_Categorias)</f>
        <v>232 - 266</v>
      </c>
    </row>
    <row r="2371" spans="2:8">
      <c r="B2371" s="15">
        <f>Techo - ROW() + ROW(Categorias_Registro[])</f>
        <v>258</v>
      </c>
      <c r="C2371" s="15">
        <f>IF(Categorias_Registro[[#This Row],[Puntos]]&lt;=ROUND(Piso,0),Piso,IF(Categorias_Registro[[#This Row],[Puntos]]&lt;D2372,C2372,D2372+1))</f>
        <v>232</v>
      </c>
      <c r="D2371" s="15">
        <f>IF(Categorias_Registro[[#This Row],[Puntos]]=ROUND(Piso,0),ROUND(Categorias_Registro[[#This Row],[Puntos]]*(1+Categorias_Registro[[#This Row],[Amplitud]]),0),IF(Categorias_Registro[[#This Row],[Puntos]]&lt;D2372,D2372,ROUND(D2372*(1+Categorias_Registro[[#This Row],[Amplitud]]),0)))</f>
        <v>266</v>
      </c>
      <c r="E2371" s="15">
        <f>E2372+IF(D2372=Categorias_Registro[[#This Row],[Máximo]],0,1)</f>
        <v>8</v>
      </c>
      <c r="F2371" s="15">
        <f>ROUND(Categorias_Registro[[#This Row],[Mínimo]]+((Categorias_Registro[[#This Row],[Máximo]]-Categorias_Registro[[#This Row],[Mínimo]])/2),0)</f>
        <v>249</v>
      </c>
      <c r="G2371" s="78">
        <f>VLOOKUP(Categorias_Registro[[#This Row],[Puntos]],Categorias_Configuracion[],MATCH(Categorias_Configuracion[[#Headers],[% Amplitud]],Categorias_Configuracion[#Headers],0),TRUE)</f>
        <v>0.15</v>
      </c>
      <c r="H2371" s="15" t="str">
        <f ca="1">TEXT(Categorias_Registro[[#This Row],[Mínimo]],Formato_Rango_Categorias)&amp;" - "&amp;TEXT(Categorias_Registro[[#This Row],[Máximo]],Formato_Rango_Categorias)</f>
        <v>232 - 266</v>
      </c>
    </row>
    <row r="2372" spans="2:8">
      <c r="B2372" s="15">
        <f>Techo - ROW() + ROW(Categorias_Registro[])</f>
        <v>257</v>
      </c>
      <c r="C2372" s="15">
        <f>IF(Categorias_Registro[[#This Row],[Puntos]]&lt;=ROUND(Piso,0),Piso,IF(Categorias_Registro[[#This Row],[Puntos]]&lt;D2373,C2373,D2373+1))</f>
        <v>232</v>
      </c>
      <c r="D2372" s="15">
        <f>IF(Categorias_Registro[[#This Row],[Puntos]]=ROUND(Piso,0),ROUND(Categorias_Registro[[#This Row],[Puntos]]*(1+Categorias_Registro[[#This Row],[Amplitud]]),0),IF(Categorias_Registro[[#This Row],[Puntos]]&lt;D2373,D2373,ROUND(D2373*(1+Categorias_Registro[[#This Row],[Amplitud]]),0)))</f>
        <v>266</v>
      </c>
      <c r="E2372" s="15">
        <f>E2373+IF(D2373=Categorias_Registro[[#This Row],[Máximo]],0,1)</f>
        <v>8</v>
      </c>
      <c r="F2372" s="15">
        <f>ROUND(Categorias_Registro[[#This Row],[Mínimo]]+((Categorias_Registro[[#This Row],[Máximo]]-Categorias_Registro[[#This Row],[Mínimo]])/2),0)</f>
        <v>249</v>
      </c>
      <c r="G2372" s="78">
        <f>VLOOKUP(Categorias_Registro[[#This Row],[Puntos]],Categorias_Configuracion[],MATCH(Categorias_Configuracion[[#Headers],[% Amplitud]],Categorias_Configuracion[#Headers],0),TRUE)</f>
        <v>0.15</v>
      </c>
      <c r="H2372" s="15" t="str">
        <f ca="1">TEXT(Categorias_Registro[[#This Row],[Mínimo]],Formato_Rango_Categorias)&amp;" - "&amp;TEXT(Categorias_Registro[[#This Row],[Máximo]],Formato_Rango_Categorias)</f>
        <v>232 - 266</v>
      </c>
    </row>
    <row r="2373" spans="2:8">
      <c r="B2373" s="15">
        <f>Techo - ROW() + ROW(Categorias_Registro[])</f>
        <v>256</v>
      </c>
      <c r="C2373" s="15">
        <f>IF(Categorias_Registro[[#This Row],[Puntos]]&lt;=ROUND(Piso,0),Piso,IF(Categorias_Registro[[#This Row],[Puntos]]&lt;D2374,C2374,D2374+1))</f>
        <v>232</v>
      </c>
      <c r="D2373" s="15">
        <f>IF(Categorias_Registro[[#This Row],[Puntos]]=ROUND(Piso,0),ROUND(Categorias_Registro[[#This Row],[Puntos]]*(1+Categorias_Registro[[#This Row],[Amplitud]]),0),IF(Categorias_Registro[[#This Row],[Puntos]]&lt;D2374,D2374,ROUND(D2374*(1+Categorias_Registro[[#This Row],[Amplitud]]),0)))</f>
        <v>266</v>
      </c>
      <c r="E2373" s="15">
        <f>E2374+IF(D2374=Categorias_Registro[[#This Row],[Máximo]],0,1)</f>
        <v>8</v>
      </c>
      <c r="F2373" s="15">
        <f>ROUND(Categorias_Registro[[#This Row],[Mínimo]]+((Categorias_Registro[[#This Row],[Máximo]]-Categorias_Registro[[#This Row],[Mínimo]])/2),0)</f>
        <v>249</v>
      </c>
      <c r="G2373" s="78">
        <f>VLOOKUP(Categorias_Registro[[#This Row],[Puntos]],Categorias_Configuracion[],MATCH(Categorias_Configuracion[[#Headers],[% Amplitud]],Categorias_Configuracion[#Headers],0),TRUE)</f>
        <v>0.15</v>
      </c>
      <c r="H2373" s="15" t="str">
        <f ca="1">TEXT(Categorias_Registro[[#This Row],[Mínimo]],Formato_Rango_Categorias)&amp;" - "&amp;TEXT(Categorias_Registro[[#This Row],[Máximo]],Formato_Rango_Categorias)</f>
        <v>232 - 266</v>
      </c>
    </row>
    <row r="2374" spans="2:8">
      <c r="B2374" s="15">
        <f>Techo - ROW() + ROW(Categorias_Registro[])</f>
        <v>255</v>
      </c>
      <c r="C2374" s="15">
        <f>IF(Categorias_Registro[[#This Row],[Puntos]]&lt;=ROUND(Piso,0),Piso,IF(Categorias_Registro[[#This Row],[Puntos]]&lt;D2375,C2375,D2375+1))</f>
        <v>232</v>
      </c>
      <c r="D2374" s="15">
        <f>IF(Categorias_Registro[[#This Row],[Puntos]]=ROUND(Piso,0),ROUND(Categorias_Registro[[#This Row],[Puntos]]*(1+Categorias_Registro[[#This Row],[Amplitud]]),0),IF(Categorias_Registro[[#This Row],[Puntos]]&lt;D2375,D2375,ROUND(D2375*(1+Categorias_Registro[[#This Row],[Amplitud]]),0)))</f>
        <v>266</v>
      </c>
      <c r="E2374" s="15">
        <f>E2375+IF(D2375=Categorias_Registro[[#This Row],[Máximo]],0,1)</f>
        <v>8</v>
      </c>
      <c r="F2374" s="15">
        <f>ROUND(Categorias_Registro[[#This Row],[Mínimo]]+((Categorias_Registro[[#This Row],[Máximo]]-Categorias_Registro[[#This Row],[Mínimo]])/2),0)</f>
        <v>249</v>
      </c>
      <c r="G2374" s="78">
        <f>VLOOKUP(Categorias_Registro[[#This Row],[Puntos]],Categorias_Configuracion[],MATCH(Categorias_Configuracion[[#Headers],[% Amplitud]],Categorias_Configuracion[#Headers],0),TRUE)</f>
        <v>0.15</v>
      </c>
      <c r="H2374" s="15" t="str">
        <f ca="1">TEXT(Categorias_Registro[[#This Row],[Mínimo]],Formato_Rango_Categorias)&amp;" - "&amp;TEXT(Categorias_Registro[[#This Row],[Máximo]],Formato_Rango_Categorias)</f>
        <v>232 - 266</v>
      </c>
    </row>
    <row r="2375" spans="2:8">
      <c r="B2375" s="15">
        <f>Techo - ROW() + ROW(Categorias_Registro[])</f>
        <v>254</v>
      </c>
      <c r="C2375" s="15">
        <f>IF(Categorias_Registro[[#This Row],[Puntos]]&lt;=ROUND(Piso,0),Piso,IF(Categorias_Registro[[#This Row],[Puntos]]&lt;D2376,C2376,D2376+1))</f>
        <v>232</v>
      </c>
      <c r="D2375" s="15">
        <f>IF(Categorias_Registro[[#This Row],[Puntos]]=ROUND(Piso,0),ROUND(Categorias_Registro[[#This Row],[Puntos]]*(1+Categorias_Registro[[#This Row],[Amplitud]]),0),IF(Categorias_Registro[[#This Row],[Puntos]]&lt;D2376,D2376,ROUND(D2376*(1+Categorias_Registro[[#This Row],[Amplitud]]),0)))</f>
        <v>266</v>
      </c>
      <c r="E2375" s="15">
        <f>E2376+IF(D2376=Categorias_Registro[[#This Row],[Máximo]],0,1)</f>
        <v>8</v>
      </c>
      <c r="F2375" s="15">
        <f>ROUND(Categorias_Registro[[#This Row],[Mínimo]]+((Categorias_Registro[[#This Row],[Máximo]]-Categorias_Registro[[#This Row],[Mínimo]])/2),0)</f>
        <v>249</v>
      </c>
      <c r="G2375" s="78">
        <f>VLOOKUP(Categorias_Registro[[#This Row],[Puntos]],Categorias_Configuracion[],MATCH(Categorias_Configuracion[[#Headers],[% Amplitud]],Categorias_Configuracion[#Headers],0),TRUE)</f>
        <v>0.15</v>
      </c>
      <c r="H2375" s="15" t="str">
        <f ca="1">TEXT(Categorias_Registro[[#This Row],[Mínimo]],Formato_Rango_Categorias)&amp;" - "&amp;TEXT(Categorias_Registro[[#This Row],[Máximo]],Formato_Rango_Categorias)</f>
        <v>232 - 266</v>
      </c>
    </row>
    <row r="2376" spans="2:8">
      <c r="B2376" s="15">
        <f>Techo - ROW() + ROW(Categorias_Registro[])</f>
        <v>253</v>
      </c>
      <c r="C2376" s="15">
        <f>IF(Categorias_Registro[[#This Row],[Puntos]]&lt;=ROUND(Piso,0),Piso,IF(Categorias_Registro[[#This Row],[Puntos]]&lt;D2377,C2377,D2377+1))</f>
        <v>232</v>
      </c>
      <c r="D2376" s="15">
        <f>IF(Categorias_Registro[[#This Row],[Puntos]]=ROUND(Piso,0),ROUND(Categorias_Registro[[#This Row],[Puntos]]*(1+Categorias_Registro[[#This Row],[Amplitud]]),0),IF(Categorias_Registro[[#This Row],[Puntos]]&lt;D2377,D2377,ROUND(D2377*(1+Categorias_Registro[[#This Row],[Amplitud]]),0)))</f>
        <v>266</v>
      </c>
      <c r="E2376" s="15">
        <f>E2377+IF(D2377=Categorias_Registro[[#This Row],[Máximo]],0,1)</f>
        <v>8</v>
      </c>
      <c r="F2376" s="15">
        <f>ROUND(Categorias_Registro[[#This Row],[Mínimo]]+((Categorias_Registro[[#This Row],[Máximo]]-Categorias_Registro[[#This Row],[Mínimo]])/2),0)</f>
        <v>249</v>
      </c>
      <c r="G2376" s="78">
        <f>VLOOKUP(Categorias_Registro[[#This Row],[Puntos]],Categorias_Configuracion[],MATCH(Categorias_Configuracion[[#Headers],[% Amplitud]],Categorias_Configuracion[#Headers],0),TRUE)</f>
        <v>0.15</v>
      </c>
      <c r="H2376" s="15" t="str">
        <f ca="1">TEXT(Categorias_Registro[[#This Row],[Mínimo]],Formato_Rango_Categorias)&amp;" - "&amp;TEXT(Categorias_Registro[[#This Row],[Máximo]],Formato_Rango_Categorias)</f>
        <v>232 - 266</v>
      </c>
    </row>
    <row r="2377" spans="2:8">
      <c r="B2377" s="15">
        <f>Techo - ROW() + ROW(Categorias_Registro[])</f>
        <v>252</v>
      </c>
      <c r="C2377" s="15">
        <f>IF(Categorias_Registro[[#This Row],[Puntos]]&lt;=ROUND(Piso,0),Piso,IF(Categorias_Registro[[#This Row],[Puntos]]&lt;D2378,C2378,D2378+1))</f>
        <v>232</v>
      </c>
      <c r="D2377" s="15">
        <f>IF(Categorias_Registro[[#This Row],[Puntos]]=ROUND(Piso,0),ROUND(Categorias_Registro[[#This Row],[Puntos]]*(1+Categorias_Registro[[#This Row],[Amplitud]]),0),IF(Categorias_Registro[[#This Row],[Puntos]]&lt;D2378,D2378,ROUND(D2378*(1+Categorias_Registro[[#This Row],[Amplitud]]),0)))</f>
        <v>266</v>
      </c>
      <c r="E2377" s="15">
        <f>E2378+IF(D2378=Categorias_Registro[[#This Row],[Máximo]],0,1)</f>
        <v>8</v>
      </c>
      <c r="F2377" s="15">
        <f>ROUND(Categorias_Registro[[#This Row],[Mínimo]]+((Categorias_Registro[[#This Row],[Máximo]]-Categorias_Registro[[#This Row],[Mínimo]])/2),0)</f>
        <v>249</v>
      </c>
      <c r="G2377" s="78">
        <f>VLOOKUP(Categorias_Registro[[#This Row],[Puntos]],Categorias_Configuracion[],MATCH(Categorias_Configuracion[[#Headers],[% Amplitud]],Categorias_Configuracion[#Headers],0),TRUE)</f>
        <v>0.15</v>
      </c>
      <c r="H2377" s="15" t="str">
        <f ca="1">TEXT(Categorias_Registro[[#This Row],[Mínimo]],Formato_Rango_Categorias)&amp;" - "&amp;TEXT(Categorias_Registro[[#This Row],[Máximo]],Formato_Rango_Categorias)</f>
        <v>232 - 266</v>
      </c>
    </row>
    <row r="2378" spans="2:8">
      <c r="B2378" s="15">
        <f>Techo - ROW() + ROW(Categorias_Registro[])</f>
        <v>251</v>
      </c>
      <c r="C2378" s="15">
        <f>IF(Categorias_Registro[[#This Row],[Puntos]]&lt;=ROUND(Piso,0),Piso,IF(Categorias_Registro[[#This Row],[Puntos]]&lt;D2379,C2379,D2379+1))</f>
        <v>232</v>
      </c>
      <c r="D2378" s="15">
        <f>IF(Categorias_Registro[[#This Row],[Puntos]]=ROUND(Piso,0),ROUND(Categorias_Registro[[#This Row],[Puntos]]*(1+Categorias_Registro[[#This Row],[Amplitud]]),0),IF(Categorias_Registro[[#This Row],[Puntos]]&lt;D2379,D2379,ROUND(D2379*(1+Categorias_Registro[[#This Row],[Amplitud]]),0)))</f>
        <v>266</v>
      </c>
      <c r="E2378" s="15">
        <f>E2379+IF(D2379=Categorias_Registro[[#This Row],[Máximo]],0,1)</f>
        <v>8</v>
      </c>
      <c r="F2378" s="15">
        <f>ROUND(Categorias_Registro[[#This Row],[Mínimo]]+((Categorias_Registro[[#This Row],[Máximo]]-Categorias_Registro[[#This Row],[Mínimo]])/2),0)</f>
        <v>249</v>
      </c>
      <c r="G2378" s="78">
        <f>VLOOKUP(Categorias_Registro[[#This Row],[Puntos]],Categorias_Configuracion[],MATCH(Categorias_Configuracion[[#Headers],[% Amplitud]],Categorias_Configuracion[#Headers],0),TRUE)</f>
        <v>0.15</v>
      </c>
      <c r="H2378" s="15" t="str">
        <f ca="1">TEXT(Categorias_Registro[[#This Row],[Mínimo]],Formato_Rango_Categorias)&amp;" - "&amp;TEXT(Categorias_Registro[[#This Row],[Máximo]],Formato_Rango_Categorias)</f>
        <v>232 - 266</v>
      </c>
    </row>
    <row r="2379" spans="2:8">
      <c r="B2379" s="15">
        <f>Techo - ROW() + ROW(Categorias_Registro[])</f>
        <v>250</v>
      </c>
      <c r="C2379" s="15">
        <f>IF(Categorias_Registro[[#This Row],[Puntos]]&lt;=ROUND(Piso,0),Piso,IF(Categorias_Registro[[#This Row],[Puntos]]&lt;D2380,C2380,D2380+1))</f>
        <v>232</v>
      </c>
      <c r="D2379" s="15">
        <f>IF(Categorias_Registro[[#This Row],[Puntos]]=ROUND(Piso,0),ROUND(Categorias_Registro[[#This Row],[Puntos]]*(1+Categorias_Registro[[#This Row],[Amplitud]]),0),IF(Categorias_Registro[[#This Row],[Puntos]]&lt;D2380,D2380,ROUND(D2380*(1+Categorias_Registro[[#This Row],[Amplitud]]),0)))</f>
        <v>266</v>
      </c>
      <c r="E2379" s="15">
        <f>E2380+IF(D2380=Categorias_Registro[[#This Row],[Máximo]],0,1)</f>
        <v>8</v>
      </c>
      <c r="F2379" s="15">
        <f>ROUND(Categorias_Registro[[#This Row],[Mínimo]]+((Categorias_Registro[[#This Row],[Máximo]]-Categorias_Registro[[#This Row],[Mínimo]])/2),0)</f>
        <v>249</v>
      </c>
      <c r="G2379" s="78">
        <f>VLOOKUP(Categorias_Registro[[#This Row],[Puntos]],Categorias_Configuracion[],MATCH(Categorias_Configuracion[[#Headers],[% Amplitud]],Categorias_Configuracion[#Headers],0),TRUE)</f>
        <v>0.15</v>
      </c>
      <c r="H2379" s="15" t="str">
        <f ca="1">TEXT(Categorias_Registro[[#This Row],[Mínimo]],Formato_Rango_Categorias)&amp;" - "&amp;TEXT(Categorias_Registro[[#This Row],[Máximo]],Formato_Rango_Categorias)</f>
        <v>232 - 266</v>
      </c>
    </row>
    <row r="2380" spans="2:8">
      <c r="B2380" s="15">
        <f>Techo - ROW() + ROW(Categorias_Registro[])</f>
        <v>249</v>
      </c>
      <c r="C2380" s="15">
        <f>IF(Categorias_Registro[[#This Row],[Puntos]]&lt;=ROUND(Piso,0),Piso,IF(Categorias_Registro[[#This Row],[Puntos]]&lt;D2381,C2381,D2381+1))</f>
        <v>232</v>
      </c>
      <c r="D2380" s="15">
        <f>IF(Categorias_Registro[[#This Row],[Puntos]]=ROUND(Piso,0),ROUND(Categorias_Registro[[#This Row],[Puntos]]*(1+Categorias_Registro[[#This Row],[Amplitud]]),0),IF(Categorias_Registro[[#This Row],[Puntos]]&lt;D2381,D2381,ROUND(D2381*(1+Categorias_Registro[[#This Row],[Amplitud]]),0)))</f>
        <v>266</v>
      </c>
      <c r="E2380" s="15">
        <f>E2381+IF(D2381=Categorias_Registro[[#This Row],[Máximo]],0,1)</f>
        <v>8</v>
      </c>
      <c r="F2380" s="15">
        <f>ROUND(Categorias_Registro[[#This Row],[Mínimo]]+((Categorias_Registro[[#This Row],[Máximo]]-Categorias_Registro[[#This Row],[Mínimo]])/2),0)</f>
        <v>249</v>
      </c>
      <c r="G2380" s="78">
        <f>VLOOKUP(Categorias_Registro[[#This Row],[Puntos]],Categorias_Configuracion[],MATCH(Categorias_Configuracion[[#Headers],[% Amplitud]],Categorias_Configuracion[#Headers],0),TRUE)</f>
        <v>0.15</v>
      </c>
      <c r="H2380" s="15" t="str">
        <f ca="1">TEXT(Categorias_Registro[[#This Row],[Mínimo]],Formato_Rango_Categorias)&amp;" - "&amp;TEXT(Categorias_Registro[[#This Row],[Máximo]],Formato_Rango_Categorias)</f>
        <v>232 - 266</v>
      </c>
    </row>
    <row r="2381" spans="2:8">
      <c r="B2381" s="15">
        <f>Techo - ROW() + ROW(Categorias_Registro[])</f>
        <v>248</v>
      </c>
      <c r="C2381" s="15">
        <f>IF(Categorias_Registro[[#This Row],[Puntos]]&lt;=ROUND(Piso,0),Piso,IF(Categorias_Registro[[#This Row],[Puntos]]&lt;D2382,C2382,D2382+1))</f>
        <v>232</v>
      </c>
      <c r="D2381" s="15">
        <f>IF(Categorias_Registro[[#This Row],[Puntos]]=ROUND(Piso,0),ROUND(Categorias_Registro[[#This Row],[Puntos]]*(1+Categorias_Registro[[#This Row],[Amplitud]]),0),IF(Categorias_Registro[[#This Row],[Puntos]]&lt;D2382,D2382,ROUND(D2382*(1+Categorias_Registro[[#This Row],[Amplitud]]),0)))</f>
        <v>266</v>
      </c>
      <c r="E2381" s="15">
        <f>E2382+IF(D2382=Categorias_Registro[[#This Row],[Máximo]],0,1)</f>
        <v>8</v>
      </c>
      <c r="F2381" s="15">
        <f>ROUND(Categorias_Registro[[#This Row],[Mínimo]]+((Categorias_Registro[[#This Row],[Máximo]]-Categorias_Registro[[#This Row],[Mínimo]])/2),0)</f>
        <v>249</v>
      </c>
      <c r="G2381" s="78">
        <f>VLOOKUP(Categorias_Registro[[#This Row],[Puntos]],Categorias_Configuracion[],MATCH(Categorias_Configuracion[[#Headers],[% Amplitud]],Categorias_Configuracion[#Headers],0),TRUE)</f>
        <v>0.15</v>
      </c>
      <c r="H2381" s="15" t="str">
        <f ca="1">TEXT(Categorias_Registro[[#This Row],[Mínimo]],Formato_Rango_Categorias)&amp;" - "&amp;TEXT(Categorias_Registro[[#This Row],[Máximo]],Formato_Rango_Categorias)</f>
        <v>232 - 266</v>
      </c>
    </row>
    <row r="2382" spans="2:8">
      <c r="B2382" s="15">
        <f>Techo - ROW() + ROW(Categorias_Registro[])</f>
        <v>247</v>
      </c>
      <c r="C2382" s="15">
        <f>IF(Categorias_Registro[[#This Row],[Puntos]]&lt;=ROUND(Piso,0),Piso,IF(Categorias_Registro[[#This Row],[Puntos]]&lt;D2383,C2383,D2383+1))</f>
        <v>232</v>
      </c>
      <c r="D2382" s="15">
        <f>IF(Categorias_Registro[[#This Row],[Puntos]]=ROUND(Piso,0),ROUND(Categorias_Registro[[#This Row],[Puntos]]*(1+Categorias_Registro[[#This Row],[Amplitud]]),0),IF(Categorias_Registro[[#This Row],[Puntos]]&lt;D2383,D2383,ROUND(D2383*(1+Categorias_Registro[[#This Row],[Amplitud]]),0)))</f>
        <v>266</v>
      </c>
      <c r="E2382" s="15">
        <f>E2383+IF(D2383=Categorias_Registro[[#This Row],[Máximo]],0,1)</f>
        <v>8</v>
      </c>
      <c r="F2382" s="15">
        <f>ROUND(Categorias_Registro[[#This Row],[Mínimo]]+((Categorias_Registro[[#This Row],[Máximo]]-Categorias_Registro[[#This Row],[Mínimo]])/2),0)</f>
        <v>249</v>
      </c>
      <c r="G2382" s="78">
        <f>VLOOKUP(Categorias_Registro[[#This Row],[Puntos]],Categorias_Configuracion[],MATCH(Categorias_Configuracion[[#Headers],[% Amplitud]],Categorias_Configuracion[#Headers],0),TRUE)</f>
        <v>0.15</v>
      </c>
      <c r="H2382" s="15" t="str">
        <f ca="1">TEXT(Categorias_Registro[[#This Row],[Mínimo]],Formato_Rango_Categorias)&amp;" - "&amp;TEXT(Categorias_Registro[[#This Row],[Máximo]],Formato_Rango_Categorias)</f>
        <v>232 - 266</v>
      </c>
    </row>
    <row r="2383" spans="2:8">
      <c r="B2383" s="15">
        <f>Techo - ROW() + ROW(Categorias_Registro[])</f>
        <v>246</v>
      </c>
      <c r="C2383" s="15">
        <f>IF(Categorias_Registro[[#This Row],[Puntos]]&lt;=ROUND(Piso,0),Piso,IF(Categorias_Registro[[#This Row],[Puntos]]&lt;D2384,C2384,D2384+1))</f>
        <v>232</v>
      </c>
      <c r="D2383" s="15">
        <f>IF(Categorias_Registro[[#This Row],[Puntos]]=ROUND(Piso,0),ROUND(Categorias_Registro[[#This Row],[Puntos]]*(1+Categorias_Registro[[#This Row],[Amplitud]]),0),IF(Categorias_Registro[[#This Row],[Puntos]]&lt;D2384,D2384,ROUND(D2384*(1+Categorias_Registro[[#This Row],[Amplitud]]),0)))</f>
        <v>266</v>
      </c>
      <c r="E2383" s="15">
        <f>E2384+IF(D2384=Categorias_Registro[[#This Row],[Máximo]],0,1)</f>
        <v>8</v>
      </c>
      <c r="F2383" s="15">
        <f>ROUND(Categorias_Registro[[#This Row],[Mínimo]]+((Categorias_Registro[[#This Row],[Máximo]]-Categorias_Registro[[#This Row],[Mínimo]])/2),0)</f>
        <v>249</v>
      </c>
      <c r="G2383" s="78">
        <f>VLOOKUP(Categorias_Registro[[#This Row],[Puntos]],Categorias_Configuracion[],MATCH(Categorias_Configuracion[[#Headers],[% Amplitud]],Categorias_Configuracion[#Headers],0),TRUE)</f>
        <v>0.15</v>
      </c>
      <c r="H2383" s="15" t="str">
        <f ca="1">TEXT(Categorias_Registro[[#This Row],[Mínimo]],Formato_Rango_Categorias)&amp;" - "&amp;TEXT(Categorias_Registro[[#This Row],[Máximo]],Formato_Rango_Categorias)</f>
        <v>232 - 266</v>
      </c>
    </row>
    <row r="2384" spans="2:8">
      <c r="B2384" s="15">
        <f>Techo - ROW() + ROW(Categorias_Registro[])</f>
        <v>245</v>
      </c>
      <c r="C2384" s="15">
        <f>IF(Categorias_Registro[[#This Row],[Puntos]]&lt;=ROUND(Piso,0),Piso,IF(Categorias_Registro[[#This Row],[Puntos]]&lt;D2385,C2385,D2385+1))</f>
        <v>232</v>
      </c>
      <c r="D2384" s="15">
        <f>IF(Categorias_Registro[[#This Row],[Puntos]]=ROUND(Piso,0),ROUND(Categorias_Registro[[#This Row],[Puntos]]*(1+Categorias_Registro[[#This Row],[Amplitud]]),0),IF(Categorias_Registro[[#This Row],[Puntos]]&lt;D2385,D2385,ROUND(D2385*(1+Categorias_Registro[[#This Row],[Amplitud]]),0)))</f>
        <v>266</v>
      </c>
      <c r="E2384" s="15">
        <f>E2385+IF(D2385=Categorias_Registro[[#This Row],[Máximo]],0,1)</f>
        <v>8</v>
      </c>
      <c r="F2384" s="15">
        <f>ROUND(Categorias_Registro[[#This Row],[Mínimo]]+((Categorias_Registro[[#This Row],[Máximo]]-Categorias_Registro[[#This Row],[Mínimo]])/2),0)</f>
        <v>249</v>
      </c>
      <c r="G2384" s="78">
        <f>VLOOKUP(Categorias_Registro[[#This Row],[Puntos]],Categorias_Configuracion[],MATCH(Categorias_Configuracion[[#Headers],[% Amplitud]],Categorias_Configuracion[#Headers],0),TRUE)</f>
        <v>0.15</v>
      </c>
      <c r="H2384" s="15" t="str">
        <f ca="1">TEXT(Categorias_Registro[[#This Row],[Mínimo]],Formato_Rango_Categorias)&amp;" - "&amp;TEXT(Categorias_Registro[[#This Row],[Máximo]],Formato_Rango_Categorias)</f>
        <v>232 - 266</v>
      </c>
    </row>
    <row r="2385" spans="2:8">
      <c r="B2385" s="15">
        <f>Techo - ROW() + ROW(Categorias_Registro[])</f>
        <v>244</v>
      </c>
      <c r="C2385" s="15">
        <f>IF(Categorias_Registro[[#This Row],[Puntos]]&lt;=ROUND(Piso,0),Piso,IF(Categorias_Registro[[#This Row],[Puntos]]&lt;D2386,C2386,D2386+1))</f>
        <v>232</v>
      </c>
      <c r="D2385" s="15">
        <f>IF(Categorias_Registro[[#This Row],[Puntos]]=ROUND(Piso,0),ROUND(Categorias_Registro[[#This Row],[Puntos]]*(1+Categorias_Registro[[#This Row],[Amplitud]]),0),IF(Categorias_Registro[[#This Row],[Puntos]]&lt;D2386,D2386,ROUND(D2386*(1+Categorias_Registro[[#This Row],[Amplitud]]),0)))</f>
        <v>266</v>
      </c>
      <c r="E2385" s="15">
        <f>E2386+IF(D2386=Categorias_Registro[[#This Row],[Máximo]],0,1)</f>
        <v>8</v>
      </c>
      <c r="F2385" s="15">
        <f>ROUND(Categorias_Registro[[#This Row],[Mínimo]]+((Categorias_Registro[[#This Row],[Máximo]]-Categorias_Registro[[#This Row],[Mínimo]])/2),0)</f>
        <v>249</v>
      </c>
      <c r="G2385" s="78">
        <f>VLOOKUP(Categorias_Registro[[#This Row],[Puntos]],Categorias_Configuracion[],MATCH(Categorias_Configuracion[[#Headers],[% Amplitud]],Categorias_Configuracion[#Headers],0),TRUE)</f>
        <v>0.15</v>
      </c>
      <c r="H2385" s="15" t="str">
        <f ca="1">TEXT(Categorias_Registro[[#This Row],[Mínimo]],Formato_Rango_Categorias)&amp;" - "&amp;TEXT(Categorias_Registro[[#This Row],[Máximo]],Formato_Rango_Categorias)</f>
        <v>232 - 266</v>
      </c>
    </row>
    <row r="2386" spans="2:8">
      <c r="B2386" s="15">
        <f>Techo - ROW() + ROW(Categorias_Registro[])</f>
        <v>243</v>
      </c>
      <c r="C2386" s="15">
        <f>IF(Categorias_Registro[[#This Row],[Puntos]]&lt;=ROUND(Piso,0),Piso,IF(Categorias_Registro[[#This Row],[Puntos]]&lt;D2387,C2387,D2387+1))</f>
        <v>232</v>
      </c>
      <c r="D2386" s="15">
        <f>IF(Categorias_Registro[[#This Row],[Puntos]]=ROUND(Piso,0),ROUND(Categorias_Registro[[#This Row],[Puntos]]*(1+Categorias_Registro[[#This Row],[Amplitud]]),0),IF(Categorias_Registro[[#This Row],[Puntos]]&lt;D2387,D2387,ROUND(D2387*(1+Categorias_Registro[[#This Row],[Amplitud]]),0)))</f>
        <v>266</v>
      </c>
      <c r="E2386" s="15">
        <f>E2387+IF(D2387=Categorias_Registro[[#This Row],[Máximo]],0,1)</f>
        <v>8</v>
      </c>
      <c r="F2386" s="15">
        <f>ROUND(Categorias_Registro[[#This Row],[Mínimo]]+((Categorias_Registro[[#This Row],[Máximo]]-Categorias_Registro[[#This Row],[Mínimo]])/2),0)</f>
        <v>249</v>
      </c>
      <c r="G2386" s="78">
        <f>VLOOKUP(Categorias_Registro[[#This Row],[Puntos]],Categorias_Configuracion[],MATCH(Categorias_Configuracion[[#Headers],[% Amplitud]],Categorias_Configuracion[#Headers],0),TRUE)</f>
        <v>0.15</v>
      </c>
      <c r="H2386" s="15" t="str">
        <f ca="1">TEXT(Categorias_Registro[[#This Row],[Mínimo]],Formato_Rango_Categorias)&amp;" - "&amp;TEXT(Categorias_Registro[[#This Row],[Máximo]],Formato_Rango_Categorias)</f>
        <v>232 - 266</v>
      </c>
    </row>
    <row r="2387" spans="2:8">
      <c r="B2387" s="15">
        <f>Techo - ROW() + ROW(Categorias_Registro[])</f>
        <v>242</v>
      </c>
      <c r="C2387" s="15">
        <f>IF(Categorias_Registro[[#This Row],[Puntos]]&lt;=ROUND(Piso,0),Piso,IF(Categorias_Registro[[#This Row],[Puntos]]&lt;D2388,C2388,D2388+1))</f>
        <v>232</v>
      </c>
      <c r="D2387" s="15">
        <f>IF(Categorias_Registro[[#This Row],[Puntos]]=ROUND(Piso,0),ROUND(Categorias_Registro[[#This Row],[Puntos]]*(1+Categorias_Registro[[#This Row],[Amplitud]]),0),IF(Categorias_Registro[[#This Row],[Puntos]]&lt;D2388,D2388,ROUND(D2388*(1+Categorias_Registro[[#This Row],[Amplitud]]),0)))</f>
        <v>266</v>
      </c>
      <c r="E2387" s="15">
        <f>E2388+IF(D2388=Categorias_Registro[[#This Row],[Máximo]],0,1)</f>
        <v>8</v>
      </c>
      <c r="F2387" s="15">
        <f>ROUND(Categorias_Registro[[#This Row],[Mínimo]]+((Categorias_Registro[[#This Row],[Máximo]]-Categorias_Registro[[#This Row],[Mínimo]])/2),0)</f>
        <v>249</v>
      </c>
      <c r="G2387" s="78">
        <f>VLOOKUP(Categorias_Registro[[#This Row],[Puntos]],Categorias_Configuracion[],MATCH(Categorias_Configuracion[[#Headers],[% Amplitud]],Categorias_Configuracion[#Headers],0),TRUE)</f>
        <v>0.15</v>
      </c>
      <c r="H2387" s="15" t="str">
        <f ca="1">TEXT(Categorias_Registro[[#This Row],[Mínimo]],Formato_Rango_Categorias)&amp;" - "&amp;TEXT(Categorias_Registro[[#This Row],[Máximo]],Formato_Rango_Categorias)</f>
        <v>232 - 266</v>
      </c>
    </row>
    <row r="2388" spans="2:8">
      <c r="B2388" s="15">
        <f>Techo - ROW() + ROW(Categorias_Registro[])</f>
        <v>241</v>
      </c>
      <c r="C2388" s="15">
        <f>IF(Categorias_Registro[[#This Row],[Puntos]]&lt;=ROUND(Piso,0),Piso,IF(Categorias_Registro[[#This Row],[Puntos]]&lt;D2389,C2389,D2389+1))</f>
        <v>232</v>
      </c>
      <c r="D2388" s="15">
        <f>IF(Categorias_Registro[[#This Row],[Puntos]]=ROUND(Piso,0),ROUND(Categorias_Registro[[#This Row],[Puntos]]*(1+Categorias_Registro[[#This Row],[Amplitud]]),0),IF(Categorias_Registro[[#This Row],[Puntos]]&lt;D2389,D2389,ROUND(D2389*(1+Categorias_Registro[[#This Row],[Amplitud]]),0)))</f>
        <v>266</v>
      </c>
      <c r="E2388" s="15">
        <f>E2389+IF(D2389=Categorias_Registro[[#This Row],[Máximo]],0,1)</f>
        <v>8</v>
      </c>
      <c r="F2388" s="15">
        <f>ROUND(Categorias_Registro[[#This Row],[Mínimo]]+((Categorias_Registro[[#This Row],[Máximo]]-Categorias_Registro[[#This Row],[Mínimo]])/2),0)</f>
        <v>249</v>
      </c>
      <c r="G2388" s="78">
        <f>VLOOKUP(Categorias_Registro[[#This Row],[Puntos]],Categorias_Configuracion[],MATCH(Categorias_Configuracion[[#Headers],[% Amplitud]],Categorias_Configuracion[#Headers],0),TRUE)</f>
        <v>0.15</v>
      </c>
      <c r="H2388" s="15" t="str">
        <f ca="1">TEXT(Categorias_Registro[[#This Row],[Mínimo]],Formato_Rango_Categorias)&amp;" - "&amp;TEXT(Categorias_Registro[[#This Row],[Máximo]],Formato_Rango_Categorias)</f>
        <v>232 - 266</v>
      </c>
    </row>
    <row r="2389" spans="2:8">
      <c r="B2389" s="15">
        <f>Techo - ROW() + ROW(Categorias_Registro[])</f>
        <v>240</v>
      </c>
      <c r="C2389" s="15">
        <f>IF(Categorias_Registro[[#This Row],[Puntos]]&lt;=ROUND(Piso,0),Piso,IF(Categorias_Registro[[#This Row],[Puntos]]&lt;D2390,C2390,D2390+1))</f>
        <v>232</v>
      </c>
      <c r="D2389" s="15">
        <f>IF(Categorias_Registro[[#This Row],[Puntos]]=ROUND(Piso,0),ROUND(Categorias_Registro[[#This Row],[Puntos]]*(1+Categorias_Registro[[#This Row],[Amplitud]]),0),IF(Categorias_Registro[[#This Row],[Puntos]]&lt;D2390,D2390,ROUND(D2390*(1+Categorias_Registro[[#This Row],[Amplitud]]),0)))</f>
        <v>266</v>
      </c>
      <c r="E2389" s="15">
        <f>E2390+IF(D2390=Categorias_Registro[[#This Row],[Máximo]],0,1)</f>
        <v>8</v>
      </c>
      <c r="F2389" s="15">
        <f>ROUND(Categorias_Registro[[#This Row],[Mínimo]]+((Categorias_Registro[[#This Row],[Máximo]]-Categorias_Registro[[#This Row],[Mínimo]])/2),0)</f>
        <v>249</v>
      </c>
      <c r="G2389" s="78">
        <f>VLOOKUP(Categorias_Registro[[#This Row],[Puntos]],Categorias_Configuracion[],MATCH(Categorias_Configuracion[[#Headers],[% Amplitud]],Categorias_Configuracion[#Headers],0),TRUE)</f>
        <v>0.15</v>
      </c>
      <c r="H2389" s="15" t="str">
        <f ca="1">TEXT(Categorias_Registro[[#This Row],[Mínimo]],Formato_Rango_Categorias)&amp;" - "&amp;TEXT(Categorias_Registro[[#This Row],[Máximo]],Formato_Rango_Categorias)</f>
        <v>232 - 266</v>
      </c>
    </row>
    <row r="2390" spans="2:8">
      <c r="B2390" s="15">
        <f>Techo - ROW() + ROW(Categorias_Registro[])</f>
        <v>239</v>
      </c>
      <c r="C2390" s="15">
        <f>IF(Categorias_Registro[[#This Row],[Puntos]]&lt;=ROUND(Piso,0),Piso,IF(Categorias_Registro[[#This Row],[Puntos]]&lt;D2391,C2391,D2391+1))</f>
        <v>232</v>
      </c>
      <c r="D2390" s="15">
        <f>IF(Categorias_Registro[[#This Row],[Puntos]]=ROUND(Piso,0),ROUND(Categorias_Registro[[#This Row],[Puntos]]*(1+Categorias_Registro[[#This Row],[Amplitud]]),0),IF(Categorias_Registro[[#This Row],[Puntos]]&lt;D2391,D2391,ROUND(D2391*(1+Categorias_Registro[[#This Row],[Amplitud]]),0)))</f>
        <v>266</v>
      </c>
      <c r="E2390" s="15">
        <f>E2391+IF(D2391=Categorias_Registro[[#This Row],[Máximo]],0,1)</f>
        <v>8</v>
      </c>
      <c r="F2390" s="15">
        <f>ROUND(Categorias_Registro[[#This Row],[Mínimo]]+((Categorias_Registro[[#This Row],[Máximo]]-Categorias_Registro[[#This Row],[Mínimo]])/2),0)</f>
        <v>249</v>
      </c>
      <c r="G2390" s="78">
        <f>VLOOKUP(Categorias_Registro[[#This Row],[Puntos]],Categorias_Configuracion[],MATCH(Categorias_Configuracion[[#Headers],[% Amplitud]],Categorias_Configuracion[#Headers],0),TRUE)</f>
        <v>0.15</v>
      </c>
      <c r="H2390" s="15" t="str">
        <f ca="1">TEXT(Categorias_Registro[[#This Row],[Mínimo]],Formato_Rango_Categorias)&amp;" - "&amp;TEXT(Categorias_Registro[[#This Row],[Máximo]],Formato_Rango_Categorias)</f>
        <v>232 - 266</v>
      </c>
    </row>
    <row r="2391" spans="2:8">
      <c r="B2391" s="15">
        <f>Techo - ROW() + ROW(Categorias_Registro[])</f>
        <v>238</v>
      </c>
      <c r="C2391" s="15">
        <f>IF(Categorias_Registro[[#This Row],[Puntos]]&lt;=ROUND(Piso,0),Piso,IF(Categorias_Registro[[#This Row],[Puntos]]&lt;D2392,C2392,D2392+1))</f>
        <v>232</v>
      </c>
      <c r="D2391" s="15">
        <f>IF(Categorias_Registro[[#This Row],[Puntos]]=ROUND(Piso,0),ROUND(Categorias_Registro[[#This Row],[Puntos]]*(1+Categorias_Registro[[#This Row],[Amplitud]]),0),IF(Categorias_Registro[[#This Row],[Puntos]]&lt;D2392,D2392,ROUND(D2392*(1+Categorias_Registro[[#This Row],[Amplitud]]),0)))</f>
        <v>266</v>
      </c>
      <c r="E2391" s="15">
        <f>E2392+IF(D2392=Categorias_Registro[[#This Row],[Máximo]],0,1)</f>
        <v>8</v>
      </c>
      <c r="F2391" s="15">
        <f>ROUND(Categorias_Registro[[#This Row],[Mínimo]]+((Categorias_Registro[[#This Row],[Máximo]]-Categorias_Registro[[#This Row],[Mínimo]])/2),0)</f>
        <v>249</v>
      </c>
      <c r="G2391" s="78">
        <f>VLOOKUP(Categorias_Registro[[#This Row],[Puntos]],Categorias_Configuracion[],MATCH(Categorias_Configuracion[[#Headers],[% Amplitud]],Categorias_Configuracion[#Headers],0),TRUE)</f>
        <v>0.15</v>
      </c>
      <c r="H2391" s="15" t="str">
        <f ca="1">TEXT(Categorias_Registro[[#This Row],[Mínimo]],Formato_Rango_Categorias)&amp;" - "&amp;TEXT(Categorias_Registro[[#This Row],[Máximo]],Formato_Rango_Categorias)</f>
        <v>232 - 266</v>
      </c>
    </row>
    <row r="2392" spans="2:8">
      <c r="B2392" s="15">
        <f>Techo - ROW() + ROW(Categorias_Registro[])</f>
        <v>237</v>
      </c>
      <c r="C2392" s="15">
        <f>IF(Categorias_Registro[[#This Row],[Puntos]]&lt;=ROUND(Piso,0),Piso,IF(Categorias_Registro[[#This Row],[Puntos]]&lt;D2393,C2393,D2393+1))</f>
        <v>232</v>
      </c>
      <c r="D2392" s="15">
        <f>IF(Categorias_Registro[[#This Row],[Puntos]]=ROUND(Piso,0),ROUND(Categorias_Registro[[#This Row],[Puntos]]*(1+Categorias_Registro[[#This Row],[Amplitud]]),0),IF(Categorias_Registro[[#This Row],[Puntos]]&lt;D2393,D2393,ROUND(D2393*(1+Categorias_Registro[[#This Row],[Amplitud]]),0)))</f>
        <v>266</v>
      </c>
      <c r="E2392" s="15">
        <f>E2393+IF(D2393=Categorias_Registro[[#This Row],[Máximo]],0,1)</f>
        <v>8</v>
      </c>
      <c r="F2392" s="15">
        <f>ROUND(Categorias_Registro[[#This Row],[Mínimo]]+((Categorias_Registro[[#This Row],[Máximo]]-Categorias_Registro[[#This Row],[Mínimo]])/2),0)</f>
        <v>249</v>
      </c>
      <c r="G2392" s="78">
        <f>VLOOKUP(Categorias_Registro[[#This Row],[Puntos]],Categorias_Configuracion[],MATCH(Categorias_Configuracion[[#Headers],[% Amplitud]],Categorias_Configuracion[#Headers],0),TRUE)</f>
        <v>0.15</v>
      </c>
      <c r="H2392" s="15" t="str">
        <f ca="1">TEXT(Categorias_Registro[[#This Row],[Mínimo]],Formato_Rango_Categorias)&amp;" - "&amp;TEXT(Categorias_Registro[[#This Row],[Máximo]],Formato_Rango_Categorias)</f>
        <v>232 - 266</v>
      </c>
    </row>
    <row r="2393" spans="2:8">
      <c r="B2393" s="15">
        <f>Techo - ROW() + ROW(Categorias_Registro[])</f>
        <v>236</v>
      </c>
      <c r="C2393" s="15">
        <f>IF(Categorias_Registro[[#This Row],[Puntos]]&lt;=ROUND(Piso,0),Piso,IF(Categorias_Registro[[#This Row],[Puntos]]&lt;D2394,C2394,D2394+1))</f>
        <v>232</v>
      </c>
      <c r="D2393" s="15">
        <f>IF(Categorias_Registro[[#This Row],[Puntos]]=ROUND(Piso,0),ROUND(Categorias_Registro[[#This Row],[Puntos]]*(1+Categorias_Registro[[#This Row],[Amplitud]]),0),IF(Categorias_Registro[[#This Row],[Puntos]]&lt;D2394,D2394,ROUND(D2394*(1+Categorias_Registro[[#This Row],[Amplitud]]),0)))</f>
        <v>266</v>
      </c>
      <c r="E2393" s="15">
        <f>E2394+IF(D2394=Categorias_Registro[[#This Row],[Máximo]],0,1)</f>
        <v>8</v>
      </c>
      <c r="F2393" s="15">
        <f>ROUND(Categorias_Registro[[#This Row],[Mínimo]]+((Categorias_Registro[[#This Row],[Máximo]]-Categorias_Registro[[#This Row],[Mínimo]])/2),0)</f>
        <v>249</v>
      </c>
      <c r="G2393" s="78">
        <f>VLOOKUP(Categorias_Registro[[#This Row],[Puntos]],Categorias_Configuracion[],MATCH(Categorias_Configuracion[[#Headers],[% Amplitud]],Categorias_Configuracion[#Headers],0),TRUE)</f>
        <v>0.15</v>
      </c>
      <c r="H2393" s="15" t="str">
        <f ca="1">TEXT(Categorias_Registro[[#This Row],[Mínimo]],Formato_Rango_Categorias)&amp;" - "&amp;TEXT(Categorias_Registro[[#This Row],[Máximo]],Formato_Rango_Categorias)</f>
        <v>232 - 266</v>
      </c>
    </row>
    <row r="2394" spans="2:8">
      <c r="B2394" s="15">
        <f>Techo - ROW() + ROW(Categorias_Registro[])</f>
        <v>235</v>
      </c>
      <c r="C2394" s="15">
        <f>IF(Categorias_Registro[[#This Row],[Puntos]]&lt;=ROUND(Piso,0),Piso,IF(Categorias_Registro[[#This Row],[Puntos]]&lt;D2395,C2395,D2395+1))</f>
        <v>232</v>
      </c>
      <c r="D2394" s="15">
        <f>IF(Categorias_Registro[[#This Row],[Puntos]]=ROUND(Piso,0),ROUND(Categorias_Registro[[#This Row],[Puntos]]*(1+Categorias_Registro[[#This Row],[Amplitud]]),0),IF(Categorias_Registro[[#This Row],[Puntos]]&lt;D2395,D2395,ROUND(D2395*(1+Categorias_Registro[[#This Row],[Amplitud]]),0)))</f>
        <v>266</v>
      </c>
      <c r="E2394" s="15">
        <f>E2395+IF(D2395=Categorias_Registro[[#This Row],[Máximo]],0,1)</f>
        <v>8</v>
      </c>
      <c r="F2394" s="15">
        <f>ROUND(Categorias_Registro[[#This Row],[Mínimo]]+((Categorias_Registro[[#This Row],[Máximo]]-Categorias_Registro[[#This Row],[Mínimo]])/2),0)</f>
        <v>249</v>
      </c>
      <c r="G2394" s="78">
        <f>VLOOKUP(Categorias_Registro[[#This Row],[Puntos]],Categorias_Configuracion[],MATCH(Categorias_Configuracion[[#Headers],[% Amplitud]],Categorias_Configuracion[#Headers],0),TRUE)</f>
        <v>0.15</v>
      </c>
      <c r="H2394" s="15" t="str">
        <f ca="1">TEXT(Categorias_Registro[[#This Row],[Mínimo]],Formato_Rango_Categorias)&amp;" - "&amp;TEXT(Categorias_Registro[[#This Row],[Máximo]],Formato_Rango_Categorias)</f>
        <v>232 - 266</v>
      </c>
    </row>
    <row r="2395" spans="2:8">
      <c r="B2395" s="15">
        <f>Techo - ROW() + ROW(Categorias_Registro[])</f>
        <v>234</v>
      </c>
      <c r="C2395" s="15">
        <f>IF(Categorias_Registro[[#This Row],[Puntos]]&lt;=ROUND(Piso,0),Piso,IF(Categorias_Registro[[#This Row],[Puntos]]&lt;D2396,C2396,D2396+1))</f>
        <v>232</v>
      </c>
      <c r="D2395" s="15">
        <f>IF(Categorias_Registro[[#This Row],[Puntos]]=ROUND(Piso,0),ROUND(Categorias_Registro[[#This Row],[Puntos]]*(1+Categorias_Registro[[#This Row],[Amplitud]]),0),IF(Categorias_Registro[[#This Row],[Puntos]]&lt;D2396,D2396,ROUND(D2396*(1+Categorias_Registro[[#This Row],[Amplitud]]),0)))</f>
        <v>266</v>
      </c>
      <c r="E2395" s="15">
        <f>E2396+IF(D2396=Categorias_Registro[[#This Row],[Máximo]],0,1)</f>
        <v>8</v>
      </c>
      <c r="F2395" s="15">
        <f>ROUND(Categorias_Registro[[#This Row],[Mínimo]]+((Categorias_Registro[[#This Row],[Máximo]]-Categorias_Registro[[#This Row],[Mínimo]])/2),0)</f>
        <v>249</v>
      </c>
      <c r="G2395" s="78">
        <f>VLOOKUP(Categorias_Registro[[#This Row],[Puntos]],Categorias_Configuracion[],MATCH(Categorias_Configuracion[[#Headers],[% Amplitud]],Categorias_Configuracion[#Headers],0),TRUE)</f>
        <v>0.15</v>
      </c>
      <c r="H2395" s="15" t="str">
        <f ca="1">TEXT(Categorias_Registro[[#This Row],[Mínimo]],Formato_Rango_Categorias)&amp;" - "&amp;TEXT(Categorias_Registro[[#This Row],[Máximo]],Formato_Rango_Categorias)</f>
        <v>232 - 266</v>
      </c>
    </row>
    <row r="2396" spans="2:8">
      <c r="B2396" s="15">
        <f>Techo - ROW() + ROW(Categorias_Registro[])</f>
        <v>233</v>
      </c>
      <c r="C2396" s="15">
        <f>IF(Categorias_Registro[[#This Row],[Puntos]]&lt;=ROUND(Piso,0),Piso,IF(Categorias_Registro[[#This Row],[Puntos]]&lt;D2397,C2397,D2397+1))</f>
        <v>232</v>
      </c>
      <c r="D2396" s="15">
        <f>IF(Categorias_Registro[[#This Row],[Puntos]]=ROUND(Piso,0),ROUND(Categorias_Registro[[#This Row],[Puntos]]*(1+Categorias_Registro[[#This Row],[Amplitud]]),0),IF(Categorias_Registro[[#This Row],[Puntos]]&lt;D2397,D2397,ROUND(D2397*(1+Categorias_Registro[[#This Row],[Amplitud]]),0)))</f>
        <v>266</v>
      </c>
      <c r="E2396" s="15">
        <f>E2397+IF(D2397=Categorias_Registro[[#This Row],[Máximo]],0,1)</f>
        <v>8</v>
      </c>
      <c r="F2396" s="15">
        <f>ROUND(Categorias_Registro[[#This Row],[Mínimo]]+((Categorias_Registro[[#This Row],[Máximo]]-Categorias_Registro[[#This Row],[Mínimo]])/2),0)</f>
        <v>249</v>
      </c>
      <c r="G2396" s="78">
        <f>VLOOKUP(Categorias_Registro[[#This Row],[Puntos]],Categorias_Configuracion[],MATCH(Categorias_Configuracion[[#Headers],[% Amplitud]],Categorias_Configuracion[#Headers],0),TRUE)</f>
        <v>0.15</v>
      </c>
      <c r="H2396" s="15" t="str">
        <f ca="1">TEXT(Categorias_Registro[[#This Row],[Mínimo]],Formato_Rango_Categorias)&amp;" - "&amp;TEXT(Categorias_Registro[[#This Row],[Máximo]],Formato_Rango_Categorias)</f>
        <v>232 - 266</v>
      </c>
    </row>
    <row r="2397" spans="2:8">
      <c r="B2397" s="15">
        <f>Techo - ROW() + ROW(Categorias_Registro[])</f>
        <v>232</v>
      </c>
      <c r="C2397" s="15">
        <f>IF(Categorias_Registro[[#This Row],[Puntos]]&lt;=ROUND(Piso,0),Piso,IF(Categorias_Registro[[#This Row],[Puntos]]&lt;D2398,C2398,D2398+1))</f>
        <v>232</v>
      </c>
      <c r="D2397" s="15">
        <f>IF(Categorias_Registro[[#This Row],[Puntos]]=ROUND(Piso,0),ROUND(Categorias_Registro[[#This Row],[Puntos]]*(1+Categorias_Registro[[#This Row],[Amplitud]]),0),IF(Categorias_Registro[[#This Row],[Puntos]]&lt;D2398,D2398,ROUND(D2398*(1+Categorias_Registro[[#This Row],[Amplitud]]),0)))</f>
        <v>266</v>
      </c>
      <c r="E2397" s="15">
        <f>E2398+IF(D2398=Categorias_Registro[[#This Row],[Máximo]],0,1)</f>
        <v>8</v>
      </c>
      <c r="F2397" s="15">
        <f>ROUND(Categorias_Registro[[#This Row],[Mínimo]]+((Categorias_Registro[[#This Row],[Máximo]]-Categorias_Registro[[#This Row],[Mínimo]])/2),0)</f>
        <v>249</v>
      </c>
      <c r="G2397" s="78">
        <f>VLOOKUP(Categorias_Registro[[#This Row],[Puntos]],Categorias_Configuracion[],MATCH(Categorias_Configuracion[[#Headers],[% Amplitud]],Categorias_Configuracion[#Headers],0),TRUE)</f>
        <v>0.15</v>
      </c>
      <c r="H2397" s="15" t="str">
        <f ca="1">TEXT(Categorias_Registro[[#This Row],[Mínimo]],Formato_Rango_Categorias)&amp;" - "&amp;TEXT(Categorias_Registro[[#This Row],[Máximo]],Formato_Rango_Categorias)</f>
        <v>232 - 266</v>
      </c>
    </row>
    <row r="2398" spans="2:8">
      <c r="B2398" s="15">
        <f>Techo - ROW() + ROW(Categorias_Registro[])</f>
        <v>231</v>
      </c>
      <c r="C2398" s="15">
        <f>IF(Categorias_Registro[[#This Row],[Puntos]]&lt;=ROUND(Piso,0),Piso,IF(Categorias_Registro[[#This Row],[Puntos]]&lt;D2399,C2399,D2399+1))</f>
        <v>232</v>
      </c>
      <c r="D2398" s="15">
        <f>IF(Categorias_Registro[[#This Row],[Puntos]]=ROUND(Piso,0),ROUND(Categorias_Registro[[#This Row],[Puntos]]*(1+Categorias_Registro[[#This Row],[Amplitud]]),0),IF(Categorias_Registro[[#This Row],[Puntos]]&lt;D2399,D2399,ROUND(D2399*(1+Categorias_Registro[[#This Row],[Amplitud]]),0)))</f>
        <v>266</v>
      </c>
      <c r="E2398" s="15">
        <f>E2399+IF(D2399=Categorias_Registro[[#This Row],[Máximo]],0,1)</f>
        <v>8</v>
      </c>
      <c r="F2398" s="15">
        <f>ROUND(Categorias_Registro[[#This Row],[Mínimo]]+((Categorias_Registro[[#This Row],[Máximo]]-Categorias_Registro[[#This Row],[Mínimo]])/2),0)</f>
        <v>249</v>
      </c>
      <c r="G2398" s="78">
        <f>VLOOKUP(Categorias_Registro[[#This Row],[Puntos]],Categorias_Configuracion[],MATCH(Categorias_Configuracion[[#Headers],[% Amplitud]],Categorias_Configuracion[#Headers],0),TRUE)</f>
        <v>0.15</v>
      </c>
      <c r="H2398" s="15" t="str">
        <f ca="1">TEXT(Categorias_Registro[[#This Row],[Mínimo]],Formato_Rango_Categorias)&amp;" - "&amp;TEXT(Categorias_Registro[[#This Row],[Máximo]],Formato_Rango_Categorias)</f>
        <v>232 - 266</v>
      </c>
    </row>
    <row r="2399" spans="2:8">
      <c r="B2399" s="15">
        <f>Techo - ROW() + ROW(Categorias_Registro[])</f>
        <v>230</v>
      </c>
      <c r="C2399" s="15">
        <f>IF(Categorias_Registro[[#This Row],[Puntos]]&lt;=ROUND(Piso,0),Piso,IF(Categorias_Registro[[#This Row],[Puntos]]&lt;D2400,C2400,D2400+1))</f>
        <v>202</v>
      </c>
      <c r="D2399" s="15">
        <f>IF(Categorias_Registro[[#This Row],[Puntos]]=ROUND(Piso,0),ROUND(Categorias_Registro[[#This Row],[Puntos]]*(1+Categorias_Registro[[#This Row],[Amplitud]]),0),IF(Categorias_Registro[[#This Row],[Puntos]]&lt;D2400,D2400,ROUND(D2400*(1+Categorias_Registro[[#This Row],[Amplitud]]),0)))</f>
        <v>231</v>
      </c>
      <c r="E2399" s="15">
        <f>E2400+IF(D2400=Categorias_Registro[[#This Row],[Máximo]],0,1)</f>
        <v>7</v>
      </c>
      <c r="F2399" s="15">
        <f>ROUND(Categorias_Registro[[#This Row],[Mínimo]]+((Categorias_Registro[[#This Row],[Máximo]]-Categorias_Registro[[#This Row],[Mínimo]])/2),0)</f>
        <v>217</v>
      </c>
      <c r="G2399" s="78">
        <f>VLOOKUP(Categorias_Registro[[#This Row],[Puntos]],Categorias_Configuracion[],MATCH(Categorias_Configuracion[[#Headers],[% Amplitud]],Categorias_Configuracion[#Headers],0),TRUE)</f>
        <v>0.15</v>
      </c>
      <c r="H2399" s="15" t="str">
        <f ca="1">TEXT(Categorias_Registro[[#This Row],[Mínimo]],Formato_Rango_Categorias)&amp;" - "&amp;TEXT(Categorias_Registro[[#This Row],[Máximo]],Formato_Rango_Categorias)</f>
        <v>202 - 231</v>
      </c>
    </row>
    <row r="2400" spans="2:8">
      <c r="B2400" s="15">
        <f>Techo - ROW() + ROW(Categorias_Registro[])</f>
        <v>229</v>
      </c>
      <c r="C2400" s="15">
        <f>IF(Categorias_Registro[[#This Row],[Puntos]]&lt;=ROUND(Piso,0),Piso,IF(Categorias_Registro[[#This Row],[Puntos]]&lt;D2401,C2401,D2401+1))</f>
        <v>202</v>
      </c>
      <c r="D2400" s="15">
        <f>IF(Categorias_Registro[[#This Row],[Puntos]]=ROUND(Piso,0),ROUND(Categorias_Registro[[#This Row],[Puntos]]*(1+Categorias_Registro[[#This Row],[Amplitud]]),0),IF(Categorias_Registro[[#This Row],[Puntos]]&lt;D2401,D2401,ROUND(D2401*(1+Categorias_Registro[[#This Row],[Amplitud]]),0)))</f>
        <v>231</v>
      </c>
      <c r="E2400" s="15">
        <f>E2401+IF(D2401=Categorias_Registro[[#This Row],[Máximo]],0,1)</f>
        <v>7</v>
      </c>
      <c r="F2400" s="15">
        <f>ROUND(Categorias_Registro[[#This Row],[Mínimo]]+((Categorias_Registro[[#This Row],[Máximo]]-Categorias_Registro[[#This Row],[Mínimo]])/2),0)</f>
        <v>217</v>
      </c>
      <c r="G2400" s="78">
        <f>VLOOKUP(Categorias_Registro[[#This Row],[Puntos]],Categorias_Configuracion[],MATCH(Categorias_Configuracion[[#Headers],[% Amplitud]],Categorias_Configuracion[#Headers],0),TRUE)</f>
        <v>0.15</v>
      </c>
      <c r="H2400" s="15" t="str">
        <f ca="1">TEXT(Categorias_Registro[[#This Row],[Mínimo]],Formato_Rango_Categorias)&amp;" - "&amp;TEXT(Categorias_Registro[[#This Row],[Máximo]],Formato_Rango_Categorias)</f>
        <v>202 - 231</v>
      </c>
    </row>
    <row r="2401" spans="2:8">
      <c r="B2401" s="15">
        <f>Techo - ROW() + ROW(Categorias_Registro[])</f>
        <v>228</v>
      </c>
      <c r="C2401" s="15">
        <f>IF(Categorias_Registro[[#This Row],[Puntos]]&lt;=ROUND(Piso,0),Piso,IF(Categorias_Registro[[#This Row],[Puntos]]&lt;D2402,C2402,D2402+1))</f>
        <v>202</v>
      </c>
      <c r="D2401" s="15">
        <f>IF(Categorias_Registro[[#This Row],[Puntos]]=ROUND(Piso,0),ROUND(Categorias_Registro[[#This Row],[Puntos]]*(1+Categorias_Registro[[#This Row],[Amplitud]]),0),IF(Categorias_Registro[[#This Row],[Puntos]]&lt;D2402,D2402,ROUND(D2402*(1+Categorias_Registro[[#This Row],[Amplitud]]),0)))</f>
        <v>231</v>
      </c>
      <c r="E2401" s="15">
        <f>E2402+IF(D2402=Categorias_Registro[[#This Row],[Máximo]],0,1)</f>
        <v>7</v>
      </c>
      <c r="F2401" s="15">
        <f>ROUND(Categorias_Registro[[#This Row],[Mínimo]]+((Categorias_Registro[[#This Row],[Máximo]]-Categorias_Registro[[#This Row],[Mínimo]])/2),0)</f>
        <v>217</v>
      </c>
      <c r="G2401" s="78">
        <f>VLOOKUP(Categorias_Registro[[#This Row],[Puntos]],Categorias_Configuracion[],MATCH(Categorias_Configuracion[[#Headers],[% Amplitud]],Categorias_Configuracion[#Headers],0),TRUE)</f>
        <v>0.15</v>
      </c>
      <c r="H2401" s="15" t="str">
        <f ca="1">TEXT(Categorias_Registro[[#This Row],[Mínimo]],Formato_Rango_Categorias)&amp;" - "&amp;TEXT(Categorias_Registro[[#This Row],[Máximo]],Formato_Rango_Categorias)</f>
        <v>202 - 231</v>
      </c>
    </row>
    <row r="2402" spans="2:8">
      <c r="B2402" s="15">
        <f>Techo - ROW() + ROW(Categorias_Registro[])</f>
        <v>227</v>
      </c>
      <c r="C2402" s="15">
        <f>IF(Categorias_Registro[[#This Row],[Puntos]]&lt;=ROUND(Piso,0),Piso,IF(Categorias_Registro[[#This Row],[Puntos]]&lt;D2403,C2403,D2403+1))</f>
        <v>202</v>
      </c>
      <c r="D2402" s="15">
        <f>IF(Categorias_Registro[[#This Row],[Puntos]]=ROUND(Piso,0),ROUND(Categorias_Registro[[#This Row],[Puntos]]*(1+Categorias_Registro[[#This Row],[Amplitud]]),0),IF(Categorias_Registro[[#This Row],[Puntos]]&lt;D2403,D2403,ROUND(D2403*(1+Categorias_Registro[[#This Row],[Amplitud]]),0)))</f>
        <v>231</v>
      </c>
      <c r="E2402" s="15">
        <f>E2403+IF(D2403=Categorias_Registro[[#This Row],[Máximo]],0,1)</f>
        <v>7</v>
      </c>
      <c r="F2402" s="15">
        <f>ROUND(Categorias_Registro[[#This Row],[Mínimo]]+((Categorias_Registro[[#This Row],[Máximo]]-Categorias_Registro[[#This Row],[Mínimo]])/2),0)</f>
        <v>217</v>
      </c>
      <c r="G2402" s="78">
        <f>VLOOKUP(Categorias_Registro[[#This Row],[Puntos]],Categorias_Configuracion[],MATCH(Categorias_Configuracion[[#Headers],[% Amplitud]],Categorias_Configuracion[#Headers],0),TRUE)</f>
        <v>0.15</v>
      </c>
      <c r="H2402" s="15" t="str">
        <f ca="1">TEXT(Categorias_Registro[[#This Row],[Mínimo]],Formato_Rango_Categorias)&amp;" - "&amp;TEXT(Categorias_Registro[[#This Row],[Máximo]],Formato_Rango_Categorias)</f>
        <v>202 - 231</v>
      </c>
    </row>
    <row r="2403" spans="2:8">
      <c r="B2403" s="15">
        <f>Techo - ROW() + ROW(Categorias_Registro[])</f>
        <v>226</v>
      </c>
      <c r="C2403" s="15">
        <f>IF(Categorias_Registro[[#This Row],[Puntos]]&lt;=ROUND(Piso,0),Piso,IF(Categorias_Registro[[#This Row],[Puntos]]&lt;D2404,C2404,D2404+1))</f>
        <v>202</v>
      </c>
      <c r="D2403" s="15">
        <f>IF(Categorias_Registro[[#This Row],[Puntos]]=ROUND(Piso,0),ROUND(Categorias_Registro[[#This Row],[Puntos]]*(1+Categorias_Registro[[#This Row],[Amplitud]]),0),IF(Categorias_Registro[[#This Row],[Puntos]]&lt;D2404,D2404,ROUND(D2404*(1+Categorias_Registro[[#This Row],[Amplitud]]),0)))</f>
        <v>231</v>
      </c>
      <c r="E2403" s="15">
        <f>E2404+IF(D2404=Categorias_Registro[[#This Row],[Máximo]],0,1)</f>
        <v>7</v>
      </c>
      <c r="F2403" s="15">
        <f>ROUND(Categorias_Registro[[#This Row],[Mínimo]]+((Categorias_Registro[[#This Row],[Máximo]]-Categorias_Registro[[#This Row],[Mínimo]])/2),0)</f>
        <v>217</v>
      </c>
      <c r="G2403" s="78">
        <f>VLOOKUP(Categorias_Registro[[#This Row],[Puntos]],Categorias_Configuracion[],MATCH(Categorias_Configuracion[[#Headers],[% Amplitud]],Categorias_Configuracion[#Headers],0),TRUE)</f>
        <v>0.15</v>
      </c>
      <c r="H2403" s="15" t="str">
        <f ca="1">TEXT(Categorias_Registro[[#This Row],[Mínimo]],Formato_Rango_Categorias)&amp;" - "&amp;TEXT(Categorias_Registro[[#This Row],[Máximo]],Formato_Rango_Categorias)</f>
        <v>202 - 231</v>
      </c>
    </row>
    <row r="2404" spans="2:8">
      <c r="B2404" s="15">
        <f>Techo - ROW() + ROW(Categorias_Registro[])</f>
        <v>225</v>
      </c>
      <c r="C2404" s="15">
        <f>IF(Categorias_Registro[[#This Row],[Puntos]]&lt;=ROUND(Piso,0),Piso,IF(Categorias_Registro[[#This Row],[Puntos]]&lt;D2405,C2405,D2405+1))</f>
        <v>202</v>
      </c>
      <c r="D2404" s="15">
        <f>IF(Categorias_Registro[[#This Row],[Puntos]]=ROUND(Piso,0),ROUND(Categorias_Registro[[#This Row],[Puntos]]*(1+Categorias_Registro[[#This Row],[Amplitud]]),0),IF(Categorias_Registro[[#This Row],[Puntos]]&lt;D2405,D2405,ROUND(D2405*(1+Categorias_Registro[[#This Row],[Amplitud]]),0)))</f>
        <v>231</v>
      </c>
      <c r="E2404" s="15">
        <f>E2405+IF(D2405=Categorias_Registro[[#This Row],[Máximo]],0,1)</f>
        <v>7</v>
      </c>
      <c r="F2404" s="15">
        <f>ROUND(Categorias_Registro[[#This Row],[Mínimo]]+((Categorias_Registro[[#This Row],[Máximo]]-Categorias_Registro[[#This Row],[Mínimo]])/2),0)</f>
        <v>217</v>
      </c>
      <c r="G2404" s="78">
        <f>VLOOKUP(Categorias_Registro[[#This Row],[Puntos]],Categorias_Configuracion[],MATCH(Categorias_Configuracion[[#Headers],[% Amplitud]],Categorias_Configuracion[#Headers],0),TRUE)</f>
        <v>0.15</v>
      </c>
      <c r="H2404" s="15" t="str">
        <f ca="1">TEXT(Categorias_Registro[[#This Row],[Mínimo]],Formato_Rango_Categorias)&amp;" - "&amp;TEXT(Categorias_Registro[[#This Row],[Máximo]],Formato_Rango_Categorias)</f>
        <v>202 - 231</v>
      </c>
    </row>
    <row r="2405" spans="2:8">
      <c r="B2405" s="15">
        <f>Techo - ROW() + ROW(Categorias_Registro[])</f>
        <v>224</v>
      </c>
      <c r="C2405" s="15">
        <f>IF(Categorias_Registro[[#This Row],[Puntos]]&lt;=ROUND(Piso,0),Piso,IF(Categorias_Registro[[#This Row],[Puntos]]&lt;D2406,C2406,D2406+1))</f>
        <v>202</v>
      </c>
      <c r="D2405" s="15">
        <f>IF(Categorias_Registro[[#This Row],[Puntos]]=ROUND(Piso,0),ROUND(Categorias_Registro[[#This Row],[Puntos]]*(1+Categorias_Registro[[#This Row],[Amplitud]]),0),IF(Categorias_Registro[[#This Row],[Puntos]]&lt;D2406,D2406,ROUND(D2406*(1+Categorias_Registro[[#This Row],[Amplitud]]),0)))</f>
        <v>231</v>
      </c>
      <c r="E2405" s="15">
        <f>E2406+IF(D2406=Categorias_Registro[[#This Row],[Máximo]],0,1)</f>
        <v>7</v>
      </c>
      <c r="F2405" s="15">
        <f>ROUND(Categorias_Registro[[#This Row],[Mínimo]]+((Categorias_Registro[[#This Row],[Máximo]]-Categorias_Registro[[#This Row],[Mínimo]])/2),0)</f>
        <v>217</v>
      </c>
      <c r="G2405" s="78">
        <f>VLOOKUP(Categorias_Registro[[#This Row],[Puntos]],Categorias_Configuracion[],MATCH(Categorias_Configuracion[[#Headers],[% Amplitud]],Categorias_Configuracion[#Headers],0),TRUE)</f>
        <v>0.15</v>
      </c>
      <c r="H2405" s="15" t="str">
        <f ca="1">TEXT(Categorias_Registro[[#This Row],[Mínimo]],Formato_Rango_Categorias)&amp;" - "&amp;TEXT(Categorias_Registro[[#This Row],[Máximo]],Formato_Rango_Categorias)</f>
        <v>202 - 231</v>
      </c>
    </row>
    <row r="2406" spans="2:8">
      <c r="B2406" s="15">
        <f>Techo - ROW() + ROW(Categorias_Registro[])</f>
        <v>223</v>
      </c>
      <c r="C2406" s="15">
        <f>IF(Categorias_Registro[[#This Row],[Puntos]]&lt;=ROUND(Piso,0),Piso,IF(Categorias_Registro[[#This Row],[Puntos]]&lt;D2407,C2407,D2407+1))</f>
        <v>202</v>
      </c>
      <c r="D2406" s="15">
        <f>IF(Categorias_Registro[[#This Row],[Puntos]]=ROUND(Piso,0),ROUND(Categorias_Registro[[#This Row],[Puntos]]*(1+Categorias_Registro[[#This Row],[Amplitud]]),0),IF(Categorias_Registro[[#This Row],[Puntos]]&lt;D2407,D2407,ROUND(D2407*(1+Categorias_Registro[[#This Row],[Amplitud]]),0)))</f>
        <v>231</v>
      </c>
      <c r="E2406" s="15">
        <f>E2407+IF(D2407=Categorias_Registro[[#This Row],[Máximo]],0,1)</f>
        <v>7</v>
      </c>
      <c r="F2406" s="15">
        <f>ROUND(Categorias_Registro[[#This Row],[Mínimo]]+((Categorias_Registro[[#This Row],[Máximo]]-Categorias_Registro[[#This Row],[Mínimo]])/2),0)</f>
        <v>217</v>
      </c>
      <c r="G2406" s="78">
        <f>VLOOKUP(Categorias_Registro[[#This Row],[Puntos]],Categorias_Configuracion[],MATCH(Categorias_Configuracion[[#Headers],[% Amplitud]],Categorias_Configuracion[#Headers],0),TRUE)</f>
        <v>0.15</v>
      </c>
      <c r="H2406" s="15" t="str">
        <f ca="1">TEXT(Categorias_Registro[[#This Row],[Mínimo]],Formato_Rango_Categorias)&amp;" - "&amp;TEXT(Categorias_Registro[[#This Row],[Máximo]],Formato_Rango_Categorias)</f>
        <v>202 - 231</v>
      </c>
    </row>
    <row r="2407" spans="2:8">
      <c r="B2407" s="15">
        <f>Techo - ROW() + ROW(Categorias_Registro[])</f>
        <v>222</v>
      </c>
      <c r="C2407" s="15">
        <f>IF(Categorias_Registro[[#This Row],[Puntos]]&lt;=ROUND(Piso,0),Piso,IF(Categorias_Registro[[#This Row],[Puntos]]&lt;D2408,C2408,D2408+1))</f>
        <v>202</v>
      </c>
      <c r="D2407" s="15">
        <f>IF(Categorias_Registro[[#This Row],[Puntos]]=ROUND(Piso,0),ROUND(Categorias_Registro[[#This Row],[Puntos]]*(1+Categorias_Registro[[#This Row],[Amplitud]]),0),IF(Categorias_Registro[[#This Row],[Puntos]]&lt;D2408,D2408,ROUND(D2408*(1+Categorias_Registro[[#This Row],[Amplitud]]),0)))</f>
        <v>231</v>
      </c>
      <c r="E2407" s="15">
        <f>E2408+IF(D2408=Categorias_Registro[[#This Row],[Máximo]],0,1)</f>
        <v>7</v>
      </c>
      <c r="F2407" s="15">
        <f>ROUND(Categorias_Registro[[#This Row],[Mínimo]]+((Categorias_Registro[[#This Row],[Máximo]]-Categorias_Registro[[#This Row],[Mínimo]])/2),0)</f>
        <v>217</v>
      </c>
      <c r="G2407" s="78">
        <f>VLOOKUP(Categorias_Registro[[#This Row],[Puntos]],Categorias_Configuracion[],MATCH(Categorias_Configuracion[[#Headers],[% Amplitud]],Categorias_Configuracion[#Headers],0),TRUE)</f>
        <v>0.15</v>
      </c>
      <c r="H2407" s="15" t="str">
        <f ca="1">TEXT(Categorias_Registro[[#This Row],[Mínimo]],Formato_Rango_Categorias)&amp;" - "&amp;TEXT(Categorias_Registro[[#This Row],[Máximo]],Formato_Rango_Categorias)</f>
        <v>202 - 231</v>
      </c>
    </row>
    <row r="2408" spans="2:8">
      <c r="B2408" s="15">
        <f>Techo - ROW() + ROW(Categorias_Registro[])</f>
        <v>221</v>
      </c>
      <c r="C2408" s="15">
        <f>IF(Categorias_Registro[[#This Row],[Puntos]]&lt;=ROUND(Piso,0),Piso,IF(Categorias_Registro[[#This Row],[Puntos]]&lt;D2409,C2409,D2409+1))</f>
        <v>202</v>
      </c>
      <c r="D2408" s="15">
        <f>IF(Categorias_Registro[[#This Row],[Puntos]]=ROUND(Piso,0),ROUND(Categorias_Registro[[#This Row],[Puntos]]*(1+Categorias_Registro[[#This Row],[Amplitud]]),0),IF(Categorias_Registro[[#This Row],[Puntos]]&lt;D2409,D2409,ROUND(D2409*(1+Categorias_Registro[[#This Row],[Amplitud]]),0)))</f>
        <v>231</v>
      </c>
      <c r="E2408" s="15">
        <f>E2409+IF(D2409=Categorias_Registro[[#This Row],[Máximo]],0,1)</f>
        <v>7</v>
      </c>
      <c r="F2408" s="15">
        <f>ROUND(Categorias_Registro[[#This Row],[Mínimo]]+((Categorias_Registro[[#This Row],[Máximo]]-Categorias_Registro[[#This Row],[Mínimo]])/2),0)</f>
        <v>217</v>
      </c>
      <c r="G2408" s="78">
        <f>VLOOKUP(Categorias_Registro[[#This Row],[Puntos]],Categorias_Configuracion[],MATCH(Categorias_Configuracion[[#Headers],[% Amplitud]],Categorias_Configuracion[#Headers],0),TRUE)</f>
        <v>0.15</v>
      </c>
      <c r="H2408" s="15" t="str">
        <f ca="1">TEXT(Categorias_Registro[[#This Row],[Mínimo]],Formato_Rango_Categorias)&amp;" - "&amp;TEXT(Categorias_Registro[[#This Row],[Máximo]],Formato_Rango_Categorias)</f>
        <v>202 - 231</v>
      </c>
    </row>
    <row r="2409" spans="2:8">
      <c r="B2409" s="15">
        <f>Techo - ROW() + ROW(Categorias_Registro[])</f>
        <v>220</v>
      </c>
      <c r="C2409" s="15">
        <f>IF(Categorias_Registro[[#This Row],[Puntos]]&lt;=ROUND(Piso,0),Piso,IF(Categorias_Registro[[#This Row],[Puntos]]&lt;D2410,C2410,D2410+1))</f>
        <v>202</v>
      </c>
      <c r="D2409" s="15">
        <f>IF(Categorias_Registro[[#This Row],[Puntos]]=ROUND(Piso,0),ROUND(Categorias_Registro[[#This Row],[Puntos]]*(1+Categorias_Registro[[#This Row],[Amplitud]]),0),IF(Categorias_Registro[[#This Row],[Puntos]]&lt;D2410,D2410,ROUND(D2410*(1+Categorias_Registro[[#This Row],[Amplitud]]),0)))</f>
        <v>231</v>
      </c>
      <c r="E2409" s="15">
        <f>E2410+IF(D2410=Categorias_Registro[[#This Row],[Máximo]],0,1)</f>
        <v>7</v>
      </c>
      <c r="F2409" s="15">
        <f>ROUND(Categorias_Registro[[#This Row],[Mínimo]]+((Categorias_Registro[[#This Row],[Máximo]]-Categorias_Registro[[#This Row],[Mínimo]])/2),0)</f>
        <v>217</v>
      </c>
      <c r="G2409" s="78">
        <f>VLOOKUP(Categorias_Registro[[#This Row],[Puntos]],Categorias_Configuracion[],MATCH(Categorias_Configuracion[[#Headers],[% Amplitud]],Categorias_Configuracion[#Headers],0),TRUE)</f>
        <v>0.15</v>
      </c>
      <c r="H2409" s="15" t="str">
        <f ca="1">TEXT(Categorias_Registro[[#This Row],[Mínimo]],Formato_Rango_Categorias)&amp;" - "&amp;TEXT(Categorias_Registro[[#This Row],[Máximo]],Formato_Rango_Categorias)</f>
        <v>202 - 231</v>
      </c>
    </row>
    <row r="2410" spans="2:8">
      <c r="B2410" s="15">
        <f>Techo - ROW() + ROW(Categorias_Registro[])</f>
        <v>219</v>
      </c>
      <c r="C2410" s="15">
        <f>IF(Categorias_Registro[[#This Row],[Puntos]]&lt;=ROUND(Piso,0),Piso,IF(Categorias_Registro[[#This Row],[Puntos]]&lt;D2411,C2411,D2411+1))</f>
        <v>202</v>
      </c>
      <c r="D2410" s="15">
        <f>IF(Categorias_Registro[[#This Row],[Puntos]]=ROUND(Piso,0),ROUND(Categorias_Registro[[#This Row],[Puntos]]*(1+Categorias_Registro[[#This Row],[Amplitud]]),0),IF(Categorias_Registro[[#This Row],[Puntos]]&lt;D2411,D2411,ROUND(D2411*(1+Categorias_Registro[[#This Row],[Amplitud]]),0)))</f>
        <v>231</v>
      </c>
      <c r="E2410" s="15">
        <f>E2411+IF(D2411=Categorias_Registro[[#This Row],[Máximo]],0,1)</f>
        <v>7</v>
      </c>
      <c r="F2410" s="15">
        <f>ROUND(Categorias_Registro[[#This Row],[Mínimo]]+((Categorias_Registro[[#This Row],[Máximo]]-Categorias_Registro[[#This Row],[Mínimo]])/2),0)</f>
        <v>217</v>
      </c>
      <c r="G2410" s="78">
        <f>VLOOKUP(Categorias_Registro[[#This Row],[Puntos]],Categorias_Configuracion[],MATCH(Categorias_Configuracion[[#Headers],[% Amplitud]],Categorias_Configuracion[#Headers],0),TRUE)</f>
        <v>0.15</v>
      </c>
      <c r="H2410" s="15" t="str">
        <f ca="1">TEXT(Categorias_Registro[[#This Row],[Mínimo]],Formato_Rango_Categorias)&amp;" - "&amp;TEXT(Categorias_Registro[[#This Row],[Máximo]],Formato_Rango_Categorias)</f>
        <v>202 - 231</v>
      </c>
    </row>
    <row r="2411" spans="2:8">
      <c r="B2411" s="15">
        <f>Techo - ROW() + ROW(Categorias_Registro[])</f>
        <v>218</v>
      </c>
      <c r="C2411" s="15">
        <f>IF(Categorias_Registro[[#This Row],[Puntos]]&lt;=ROUND(Piso,0),Piso,IF(Categorias_Registro[[#This Row],[Puntos]]&lt;D2412,C2412,D2412+1))</f>
        <v>202</v>
      </c>
      <c r="D2411" s="15">
        <f>IF(Categorias_Registro[[#This Row],[Puntos]]=ROUND(Piso,0),ROUND(Categorias_Registro[[#This Row],[Puntos]]*(1+Categorias_Registro[[#This Row],[Amplitud]]),0),IF(Categorias_Registro[[#This Row],[Puntos]]&lt;D2412,D2412,ROUND(D2412*(1+Categorias_Registro[[#This Row],[Amplitud]]),0)))</f>
        <v>231</v>
      </c>
      <c r="E2411" s="15">
        <f>E2412+IF(D2412=Categorias_Registro[[#This Row],[Máximo]],0,1)</f>
        <v>7</v>
      </c>
      <c r="F2411" s="15">
        <f>ROUND(Categorias_Registro[[#This Row],[Mínimo]]+((Categorias_Registro[[#This Row],[Máximo]]-Categorias_Registro[[#This Row],[Mínimo]])/2),0)</f>
        <v>217</v>
      </c>
      <c r="G2411" s="78">
        <f>VLOOKUP(Categorias_Registro[[#This Row],[Puntos]],Categorias_Configuracion[],MATCH(Categorias_Configuracion[[#Headers],[% Amplitud]],Categorias_Configuracion[#Headers],0),TRUE)</f>
        <v>0.15</v>
      </c>
      <c r="H2411" s="15" t="str">
        <f ca="1">TEXT(Categorias_Registro[[#This Row],[Mínimo]],Formato_Rango_Categorias)&amp;" - "&amp;TEXT(Categorias_Registro[[#This Row],[Máximo]],Formato_Rango_Categorias)</f>
        <v>202 - 231</v>
      </c>
    </row>
    <row r="2412" spans="2:8">
      <c r="B2412" s="15">
        <f>Techo - ROW() + ROW(Categorias_Registro[])</f>
        <v>217</v>
      </c>
      <c r="C2412" s="15">
        <f>IF(Categorias_Registro[[#This Row],[Puntos]]&lt;=ROUND(Piso,0),Piso,IF(Categorias_Registro[[#This Row],[Puntos]]&lt;D2413,C2413,D2413+1))</f>
        <v>202</v>
      </c>
      <c r="D2412" s="15">
        <f>IF(Categorias_Registro[[#This Row],[Puntos]]=ROUND(Piso,0),ROUND(Categorias_Registro[[#This Row],[Puntos]]*(1+Categorias_Registro[[#This Row],[Amplitud]]),0),IF(Categorias_Registro[[#This Row],[Puntos]]&lt;D2413,D2413,ROUND(D2413*(1+Categorias_Registro[[#This Row],[Amplitud]]),0)))</f>
        <v>231</v>
      </c>
      <c r="E2412" s="15">
        <f>E2413+IF(D2413=Categorias_Registro[[#This Row],[Máximo]],0,1)</f>
        <v>7</v>
      </c>
      <c r="F2412" s="15">
        <f>ROUND(Categorias_Registro[[#This Row],[Mínimo]]+((Categorias_Registro[[#This Row],[Máximo]]-Categorias_Registro[[#This Row],[Mínimo]])/2),0)</f>
        <v>217</v>
      </c>
      <c r="G2412" s="78">
        <f>VLOOKUP(Categorias_Registro[[#This Row],[Puntos]],Categorias_Configuracion[],MATCH(Categorias_Configuracion[[#Headers],[% Amplitud]],Categorias_Configuracion[#Headers],0),TRUE)</f>
        <v>0.15</v>
      </c>
      <c r="H2412" s="15" t="str">
        <f ca="1">TEXT(Categorias_Registro[[#This Row],[Mínimo]],Formato_Rango_Categorias)&amp;" - "&amp;TEXT(Categorias_Registro[[#This Row],[Máximo]],Formato_Rango_Categorias)</f>
        <v>202 - 231</v>
      </c>
    </row>
    <row r="2413" spans="2:8">
      <c r="B2413" s="15">
        <f>Techo - ROW() + ROW(Categorias_Registro[])</f>
        <v>216</v>
      </c>
      <c r="C2413" s="15">
        <f>IF(Categorias_Registro[[#This Row],[Puntos]]&lt;=ROUND(Piso,0),Piso,IF(Categorias_Registro[[#This Row],[Puntos]]&lt;D2414,C2414,D2414+1))</f>
        <v>202</v>
      </c>
      <c r="D2413" s="15">
        <f>IF(Categorias_Registro[[#This Row],[Puntos]]=ROUND(Piso,0),ROUND(Categorias_Registro[[#This Row],[Puntos]]*(1+Categorias_Registro[[#This Row],[Amplitud]]),0),IF(Categorias_Registro[[#This Row],[Puntos]]&lt;D2414,D2414,ROUND(D2414*(1+Categorias_Registro[[#This Row],[Amplitud]]),0)))</f>
        <v>231</v>
      </c>
      <c r="E2413" s="15">
        <f>E2414+IF(D2414=Categorias_Registro[[#This Row],[Máximo]],0,1)</f>
        <v>7</v>
      </c>
      <c r="F2413" s="15">
        <f>ROUND(Categorias_Registro[[#This Row],[Mínimo]]+((Categorias_Registro[[#This Row],[Máximo]]-Categorias_Registro[[#This Row],[Mínimo]])/2),0)</f>
        <v>217</v>
      </c>
      <c r="G2413" s="78">
        <f>VLOOKUP(Categorias_Registro[[#This Row],[Puntos]],Categorias_Configuracion[],MATCH(Categorias_Configuracion[[#Headers],[% Amplitud]],Categorias_Configuracion[#Headers],0),TRUE)</f>
        <v>0.15</v>
      </c>
      <c r="H2413" s="15" t="str">
        <f ca="1">TEXT(Categorias_Registro[[#This Row],[Mínimo]],Formato_Rango_Categorias)&amp;" - "&amp;TEXT(Categorias_Registro[[#This Row],[Máximo]],Formato_Rango_Categorias)</f>
        <v>202 - 231</v>
      </c>
    </row>
    <row r="2414" spans="2:8">
      <c r="B2414" s="15">
        <f>Techo - ROW() + ROW(Categorias_Registro[])</f>
        <v>215</v>
      </c>
      <c r="C2414" s="15">
        <f>IF(Categorias_Registro[[#This Row],[Puntos]]&lt;=ROUND(Piso,0),Piso,IF(Categorias_Registro[[#This Row],[Puntos]]&lt;D2415,C2415,D2415+1))</f>
        <v>202</v>
      </c>
      <c r="D2414" s="15">
        <f>IF(Categorias_Registro[[#This Row],[Puntos]]=ROUND(Piso,0),ROUND(Categorias_Registro[[#This Row],[Puntos]]*(1+Categorias_Registro[[#This Row],[Amplitud]]),0),IF(Categorias_Registro[[#This Row],[Puntos]]&lt;D2415,D2415,ROUND(D2415*(1+Categorias_Registro[[#This Row],[Amplitud]]),0)))</f>
        <v>231</v>
      </c>
      <c r="E2414" s="15">
        <f>E2415+IF(D2415=Categorias_Registro[[#This Row],[Máximo]],0,1)</f>
        <v>7</v>
      </c>
      <c r="F2414" s="15">
        <f>ROUND(Categorias_Registro[[#This Row],[Mínimo]]+((Categorias_Registro[[#This Row],[Máximo]]-Categorias_Registro[[#This Row],[Mínimo]])/2),0)</f>
        <v>217</v>
      </c>
      <c r="G2414" s="78">
        <f>VLOOKUP(Categorias_Registro[[#This Row],[Puntos]],Categorias_Configuracion[],MATCH(Categorias_Configuracion[[#Headers],[% Amplitud]],Categorias_Configuracion[#Headers],0),TRUE)</f>
        <v>0.15</v>
      </c>
      <c r="H2414" s="15" t="str">
        <f ca="1">TEXT(Categorias_Registro[[#This Row],[Mínimo]],Formato_Rango_Categorias)&amp;" - "&amp;TEXT(Categorias_Registro[[#This Row],[Máximo]],Formato_Rango_Categorias)</f>
        <v>202 - 231</v>
      </c>
    </row>
    <row r="2415" spans="2:8">
      <c r="B2415" s="15">
        <f>Techo - ROW() + ROW(Categorias_Registro[])</f>
        <v>214</v>
      </c>
      <c r="C2415" s="15">
        <f>IF(Categorias_Registro[[#This Row],[Puntos]]&lt;=ROUND(Piso,0),Piso,IF(Categorias_Registro[[#This Row],[Puntos]]&lt;D2416,C2416,D2416+1))</f>
        <v>202</v>
      </c>
      <c r="D2415" s="15">
        <f>IF(Categorias_Registro[[#This Row],[Puntos]]=ROUND(Piso,0),ROUND(Categorias_Registro[[#This Row],[Puntos]]*(1+Categorias_Registro[[#This Row],[Amplitud]]),0),IF(Categorias_Registro[[#This Row],[Puntos]]&lt;D2416,D2416,ROUND(D2416*(1+Categorias_Registro[[#This Row],[Amplitud]]),0)))</f>
        <v>231</v>
      </c>
      <c r="E2415" s="15">
        <f>E2416+IF(D2416=Categorias_Registro[[#This Row],[Máximo]],0,1)</f>
        <v>7</v>
      </c>
      <c r="F2415" s="15">
        <f>ROUND(Categorias_Registro[[#This Row],[Mínimo]]+((Categorias_Registro[[#This Row],[Máximo]]-Categorias_Registro[[#This Row],[Mínimo]])/2),0)</f>
        <v>217</v>
      </c>
      <c r="G2415" s="78">
        <f>VLOOKUP(Categorias_Registro[[#This Row],[Puntos]],Categorias_Configuracion[],MATCH(Categorias_Configuracion[[#Headers],[% Amplitud]],Categorias_Configuracion[#Headers],0),TRUE)</f>
        <v>0.15</v>
      </c>
      <c r="H2415" s="15" t="str">
        <f ca="1">TEXT(Categorias_Registro[[#This Row],[Mínimo]],Formato_Rango_Categorias)&amp;" - "&amp;TEXT(Categorias_Registro[[#This Row],[Máximo]],Formato_Rango_Categorias)</f>
        <v>202 - 231</v>
      </c>
    </row>
    <row r="2416" spans="2:8">
      <c r="B2416" s="15">
        <f>Techo - ROW() + ROW(Categorias_Registro[])</f>
        <v>213</v>
      </c>
      <c r="C2416" s="15">
        <f>IF(Categorias_Registro[[#This Row],[Puntos]]&lt;=ROUND(Piso,0),Piso,IF(Categorias_Registro[[#This Row],[Puntos]]&lt;D2417,C2417,D2417+1))</f>
        <v>202</v>
      </c>
      <c r="D2416" s="15">
        <f>IF(Categorias_Registro[[#This Row],[Puntos]]=ROUND(Piso,0),ROUND(Categorias_Registro[[#This Row],[Puntos]]*(1+Categorias_Registro[[#This Row],[Amplitud]]),0),IF(Categorias_Registro[[#This Row],[Puntos]]&lt;D2417,D2417,ROUND(D2417*(1+Categorias_Registro[[#This Row],[Amplitud]]),0)))</f>
        <v>231</v>
      </c>
      <c r="E2416" s="15">
        <f>E2417+IF(D2417=Categorias_Registro[[#This Row],[Máximo]],0,1)</f>
        <v>7</v>
      </c>
      <c r="F2416" s="15">
        <f>ROUND(Categorias_Registro[[#This Row],[Mínimo]]+((Categorias_Registro[[#This Row],[Máximo]]-Categorias_Registro[[#This Row],[Mínimo]])/2),0)</f>
        <v>217</v>
      </c>
      <c r="G2416" s="78">
        <f>VLOOKUP(Categorias_Registro[[#This Row],[Puntos]],Categorias_Configuracion[],MATCH(Categorias_Configuracion[[#Headers],[% Amplitud]],Categorias_Configuracion[#Headers],0),TRUE)</f>
        <v>0.15</v>
      </c>
      <c r="H2416" s="15" t="str">
        <f ca="1">TEXT(Categorias_Registro[[#This Row],[Mínimo]],Formato_Rango_Categorias)&amp;" - "&amp;TEXT(Categorias_Registro[[#This Row],[Máximo]],Formato_Rango_Categorias)</f>
        <v>202 - 231</v>
      </c>
    </row>
    <row r="2417" spans="2:8">
      <c r="B2417" s="15">
        <f>Techo - ROW() + ROW(Categorias_Registro[])</f>
        <v>212</v>
      </c>
      <c r="C2417" s="15">
        <f>IF(Categorias_Registro[[#This Row],[Puntos]]&lt;=ROUND(Piso,0),Piso,IF(Categorias_Registro[[#This Row],[Puntos]]&lt;D2418,C2418,D2418+1))</f>
        <v>202</v>
      </c>
      <c r="D2417" s="15">
        <f>IF(Categorias_Registro[[#This Row],[Puntos]]=ROUND(Piso,0),ROUND(Categorias_Registro[[#This Row],[Puntos]]*(1+Categorias_Registro[[#This Row],[Amplitud]]),0),IF(Categorias_Registro[[#This Row],[Puntos]]&lt;D2418,D2418,ROUND(D2418*(1+Categorias_Registro[[#This Row],[Amplitud]]),0)))</f>
        <v>231</v>
      </c>
      <c r="E2417" s="15">
        <f>E2418+IF(D2418=Categorias_Registro[[#This Row],[Máximo]],0,1)</f>
        <v>7</v>
      </c>
      <c r="F2417" s="15">
        <f>ROUND(Categorias_Registro[[#This Row],[Mínimo]]+((Categorias_Registro[[#This Row],[Máximo]]-Categorias_Registro[[#This Row],[Mínimo]])/2),0)</f>
        <v>217</v>
      </c>
      <c r="G2417" s="78">
        <f>VLOOKUP(Categorias_Registro[[#This Row],[Puntos]],Categorias_Configuracion[],MATCH(Categorias_Configuracion[[#Headers],[% Amplitud]],Categorias_Configuracion[#Headers],0),TRUE)</f>
        <v>0.15</v>
      </c>
      <c r="H2417" s="15" t="str">
        <f ca="1">TEXT(Categorias_Registro[[#This Row],[Mínimo]],Formato_Rango_Categorias)&amp;" - "&amp;TEXT(Categorias_Registro[[#This Row],[Máximo]],Formato_Rango_Categorias)</f>
        <v>202 - 231</v>
      </c>
    </row>
    <row r="2418" spans="2:8">
      <c r="B2418" s="15">
        <f>Techo - ROW() + ROW(Categorias_Registro[])</f>
        <v>211</v>
      </c>
      <c r="C2418" s="15">
        <f>IF(Categorias_Registro[[#This Row],[Puntos]]&lt;=ROUND(Piso,0),Piso,IF(Categorias_Registro[[#This Row],[Puntos]]&lt;D2419,C2419,D2419+1))</f>
        <v>202</v>
      </c>
      <c r="D2418" s="15">
        <f>IF(Categorias_Registro[[#This Row],[Puntos]]=ROUND(Piso,0),ROUND(Categorias_Registro[[#This Row],[Puntos]]*(1+Categorias_Registro[[#This Row],[Amplitud]]),0),IF(Categorias_Registro[[#This Row],[Puntos]]&lt;D2419,D2419,ROUND(D2419*(1+Categorias_Registro[[#This Row],[Amplitud]]),0)))</f>
        <v>231</v>
      </c>
      <c r="E2418" s="15">
        <f>E2419+IF(D2419=Categorias_Registro[[#This Row],[Máximo]],0,1)</f>
        <v>7</v>
      </c>
      <c r="F2418" s="15">
        <f>ROUND(Categorias_Registro[[#This Row],[Mínimo]]+((Categorias_Registro[[#This Row],[Máximo]]-Categorias_Registro[[#This Row],[Mínimo]])/2),0)</f>
        <v>217</v>
      </c>
      <c r="G2418" s="78">
        <f>VLOOKUP(Categorias_Registro[[#This Row],[Puntos]],Categorias_Configuracion[],MATCH(Categorias_Configuracion[[#Headers],[% Amplitud]],Categorias_Configuracion[#Headers],0),TRUE)</f>
        <v>0.15</v>
      </c>
      <c r="H2418" s="15" t="str">
        <f ca="1">TEXT(Categorias_Registro[[#This Row],[Mínimo]],Formato_Rango_Categorias)&amp;" - "&amp;TEXT(Categorias_Registro[[#This Row],[Máximo]],Formato_Rango_Categorias)</f>
        <v>202 - 231</v>
      </c>
    </row>
    <row r="2419" spans="2:8">
      <c r="B2419" s="15">
        <f>Techo - ROW() + ROW(Categorias_Registro[])</f>
        <v>210</v>
      </c>
      <c r="C2419" s="15">
        <f>IF(Categorias_Registro[[#This Row],[Puntos]]&lt;=ROUND(Piso,0),Piso,IF(Categorias_Registro[[#This Row],[Puntos]]&lt;D2420,C2420,D2420+1))</f>
        <v>202</v>
      </c>
      <c r="D2419" s="15">
        <f>IF(Categorias_Registro[[#This Row],[Puntos]]=ROUND(Piso,0),ROUND(Categorias_Registro[[#This Row],[Puntos]]*(1+Categorias_Registro[[#This Row],[Amplitud]]),0),IF(Categorias_Registro[[#This Row],[Puntos]]&lt;D2420,D2420,ROUND(D2420*(1+Categorias_Registro[[#This Row],[Amplitud]]),0)))</f>
        <v>231</v>
      </c>
      <c r="E2419" s="15">
        <f>E2420+IF(D2420=Categorias_Registro[[#This Row],[Máximo]],0,1)</f>
        <v>7</v>
      </c>
      <c r="F2419" s="15">
        <f>ROUND(Categorias_Registro[[#This Row],[Mínimo]]+((Categorias_Registro[[#This Row],[Máximo]]-Categorias_Registro[[#This Row],[Mínimo]])/2),0)</f>
        <v>217</v>
      </c>
      <c r="G2419" s="78">
        <f>VLOOKUP(Categorias_Registro[[#This Row],[Puntos]],Categorias_Configuracion[],MATCH(Categorias_Configuracion[[#Headers],[% Amplitud]],Categorias_Configuracion[#Headers],0),TRUE)</f>
        <v>0.15</v>
      </c>
      <c r="H2419" s="15" t="str">
        <f ca="1">TEXT(Categorias_Registro[[#This Row],[Mínimo]],Formato_Rango_Categorias)&amp;" - "&amp;TEXT(Categorias_Registro[[#This Row],[Máximo]],Formato_Rango_Categorias)</f>
        <v>202 - 231</v>
      </c>
    </row>
    <row r="2420" spans="2:8">
      <c r="B2420" s="15">
        <f>Techo - ROW() + ROW(Categorias_Registro[])</f>
        <v>209</v>
      </c>
      <c r="C2420" s="15">
        <f>IF(Categorias_Registro[[#This Row],[Puntos]]&lt;=ROUND(Piso,0),Piso,IF(Categorias_Registro[[#This Row],[Puntos]]&lt;D2421,C2421,D2421+1))</f>
        <v>202</v>
      </c>
      <c r="D2420" s="15">
        <f>IF(Categorias_Registro[[#This Row],[Puntos]]=ROUND(Piso,0),ROUND(Categorias_Registro[[#This Row],[Puntos]]*(1+Categorias_Registro[[#This Row],[Amplitud]]),0),IF(Categorias_Registro[[#This Row],[Puntos]]&lt;D2421,D2421,ROUND(D2421*(1+Categorias_Registro[[#This Row],[Amplitud]]),0)))</f>
        <v>231</v>
      </c>
      <c r="E2420" s="15">
        <f>E2421+IF(D2421=Categorias_Registro[[#This Row],[Máximo]],0,1)</f>
        <v>7</v>
      </c>
      <c r="F2420" s="15">
        <f>ROUND(Categorias_Registro[[#This Row],[Mínimo]]+((Categorias_Registro[[#This Row],[Máximo]]-Categorias_Registro[[#This Row],[Mínimo]])/2),0)</f>
        <v>217</v>
      </c>
      <c r="G2420" s="78">
        <f>VLOOKUP(Categorias_Registro[[#This Row],[Puntos]],Categorias_Configuracion[],MATCH(Categorias_Configuracion[[#Headers],[% Amplitud]],Categorias_Configuracion[#Headers],0),TRUE)</f>
        <v>0.15</v>
      </c>
      <c r="H2420" s="15" t="str">
        <f ca="1">TEXT(Categorias_Registro[[#This Row],[Mínimo]],Formato_Rango_Categorias)&amp;" - "&amp;TEXT(Categorias_Registro[[#This Row],[Máximo]],Formato_Rango_Categorias)</f>
        <v>202 - 231</v>
      </c>
    </row>
    <row r="2421" spans="2:8">
      <c r="B2421" s="15">
        <f>Techo - ROW() + ROW(Categorias_Registro[])</f>
        <v>208</v>
      </c>
      <c r="C2421" s="15">
        <f>IF(Categorias_Registro[[#This Row],[Puntos]]&lt;=ROUND(Piso,0),Piso,IF(Categorias_Registro[[#This Row],[Puntos]]&lt;D2422,C2422,D2422+1))</f>
        <v>202</v>
      </c>
      <c r="D2421" s="15">
        <f>IF(Categorias_Registro[[#This Row],[Puntos]]=ROUND(Piso,0),ROUND(Categorias_Registro[[#This Row],[Puntos]]*(1+Categorias_Registro[[#This Row],[Amplitud]]),0),IF(Categorias_Registro[[#This Row],[Puntos]]&lt;D2422,D2422,ROUND(D2422*(1+Categorias_Registro[[#This Row],[Amplitud]]),0)))</f>
        <v>231</v>
      </c>
      <c r="E2421" s="15">
        <f>E2422+IF(D2422=Categorias_Registro[[#This Row],[Máximo]],0,1)</f>
        <v>7</v>
      </c>
      <c r="F2421" s="15">
        <f>ROUND(Categorias_Registro[[#This Row],[Mínimo]]+((Categorias_Registro[[#This Row],[Máximo]]-Categorias_Registro[[#This Row],[Mínimo]])/2),0)</f>
        <v>217</v>
      </c>
      <c r="G2421" s="78">
        <f>VLOOKUP(Categorias_Registro[[#This Row],[Puntos]],Categorias_Configuracion[],MATCH(Categorias_Configuracion[[#Headers],[% Amplitud]],Categorias_Configuracion[#Headers],0),TRUE)</f>
        <v>0.15</v>
      </c>
      <c r="H2421" s="15" t="str">
        <f ca="1">TEXT(Categorias_Registro[[#This Row],[Mínimo]],Formato_Rango_Categorias)&amp;" - "&amp;TEXT(Categorias_Registro[[#This Row],[Máximo]],Formato_Rango_Categorias)</f>
        <v>202 - 231</v>
      </c>
    </row>
    <row r="2422" spans="2:8">
      <c r="B2422" s="15">
        <f>Techo - ROW() + ROW(Categorias_Registro[])</f>
        <v>207</v>
      </c>
      <c r="C2422" s="15">
        <f>IF(Categorias_Registro[[#This Row],[Puntos]]&lt;=ROUND(Piso,0),Piso,IF(Categorias_Registro[[#This Row],[Puntos]]&lt;D2423,C2423,D2423+1))</f>
        <v>202</v>
      </c>
      <c r="D2422" s="15">
        <f>IF(Categorias_Registro[[#This Row],[Puntos]]=ROUND(Piso,0),ROUND(Categorias_Registro[[#This Row],[Puntos]]*(1+Categorias_Registro[[#This Row],[Amplitud]]),0),IF(Categorias_Registro[[#This Row],[Puntos]]&lt;D2423,D2423,ROUND(D2423*(1+Categorias_Registro[[#This Row],[Amplitud]]),0)))</f>
        <v>231</v>
      </c>
      <c r="E2422" s="15">
        <f>E2423+IF(D2423=Categorias_Registro[[#This Row],[Máximo]],0,1)</f>
        <v>7</v>
      </c>
      <c r="F2422" s="15">
        <f>ROUND(Categorias_Registro[[#This Row],[Mínimo]]+((Categorias_Registro[[#This Row],[Máximo]]-Categorias_Registro[[#This Row],[Mínimo]])/2),0)</f>
        <v>217</v>
      </c>
      <c r="G2422" s="78">
        <f>VLOOKUP(Categorias_Registro[[#This Row],[Puntos]],Categorias_Configuracion[],MATCH(Categorias_Configuracion[[#Headers],[% Amplitud]],Categorias_Configuracion[#Headers],0),TRUE)</f>
        <v>0.15</v>
      </c>
      <c r="H2422" s="15" t="str">
        <f ca="1">TEXT(Categorias_Registro[[#This Row],[Mínimo]],Formato_Rango_Categorias)&amp;" - "&amp;TEXT(Categorias_Registro[[#This Row],[Máximo]],Formato_Rango_Categorias)</f>
        <v>202 - 231</v>
      </c>
    </row>
    <row r="2423" spans="2:8">
      <c r="B2423" s="15">
        <f>Techo - ROW() + ROW(Categorias_Registro[])</f>
        <v>206</v>
      </c>
      <c r="C2423" s="15">
        <f>IF(Categorias_Registro[[#This Row],[Puntos]]&lt;=ROUND(Piso,0),Piso,IF(Categorias_Registro[[#This Row],[Puntos]]&lt;D2424,C2424,D2424+1))</f>
        <v>202</v>
      </c>
      <c r="D2423" s="15">
        <f>IF(Categorias_Registro[[#This Row],[Puntos]]=ROUND(Piso,0),ROUND(Categorias_Registro[[#This Row],[Puntos]]*(1+Categorias_Registro[[#This Row],[Amplitud]]),0),IF(Categorias_Registro[[#This Row],[Puntos]]&lt;D2424,D2424,ROUND(D2424*(1+Categorias_Registro[[#This Row],[Amplitud]]),0)))</f>
        <v>231</v>
      </c>
      <c r="E2423" s="15">
        <f>E2424+IF(D2424=Categorias_Registro[[#This Row],[Máximo]],0,1)</f>
        <v>7</v>
      </c>
      <c r="F2423" s="15">
        <f>ROUND(Categorias_Registro[[#This Row],[Mínimo]]+((Categorias_Registro[[#This Row],[Máximo]]-Categorias_Registro[[#This Row],[Mínimo]])/2),0)</f>
        <v>217</v>
      </c>
      <c r="G2423" s="78">
        <f>VLOOKUP(Categorias_Registro[[#This Row],[Puntos]],Categorias_Configuracion[],MATCH(Categorias_Configuracion[[#Headers],[% Amplitud]],Categorias_Configuracion[#Headers],0),TRUE)</f>
        <v>0.15</v>
      </c>
      <c r="H2423" s="15" t="str">
        <f ca="1">TEXT(Categorias_Registro[[#This Row],[Mínimo]],Formato_Rango_Categorias)&amp;" - "&amp;TEXT(Categorias_Registro[[#This Row],[Máximo]],Formato_Rango_Categorias)</f>
        <v>202 - 231</v>
      </c>
    </row>
    <row r="2424" spans="2:8">
      <c r="B2424" s="15">
        <f>Techo - ROW() + ROW(Categorias_Registro[])</f>
        <v>205</v>
      </c>
      <c r="C2424" s="15">
        <f>IF(Categorias_Registro[[#This Row],[Puntos]]&lt;=ROUND(Piso,0),Piso,IF(Categorias_Registro[[#This Row],[Puntos]]&lt;D2425,C2425,D2425+1))</f>
        <v>202</v>
      </c>
      <c r="D2424" s="15">
        <f>IF(Categorias_Registro[[#This Row],[Puntos]]=ROUND(Piso,0),ROUND(Categorias_Registro[[#This Row],[Puntos]]*(1+Categorias_Registro[[#This Row],[Amplitud]]),0),IF(Categorias_Registro[[#This Row],[Puntos]]&lt;D2425,D2425,ROUND(D2425*(1+Categorias_Registro[[#This Row],[Amplitud]]),0)))</f>
        <v>231</v>
      </c>
      <c r="E2424" s="15">
        <f>E2425+IF(D2425=Categorias_Registro[[#This Row],[Máximo]],0,1)</f>
        <v>7</v>
      </c>
      <c r="F2424" s="15">
        <f>ROUND(Categorias_Registro[[#This Row],[Mínimo]]+((Categorias_Registro[[#This Row],[Máximo]]-Categorias_Registro[[#This Row],[Mínimo]])/2),0)</f>
        <v>217</v>
      </c>
      <c r="G2424" s="78">
        <f>VLOOKUP(Categorias_Registro[[#This Row],[Puntos]],Categorias_Configuracion[],MATCH(Categorias_Configuracion[[#Headers],[% Amplitud]],Categorias_Configuracion[#Headers],0),TRUE)</f>
        <v>0.15</v>
      </c>
      <c r="H2424" s="15" t="str">
        <f ca="1">TEXT(Categorias_Registro[[#This Row],[Mínimo]],Formato_Rango_Categorias)&amp;" - "&amp;TEXT(Categorias_Registro[[#This Row],[Máximo]],Formato_Rango_Categorias)</f>
        <v>202 - 231</v>
      </c>
    </row>
    <row r="2425" spans="2:8">
      <c r="B2425" s="15">
        <f>Techo - ROW() + ROW(Categorias_Registro[])</f>
        <v>204</v>
      </c>
      <c r="C2425" s="15">
        <f>IF(Categorias_Registro[[#This Row],[Puntos]]&lt;=ROUND(Piso,0),Piso,IF(Categorias_Registro[[#This Row],[Puntos]]&lt;D2426,C2426,D2426+1))</f>
        <v>202</v>
      </c>
      <c r="D2425" s="15">
        <f>IF(Categorias_Registro[[#This Row],[Puntos]]=ROUND(Piso,0),ROUND(Categorias_Registro[[#This Row],[Puntos]]*(1+Categorias_Registro[[#This Row],[Amplitud]]),0),IF(Categorias_Registro[[#This Row],[Puntos]]&lt;D2426,D2426,ROUND(D2426*(1+Categorias_Registro[[#This Row],[Amplitud]]),0)))</f>
        <v>231</v>
      </c>
      <c r="E2425" s="15">
        <f>E2426+IF(D2426=Categorias_Registro[[#This Row],[Máximo]],0,1)</f>
        <v>7</v>
      </c>
      <c r="F2425" s="15">
        <f>ROUND(Categorias_Registro[[#This Row],[Mínimo]]+((Categorias_Registro[[#This Row],[Máximo]]-Categorias_Registro[[#This Row],[Mínimo]])/2),0)</f>
        <v>217</v>
      </c>
      <c r="G2425" s="78">
        <f>VLOOKUP(Categorias_Registro[[#This Row],[Puntos]],Categorias_Configuracion[],MATCH(Categorias_Configuracion[[#Headers],[% Amplitud]],Categorias_Configuracion[#Headers],0),TRUE)</f>
        <v>0.15</v>
      </c>
      <c r="H2425" s="15" t="str">
        <f ca="1">TEXT(Categorias_Registro[[#This Row],[Mínimo]],Formato_Rango_Categorias)&amp;" - "&amp;TEXT(Categorias_Registro[[#This Row],[Máximo]],Formato_Rango_Categorias)</f>
        <v>202 - 231</v>
      </c>
    </row>
    <row r="2426" spans="2:8">
      <c r="B2426" s="15">
        <f>Techo - ROW() + ROW(Categorias_Registro[])</f>
        <v>203</v>
      </c>
      <c r="C2426" s="15">
        <f>IF(Categorias_Registro[[#This Row],[Puntos]]&lt;=ROUND(Piso,0),Piso,IF(Categorias_Registro[[#This Row],[Puntos]]&lt;D2427,C2427,D2427+1))</f>
        <v>202</v>
      </c>
      <c r="D2426" s="15">
        <f>IF(Categorias_Registro[[#This Row],[Puntos]]=ROUND(Piso,0),ROUND(Categorias_Registro[[#This Row],[Puntos]]*(1+Categorias_Registro[[#This Row],[Amplitud]]),0),IF(Categorias_Registro[[#This Row],[Puntos]]&lt;D2427,D2427,ROUND(D2427*(1+Categorias_Registro[[#This Row],[Amplitud]]),0)))</f>
        <v>231</v>
      </c>
      <c r="E2426" s="15">
        <f>E2427+IF(D2427=Categorias_Registro[[#This Row],[Máximo]],0,1)</f>
        <v>7</v>
      </c>
      <c r="F2426" s="15">
        <f>ROUND(Categorias_Registro[[#This Row],[Mínimo]]+((Categorias_Registro[[#This Row],[Máximo]]-Categorias_Registro[[#This Row],[Mínimo]])/2),0)</f>
        <v>217</v>
      </c>
      <c r="G2426" s="78">
        <f>VLOOKUP(Categorias_Registro[[#This Row],[Puntos]],Categorias_Configuracion[],MATCH(Categorias_Configuracion[[#Headers],[% Amplitud]],Categorias_Configuracion[#Headers],0),TRUE)</f>
        <v>0.15</v>
      </c>
      <c r="H2426" s="15" t="str">
        <f ca="1">TEXT(Categorias_Registro[[#This Row],[Mínimo]],Formato_Rango_Categorias)&amp;" - "&amp;TEXT(Categorias_Registro[[#This Row],[Máximo]],Formato_Rango_Categorias)</f>
        <v>202 - 231</v>
      </c>
    </row>
    <row r="2427" spans="2:8">
      <c r="B2427" s="15">
        <f>Techo - ROW() + ROW(Categorias_Registro[])</f>
        <v>202</v>
      </c>
      <c r="C2427" s="15">
        <f>IF(Categorias_Registro[[#This Row],[Puntos]]&lt;=ROUND(Piso,0),Piso,IF(Categorias_Registro[[#This Row],[Puntos]]&lt;D2428,C2428,D2428+1))</f>
        <v>202</v>
      </c>
      <c r="D2427" s="15">
        <f>IF(Categorias_Registro[[#This Row],[Puntos]]=ROUND(Piso,0),ROUND(Categorias_Registro[[#This Row],[Puntos]]*(1+Categorias_Registro[[#This Row],[Amplitud]]),0),IF(Categorias_Registro[[#This Row],[Puntos]]&lt;D2428,D2428,ROUND(D2428*(1+Categorias_Registro[[#This Row],[Amplitud]]),0)))</f>
        <v>231</v>
      </c>
      <c r="E2427" s="15">
        <f>E2428+IF(D2428=Categorias_Registro[[#This Row],[Máximo]],0,1)</f>
        <v>7</v>
      </c>
      <c r="F2427" s="15">
        <f>ROUND(Categorias_Registro[[#This Row],[Mínimo]]+((Categorias_Registro[[#This Row],[Máximo]]-Categorias_Registro[[#This Row],[Mínimo]])/2),0)</f>
        <v>217</v>
      </c>
      <c r="G2427" s="78">
        <f>VLOOKUP(Categorias_Registro[[#This Row],[Puntos]],Categorias_Configuracion[],MATCH(Categorias_Configuracion[[#Headers],[% Amplitud]],Categorias_Configuracion[#Headers],0),TRUE)</f>
        <v>0.15</v>
      </c>
      <c r="H2427" s="15" t="str">
        <f ca="1">TEXT(Categorias_Registro[[#This Row],[Mínimo]],Formato_Rango_Categorias)&amp;" - "&amp;TEXT(Categorias_Registro[[#This Row],[Máximo]],Formato_Rango_Categorias)</f>
        <v>202 - 231</v>
      </c>
    </row>
    <row r="2428" spans="2:8">
      <c r="B2428" s="15">
        <f>Techo - ROW() + ROW(Categorias_Registro[])</f>
        <v>201</v>
      </c>
      <c r="C2428" s="15">
        <f>IF(Categorias_Registro[[#This Row],[Puntos]]&lt;=ROUND(Piso,0),Piso,IF(Categorias_Registro[[#This Row],[Puntos]]&lt;D2429,C2429,D2429+1))</f>
        <v>202</v>
      </c>
      <c r="D2428" s="15">
        <f>IF(Categorias_Registro[[#This Row],[Puntos]]=ROUND(Piso,0),ROUND(Categorias_Registro[[#This Row],[Puntos]]*(1+Categorias_Registro[[#This Row],[Amplitud]]),0),IF(Categorias_Registro[[#This Row],[Puntos]]&lt;D2429,D2429,ROUND(D2429*(1+Categorias_Registro[[#This Row],[Amplitud]]),0)))</f>
        <v>231</v>
      </c>
      <c r="E2428" s="15">
        <f>E2429+IF(D2429=Categorias_Registro[[#This Row],[Máximo]],0,1)</f>
        <v>7</v>
      </c>
      <c r="F2428" s="15">
        <f>ROUND(Categorias_Registro[[#This Row],[Mínimo]]+((Categorias_Registro[[#This Row],[Máximo]]-Categorias_Registro[[#This Row],[Mínimo]])/2),0)</f>
        <v>217</v>
      </c>
      <c r="G2428" s="78">
        <f>VLOOKUP(Categorias_Registro[[#This Row],[Puntos]],Categorias_Configuracion[],MATCH(Categorias_Configuracion[[#Headers],[% Amplitud]],Categorias_Configuracion[#Headers],0),TRUE)</f>
        <v>0.15</v>
      </c>
      <c r="H2428" s="15" t="str">
        <f ca="1">TEXT(Categorias_Registro[[#This Row],[Mínimo]],Formato_Rango_Categorias)&amp;" - "&amp;TEXT(Categorias_Registro[[#This Row],[Máximo]],Formato_Rango_Categorias)</f>
        <v>202 - 231</v>
      </c>
    </row>
    <row r="2429" spans="2:8">
      <c r="B2429" s="15">
        <f>Techo - ROW() + ROW(Categorias_Registro[])</f>
        <v>200</v>
      </c>
      <c r="C2429" s="15">
        <f>IF(Categorias_Registro[[#This Row],[Puntos]]&lt;=ROUND(Piso,0),Piso,IF(Categorias_Registro[[#This Row],[Puntos]]&lt;D2430,C2430,D2430+1))</f>
        <v>176</v>
      </c>
      <c r="D2429" s="15">
        <f>IF(Categorias_Registro[[#This Row],[Puntos]]=ROUND(Piso,0),ROUND(Categorias_Registro[[#This Row],[Puntos]]*(1+Categorias_Registro[[#This Row],[Amplitud]]),0),IF(Categorias_Registro[[#This Row],[Puntos]]&lt;D2430,D2430,ROUND(D2430*(1+Categorias_Registro[[#This Row],[Amplitud]]),0)))</f>
        <v>201</v>
      </c>
      <c r="E2429" s="15">
        <f>E2430+IF(D2430=Categorias_Registro[[#This Row],[Máximo]],0,1)</f>
        <v>6</v>
      </c>
      <c r="F2429" s="15">
        <f>ROUND(Categorias_Registro[[#This Row],[Mínimo]]+((Categorias_Registro[[#This Row],[Máximo]]-Categorias_Registro[[#This Row],[Mínimo]])/2),0)</f>
        <v>189</v>
      </c>
      <c r="G2429" s="78">
        <f>VLOOKUP(Categorias_Registro[[#This Row],[Puntos]],Categorias_Configuracion[],MATCH(Categorias_Configuracion[[#Headers],[% Amplitud]],Categorias_Configuracion[#Headers],0),TRUE)</f>
        <v>0.15</v>
      </c>
      <c r="H2429" s="15" t="str">
        <f ca="1">TEXT(Categorias_Registro[[#This Row],[Mínimo]],Formato_Rango_Categorias)&amp;" - "&amp;TEXT(Categorias_Registro[[#This Row],[Máximo]],Formato_Rango_Categorias)</f>
        <v>176 - 201</v>
      </c>
    </row>
    <row r="2430" spans="2:8">
      <c r="B2430" s="15">
        <f>Techo - ROW() + ROW(Categorias_Registro[])</f>
        <v>199</v>
      </c>
      <c r="C2430" s="15">
        <f>IF(Categorias_Registro[[#This Row],[Puntos]]&lt;=ROUND(Piso,0),Piso,IF(Categorias_Registro[[#This Row],[Puntos]]&lt;D2431,C2431,D2431+1))</f>
        <v>176</v>
      </c>
      <c r="D2430" s="15">
        <f>IF(Categorias_Registro[[#This Row],[Puntos]]=ROUND(Piso,0),ROUND(Categorias_Registro[[#This Row],[Puntos]]*(1+Categorias_Registro[[#This Row],[Amplitud]]),0),IF(Categorias_Registro[[#This Row],[Puntos]]&lt;D2431,D2431,ROUND(D2431*(1+Categorias_Registro[[#This Row],[Amplitud]]),0)))</f>
        <v>201</v>
      </c>
      <c r="E2430" s="15">
        <f>E2431+IF(D2431=Categorias_Registro[[#This Row],[Máximo]],0,1)</f>
        <v>6</v>
      </c>
      <c r="F2430" s="15">
        <f>ROUND(Categorias_Registro[[#This Row],[Mínimo]]+((Categorias_Registro[[#This Row],[Máximo]]-Categorias_Registro[[#This Row],[Mínimo]])/2),0)</f>
        <v>189</v>
      </c>
      <c r="G2430" s="78">
        <f>VLOOKUP(Categorias_Registro[[#This Row],[Puntos]],Categorias_Configuracion[],MATCH(Categorias_Configuracion[[#Headers],[% Amplitud]],Categorias_Configuracion[#Headers],0),TRUE)</f>
        <v>0.15</v>
      </c>
      <c r="H2430" s="15" t="str">
        <f ca="1">TEXT(Categorias_Registro[[#This Row],[Mínimo]],Formato_Rango_Categorias)&amp;" - "&amp;TEXT(Categorias_Registro[[#This Row],[Máximo]],Formato_Rango_Categorias)</f>
        <v>176 - 201</v>
      </c>
    </row>
    <row r="2431" spans="2:8">
      <c r="B2431" s="15">
        <f>Techo - ROW() + ROW(Categorias_Registro[])</f>
        <v>198</v>
      </c>
      <c r="C2431" s="15">
        <f>IF(Categorias_Registro[[#This Row],[Puntos]]&lt;=ROUND(Piso,0),Piso,IF(Categorias_Registro[[#This Row],[Puntos]]&lt;D2432,C2432,D2432+1))</f>
        <v>176</v>
      </c>
      <c r="D2431" s="15">
        <f>IF(Categorias_Registro[[#This Row],[Puntos]]=ROUND(Piso,0),ROUND(Categorias_Registro[[#This Row],[Puntos]]*(1+Categorias_Registro[[#This Row],[Amplitud]]),0),IF(Categorias_Registro[[#This Row],[Puntos]]&lt;D2432,D2432,ROUND(D2432*(1+Categorias_Registro[[#This Row],[Amplitud]]),0)))</f>
        <v>201</v>
      </c>
      <c r="E2431" s="15">
        <f>E2432+IF(D2432=Categorias_Registro[[#This Row],[Máximo]],0,1)</f>
        <v>6</v>
      </c>
      <c r="F2431" s="15">
        <f>ROUND(Categorias_Registro[[#This Row],[Mínimo]]+((Categorias_Registro[[#This Row],[Máximo]]-Categorias_Registro[[#This Row],[Mínimo]])/2),0)</f>
        <v>189</v>
      </c>
      <c r="G2431" s="78">
        <f>VLOOKUP(Categorias_Registro[[#This Row],[Puntos]],Categorias_Configuracion[],MATCH(Categorias_Configuracion[[#Headers],[% Amplitud]],Categorias_Configuracion[#Headers],0),TRUE)</f>
        <v>0.15</v>
      </c>
      <c r="H2431" s="15" t="str">
        <f ca="1">TEXT(Categorias_Registro[[#This Row],[Mínimo]],Formato_Rango_Categorias)&amp;" - "&amp;TEXT(Categorias_Registro[[#This Row],[Máximo]],Formato_Rango_Categorias)</f>
        <v>176 - 201</v>
      </c>
    </row>
    <row r="2432" spans="2:8">
      <c r="B2432" s="15">
        <f>Techo - ROW() + ROW(Categorias_Registro[])</f>
        <v>197</v>
      </c>
      <c r="C2432" s="15">
        <f>IF(Categorias_Registro[[#This Row],[Puntos]]&lt;=ROUND(Piso,0),Piso,IF(Categorias_Registro[[#This Row],[Puntos]]&lt;D2433,C2433,D2433+1))</f>
        <v>176</v>
      </c>
      <c r="D2432" s="15">
        <f>IF(Categorias_Registro[[#This Row],[Puntos]]=ROUND(Piso,0),ROUND(Categorias_Registro[[#This Row],[Puntos]]*(1+Categorias_Registro[[#This Row],[Amplitud]]),0),IF(Categorias_Registro[[#This Row],[Puntos]]&lt;D2433,D2433,ROUND(D2433*(1+Categorias_Registro[[#This Row],[Amplitud]]),0)))</f>
        <v>201</v>
      </c>
      <c r="E2432" s="15">
        <f>E2433+IF(D2433=Categorias_Registro[[#This Row],[Máximo]],0,1)</f>
        <v>6</v>
      </c>
      <c r="F2432" s="15">
        <f>ROUND(Categorias_Registro[[#This Row],[Mínimo]]+((Categorias_Registro[[#This Row],[Máximo]]-Categorias_Registro[[#This Row],[Mínimo]])/2),0)</f>
        <v>189</v>
      </c>
      <c r="G2432" s="78">
        <f>VLOOKUP(Categorias_Registro[[#This Row],[Puntos]],Categorias_Configuracion[],MATCH(Categorias_Configuracion[[#Headers],[% Amplitud]],Categorias_Configuracion[#Headers],0),TRUE)</f>
        <v>0.15</v>
      </c>
      <c r="H2432" s="15" t="str">
        <f ca="1">TEXT(Categorias_Registro[[#This Row],[Mínimo]],Formato_Rango_Categorias)&amp;" - "&amp;TEXT(Categorias_Registro[[#This Row],[Máximo]],Formato_Rango_Categorias)</f>
        <v>176 - 201</v>
      </c>
    </row>
    <row r="2433" spans="2:8">
      <c r="B2433" s="15">
        <f>Techo - ROW() + ROW(Categorias_Registro[])</f>
        <v>196</v>
      </c>
      <c r="C2433" s="15">
        <f>IF(Categorias_Registro[[#This Row],[Puntos]]&lt;=ROUND(Piso,0),Piso,IF(Categorias_Registro[[#This Row],[Puntos]]&lt;D2434,C2434,D2434+1))</f>
        <v>176</v>
      </c>
      <c r="D2433" s="15">
        <f>IF(Categorias_Registro[[#This Row],[Puntos]]=ROUND(Piso,0),ROUND(Categorias_Registro[[#This Row],[Puntos]]*(1+Categorias_Registro[[#This Row],[Amplitud]]),0),IF(Categorias_Registro[[#This Row],[Puntos]]&lt;D2434,D2434,ROUND(D2434*(1+Categorias_Registro[[#This Row],[Amplitud]]),0)))</f>
        <v>201</v>
      </c>
      <c r="E2433" s="15">
        <f>E2434+IF(D2434=Categorias_Registro[[#This Row],[Máximo]],0,1)</f>
        <v>6</v>
      </c>
      <c r="F2433" s="15">
        <f>ROUND(Categorias_Registro[[#This Row],[Mínimo]]+((Categorias_Registro[[#This Row],[Máximo]]-Categorias_Registro[[#This Row],[Mínimo]])/2),0)</f>
        <v>189</v>
      </c>
      <c r="G2433" s="78">
        <f>VLOOKUP(Categorias_Registro[[#This Row],[Puntos]],Categorias_Configuracion[],MATCH(Categorias_Configuracion[[#Headers],[% Amplitud]],Categorias_Configuracion[#Headers],0),TRUE)</f>
        <v>0.15</v>
      </c>
      <c r="H2433" s="15" t="str">
        <f ca="1">TEXT(Categorias_Registro[[#This Row],[Mínimo]],Formato_Rango_Categorias)&amp;" - "&amp;TEXT(Categorias_Registro[[#This Row],[Máximo]],Formato_Rango_Categorias)</f>
        <v>176 - 201</v>
      </c>
    </row>
    <row r="2434" spans="2:8">
      <c r="B2434" s="15">
        <f>Techo - ROW() + ROW(Categorias_Registro[])</f>
        <v>195</v>
      </c>
      <c r="C2434" s="15">
        <f>IF(Categorias_Registro[[#This Row],[Puntos]]&lt;=ROUND(Piso,0),Piso,IF(Categorias_Registro[[#This Row],[Puntos]]&lt;D2435,C2435,D2435+1))</f>
        <v>176</v>
      </c>
      <c r="D2434" s="15">
        <f>IF(Categorias_Registro[[#This Row],[Puntos]]=ROUND(Piso,0),ROUND(Categorias_Registro[[#This Row],[Puntos]]*(1+Categorias_Registro[[#This Row],[Amplitud]]),0),IF(Categorias_Registro[[#This Row],[Puntos]]&lt;D2435,D2435,ROUND(D2435*(1+Categorias_Registro[[#This Row],[Amplitud]]),0)))</f>
        <v>201</v>
      </c>
      <c r="E2434" s="15">
        <f>E2435+IF(D2435=Categorias_Registro[[#This Row],[Máximo]],0,1)</f>
        <v>6</v>
      </c>
      <c r="F2434" s="15">
        <f>ROUND(Categorias_Registro[[#This Row],[Mínimo]]+((Categorias_Registro[[#This Row],[Máximo]]-Categorias_Registro[[#This Row],[Mínimo]])/2),0)</f>
        <v>189</v>
      </c>
      <c r="G2434" s="78">
        <f>VLOOKUP(Categorias_Registro[[#This Row],[Puntos]],Categorias_Configuracion[],MATCH(Categorias_Configuracion[[#Headers],[% Amplitud]],Categorias_Configuracion[#Headers],0),TRUE)</f>
        <v>0.15</v>
      </c>
      <c r="H2434" s="15" t="str">
        <f ca="1">TEXT(Categorias_Registro[[#This Row],[Mínimo]],Formato_Rango_Categorias)&amp;" - "&amp;TEXT(Categorias_Registro[[#This Row],[Máximo]],Formato_Rango_Categorias)</f>
        <v>176 - 201</v>
      </c>
    </row>
    <row r="2435" spans="2:8">
      <c r="B2435" s="15">
        <f>Techo - ROW() + ROW(Categorias_Registro[])</f>
        <v>194</v>
      </c>
      <c r="C2435" s="15">
        <f>IF(Categorias_Registro[[#This Row],[Puntos]]&lt;=ROUND(Piso,0),Piso,IF(Categorias_Registro[[#This Row],[Puntos]]&lt;D2436,C2436,D2436+1))</f>
        <v>176</v>
      </c>
      <c r="D2435" s="15">
        <f>IF(Categorias_Registro[[#This Row],[Puntos]]=ROUND(Piso,0),ROUND(Categorias_Registro[[#This Row],[Puntos]]*(1+Categorias_Registro[[#This Row],[Amplitud]]),0),IF(Categorias_Registro[[#This Row],[Puntos]]&lt;D2436,D2436,ROUND(D2436*(1+Categorias_Registro[[#This Row],[Amplitud]]),0)))</f>
        <v>201</v>
      </c>
      <c r="E2435" s="15">
        <f>E2436+IF(D2436=Categorias_Registro[[#This Row],[Máximo]],0,1)</f>
        <v>6</v>
      </c>
      <c r="F2435" s="15">
        <f>ROUND(Categorias_Registro[[#This Row],[Mínimo]]+((Categorias_Registro[[#This Row],[Máximo]]-Categorias_Registro[[#This Row],[Mínimo]])/2),0)</f>
        <v>189</v>
      </c>
      <c r="G2435" s="78">
        <f>VLOOKUP(Categorias_Registro[[#This Row],[Puntos]],Categorias_Configuracion[],MATCH(Categorias_Configuracion[[#Headers],[% Amplitud]],Categorias_Configuracion[#Headers],0),TRUE)</f>
        <v>0.15</v>
      </c>
      <c r="H2435" s="15" t="str">
        <f ca="1">TEXT(Categorias_Registro[[#This Row],[Mínimo]],Formato_Rango_Categorias)&amp;" - "&amp;TEXT(Categorias_Registro[[#This Row],[Máximo]],Formato_Rango_Categorias)</f>
        <v>176 - 201</v>
      </c>
    </row>
    <row r="2436" spans="2:8">
      <c r="B2436" s="15">
        <f>Techo - ROW() + ROW(Categorias_Registro[])</f>
        <v>193</v>
      </c>
      <c r="C2436" s="15">
        <f>IF(Categorias_Registro[[#This Row],[Puntos]]&lt;=ROUND(Piso,0),Piso,IF(Categorias_Registro[[#This Row],[Puntos]]&lt;D2437,C2437,D2437+1))</f>
        <v>176</v>
      </c>
      <c r="D2436" s="15">
        <f>IF(Categorias_Registro[[#This Row],[Puntos]]=ROUND(Piso,0),ROUND(Categorias_Registro[[#This Row],[Puntos]]*(1+Categorias_Registro[[#This Row],[Amplitud]]),0),IF(Categorias_Registro[[#This Row],[Puntos]]&lt;D2437,D2437,ROUND(D2437*(1+Categorias_Registro[[#This Row],[Amplitud]]),0)))</f>
        <v>201</v>
      </c>
      <c r="E2436" s="15">
        <f>E2437+IF(D2437=Categorias_Registro[[#This Row],[Máximo]],0,1)</f>
        <v>6</v>
      </c>
      <c r="F2436" s="15">
        <f>ROUND(Categorias_Registro[[#This Row],[Mínimo]]+((Categorias_Registro[[#This Row],[Máximo]]-Categorias_Registro[[#This Row],[Mínimo]])/2),0)</f>
        <v>189</v>
      </c>
      <c r="G2436" s="78">
        <f>VLOOKUP(Categorias_Registro[[#This Row],[Puntos]],Categorias_Configuracion[],MATCH(Categorias_Configuracion[[#Headers],[% Amplitud]],Categorias_Configuracion[#Headers],0),TRUE)</f>
        <v>0.15</v>
      </c>
      <c r="H2436" s="15" t="str">
        <f ca="1">TEXT(Categorias_Registro[[#This Row],[Mínimo]],Formato_Rango_Categorias)&amp;" - "&amp;TEXT(Categorias_Registro[[#This Row],[Máximo]],Formato_Rango_Categorias)</f>
        <v>176 - 201</v>
      </c>
    </row>
    <row r="2437" spans="2:8">
      <c r="B2437" s="15">
        <f>Techo - ROW() + ROW(Categorias_Registro[])</f>
        <v>192</v>
      </c>
      <c r="C2437" s="15">
        <f>IF(Categorias_Registro[[#This Row],[Puntos]]&lt;=ROUND(Piso,0),Piso,IF(Categorias_Registro[[#This Row],[Puntos]]&lt;D2438,C2438,D2438+1))</f>
        <v>176</v>
      </c>
      <c r="D2437" s="15">
        <f>IF(Categorias_Registro[[#This Row],[Puntos]]=ROUND(Piso,0),ROUND(Categorias_Registro[[#This Row],[Puntos]]*(1+Categorias_Registro[[#This Row],[Amplitud]]),0),IF(Categorias_Registro[[#This Row],[Puntos]]&lt;D2438,D2438,ROUND(D2438*(1+Categorias_Registro[[#This Row],[Amplitud]]),0)))</f>
        <v>201</v>
      </c>
      <c r="E2437" s="15">
        <f>E2438+IF(D2438=Categorias_Registro[[#This Row],[Máximo]],0,1)</f>
        <v>6</v>
      </c>
      <c r="F2437" s="15">
        <f>ROUND(Categorias_Registro[[#This Row],[Mínimo]]+((Categorias_Registro[[#This Row],[Máximo]]-Categorias_Registro[[#This Row],[Mínimo]])/2),0)</f>
        <v>189</v>
      </c>
      <c r="G2437" s="78">
        <f>VLOOKUP(Categorias_Registro[[#This Row],[Puntos]],Categorias_Configuracion[],MATCH(Categorias_Configuracion[[#Headers],[% Amplitud]],Categorias_Configuracion[#Headers],0),TRUE)</f>
        <v>0.15</v>
      </c>
      <c r="H2437" s="15" t="str">
        <f ca="1">TEXT(Categorias_Registro[[#This Row],[Mínimo]],Formato_Rango_Categorias)&amp;" - "&amp;TEXT(Categorias_Registro[[#This Row],[Máximo]],Formato_Rango_Categorias)</f>
        <v>176 - 201</v>
      </c>
    </row>
    <row r="2438" spans="2:8">
      <c r="B2438" s="15">
        <f>Techo - ROW() + ROW(Categorias_Registro[])</f>
        <v>191</v>
      </c>
      <c r="C2438" s="15">
        <f>IF(Categorias_Registro[[#This Row],[Puntos]]&lt;=ROUND(Piso,0),Piso,IF(Categorias_Registro[[#This Row],[Puntos]]&lt;D2439,C2439,D2439+1))</f>
        <v>176</v>
      </c>
      <c r="D2438" s="15">
        <f>IF(Categorias_Registro[[#This Row],[Puntos]]=ROUND(Piso,0),ROUND(Categorias_Registro[[#This Row],[Puntos]]*(1+Categorias_Registro[[#This Row],[Amplitud]]),0),IF(Categorias_Registro[[#This Row],[Puntos]]&lt;D2439,D2439,ROUND(D2439*(1+Categorias_Registro[[#This Row],[Amplitud]]),0)))</f>
        <v>201</v>
      </c>
      <c r="E2438" s="15">
        <f>E2439+IF(D2439=Categorias_Registro[[#This Row],[Máximo]],0,1)</f>
        <v>6</v>
      </c>
      <c r="F2438" s="15">
        <f>ROUND(Categorias_Registro[[#This Row],[Mínimo]]+((Categorias_Registro[[#This Row],[Máximo]]-Categorias_Registro[[#This Row],[Mínimo]])/2),0)</f>
        <v>189</v>
      </c>
      <c r="G2438" s="78">
        <f>VLOOKUP(Categorias_Registro[[#This Row],[Puntos]],Categorias_Configuracion[],MATCH(Categorias_Configuracion[[#Headers],[% Amplitud]],Categorias_Configuracion[#Headers],0),TRUE)</f>
        <v>0.15</v>
      </c>
      <c r="H2438" s="15" t="str">
        <f ca="1">TEXT(Categorias_Registro[[#This Row],[Mínimo]],Formato_Rango_Categorias)&amp;" - "&amp;TEXT(Categorias_Registro[[#This Row],[Máximo]],Formato_Rango_Categorias)</f>
        <v>176 - 201</v>
      </c>
    </row>
    <row r="2439" spans="2:8">
      <c r="B2439" s="15">
        <f>Techo - ROW() + ROW(Categorias_Registro[])</f>
        <v>190</v>
      </c>
      <c r="C2439" s="15">
        <f>IF(Categorias_Registro[[#This Row],[Puntos]]&lt;=ROUND(Piso,0),Piso,IF(Categorias_Registro[[#This Row],[Puntos]]&lt;D2440,C2440,D2440+1))</f>
        <v>176</v>
      </c>
      <c r="D2439" s="15">
        <f>IF(Categorias_Registro[[#This Row],[Puntos]]=ROUND(Piso,0),ROUND(Categorias_Registro[[#This Row],[Puntos]]*(1+Categorias_Registro[[#This Row],[Amplitud]]),0),IF(Categorias_Registro[[#This Row],[Puntos]]&lt;D2440,D2440,ROUND(D2440*(1+Categorias_Registro[[#This Row],[Amplitud]]),0)))</f>
        <v>201</v>
      </c>
      <c r="E2439" s="15">
        <f>E2440+IF(D2440=Categorias_Registro[[#This Row],[Máximo]],0,1)</f>
        <v>6</v>
      </c>
      <c r="F2439" s="15">
        <f>ROUND(Categorias_Registro[[#This Row],[Mínimo]]+((Categorias_Registro[[#This Row],[Máximo]]-Categorias_Registro[[#This Row],[Mínimo]])/2),0)</f>
        <v>189</v>
      </c>
      <c r="G2439" s="78">
        <f>VLOOKUP(Categorias_Registro[[#This Row],[Puntos]],Categorias_Configuracion[],MATCH(Categorias_Configuracion[[#Headers],[% Amplitud]],Categorias_Configuracion[#Headers],0),TRUE)</f>
        <v>0.15</v>
      </c>
      <c r="H2439" s="15" t="str">
        <f ca="1">TEXT(Categorias_Registro[[#This Row],[Mínimo]],Formato_Rango_Categorias)&amp;" - "&amp;TEXT(Categorias_Registro[[#This Row],[Máximo]],Formato_Rango_Categorias)</f>
        <v>176 - 201</v>
      </c>
    </row>
    <row r="2440" spans="2:8">
      <c r="B2440" s="15">
        <f>Techo - ROW() + ROW(Categorias_Registro[])</f>
        <v>189</v>
      </c>
      <c r="C2440" s="15">
        <f>IF(Categorias_Registro[[#This Row],[Puntos]]&lt;=ROUND(Piso,0),Piso,IF(Categorias_Registro[[#This Row],[Puntos]]&lt;D2441,C2441,D2441+1))</f>
        <v>176</v>
      </c>
      <c r="D2440" s="15">
        <f>IF(Categorias_Registro[[#This Row],[Puntos]]=ROUND(Piso,0),ROUND(Categorias_Registro[[#This Row],[Puntos]]*(1+Categorias_Registro[[#This Row],[Amplitud]]),0),IF(Categorias_Registro[[#This Row],[Puntos]]&lt;D2441,D2441,ROUND(D2441*(1+Categorias_Registro[[#This Row],[Amplitud]]),0)))</f>
        <v>201</v>
      </c>
      <c r="E2440" s="15">
        <f>E2441+IF(D2441=Categorias_Registro[[#This Row],[Máximo]],0,1)</f>
        <v>6</v>
      </c>
      <c r="F2440" s="15">
        <f>ROUND(Categorias_Registro[[#This Row],[Mínimo]]+((Categorias_Registro[[#This Row],[Máximo]]-Categorias_Registro[[#This Row],[Mínimo]])/2),0)</f>
        <v>189</v>
      </c>
      <c r="G2440" s="78">
        <f>VLOOKUP(Categorias_Registro[[#This Row],[Puntos]],Categorias_Configuracion[],MATCH(Categorias_Configuracion[[#Headers],[% Amplitud]],Categorias_Configuracion[#Headers],0),TRUE)</f>
        <v>0.15</v>
      </c>
      <c r="H2440" s="15" t="str">
        <f ca="1">TEXT(Categorias_Registro[[#This Row],[Mínimo]],Formato_Rango_Categorias)&amp;" - "&amp;TEXT(Categorias_Registro[[#This Row],[Máximo]],Formato_Rango_Categorias)</f>
        <v>176 - 201</v>
      </c>
    </row>
    <row r="2441" spans="2:8">
      <c r="B2441" s="15">
        <f>Techo - ROW() + ROW(Categorias_Registro[])</f>
        <v>188</v>
      </c>
      <c r="C2441" s="15">
        <f>IF(Categorias_Registro[[#This Row],[Puntos]]&lt;=ROUND(Piso,0),Piso,IF(Categorias_Registro[[#This Row],[Puntos]]&lt;D2442,C2442,D2442+1))</f>
        <v>176</v>
      </c>
      <c r="D2441" s="15">
        <f>IF(Categorias_Registro[[#This Row],[Puntos]]=ROUND(Piso,0),ROUND(Categorias_Registro[[#This Row],[Puntos]]*(1+Categorias_Registro[[#This Row],[Amplitud]]),0),IF(Categorias_Registro[[#This Row],[Puntos]]&lt;D2442,D2442,ROUND(D2442*(1+Categorias_Registro[[#This Row],[Amplitud]]),0)))</f>
        <v>201</v>
      </c>
      <c r="E2441" s="15">
        <f>E2442+IF(D2442=Categorias_Registro[[#This Row],[Máximo]],0,1)</f>
        <v>6</v>
      </c>
      <c r="F2441" s="15">
        <f>ROUND(Categorias_Registro[[#This Row],[Mínimo]]+((Categorias_Registro[[#This Row],[Máximo]]-Categorias_Registro[[#This Row],[Mínimo]])/2),0)</f>
        <v>189</v>
      </c>
      <c r="G2441" s="78">
        <f>VLOOKUP(Categorias_Registro[[#This Row],[Puntos]],Categorias_Configuracion[],MATCH(Categorias_Configuracion[[#Headers],[% Amplitud]],Categorias_Configuracion[#Headers],0),TRUE)</f>
        <v>0.15</v>
      </c>
      <c r="H2441" s="15" t="str">
        <f ca="1">TEXT(Categorias_Registro[[#This Row],[Mínimo]],Formato_Rango_Categorias)&amp;" - "&amp;TEXT(Categorias_Registro[[#This Row],[Máximo]],Formato_Rango_Categorias)</f>
        <v>176 - 201</v>
      </c>
    </row>
    <row r="2442" spans="2:8">
      <c r="B2442" s="15">
        <f>Techo - ROW() + ROW(Categorias_Registro[])</f>
        <v>187</v>
      </c>
      <c r="C2442" s="15">
        <f>IF(Categorias_Registro[[#This Row],[Puntos]]&lt;=ROUND(Piso,0),Piso,IF(Categorias_Registro[[#This Row],[Puntos]]&lt;D2443,C2443,D2443+1))</f>
        <v>176</v>
      </c>
      <c r="D2442" s="15">
        <f>IF(Categorias_Registro[[#This Row],[Puntos]]=ROUND(Piso,0),ROUND(Categorias_Registro[[#This Row],[Puntos]]*(1+Categorias_Registro[[#This Row],[Amplitud]]),0),IF(Categorias_Registro[[#This Row],[Puntos]]&lt;D2443,D2443,ROUND(D2443*(1+Categorias_Registro[[#This Row],[Amplitud]]),0)))</f>
        <v>201</v>
      </c>
      <c r="E2442" s="15">
        <f>E2443+IF(D2443=Categorias_Registro[[#This Row],[Máximo]],0,1)</f>
        <v>6</v>
      </c>
      <c r="F2442" s="15">
        <f>ROUND(Categorias_Registro[[#This Row],[Mínimo]]+((Categorias_Registro[[#This Row],[Máximo]]-Categorias_Registro[[#This Row],[Mínimo]])/2),0)</f>
        <v>189</v>
      </c>
      <c r="G2442" s="78">
        <f>VLOOKUP(Categorias_Registro[[#This Row],[Puntos]],Categorias_Configuracion[],MATCH(Categorias_Configuracion[[#Headers],[% Amplitud]],Categorias_Configuracion[#Headers],0),TRUE)</f>
        <v>0.15</v>
      </c>
      <c r="H2442" s="15" t="str">
        <f ca="1">TEXT(Categorias_Registro[[#This Row],[Mínimo]],Formato_Rango_Categorias)&amp;" - "&amp;TEXT(Categorias_Registro[[#This Row],[Máximo]],Formato_Rango_Categorias)</f>
        <v>176 - 201</v>
      </c>
    </row>
    <row r="2443" spans="2:8">
      <c r="B2443" s="15">
        <f>Techo - ROW() + ROW(Categorias_Registro[])</f>
        <v>186</v>
      </c>
      <c r="C2443" s="15">
        <f>IF(Categorias_Registro[[#This Row],[Puntos]]&lt;=ROUND(Piso,0),Piso,IF(Categorias_Registro[[#This Row],[Puntos]]&lt;D2444,C2444,D2444+1))</f>
        <v>176</v>
      </c>
      <c r="D2443" s="15">
        <f>IF(Categorias_Registro[[#This Row],[Puntos]]=ROUND(Piso,0),ROUND(Categorias_Registro[[#This Row],[Puntos]]*(1+Categorias_Registro[[#This Row],[Amplitud]]),0),IF(Categorias_Registro[[#This Row],[Puntos]]&lt;D2444,D2444,ROUND(D2444*(1+Categorias_Registro[[#This Row],[Amplitud]]),0)))</f>
        <v>201</v>
      </c>
      <c r="E2443" s="15">
        <f>E2444+IF(D2444=Categorias_Registro[[#This Row],[Máximo]],0,1)</f>
        <v>6</v>
      </c>
      <c r="F2443" s="15">
        <f>ROUND(Categorias_Registro[[#This Row],[Mínimo]]+((Categorias_Registro[[#This Row],[Máximo]]-Categorias_Registro[[#This Row],[Mínimo]])/2),0)</f>
        <v>189</v>
      </c>
      <c r="G2443" s="78">
        <f>VLOOKUP(Categorias_Registro[[#This Row],[Puntos]],Categorias_Configuracion[],MATCH(Categorias_Configuracion[[#Headers],[% Amplitud]],Categorias_Configuracion[#Headers],0),TRUE)</f>
        <v>0.15</v>
      </c>
      <c r="H2443" s="15" t="str">
        <f ca="1">TEXT(Categorias_Registro[[#This Row],[Mínimo]],Formato_Rango_Categorias)&amp;" - "&amp;TEXT(Categorias_Registro[[#This Row],[Máximo]],Formato_Rango_Categorias)</f>
        <v>176 - 201</v>
      </c>
    </row>
    <row r="2444" spans="2:8">
      <c r="B2444" s="15">
        <f>Techo - ROW() + ROW(Categorias_Registro[])</f>
        <v>185</v>
      </c>
      <c r="C2444" s="15">
        <f>IF(Categorias_Registro[[#This Row],[Puntos]]&lt;=ROUND(Piso,0),Piso,IF(Categorias_Registro[[#This Row],[Puntos]]&lt;D2445,C2445,D2445+1))</f>
        <v>176</v>
      </c>
      <c r="D2444" s="15">
        <f>IF(Categorias_Registro[[#This Row],[Puntos]]=ROUND(Piso,0),ROUND(Categorias_Registro[[#This Row],[Puntos]]*(1+Categorias_Registro[[#This Row],[Amplitud]]),0),IF(Categorias_Registro[[#This Row],[Puntos]]&lt;D2445,D2445,ROUND(D2445*(1+Categorias_Registro[[#This Row],[Amplitud]]),0)))</f>
        <v>201</v>
      </c>
      <c r="E2444" s="15">
        <f>E2445+IF(D2445=Categorias_Registro[[#This Row],[Máximo]],0,1)</f>
        <v>6</v>
      </c>
      <c r="F2444" s="15">
        <f>ROUND(Categorias_Registro[[#This Row],[Mínimo]]+((Categorias_Registro[[#This Row],[Máximo]]-Categorias_Registro[[#This Row],[Mínimo]])/2),0)</f>
        <v>189</v>
      </c>
      <c r="G2444" s="78">
        <f>VLOOKUP(Categorias_Registro[[#This Row],[Puntos]],Categorias_Configuracion[],MATCH(Categorias_Configuracion[[#Headers],[% Amplitud]],Categorias_Configuracion[#Headers],0),TRUE)</f>
        <v>0.15</v>
      </c>
      <c r="H2444" s="15" t="str">
        <f ca="1">TEXT(Categorias_Registro[[#This Row],[Mínimo]],Formato_Rango_Categorias)&amp;" - "&amp;TEXT(Categorias_Registro[[#This Row],[Máximo]],Formato_Rango_Categorias)</f>
        <v>176 - 201</v>
      </c>
    </row>
    <row r="2445" spans="2:8">
      <c r="B2445" s="15">
        <f>Techo - ROW() + ROW(Categorias_Registro[])</f>
        <v>184</v>
      </c>
      <c r="C2445" s="15">
        <f>IF(Categorias_Registro[[#This Row],[Puntos]]&lt;=ROUND(Piso,0),Piso,IF(Categorias_Registro[[#This Row],[Puntos]]&lt;D2446,C2446,D2446+1))</f>
        <v>176</v>
      </c>
      <c r="D2445" s="15">
        <f>IF(Categorias_Registro[[#This Row],[Puntos]]=ROUND(Piso,0),ROUND(Categorias_Registro[[#This Row],[Puntos]]*(1+Categorias_Registro[[#This Row],[Amplitud]]),0),IF(Categorias_Registro[[#This Row],[Puntos]]&lt;D2446,D2446,ROUND(D2446*(1+Categorias_Registro[[#This Row],[Amplitud]]),0)))</f>
        <v>201</v>
      </c>
      <c r="E2445" s="15">
        <f>E2446+IF(D2446=Categorias_Registro[[#This Row],[Máximo]],0,1)</f>
        <v>6</v>
      </c>
      <c r="F2445" s="15">
        <f>ROUND(Categorias_Registro[[#This Row],[Mínimo]]+((Categorias_Registro[[#This Row],[Máximo]]-Categorias_Registro[[#This Row],[Mínimo]])/2),0)</f>
        <v>189</v>
      </c>
      <c r="G2445" s="78">
        <f>VLOOKUP(Categorias_Registro[[#This Row],[Puntos]],Categorias_Configuracion[],MATCH(Categorias_Configuracion[[#Headers],[% Amplitud]],Categorias_Configuracion[#Headers],0),TRUE)</f>
        <v>0.15</v>
      </c>
      <c r="H2445" s="15" t="str">
        <f ca="1">TEXT(Categorias_Registro[[#This Row],[Mínimo]],Formato_Rango_Categorias)&amp;" - "&amp;TEXT(Categorias_Registro[[#This Row],[Máximo]],Formato_Rango_Categorias)</f>
        <v>176 - 201</v>
      </c>
    </row>
    <row r="2446" spans="2:8">
      <c r="B2446" s="15">
        <f>Techo - ROW() + ROW(Categorias_Registro[])</f>
        <v>183</v>
      </c>
      <c r="C2446" s="15">
        <f>IF(Categorias_Registro[[#This Row],[Puntos]]&lt;=ROUND(Piso,0),Piso,IF(Categorias_Registro[[#This Row],[Puntos]]&lt;D2447,C2447,D2447+1))</f>
        <v>176</v>
      </c>
      <c r="D2446" s="15">
        <f>IF(Categorias_Registro[[#This Row],[Puntos]]=ROUND(Piso,0),ROUND(Categorias_Registro[[#This Row],[Puntos]]*(1+Categorias_Registro[[#This Row],[Amplitud]]),0),IF(Categorias_Registro[[#This Row],[Puntos]]&lt;D2447,D2447,ROUND(D2447*(1+Categorias_Registro[[#This Row],[Amplitud]]),0)))</f>
        <v>201</v>
      </c>
      <c r="E2446" s="15">
        <f>E2447+IF(D2447=Categorias_Registro[[#This Row],[Máximo]],0,1)</f>
        <v>6</v>
      </c>
      <c r="F2446" s="15">
        <f>ROUND(Categorias_Registro[[#This Row],[Mínimo]]+((Categorias_Registro[[#This Row],[Máximo]]-Categorias_Registro[[#This Row],[Mínimo]])/2),0)</f>
        <v>189</v>
      </c>
      <c r="G2446" s="78">
        <f>VLOOKUP(Categorias_Registro[[#This Row],[Puntos]],Categorias_Configuracion[],MATCH(Categorias_Configuracion[[#Headers],[% Amplitud]],Categorias_Configuracion[#Headers],0),TRUE)</f>
        <v>0.15</v>
      </c>
      <c r="H2446" s="15" t="str">
        <f ca="1">TEXT(Categorias_Registro[[#This Row],[Mínimo]],Formato_Rango_Categorias)&amp;" - "&amp;TEXT(Categorias_Registro[[#This Row],[Máximo]],Formato_Rango_Categorias)</f>
        <v>176 - 201</v>
      </c>
    </row>
    <row r="2447" spans="2:8">
      <c r="B2447" s="15">
        <f>Techo - ROW() + ROW(Categorias_Registro[])</f>
        <v>182</v>
      </c>
      <c r="C2447" s="15">
        <f>IF(Categorias_Registro[[#This Row],[Puntos]]&lt;=ROUND(Piso,0),Piso,IF(Categorias_Registro[[#This Row],[Puntos]]&lt;D2448,C2448,D2448+1))</f>
        <v>176</v>
      </c>
      <c r="D2447" s="15">
        <f>IF(Categorias_Registro[[#This Row],[Puntos]]=ROUND(Piso,0),ROUND(Categorias_Registro[[#This Row],[Puntos]]*(1+Categorias_Registro[[#This Row],[Amplitud]]),0),IF(Categorias_Registro[[#This Row],[Puntos]]&lt;D2448,D2448,ROUND(D2448*(1+Categorias_Registro[[#This Row],[Amplitud]]),0)))</f>
        <v>201</v>
      </c>
      <c r="E2447" s="15">
        <f>E2448+IF(D2448=Categorias_Registro[[#This Row],[Máximo]],0,1)</f>
        <v>6</v>
      </c>
      <c r="F2447" s="15">
        <f>ROUND(Categorias_Registro[[#This Row],[Mínimo]]+((Categorias_Registro[[#This Row],[Máximo]]-Categorias_Registro[[#This Row],[Mínimo]])/2),0)</f>
        <v>189</v>
      </c>
      <c r="G2447" s="78">
        <f>VLOOKUP(Categorias_Registro[[#This Row],[Puntos]],Categorias_Configuracion[],MATCH(Categorias_Configuracion[[#Headers],[% Amplitud]],Categorias_Configuracion[#Headers],0),TRUE)</f>
        <v>0.15</v>
      </c>
      <c r="H2447" s="15" t="str">
        <f ca="1">TEXT(Categorias_Registro[[#This Row],[Mínimo]],Formato_Rango_Categorias)&amp;" - "&amp;TEXT(Categorias_Registro[[#This Row],[Máximo]],Formato_Rango_Categorias)</f>
        <v>176 - 201</v>
      </c>
    </row>
    <row r="2448" spans="2:8">
      <c r="B2448" s="15">
        <f>Techo - ROW() + ROW(Categorias_Registro[])</f>
        <v>181</v>
      </c>
      <c r="C2448" s="15">
        <f>IF(Categorias_Registro[[#This Row],[Puntos]]&lt;=ROUND(Piso,0),Piso,IF(Categorias_Registro[[#This Row],[Puntos]]&lt;D2449,C2449,D2449+1))</f>
        <v>176</v>
      </c>
      <c r="D2448" s="15">
        <f>IF(Categorias_Registro[[#This Row],[Puntos]]=ROUND(Piso,0),ROUND(Categorias_Registro[[#This Row],[Puntos]]*(1+Categorias_Registro[[#This Row],[Amplitud]]),0),IF(Categorias_Registro[[#This Row],[Puntos]]&lt;D2449,D2449,ROUND(D2449*(1+Categorias_Registro[[#This Row],[Amplitud]]),0)))</f>
        <v>201</v>
      </c>
      <c r="E2448" s="15">
        <f>E2449+IF(D2449=Categorias_Registro[[#This Row],[Máximo]],0,1)</f>
        <v>6</v>
      </c>
      <c r="F2448" s="15">
        <f>ROUND(Categorias_Registro[[#This Row],[Mínimo]]+((Categorias_Registro[[#This Row],[Máximo]]-Categorias_Registro[[#This Row],[Mínimo]])/2),0)</f>
        <v>189</v>
      </c>
      <c r="G2448" s="78">
        <f>VLOOKUP(Categorias_Registro[[#This Row],[Puntos]],Categorias_Configuracion[],MATCH(Categorias_Configuracion[[#Headers],[% Amplitud]],Categorias_Configuracion[#Headers],0),TRUE)</f>
        <v>0.15</v>
      </c>
      <c r="H2448" s="15" t="str">
        <f ca="1">TEXT(Categorias_Registro[[#This Row],[Mínimo]],Formato_Rango_Categorias)&amp;" - "&amp;TEXT(Categorias_Registro[[#This Row],[Máximo]],Formato_Rango_Categorias)</f>
        <v>176 - 201</v>
      </c>
    </row>
    <row r="2449" spans="2:8">
      <c r="B2449" s="15">
        <f>Techo - ROW() + ROW(Categorias_Registro[])</f>
        <v>180</v>
      </c>
      <c r="C2449" s="15">
        <f>IF(Categorias_Registro[[#This Row],[Puntos]]&lt;=ROUND(Piso,0),Piso,IF(Categorias_Registro[[#This Row],[Puntos]]&lt;D2450,C2450,D2450+1))</f>
        <v>176</v>
      </c>
      <c r="D2449" s="15">
        <f>IF(Categorias_Registro[[#This Row],[Puntos]]=ROUND(Piso,0),ROUND(Categorias_Registro[[#This Row],[Puntos]]*(1+Categorias_Registro[[#This Row],[Amplitud]]),0),IF(Categorias_Registro[[#This Row],[Puntos]]&lt;D2450,D2450,ROUND(D2450*(1+Categorias_Registro[[#This Row],[Amplitud]]),0)))</f>
        <v>201</v>
      </c>
      <c r="E2449" s="15">
        <f>E2450+IF(D2450=Categorias_Registro[[#This Row],[Máximo]],0,1)</f>
        <v>6</v>
      </c>
      <c r="F2449" s="15">
        <f>ROUND(Categorias_Registro[[#This Row],[Mínimo]]+((Categorias_Registro[[#This Row],[Máximo]]-Categorias_Registro[[#This Row],[Mínimo]])/2),0)</f>
        <v>189</v>
      </c>
      <c r="G2449" s="78">
        <f>VLOOKUP(Categorias_Registro[[#This Row],[Puntos]],Categorias_Configuracion[],MATCH(Categorias_Configuracion[[#Headers],[% Amplitud]],Categorias_Configuracion[#Headers],0),TRUE)</f>
        <v>0.15</v>
      </c>
      <c r="H2449" s="15" t="str">
        <f ca="1">TEXT(Categorias_Registro[[#This Row],[Mínimo]],Formato_Rango_Categorias)&amp;" - "&amp;TEXT(Categorias_Registro[[#This Row],[Máximo]],Formato_Rango_Categorias)</f>
        <v>176 - 201</v>
      </c>
    </row>
    <row r="2450" spans="2:8">
      <c r="B2450" s="15">
        <f>Techo - ROW() + ROW(Categorias_Registro[])</f>
        <v>179</v>
      </c>
      <c r="C2450" s="15">
        <f>IF(Categorias_Registro[[#This Row],[Puntos]]&lt;=ROUND(Piso,0),Piso,IF(Categorias_Registro[[#This Row],[Puntos]]&lt;D2451,C2451,D2451+1))</f>
        <v>176</v>
      </c>
      <c r="D2450" s="15">
        <f>IF(Categorias_Registro[[#This Row],[Puntos]]=ROUND(Piso,0),ROUND(Categorias_Registro[[#This Row],[Puntos]]*(1+Categorias_Registro[[#This Row],[Amplitud]]),0),IF(Categorias_Registro[[#This Row],[Puntos]]&lt;D2451,D2451,ROUND(D2451*(1+Categorias_Registro[[#This Row],[Amplitud]]),0)))</f>
        <v>201</v>
      </c>
      <c r="E2450" s="15">
        <f>E2451+IF(D2451=Categorias_Registro[[#This Row],[Máximo]],0,1)</f>
        <v>6</v>
      </c>
      <c r="F2450" s="15">
        <f>ROUND(Categorias_Registro[[#This Row],[Mínimo]]+((Categorias_Registro[[#This Row],[Máximo]]-Categorias_Registro[[#This Row],[Mínimo]])/2),0)</f>
        <v>189</v>
      </c>
      <c r="G2450" s="78">
        <f>VLOOKUP(Categorias_Registro[[#This Row],[Puntos]],Categorias_Configuracion[],MATCH(Categorias_Configuracion[[#Headers],[% Amplitud]],Categorias_Configuracion[#Headers],0),TRUE)</f>
        <v>0.15</v>
      </c>
      <c r="H2450" s="15" t="str">
        <f ca="1">TEXT(Categorias_Registro[[#This Row],[Mínimo]],Formato_Rango_Categorias)&amp;" - "&amp;TEXT(Categorias_Registro[[#This Row],[Máximo]],Formato_Rango_Categorias)</f>
        <v>176 - 201</v>
      </c>
    </row>
    <row r="2451" spans="2:8">
      <c r="B2451" s="15">
        <f>Techo - ROW() + ROW(Categorias_Registro[])</f>
        <v>178</v>
      </c>
      <c r="C2451" s="15">
        <f>IF(Categorias_Registro[[#This Row],[Puntos]]&lt;=ROUND(Piso,0),Piso,IF(Categorias_Registro[[#This Row],[Puntos]]&lt;D2452,C2452,D2452+1))</f>
        <v>176</v>
      </c>
      <c r="D2451" s="15">
        <f>IF(Categorias_Registro[[#This Row],[Puntos]]=ROUND(Piso,0),ROUND(Categorias_Registro[[#This Row],[Puntos]]*(1+Categorias_Registro[[#This Row],[Amplitud]]),0),IF(Categorias_Registro[[#This Row],[Puntos]]&lt;D2452,D2452,ROUND(D2452*(1+Categorias_Registro[[#This Row],[Amplitud]]),0)))</f>
        <v>201</v>
      </c>
      <c r="E2451" s="15">
        <f>E2452+IF(D2452=Categorias_Registro[[#This Row],[Máximo]],0,1)</f>
        <v>6</v>
      </c>
      <c r="F2451" s="15">
        <f>ROUND(Categorias_Registro[[#This Row],[Mínimo]]+((Categorias_Registro[[#This Row],[Máximo]]-Categorias_Registro[[#This Row],[Mínimo]])/2),0)</f>
        <v>189</v>
      </c>
      <c r="G2451" s="78">
        <f>VLOOKUP(Categorias_Registro[[#This Row],[Puntos]],Categorias_Configuracion[],MATCH(Categorias_Configuracion[[#Headers],[% Amplitud]],Categorias_Configuracion[#Headers],0),TRUE)</f>
        <v>0.15</v>
      </c>
      <c r="H2451" s="15" t="str">
        <f ca="1">TEXT(Categorias_Registro[[#This Row],[Mínimo]],Formato_Rango_Categorias)&amp;" - "&amp;TEXT(Categorias_Registro[[#This Row],[Máximo]],Formato_Rango_Categorias)</f>
        <v>176 - 201</v>
      </c>
    </row>
    <row r="2452" spans="2:8">
      <c r="B2452" s="15">
        <f>Techo - ROW() + ROW(Categorias_Registro[])</f>
        <v>177</v>
      </c>
      <c r="C2452" s="15">
        <f>IF(Categorias_Registro[[#This Row],[Puntos]]&lt;=ROUND(Piso,0),Piso,IF(Categorias_Registro[[#This Row],[Puntos]]&lt;D2453,C2453,D2453+1))</f>
        <v>176</v>
      </c>
      <c r="D2452" s="15">
        <f>IF(Categorias_Registro[[#This Row],[Puntos]]=ROUND(Piso,0),ROUND(Categorias_Registro[[#This Row],[Puntos]]*(1+Categorias_Registro[[#This Row],[Amplitud]]),0),IF(Categorias_Registro[[#This Row],[Puntos]]&lt;D2453,D2453,ROUND(D2453*(1+Categorias_Registro[[#This Row],[Amplitud]]),0)))</f>
        <v>201</v>
      </c>
      <c r="E2452" s="15">
        <f>E2453+IF(D2453=Categorias_Registro[[#This Row],[Máximo]],0,1)</f>
        <v>6</v>
      </c>
      <c r="F2452" s="15">
        <f>ROUND(Categorias_Registro[[#This Row],[Mínimo]]+((Categorias_Registro[[#This Row],[Máximo]]-Categorias_Registro[[#This Row],[Mínimo]])/2),0)</f>
        <v>189</v>
      </c>
      <c r="G2452" s="78">
        <f>VLOOKUP(Categorias_Registro[[#This Row],[Puntos]],Categorias_Configuracion[],MATCH(Categorias_Configuracion[[#Headers],[% Amplitud]],Categorias_Configuracion[#Headers],0),TRUE)</f>
        <v>0.15</v>
      </c>
      <c r="H2452" s="15" t="str">
        <f ca="1">TEXT(Categorias_Registro[[#This Row],[Mínimo]],Formato_Rango_Categorias)&amp;" - "&amp;TEXT(Categorias_Registro[[#This Row],[Máximo]],Formato_Rango_Categorias)</f>
        <v>176 - 201</v>
      </c>
    </row>
    <row r="2453" spans="2:8">
      <c r="B2453" s="15">
        <f>Techo - ROW() + ROW(Categorias_Registro[])</f>
        <v>176</v>
      </c>
      <c r="C2453" s="15">
        <f>IF(Categorias_Registro[[#This Row],[Puntos]]&lt;=ROUND(Piso,0),Piso,IF(Categorias_Registro[[#This Row],[Puntos]]&lt;D2454,C2454,D2454+1))</f>
        <v>176</v>
      </c>
      <c r="D2453" s="15">
        <f>IF(Categorias_Registro[[#This Row],[Puntos]]=ROUND(Piso,0),ROUND(Categorias_Registro[[#This Row],[Puntos]]*(1+Categorias_Registro[[#This Row],[Amplitud]]),0),IF(Categorias_Registro[[#This Row],[Puntos]]&lt;D2454,D2454,ROUND(D2454*(1+Categorias_Registro[[#This Row],[Amplitud]]),0)))</f>
        <v>201</v>
      </c>
      <c r="E2453" s="15">
        <f>E2454+IF(D2454=Categorias_Registro[[#This Row],[Máximo]],0,1)</f>
        <v>6</v>
      </c>
      <c r="F2453" s="15">
        <f>ROUND(Categorias_Registro[[#This Row],[Mínimo]]+((Categorias_Registro[[#This Row],[Máximo]]-Categorias_Registro[[#This Row],[Mínimo]])/2),0)</f>
        <v>189</v>
      </c>
      <c r="G2453" s="78">
        <f>VLOOKUP(Categorias_Registro[[#This Row],[Puntos]],Categorias_Configuracion[],MATCH(Categorias_Configuracion[[#Headers],[% Amplitud]],Categorias_Configuracion[#Headers],0),TRUE)</f>
        <v>0.15</v>
      </c>
      <c r="H2453" s="15" t="str">
        <f ca="1">TEXT(Categorias_Registro[[#This Row],[Mínimo]],Formato_Rango_Categorias)&amp;" - "&amp;TEXT(Categorias_Registro[[#This Row],[Máximo]],Formato_Rango_Categorias)</f>
        <v>176 - 201</v>
      </c>
    </row>
    <row r="2454" spans="2:8">
      <c r="B2454" s="15">
        <f>Techo - ROW() + ROW(Categorias_Registro[])</f>
        <v>175</v>
      </c>
      <c r="C2454" s="15">
        <f>IF(Categorias_Registro[[#This Row],[Puntos]]&lt;=ROUND(Piso,0),Piso,IF(Categorias_Registro[[#This Row],[Puntos]]&lt;D2455,C2455,D2455+1))</f>
        <v>176</v>
      </c>
      <c r="D2454" s="15">
        <f>IF(Categorias_Registro[[#This Row],[Puntos]]=ROUND(Piso,0),ROUND(Categorias_Registro[[#This Row],[Puntos]]*(1+Categorias_Registro[[#This Row],[Amplitud]]),0),IF(Categorias_Registro[[#This Row],[Puntos]]&lt;D2455,D2455,ROUND(D2455*(1+Categorias_Registro[[#This Row],[Amplitud]]),0)))</f>
        <v>201</v>
      </c>
      <c r="E2454" s="15">
        <f>E2455+IF(D2455=Categorias_Registro[[#This Row],[Máximo]],0,1)</f>
        <v>6</v>
      </c>
      <c r="F2454" s="15">
        <f>ROUND(Categorias_Registro[[#This Row],[Mínimo]]+((Categorias_Registro[[#This Row],[Máximo]]-Categorias_Registro[[#This Row],[Mínimo]])/2),0)</f>
        <v>189</v>
      </c>
      <c r="G2454" s="78">
        <f>VLOOKUP(Categorias_Registro[[#This Row],[Puntos]],Categorias_Configuracion[],MATCH(Categorias_Configuracion[[#Headers],[% Amplitud]],Categorias_Configuracion[#Headers],0),TRUE)</f>
        <v>0.15</v>
      </c>
      <c r="H2454" s="15" t="str">
        <f ca="1">TEXT(Categorias_Registro[[#This Row],[Mínimo]],Formato_Rango_Categorias)&amp;" - "&amp;TEXT(Categorias_Registro[[#This Row],[Máximo]],Formato_Rango_Categorias)</f>
        <v>176 - 201</v>
      </c>
    </row>
    <row r="2455" spans="2:8">
      <c r="B2455" s="15">
        <f>Techo - ROW() + ROW(Categorias_Registro[])</f>
        <v>174</v>
      </c>
      <c r="C2455" s="15">
        <f>IF(Categorias_Registro[[#This Row],[Puntos]]&lt;=ROUND(Piso,0),Piso,IF(Categorias_Registro[[#This Row],[Puntos]]&lt;D2456,C2456,D2456+1))</f>
        <v>153</v>
      </c>
      <c r="D2455" s="15">
        <f>IF(Categorias_Registro[[#This Row],[Puntos]]=ROUND(Piso,0),ROUND(Categorias_Registro[[#This Row],[Puntos]]*(1+Categorias_Registro[[#This Row],[Amplitud]]),0),IF(Categorias_Registro[[#This Row],[Puntos]]&lt;D2456,D2456,ROUND(D2456*(1+Categorias_Registro[[#This Row],[Amplitud]]),0)))</f>
        <v>175</v>
      </c>
      <c r="E2455" s="15">
        <f>E2456+IF(D2456=Categorias_Registro[[#This Row],[Máximo]],0,1)</f>
        <v>5</v>
      </c>
      <c r="F2455" s="15">
        <f>ROUND(Categorias_Registro[[#This Row],[Mínimo]]+((Categorias_Registro[[#This Row],[Máximo]]-Categorias_Registro[[#This Row],[Mínimo]])/2),0)</f>
        <v>164</v>
      </c>
      <c r="G2455" s="78">
        <f>VLOOKUP(Categorias_Registro[[#This Row],[Puntos]],Categorias_Configuracion[],MATCH(Categorias_Configuracion[[#Headers],[% Amplitud]],Categorias_Configuracion[#Headers],0),TRUE)</f>
        <v>0.15</v>
      </c>
      <c r="H2455" s="15" t="str">
        <f ca="1">TEXT(Categorias_Registro[[#This Row],[Mínimo]],Formato_Rango_Categorias)&amp;" - "&amp;TEXT(Categorias_Registro[[#This Row],[Máximo]],Formato_Rango_Categorias)</f>
        <v>153 - 175</v>
      </c>
    </row>
    <row r="2456" spans="2:8">
      <c r="B2456" s="15">
        <f>Techo - ROW() + ROW(Categorias_Registro[])</f>
        <v>173</v>
      </c>
      <c r="C2456" s="15">
        <f>IF(Categorias_Registro[[#This Row],[Puntos]]&lt;=ROUND(Piso,0),Piso,IF(Categorias_Registro[[#This Row],[Puntos]]&lt;D2457,C2457,D2457+1))</f>
        <v>153</v>
      </c>
      <c r="D2456" s="15">
        <f>IF(Categorias_Registro[[#This Row],[Puntos]]=ROUND(Piso,0),ROUND(Categorias_Registro[[#This Row],[Puntos]]*(1+Categorias_Registro[[#This Row],[Amplitud]]),0),IF(Categorias_Registro[[#This Row],[Puntos]]&lt;D2457,D2457,ROUND(D2457*(1+Categorias_Registro[[#This Row],[Amplitud]]),0)))</f>
        <v>175</v>
      </c>
      <c r="E2456" s="15">
        <f>E2457+IF(D2457=Categorias_Registro[[#This Row],[Máximo]],0,1)</f>
        <v>5</v>
      </c>
      <c r="F2456" s="15">
        <f>ROUND(Categorias_Registro[[#This Row],[Mínimo]]+((Categorias_Registro[[#This Row],[Máximo]]-Categorias_Registro[[#This Row],[Mínimo]])/2),0)</f>
        <v>164</v>
      </c>
      <c r="G2456" s="78">
        <f>VLOOKUP(Categorias_Registro[[#This Row],[Puntos]],Categorias_Configuracion[],MATCH(Categorias_Configuracion[[#Headers],[% Amplitud]],Categorias_Configuracion[#Headers],0),TRUE)</f>
        <v>0.15</v>
      </c>
      <c r="H2456" s="15" t="str">
        <f ca="1">TEXT(Categorias_Registro[[#This Row],[Mínimo]],Formato_Rango_Categorias)&amp;" - "&amp;TEXT(Categorias_Registro[[#This Row],[Máximo]],Formato_Rango_Categorias)</f>
        <v>153 - 175</v>
      </c>
    </row>
    <row r="2457" spans="2:8">
      <c r="B2457" s="15">
        <f>Techo - ROW() + ROW(Categorias_Registro[])</f>
        <v>172</v>
      </c>
      <c r="C2457" s="15">
        <f>IF(Categorias_Registro[[#This Row],[Puntos]]&lt;=ROUND(Piso,0),Piso,IF(Categorias_Registro[[#This Row],[Puntos]]&lt;D2458,C2458,D2458+1))</f>
        <v>153</v>
      </c>
      <c r="D2457" s="15">
        <f>IF(Categorias_Registro[[#This Row],[Puntos]]=ROUND(Piso,0),ROUND(Categorias_Registro[[#This Row],[Puntos]]*(1+Categorias_Registro[[#This Row],[Amplitud]]),0),IF(Categorias_Registro[[#This Row],[Puntos]]&lt;D2458,D2458,ROUND(D2458*(1+Categorias_Registro[[#This Row],[Amplitud]]),0)))</f>
        <v>175</v>
      </c>
      <c r="E2457" s="15">
        <f>E2458+IF(D2458=Categorias_Registro[[#This Row],[Máximo]],0,1)</f>
        <v>5</v>
      </c>
      <c r="F2457" s="15">
        <f>ROUND(Categorias_Registro[[#This Row],[Mínimo]]+((Categorias_Registro[[#This Row],[Máximo]]-Categorias_Registro[[#This Row],[Mínimo]])/2),0)</f>
        <v>164</v>
      </c>
      <c r="G2457" s="78">
        <f>VLOOKUP(Categorias_Registro[[#This Row],[Puntos]],Categorias_Configuracion[],MATCH(Categorias_Configuracion[[#Headers],[% Amplitud]],Categorias_Configuracion[#Headers],0),TRUE)</f>
        <v>0.15</v>
      </c>
      <c r="H2457" s="15" t="str">
        <f ca="1">TEXT(Categorias_Registro[[#This Row],[Mínimo]],Formato_Rango_Categorias)&amp;" - "&amp;TEXT(Categorias_Registro[[#This Row],[Máximo]],Formato_Rango_Categorias)</f>
        <v>153 - 175</v>
      </c>
    </row>
    <row r="2458" spans="2:8">
      <c r="B2458" s="15">
        <f>Techo - ROW() + ROW(Categorias_Registro[])</f>
        <v>171</v>
      </c>
      <c r="C2458" s="15">
        <f>IF(Categorias_Registro[[#This Row],[Puntos]]&lt;=ROUND(Piso,0),Piso,IF(Categorias_Registro[[#This Row],[Puntos]]&lt;D2459,C2459,D2459+1))</f>
        <v>153</v>
      </c>
      <c r="D2458" s="15">
        <f>IF(Categorias_Registro[[#This Row],[Puntos]]=ROUND(Piso,0),ROUND(Categorias_Registro[[#This Row],[Puntos]]*(1+Categorias_Registro[[#This Row],[Amplitud]]),0),IF(Categorias_Registro[[#This Row],[Puntos]]&lt;D2459,D2459,ROUND(D2459*(1+Categorias_Registro[[#This Row],[Amplitud]]),0)))</f>
        <v>175</v>
      </c>
      <c r="E2458" s="15">
        <f>E2459+IF(D2459=Categorias_Registro[[#This Row],[Máximo]],0,1)</f>
        <v>5</v>
      </c>
      <c r="F2458" s="15">
        <f>ROUND(Categorias_Registro[[#This Row],[Mínimo]]+((Categorias_Registro[[#This Row],[Máximo]]-Categorias_Registro[[#This Row],[Mínimo]])/2),0)</f>
        <v>164</v>
      </c>
      <c r="G2458" s="78">
        <f>VLOOKUP(Categorias_Registro[[#This Row],[Puntos]],Categorias_Configuracion[],MATCH(Categorias_Configuracion[[#Headers],[% Amplitud]],Categorias_Configuracion[#Headers],0),TRUE)</f>
        <v>0.15</v>
      </c>
      <c r="H2458" s="15" t="str">
        <f ca="1">TEXT(Categorias_Registro[[#This Row],[Mínimo]],Formato_Rango_Categorias)&amp;" - "&amp;TEXT(Categorias_Registro[[#This Row],[Máximo]],Formato_Rango_Categorias)</f>
        <v>153 - 175</v>
      </c>
    </row>
    <row r="2459" spans="2:8">
      <c r="B2459" s="15">
        <f>Techo - ROW() + ROW(Categorias_Registro[])</f>
        <v>170</v>
      </c>
      <c r="C2459" s="15">
        <f>IF(Categorias_Registro[[#This Row],[Puntos]]&lt;=ROUND(Piso,0),Piso,IF(Categorias_Registro[[#This Row],[Puntos]]&lt;D2460,C2460,D2460+1))</f>
        <v>153</v>
      </c>
      <c r="D2459" s="15">
        <f>IF(Categorias_Registro[[#This Row],[Puntos]]=ROUND(Piso,0),ROUND(Categorias_Registro[[#This Row],[Puntos]]*(1+Categorias_Registro[[#This Row],[Amplitud]]),0),IF(Categorias_Registro[[#This Row],[Puntos]]&lt;D2460,D2460,ROUND(D2460*(1+Categorias_Registro[[#This Row],[Amplitud]]),0)))</f>
        <v>175</v>
      </c>
      <c r="E2459" s="15">
        <f>E2460+IF(D2460=Categorias_Registro[[#This Row],[Máximo]],0,1)</f>
        <v>5</v>
      </c>
      <c r="F2459" s="15">
        <f>ROUND(Categorias_Registro[[#This Row],[Mínimo]]+((Categorias_Registro[[#This Row],[Máximo]]-Categorias_Registro[[#This Row],[Mínimo]])/2),0)</f>
        <v>164</v>
      </c>
      <c r="G2459" s="78">
        <f>VLOOKUP(Categorias_Registro[[#This Row],[Puntos]],Categorias_Configuracion[],MATCH(Categorias_Configuracion[[#Headers],[% Amplitud]],Categorias_Configuracion[#Headers],0),TRUE)</f>
        <v>0.15</v>
      </c>
      <c r="H2459" s="15" t="str">
        <f ca="1">TEXT(Categorias_Registro[[#This Row],[Mínimo]],Formato_Rango_Categorias)&amp;" - "&amp;TEXT(Categorias_Registro[[#This Row],[Máximo]],Formato_Rango_Categorias)</f>
        <v>153 - 175</v>
      </c>
    </row>
    <row r="2460" spans="2:8">
      <c r="B2460" s="15">
        <f>Techo - ROW() + ROW(Categorias_Registro[])</f>
        <v>169</v>
      </c>
      <c r="C2460" s="15">
        <f>IF(Categorias_Registro[[#This Row],[Puntos]]&lt;=ROUND(Piso,0),Piso,IF(Categorias_Registro[[#This Row],[Puntos]]&lt;D2461,C2461,D2461+1))</f>
        <v>153</v>
      </c>
      <c r="D2460" s="15">
        <f>IF(Categorias_Registro[[#This Row],[Puntos]]=ROUND(Piso,0),ROUND(Categorias_Registro[[#This Row],[Puntos]]*(1+Categorias_Registro[[#This Row],[Amplitud]]),0),IF(Categorias_Registro[[#This Row],[Puntos]]&lt;D2461,D2461,ROUND(D2461*(1+Categorias_Registro[[#This Row],[Amplitud]]),0)))</f>
        <v>175</v>
      </c>
      <c r="E2460" s="15">
        <f>E2461+IF(D2461=Categorias_Registro[[#This Row],[Máximo]],0,1)</f>
        <v>5</v>
      </c>
      <c r="F2460" s="15">
        <f>ROUND(Categorias_Registro[[#This Row],[Mínimo]]+((Categorias_Registro[[#This Row],[Máximo]]-Categorias_Registro[[#This Row],[Mínimo]])/2),0)</f>
        <v>164</v>
      </c>
      <c r="G2460" s="78">
        <f>VLOOKUP(Categorias_Registro[[#This Row],[Puntos]],Categorias_Configuracion[],MATCH(Categorias_Configuracion[[#Headers],[% Amplitud]],Categorias_Configuracion[#Headers],0),TRUE)</f>
        <v>0.15</v>
      </c>
      <c r="H2460" s="15" t="str">
        <f ca="1">TEXT(Categorias_Registro[[#This Row],[Mínimo]],Formato_Rango_Categorias)&amp;" - "&amp;TEXT(Categorias_Registro[[#This Row],[Máximo]],Formato_Rango_Categorias)</f>
        <v>153 - 175</v>
      </c>
    </row>
    <row r="2461" spans="2:8">
      <c r="B2461" s="15">
        <f>Techo - ROW() + ROW(Categorias_Registro[])</f>
        <v>168</v>
      </c>
      <c r="C2461" s="15">
        <f>IF(Categorias_Registro[[#This Row],[Puntos]]&lt;=ROUND(Piso,0),Piso,IF(Categorias_Registro[[#This Row],[Puntos]]&lt;D2462,C2462,D2462+1))</f>
        <v>153</v>
      </c>
      <c r="D2461" s="15">
        <f>IF(Categorias_Registro[[#This Row],[Puntos]]=ROUND(Piso,0),ROUND(Categorias_Registro[[#This Row],[Puntos]]*(1+Categorias_Registro[[#This Row],[Amplitud]]),0),IF(Categorias_Registro[[#This Row],[Puntos]]&lt;D2462,D2462,ROUND(D2462*(1+Categorias_Registro[[#This Row],[Amplitud]]),0)))</f>
        <v>175</v>
      </c>
      <c r="E2461" s="15">
        <f>E2462+IF(D2462=Categorias_Registro[[#This Row],[Máximo]],0,1)</f>
        <v>5</v>
      </c>
      <c r="F2461" s="15">
        <f>ROUND(Categorias_Registro[[#This Row],[Mínimo]]+((Categorias_Registro[[#This Row],[Máximo]]-Categorias_Registro[[#This Row],[Mínimo]])/2),0)</f>
        <v>164</v>
      </c>
      <c r="G2461" s="78">
        <f>VLOOKUP(Categorias_Registro[[#This Row],[Puntos]],Categorias_Configuracion[],MATCH(Categorias_Configuracion[[#Headers],[% Amplitud]],Categorias_Configuracion[#Headers],0),TRUE)</f>
        <v>0.15</v>
      </c>
      <c r="H2461" s="15" t="str">
        <f ca="1">TEXT(Categorias_Registro[[#This Row],[Mínimo]],Formato_Rango_Categorias)&amp;" - "&amp;TEXT(Categorias_Registro[[#This Row],[Máximo]],Formato_Rango_Categorias)</f>
        <v>153 - 175</v>
      </c>
    </row>
    <row r="2462" spans="2:8">
      <c r="B2462" s="15">
        <f>Techo - ROW() + ROW(Categorias_Registro[])</f>
        <v>167</v>
      </c>
      <c r="C2462" s="15">
        <f>IF(Categorias_Registro[[#This Row],[Puntos]]&lt;=ROUND(Piso,0),Piso,IF(Categorias_Registro[[#This Row],[Puntos]]&lt;D2463,C2463,D2463+1))</f>
        <v>153</v>
      </c>
      <c r="D2462" s="15">
        <f>IF(Categorias_Registro[[#This Row],[Puntos]]=ROUND(Piso,0),ROUND(Categorias_Registro[[#This Row],[Puntos]]*(1+Categorias_Registro[[#This Row],[Amplitud]]),0),IF(Categorias_Registro[[#This Row],[Puntos]]&lt;D2463,D2463,ROUND(D2463*(1+Categorias_Registro[[#This Row],[Amplitud]]),0)))</f>
        <v>175</v>
      </c>
      <c r="E2462" s="15">
        <f>E2463+IF(D2463=Categorias_Registro[[#This Row],[Máximo]],0,1)</f>
        <v>5</v>
      </c>
      <c r="F2462" s="15">
        <f>ROUND(Categorias_Registro[[#This Row],[Mínimo]]+((Categorias_Registro[[#This Row],[Máximo]]-Categorias_Registro[[#This Row],[Mínimo]])/2),0)</f>
        <v>164</v>
      </c>
      <c r="G2462" s="78">
        <f>VLOOKUP(Categorias_Registro[[#This Row],[Puntos]],Categorias_Configuracion[],MATCH(Categorias_Configuracion[[#Headers],[% Amplitud]],Categorias_Configuracion[#Headers],0),TRUE)</f>
        <v>0.15</v>
      </c>
      <c r="H2462" s="15" t="str">
        <f ca="1">TEXT(Categorias_Registro[[#This Row],[Mínimo]],Formato_Rango_Categorias)&amp;" - "&amp;TEXT(Categorias_Registro[[#This Row],[Máximo]],Formato_Rango_Categorias)</f>
        <v>153 - 175</v>
      </c>
    </row>
    <row r="2463" spans="2:8">
      <c r="B2463" s="15">
        <f>Techo - ROW() + ROW(Categorias_Registro[])</f>
        <v>166</v>
      </c>
      <c r="C2463" s="15">
        <f>IF(Categorias_Registro[[#This Row],[Puntos]]&lt;=ROUND(Piso,0),Piso,IF(Categorias_Registro[[#This Row],[Puntos]]&lt;D2464,C2464,D2464+1))</f>
        <v>153</v>
      </c>
      <c r="D2463" s="15">
        <f>IF(Categorias_Registro[[#This Row],[Puntos]]=ROUND(Piso,0),ROUND(Categorias_Registro[[#This Row],[Puntos]]*(1+Categorias_Registro[[#This Row],[Amplitud]]),0),IF(Categorias_Registro[[#This Row],[Puntos]]&lt;D2464,D2464,ROUND(D2464*(1+Categorias_Registro[[#This Row],[Amplitud]]),0)))</f>
        <v>175</v>
      </c>
      <c r="E2463" s="15">
        <f>E2464+IF(D2464=Categorias_Registro[[#This Row],[Máximo]],0,1)</f>
        <v>5</v>
      </c>
      <c r="F2463" s="15">
        <f>ROUND(Categorias_Registro[[#This Row],[Mínimo]]+((Categorias_Registro[[#This Row],[Máximo]]-Categorias_Registro[[#This Row],[Mínimo]])/2),0)</f>
        <v>164</v>
      </c>
      <c r="G2463" s="78">
        <f>VLOOKUP(Categorias_Registro[[#This Row],[Puntos]],Categorias_Configuracion[],MATCH(Categorias_Configuracion[[#Headers],[% Amplitud]],Categorias_Configuracion[#Headers],0),TRUE)</f>
        <v>0.15</v>
      </c>
      <c r="H2463" s="15" t="str">
        <f ca="1">TEXT(Categorias_Registro[[#This Row],[Mínimo]],Formato_Rango_Categorias)&amp;" - "&amp;TEXT(Categorias_Registro[[#This Row],[Máximo]],Formato_Rango_Categorias)</f>
        <v>153 - 175</v>
      </c>
    </row>
    <row r="2464" spans="2:8">
      <c r="B2464" s="15">
        <f>Techo - ROW() + ROW(Categorias_Registro[])</f>
        <v>165</v>
      </c>
      <c r="C2464" s="15">
        <f>IF(Categorias_Registro[[#This Row],[Puntos]]&lt;=ROUND(Piso,0),Piso,IF(Categorias_Registro[[#This Row],[Puntos]]&lt;D2465,C2465,D2465+1))</f>
        <v>153</v>
      </c>
      <c r="D2464" s="15">
        <f>IF(Categorias_Registro[[#This Row],[Puntos]]=ROUND(Piso,0),ROUND(Categorias_Registro[[#This Row],[Puntos]]*(1+Categorias_Registro[[#This Row],[Amplitud]]),0),IF(Categorias_Registro[[#This Row],[Puntos]]&lt;D2465,D2465,ROUND(D2465*(1+Categorias_Registro[[#This Row],[Amplitud]]),0)))</f>
        <v>175</v>
      </c>
      <c r="E2464" s="15">
        <f>E2465+IF(D2465=Categorias_Registro[[#This Row],[Máximo]],0,1)</f>
        <v>5</v>
      </c>
      <c r="F2464" s="15">
        <f>ROUND(Categorias_Registro[[#This Row],[Mínimo]]+((Categorias_Registro[[#This Row],[Máximo]]-Categorias_Registro[[#This Row],[Mínimo]])/2),0)</f>
        <v>164</v>
      </c>
      <c r="G2464" s="78">
        <f>VLOOKUP(Categorias_Registro[[#This Row],[Puntos]],Categorias_Configuracion[],MATCH(Categorias_Configuracion[[#Headers],[% Amplitud]],Categorias_Configuracion[#Headers],0),TRUE)</f>
        <v>0.15</v>
      </c>
      <c r="H2464" s="15" t="str">
        <f ca="1">TEXT(Categorias_Registro[[#This Row],[Mínimo]],Formato_Rango_Categorias)&amp;" - "&amp;TEXT(Categorias_Registro[[#This Row],[Máximo]],Formato_Rango_Categorias)</f>
        <v>153 - 175</v>
      </c>
    </row>
    <row r="2465" spans="2:8">
      <c r="B2465" s="15">
        <f>Techo - ROW() + ROW(Categorias_Registro[])</f>
        <v>164</v>
      </c>
      <c r="C2465" s="15">
        <f>IF(Categorias_Registro[[#This Row],[Puntos]]&lt;=ROUND(Piso,0),Piso,IF(Categorias_Registro[[#This Row],[Puntos]]&lt;D2466,C2466,D2466+1))</f>
        <v>153</v>
      </c>
      <c r="D2465" s="15">
        <f>IF(Categorias_Registro[[#This Row],[Puntos]]=ROUND(Piso,0),ROUND(Categorias_Registro[[#This Row],[Puntos]]*(1+Categorias_Registro[[#This Row],[Amplitud]]),0),IF(Categorias_Registro[[#This Row],[Puntos]]&lt;D2466,D2466,ROUND(D2466*(1+Categorias_Registro[[#This Row],[Amplitud]]),0)))</f>
        <v>175</v>
      </c>
      <c r="E2465" s="15">
        <f>E2466+IF(D2466=Categorias_Registro[[#This Row],[Máximo]],0,1)</f>
        <v>5</v>
      </c>
      <c r="F2465" s="15">
        <f>ROUND(Categorias_Registro[[#This Row],[Mínimo]]+((Categorias_Registro[[#This Row],[Máximo]]-Categorias_Registro[[#This Row],[Mínimo]])/2),0)</f>
        <v>164</v>
      </c>
      <c r="G2465" s="78">
        <f>VLOOKUP(Categorias_Registro[[#This Row],[Puntos]],Categorias_Configuracion[],MATCH(Categorias_Configuracion[[#Headers],[% Amplitud]],Categorias_Configuracion[#Headers],0),TRUE)</f>
        <v>0.15</v>
      </c>
      <c r="H2465" s="15" t="str">
        <f ca="1">TEXT(Categorias_Registro[[#This Row],[Mínimo]],Formato_Rango_Categorias)&amp;" - "&amp;TEXT(Categorias_Registro[[#This Row],[Máximo]],Formato_Rango_Categorias)</f>
        <v>153 - 175</v>
      </c>
    </row>
    <row r="2466" spans="2:8">
      <c r="B2466" s="15">
        <f>Techo - ROW() + ROW(Categorias_Registro[])</f>
        <v>163</v>
      </c>
      <c r="C2466" s="15">
        <f>IF(Categorias_Registro[[#This Row],[Puntos]]&lt;=ROUND(Piso,0),Piso,IF(Categorias_Registro[[#This Row],[Puntos]]&lt;D2467,C2467,D2467+1))</f>
        <v>153</v>
      </c>
      <c r="D2466" s="15">
        <f>IF(Categorias_Registro[[#This Row],[Puntos]]=ROUND(Piso,0),ROUND(Categorias_Registro[[#This Row],[Puntos]]*(1+Categorias_Registro[[#This Row],[Amplitud]]),0),IF(Categorias_Registro[[#This Row],[Puntos]]&lt;D2467,D2467,ROUND(D2467*(1+Categorias_Registro[[#This Row],[Amplitud]]),0)))</f>
        <v>175</v>
      </c>
      <c r="E2466" s="15">
        <f>E2467+IF(D2467=Categorias_Registro[[#This Row],[Máximo]],0,1)</f>
        <v>5</v>
      </c>
      <c r="F2466" s="15">
        <f>ROUND(Categorias_Registro[[#This Row],[Mínimo]]+((Categorias_Registro[[#This Row],[Máximo]]-Categorias_Registro[[#This Row],[Mínimo]])/2),0)</f>
        <v>164</v>
      </c>
      <c r="G2466" s="78">
        <f>VLOOKUP(Categorias_Registro[[#This Row],[Puntos]],Categorias_Configuracion[],MATCH(Categorias_Configuracion[[#Headers],[% Amplitud]],Categorias_Configuracion[#Headers],0),TRUE)</f>
        <v>0.15</v>
      </c>
      <c r="H2466" s="15" t="str">
        <f ca="1">TEXT(Categorias_Registro[[#This Row],[Mínimo]],Formato_Rango_Categorias)&amp;" - "&amp;TEXT(Categorias_Registro[[#This Row],[Máximo]],Formato_Rango_Categorias)</f>
        <v>153 - 175</v>
      </c>
    </row>
    <row r="2467" spans="2:8">
      <c r="B2467" s="15">
        <f>Techo - ROW() + ROW(Categorias_Registro[])</f>
        <v>162</v>
      </c>
      <c r="C2467" s="15">
        <f>IF(Categorias_Registro[[#This Row],[Puntos]]&lt;=ROUND(Piso,0),Piso,IF(Categorias_Registro[[#This Row],[Puntos]]&lt;D2468,C2468,D2468+1))</f>
        <v>153</v>
      </c>
      <c r="D2467" s="15">
        <f>IF(Categorias_Registro[[#This Row],[Puntos]]=ROUND(Piso,0),ROUND(Categorias_Registro[[#This Row],[Puntos]]*(1+Categorias_Registro[[#This Row],[Amplitud]]),0),IF(Categorias_Registro[[#This Row],[Puntos]]&lt;D2468,D2468,ROUND(D2468*(1+Categorias_Registro[[#This Row],[Amplitud]]),0)))</f>
        <v>175</v>
      </c>
      <c r="E2467" s="15">
        <f>E2468+IF(D2468=Categorias_Registro[[#This Row],[Máximo]],0,1)</f>
        <v>5</v>
      </c>
      <c r="F2467" s="15">
        <f>ROUND(Categorias_Registro[[#This Row],[Mínimo]]+((Categorias_Registro[[#This Row],[Máximo]]-Categorias_Registro[[#This Row],[Mínimo]])/2),0)</f>
        <v>164</v>
      </c>
      <c r="G2467" s="78">
        <f>VLOOKUP(Categorias_Registro[[#This Row],[Puntos]],Categorias_Configuracion[],MATCH(Categorias_Configuracion[[#Headers],[% Amplitud]],Categorias_Configuracion[#Headers],0),TRUE)</f>
        <v>0.15</v>
      </c>
      <c r="H2467" s="15" t="str">
        <f ca="1">TEXT(Categorias_Registro[[#This Row],[Mínimo]],Formato_Rango_Categorias)&amp;" - "&amp;TEXT(Categorias_Registro[[#This Row],[Máximo]],Formato_Rango_Categorias)</f>
        <v>153 - 175</v>
      </c>
    </row>
    <row r="2468" spans="2:8">
      <c r="B2468" s="15">
        <f>Techo - ROW() + ROW(Categorias_Registro[])</f>
        <v>161</v>
      </c>
      <c r="C2468" s="15">
        <f>IF(Categorias_Registro[[#This Row],[Puntos]]&lt;=ROUND(Piso,0),Piso,IF(Categorias_Registro[[#This Row],[Puntos]]&lt;D2469,C2469,D2469+1))</f>
        <v>153</v>
      </c>
      <c r="D2468" s="15">
        <f>IF(Categorias_Registro[[#This Row],[Puntos]]=ROUND(Piso,0),ROUND(Categorias_Registro[[#This Row],[Puntos]]*(1+Categorias_Registro[[#This Row],[Amplitud]]),0),IF(Categorias_Registro[[#This Row],[Puntos]]&lt;D2469,D2469,ROUND(D2469*(1+Categorias_Registro[[#This Row],[Amplitud]]),0)))</f>
        <v>175</v>
      </c>
      <c r="E2468" s="15">
        <f>E2469+IF(D2469=Categorias_Registro[[#This Row],[Máximo]],0,1)</f>
        <v>5</v>
      </c>
      <c r="F2468" s="15">
        <f>ROUND(Categorias_Registro[[#This Row],[Mínimo]]+((Categorias_Registro[[#This Row],[Máximo]]-Categorias_Registro[[#This Row],[Mínimo]])/2),0)</f>
        <v>164</v>
      </c>
      <c r="G2468" s="78">
        <f>VLOOKUP(Categorias_Registro[[#This Row],[Puntos]],Categorias_Configuracion[],MATCH(Categorias_Configuracion[[#Headers],[% Amplitud]],Categorias_Configuracion[#Headers],0),TRUE)</f>
        <v>0.15</v>
      </c>
      <c r="H2468" s="15" t="str">
        <f ca="1">TEXT(Categorias_Registro[[#This Row],[Mínimo]],Formato_Rango_Categorias)&amp;" - "&amp;TEXT(Categorias_Registro[[#This Row],[Máximo]],Formato_Rango_Categorias)</f>
        <v>153 - 175</v>
      </c>
    </row>
    <row r="2469" spans="2:8">
      <c r="B2469" s="15">
        <f>Techo - ROW() + ROW(Categorias_Registro[])</f>
        <v>160</v>
      </c>
      <c r="C2469" s="15">
        <f>IF(Categorias_Registro[[#This Row],[Puntos]]&lt;=ROUND(Piso,0),Piso,IF(Categorias_Registro[[#This Row],[Puntos]]&lt;D2470,C2470,D2470+1))</f>
        <v>153</v>
      </c>
      <c r="D2469" s="15">
        <f>IF(Categorias_Registro[[#This Row],[Puntos]]=ROUND(Piso,0),ROUND(Categorias_Registro[[#This Row],[Puntos]]*(1+Categorias_Registro[[#This Row],[Amplitud]]),0),IF(Categorias_Registro[[#This Row],[Puntos]]&lt;D2470,D2470,ROUND(D2470*(1+Categorias_Registro[[#This Row],[Amplitud]]),0)))</f>
        <v>175</v>
      </c>
      <c r="E2469" s="15">
        <f>E2470+IF(D2470=Categorias_Registro[[#This Row],[Máximo]],0,1)</f>
        <v>5</v>
      </c>
      <c r="F2469" s="15">
        <f>ROUND(Categorias_Registro[[#This Row],[Mínimo]]+((Categorias_Registro[[#This Row],[Máximo]]-Categorias_Registro[[#This Row],[Mínimo]])/2),0)</f>
        <v>164</v>
      </c>
      <c r="G2469" s="78">
        <f>VLOOKUP(Categorias_Registro[[#This Row],[Puntos]],Categorias_Configuracion[],MATCH(Categorias_Configuracion[[#Headers],[% Amplitud]],Categorias_Configuracion[#Headers],0),TRUE)</f>
        <v>0.15</v>
      </c>
      <c r="H2469" s="15" t="str">
        <f ca="1">TEXT(Categorias_Registro[[#This Row],[Mínimo]],Formato_Rango_Categorias)&amp;" - "&amp;TEXT(Categorias_Registro[[#This Row],[Máximo]],Formato_Rango_Categorias)</f>
        <v>153 - 175</v>
      </c>
    </row>
    <row r="2470" spans="2:8">
      <c r="B2470" s="15">
        <f>Techo - ROW() + ROW(Categorias_Registro[])</f>
        <v>159</v>
      </c>
      <c r="C2470" s="15">
        <f>IF(Categorias_Registro[[#This Row],[Puntos]]&lt;=ROUND(Piso,0),Piso,IF(Categorias_Registro[[#This Row],[Puntos]]&lt;D2471,C2471,D2471+1))</f>
        <v>153</v>
      </c>
      <c r="D2470" s="15">
        <f>IF(Categorias_Registro[[#This Row],[Puntos]]=ROUND(Piso,0),ROUND(Categorias_Registro[[#This Row],[Puntos]]*(1+Categorias_Registro[[#This Row],[Amplitud]]),0),IF(Categorias_Registro[[#This Row],[Puntos]]&lt;D2471,D2471,ROUND(D2471*(1+Categorias_Registro[[#This Row],[Amplitud]]),0)))</f>
        <v>175</v>
      </c>
      <c r="E2470" s="15">
        <f>E2471+IF(D2471=Categorias_Registro[[#This Row],[Máximo]],0,1)</f>
        <v>5</v>
      </c>
      <c r="F2470" s="15">
        <f>ROUND(Categorias_Registro[[#This Row],[Mínimo]]+((Categorias_Registro[[#This Row],[Máximo]]-Categorias_Registro[[#This Row],[Mínimo]])/2),0)</f>
        <v>164</v>
      </c>
      <c r="G2470" s="78">
        <f>VLOOKUP(Categorias_Registro[[#This Row],[Puntos]],Categorias_Configuracion[],MATCH(Categorias_Configuracion[[#Headers],[% Amplitud]],Categorias_Configuracion[#Headers],0),TRUE)</f>
        <v>0.15</v>
      </c>
      <c r="H2470" s="15" t="str">
        <f ca="1">TEXT(Categorias_Registro[[#This Row],[Mínimo]],Formato_Rango_Categorias)&amp;" - "&amp;TEXT(Categorias_Registro[[#This Row],[Máximo]],Formato_Rango_Categorias)</f>
        <v>153 - 175</v>
      </c>
    </row>
    <row r="2471" spans="2:8">
      <c r="B2471" s="15">
        <f>Techo - ROW() + ROW(Categorias_Registro[])</f>
        <v>158</v>
      </c>
      <c r="C2471" s="15">
        <f>IF(Categorias_Registro[[#This Row],[Puntos]]&lt;=ROUND(Piso,0),Piso,IF(Categorias_Registro[[#This Row],[Puntos]]&lt;D2472,C2472,D2472+1))</f>
        <v>153</v>
      </c>
      <c r="D2471" s="15">
        <f>IF(Categorias_Registro[[#This Row],[Puntos]]=ROUND(Piso,0),ROUND(Categorias_Registro[[#This Row],[Puntos]]*(1+Categorias_Registro[[#This Row],[Amplitud]]),0),IF(Categorias_Registro[[#This Row],[Puntos]]&lt;D2472,D2472,ROUND(D2472*(1+Categorias_Registro[[#This Row],[Amplitud]]),0)))</f>
        <v>175</v>
      </c>
      <c r="E2471" s="15">
        <f>E2472+IF(D2472=Categorias_Registro[[#This Row],[Máximo]],0,1)</f>
        <v>5</v>
      </c>
      <c r="F2471" s="15">
        <f>ROUND(Categorias_Registro[[#This Row],[Mínimo]]+((Categorias_Registro[[#This Row],[Máximo]]-Categorias_Registro[[#This Row],[Mínimo]])/2),0)</f>
        <v>164</v>
      </c>
      <c r="G2471" s="78">
        <f>VLOOKUP(Categorias_Registro[[#This Row],[Puntos]],Categorias_Configuracion[],MATCH(Categorias_Configuracion[[#Headers],[% Amplitud]],Categorias_Configuracion[#Headers],0),TRUE)</f>
        <v>0.15</v>
      </c>
      <c r="H2471" s="15" t="str">
        <f ca="1">TEXT(Categorias_Registro[[#This Row],[Mínimo]],Formato_Rango_Categorias)&amp;" - "&amp;TEXT(Categorias_Registro[[#This Row],[Máximo]],Formato_Rango_Categorias)</f>
        <v>153 - 175</v>
      </c>
    </row>
    <row r="2472" spans="2:8">
      <c r="B2472" s="15">
        <f>Techo - ROW() + ROW(Categorias_Registro[])</f>
        <v>157</v>
      </c>
      <c r="C2472" s="15">
        <f>IF(Categorias_Registro[[#This Row],[Puntos]]&lt;=ROUND(Piso,0),Piso,IF(Categorias_Registro[[#This Row],[Puntos]]&lt;D2473,C2473,D2473+1))</f>
        <v>153</v>
      </c>
      <c r="D2472" s="15">
        <f>IF(Categorias_Registro[[#This Row],[Puntos]]=ROUND(Piso,0),ROUND(Categorias_Registro[[#This Row],[Puntos]]*(1+Categorias_Registro[[#This Row],[Amplitud]]),0),IF(Categorias_Registro[[#This Row],[Puntos]]&lt;D2473,D2473,ROUND(D2473*(1+Categorias_Registro[[#This Row],[Amplitud]]),0)))</f>
        <v>175</v>
      </c>
      <c r="E2472" s="15">
        <f>E2473+IF(D2473=Categorias_Registro[[#This Row],[Máximo]],0,1)</f>
        <v>5</v>
      </c>
      <c r="F2472" s="15">
        <f>ROUND(Categorias_Registro[[#This Row],[Mínimo]]+((Categorias_Registro[[#This Row],[Máximo]]-Categorias_Registro[[#This Row],[Mínimo]])/2),0)</f>
        <v>164</v>
      </c>
      <c r="G2472" s="78">
        <f>VLOOKUP(Categorias_Registro[[#This Row],[Puntos]],Categorias_Configuracion[],MATCH(Categorias_Configuracion[[#Headers],[% Amplitud]],Categorias_Configuracion[#Headers],0),TRUE)</f>
        <v>0.15</v>
      </c>
      <c r="H2472" s="15" t="str">
        <f ca="1">TEXT(Categorias_Registro[[#This Row],[Mínimo]],Formato_Rango_Categorias)&amp;" - "&amp;TEXT(Categorias_Registro[[#This Row],[Máximo]],Formato_Rango_Categorias)</f>
        <v>153 - 175</v>
      </c>
    </row>
    <row r="2473" spans="2:8">
      <c r="B2473" s="15">
        <f>Techo - ROW() + ROW(Categorias_Registro[])</f>
        <v>156</v>
      </c>
      <c r="C2473" s="15">
        <f>IF(Categorias_Registro[[#This Row],[Puntos]]&lt;=ROUND(Piso,0),Piso,IF(Categorias_Registro[[#This Row],[Puntos]]&lt;D2474,C2474,D2474+1))</f>
        <v>153</v>
      </c>
      <c r="D2473" s="15">
        <f>IF(Categorias_Registro[[#This Row],[Puntos]]=ROUND(Piso,0),ROUND(Categorias_Registro[[#This Row],[Puntos]]*(1+Categorias_Registro[[#This Row],[Amplitud]]),0),IF(Categorias_Registro[[#This Row],[Puntos]]&lt;D2474,D2474,ROUND(D2474*(1+Categorias_Registro[[#This Row],[Amplitud]]),0)))</f>
        <v>175</v>
      </c>
      <c r="E2473" s="15">
        <f>E2474+IF(D2474=Categorias_Registro[[#This Row],[Máximo]],0,1)</f>
        <v>5</v>
      </c>
      <c r="F2473" s="15">
        <f>ROUND(Categorias_Registro[[#This Row],[Mínimo]]+((Categorias_Registro[[#This Row],[Máximo]]-Categorias_Registro[[#This Row],[Mínimo]])/2),0)</f>
        <v>164</v>
      </c>
      <c r="G2473" s="78">
        <f>VLOOKUP(Categorias_Registro[[#This Row],[Puntos]],Categorias_Configuracion[],MATCH(Categorias_Configuracion[[#Headers],[% Amplitud]],Categorias_Configuracion[#Headers],0),TRUE)</f>
        <v>0.15</v>
      </c>
      <c r="H2473" s="15" t="str">
        <f ca="1">TEXT(Categorias_Registro[[#This Row],[Mínimo]],Formato_Rango_Categorias)&amp;" - "&amp;TEXT(Categorias_Registro[[#This Row],[Máximo]],Formato_Rango_Categorias)</f>
        <v>153 - 175</v>
      </c>
    </row>
    <row r="2474" spans="2:8">
      <c r="B2474" s="15">
        <f>Techo - ROW() + ROW(Categorias_Registro[])</f>
        <v>155</v>
      </c>
      <c r="C2474" s="15">
        <f>IF(Categorias_Registro[[#This Row],[Puntos]]&lt;=ROUND(Piso,0),Piso,IF(Categorias_Registro[[#This Row],[Puntos]]&lt;D2475,C2475,D2475+1))</f>
        <v>153</v>
      </c>
      <c r="D2474" s="15">
        <f>IF(Categorias_Registro[[#This Row],[Puntos]]=ROUND(Piso,0),ROUND(Categorias_Registro[[#This Row],[Puntos]]*(1+Categorias_Registro[[#This Row],[Amplitud]]),0),IF(Categorias_Registro[[#This Row],[Puntos]]&lt;D2475,D2475,ROUND(D2475*(1+Categorias_Registro[[#This Row],[Amplitud]]),0)))</f>
        <v>175</v>
      </c>
      <c r="E2474" s="15">
        <f>E2475+IF(D2475=Categorias_Registro[[#This Row],[Máximo]],0,1)</f>
        <v>5</v>
      </c>
      <c r="F2474" s="15">
        <f>ROUND(Categorias_Registro[[#This Row],[Mínimo]]+((Categorias_Registro[[#This Row],[Máximo]]-Categorias_Registro[[#This Row],[Mínimo]])/2),0)</f>
        <v>164</v>
      </c>
      <c r="G2474" s="78">
        <f>VLOOKUP(Categorias_Registro[[#This Row],[Puntos]],Categorias_Configuracion[],MATCH(Categorias_Configuracion[[#Headers],[% Amplitud]],Categorias_Configuracion[#Headers],0),TRUE)</f>
        <v>0.15</v>
      </c>
      <c r="H2474" s="15" t="str">
        <f ca="1">TEXT(Categorias_Registro[[#This Row],[Mínimo]],Formato_Rango_Categorias)&amp;" - "&amp;TEXT(Categorias_Registro[[#This Row],[Máximo]],Formato_Rango_Categorias)</f>
        <v>153 - 175</v>
      </c>
    </row>
    <row r="2475" spans="2:8">
      <c r="B2475" s="15">
        <f>Techo - ROW() + ROW(Categorias_Registro[])</f>
        <v>154</v>
      </c>
      <c r="C2475" s="15">
        <f>IF(Categorias_Registro[[#This Row],[Puntos]]&lt;=ROUND(Piso,0),Piso,IF(Categorias_Registro[[#This Row],[Puntos]]&lt;D2476,C2476,D2476+1))</f>
        <v>153</v>
      </c>
      <c r="D2475" s="15">
        <f>IF(Categorias_Registro[[#This Row],[Puntos]]=ROUND(Piso,0),ROUND(Categorias_Registro[[#This Row],[Puntos]]*(1+Categorias_Registro[[#This Row],[Amplitud]]),0),IF(Categorias_Registro[[#This Row],[Puntos]]&lt;D2476,D2476,ROUND(D2476*(1+Categorias_Registro[[#This Row],[Amplitud]]),0)))</f>
        <v>175</v>
      </c>
      <c r="E2475" s="15">
        <f>E2476+IF(D2476=Categorias_Registro[[#This Row],[Máximo]],0,1)</f>
        <v>5</v>
      </c>
      <c r="F2475" s="15">
        <f>ROUND(Categorias_Registro[[#This Row],[Mínimo]]+((Categorias_Registro[[#This Row],[Máximo]]-Categorias_Registro[[#This Row],[Mínimo]])/2),0)</f>
        <v>164</v>
      </c>
      <c r="G2475" s="78">
        <f>VLOOKUP(Categorias_Registro[[#This Row],[Puntos]],Categorias_Configuracion[],MATCH(Categorias_Configuracion[[#Headers],[% Amplitud]],Categorias_Configuracion[#Headers],0),TRUE)</f>
        <v>0.15</v>
      </c>
      <c r="H2475" s="15" t="str">
        <f ca="1">TEXT(Categorias_Registro[[#This Row],[Mínimo]],Formato_Rango_Categorias)&amp;" - "&amp;TEXT(Categorias_Registro[[#This Row],[Máximo]],Formato_Rango_Categorias)</f>
        <v>153 - 175</v>
      </c>
    </row>
    <row r="2476" spans="2:8">
      <c r="B2476" s="15">
        <f>Techo - ROW() + ROW(Categorias_Registro[])</f>
        <v>153</v>
      </c>
      <c r="C2476" s="15">
        <f>IF(Categorias_Registro[[#This Row],[Puntos]]&lt;=ROUND(Piso,0),Piso,IF(Categorias_Registro[[#This Row],[Puntos]]&lt;D2477,C2477,D2477+1))</f>
        <v>153</v>
      </c>
      <c r="D2476" s="15">
        <f>IF(Categorias_Registro[[#This Row],[Puntos]]=ROUND(Piso,0),ROUND(Categorias_Registro[[#This Row],[Puntos]]*(1+Categorias_Registro[[#This Row],[Amplitud]]),0),IF(Categorias_Registro[[#This Row],[Puntos]]&lt;D2477,D2477,ROUND(D2477*(1+Categorias_Registro[[#This Row],[Amplitud]]),0)))</f>
        <v>175</v>
      </c>
      <c r="E2476" s="15">
        <f>E2477+IF(D2477=Categorias_Registro[[#This Row],[Máximo]],0,1)</f>
        <v>5</v>
      </c>
      <c r="F2476" s="15">
        <f>ROUND(Categorias_Registro[[#This Row],[Mínimo]]+((Categorias_Registro[[#This Row],[Máximo]]-Categorias_Registro[[#This Row],[Mínimo]])/2),0)</f>
        <v>164</v>
      </c>
      <c r="G2476" s="78">
        <f>VLOOKUP(Categorias_Registro[[#This Row],[Puntos]],Categorias_Configuracion[],MATCH(Categorias_Configuracion[[#Headers],[% Amplitud]],Categorias_Configuracion[#Headers],0),TRUE)</f>
        <v>0.15</v>
      </c>
      <c r="H2476" s="15" t="str">
        <f ca="1">TEXT(Categorias_Registro[[#This Row],[Mínimo]],Formato_Rango_Categorias)&amp;" - "&amp;TEXT(Categorias_Registro[[#This Row],[Máximo]],Formato_Rango_Categorias)</f>
        <v>153 - 175</v>
      </c>
    </row>
    <row r="2477" spans="2:8">
      <c r="B2477" s="15">
        <f>Techo - ROW() + ROW(Categorias_Registro[])</f>
        <v>152</v>
      </c>
      <c r="C2477" s="15">
        <f>IF(Categorias_Registro[[#This Row],[Puntos]]&lt;=ROUND(Piso,0),Piso,IF(Categorias_Registro[[#This Row],[Puntos]]&lt;D2478,C2478,D2478+1))</f>
        <v>153</v>
      </c>
      <c r="D2477" s="15">
        <f>IF(Categorias_Registro[[#This Row],[Puntos]]=ROUND(Piso,0),ROUND(Categorias_Registro[[#This Row],[Puntos]]*(1+Categorias_Registro[[#This Row],[Amplitud]]),0),IF(Categorias_Registro[[#This Row],[Puntos]]&lt;D2478,D2478,ROUND(D2478*(1+Categorias_Registro[[#This Row],[Amplitud]]),0)))</f>
        <v>175</v>
      </c>
      <c r="E2477" s="15">
        <f>E2478+IF(D2478=Categorias_Registro[[#This Row],[Máximo]],0,1)</f>
        <v>5</v>
      </c>
      <c r="F2477" s="15">
        <f>ROUND(Categorias_Registro[[#This Row],[Mínimo]]+((Categorias_Registro[[#This Row],[Máximo]]-Categorias_Registro[[#This Row],[Mínimo]])/2),0)</f>
        <v>164</v>
      </c>
      <c r="G2477" s="78">
        <f>VLOOKUP(Categorias_Registro[[#This Row],[Puntos]],Categorias_Configuracion[],MATCH(Categorias_Configuracion[[#Headers],[% Amplitud]],Categorias_Configuracion[#Headers],0),TRUE)</f>
        <v>0.15</v>
      </c>
      <c r="H2477" s="15" t="str">
        <f ca="1">TEXT(Categorias_Registro[[#This Row],[Mínimo]],Formato_Rango_Categorias)&amp;" - "&amp;TEXT(Categorias_Registro[[#This Row],[Máximo]],Formato_Rango_Categorias)</f>
        <v>153 - 175</v>
      </c>
    </row>
    <row r="2478" spans="2:8">
      <c r="B2478" s="15">
        <f>Techo - ROW() + ROW(Categorias_Registro[])</f>
        <v>151</v>
      </c>
      <c r="C2478" s="15">
        <f>IF(Categorias_Registro[[#This Row],[Puntos]]&lt;=ROUND(Piso,0),Piso,IF(Categorias_Registro[[#This Row],[Puntos]]&lt;D2479,C2479,D2479+1))</f>
        <v>133</v>
      </c>
      <c r="D2478" s="15">
        <f>IF(Categorias_Registro[[#This Row],[Puntos]]=ROUND(Piso,0),ROUND(Categorias_Registro[[#This Row],[Puntos]]*(1+Categorias_Registro[[#This Row],[Amplitud]]),0),IF(Categorias_Registro[[#This Row],[Puntos]]&lt;D2479,D2479,ROUND(D2479*(1+Categorias_Registro[[#This Row],[Amplitud]]),0)))</f>
        <v>152</v>
      </c>
      <c r="E2478" s="15">
        <f>E2479+IF(D2479=Categorias_Registro[[#This Row],[Máximo]],0,1)</f>
        <v>4</v>
      </c>
      <c r="F2478" s="15">
        <f>ROUND(Categorias_Registro[[#This Row],[Mínimo]]+((Categorias_Registro[[#This Row],[Máximo]]-Categorias_Registro[[#This Row],[Mínimo]])/2),0)</f>
        <v>143</v>
      </c>
      <c r="G2478" s="78">
        <f>VLOOKUP(Categorias_Registro[[#This Row],[Puntos]],Categorias_Configuracion[],MATCH(Categorias_Configuracion[[#Headers],[% Amplitud]],Categorias_Configuracion[#Headers],0),TRUE)</f>
        <v>0.15</v>
      </c>
      <c r="H2478" s="15" t="str">
        <f ca="1">TEXT(Categorias_Registro[[#This Row],[Mínimo]],Formato_Rango_Categorias)&amp;" - "&amp;TEXT(Categorias_Registro[[#This Row],[Máximo]],Formato_Rango_Categorias)</f>
        <v>133 - 152</v>
      </c>
    </row>
    <row r="2479" spans="2:8">
      <c r="B2479" s="15">
        <f>Techo - ROW() + ROW(Categorias_Registro[])</f>
        <v>150</v>
      </c>
      <c r="C2479" s="15">
        <f>IF(Categorias_Registro[[#This Row],[Puntos]]&lt;=ROUND(Piso,0),Piso,IF(Categorias_Registro[[#This Row],[Puntos]]&lt;D2480,C2480,D2480+1))</f>
        <v>133</v>
      </c>
      <c r="D2479" s="15">
        <f>IF(Categorias_Registro[[#This Row],[Puntos]]=ROUND(Piso,0),ROUND(Categorias_Registro[[#This Row],[Puntos]]*(1+Categorias_Registro[[#This Row],[Amplitud]]),0),IF(Categorias_Registro[[#This Row],[Puntos]]&lt;D2480,D2480,ROUND(D2480*(1+Categorias_Registro[[#This Row],[Amplitud]]),0)))</f>
        <v>152</v>
      </c>
      <c r="E2479" s="15">
        <f>E2480+IF(D2480=Categorias_Registro[[#This Row],[Máximo]],0,1)</f>
        <v>4</v>
      </c>
      <c r="F2479" s="15">
        <f>ROUND(Categorias_Registro[[#This Row],[Mínimo]]+((Categorias_Registro[[#This Row],[Máximo]]-Categorias_Registro[[#This Row],[Mínimo]])/2),0)</f>
        <v>143</v>
      </c>
      <c r="G2479" s="78">
        <f>VLOOKUP(Categorias_Registro[[#This Row],[Puntos]],Categorias_Configuracion[],MATCH(Categorias_Configuracion[[#Headers],[% Amplitud]],Categorias_Configuracion[#Headers],0),TRUE)</f>
        <v>0.15</v>
      </c>
      <c r="H2479" s="15" t="str">
        <f ca="1">TEXT(Categorias_Registro[[#This Row],[Mínimo]],Formato_Rango_Categorias)&amp;" - "&amp;TEXT(Categorias_Registro[[#This Row],[Máximo]],Formato_Rango_Categorias)</f>
        <v>133 - 152</v>
      </c>
    </row>
    <row r="2480" spans="2:8">
      <c r="B2480" s="15">
        <f>Techo - ROW() + ROW(Categorias_Registro[])</f>
        <v>149</v>
      </c>
      <c r="C2480" s="15">
        <f>IF(Categorias_Registro[[#This Row],[Puntos]]&lt;=ROUND(Piso,0),Piso,IF(Categorias_Registro[[#This Row],[Puntos]]&lt;D2481,C2481,D2481+1))</f>
        <v>133</v>
      </c>
      <c r="D2480" s="15">
        <f>IF(Categorias_Registro[[#This Row],[Puntos]]=ROUND(Piso,0),ROUND(Categorias_Registro[[#This Row],[Puntos]]*(1+Categorias_Registro[[#This Row],[Amplitud]]),0),IF(Categorias_Registro[[#This Row],[Puntos]]&lt;D2481,D2481,ROUND(D2481*(1+Categorias_Registro[[#This Row],[Amplitud]]),0)))</f>
        <v>152</v>
      </c>
      <c r="E2480" s="15">
        <f>E2481+IF(D2481=Categorias_Registro[[#This Row],[Máximo]],0,1)</f>
        <v>4</v>
      </c>
      <c r="F2480" s="15">
        <f>ROUND(Categorias_Registro[[#This Row],[Mínimo]]+((Categorias_Registro[[#This Row],[Máximo]]-Categorias_Registro[[#This Row],[Mínimo]])/2),0)</f>
        <v>143</v>
      </c>
      <c r="G2480" s="78">
        <f>VLOOKUP(Categorias_Registro[[#This Row],[Puntos]],Categorias_Configuracion[],MATCH(Categorias_Configuracion[[#Headers],[% Amplitud]],Categorias_Configuracion[#Headers],0),TRUE)</f>
        <v>0.15</v>
      </c>
      <c r="H2480" s="15" t="str">
        <f ca="1">TEXT(Categorias_Registro[[#This Row],[Mínimo]],Formato_Rango_Categorias)&amp;" - "&amp;TEXT(Categorias_Registro[[#This Row],[Máximo]],Formato_Rango_Categorias)</f>
        <v>133 - 152</v>
      </c>
    </row>
    <row r="2481" spans="2:8">
      <c r="B2481" s="15">
        <f>Techo - ROW() + ROW(Categorias_Registro[])</f>
        <v>148</v>
      </c>
      <c r="C2481" s="15">
        <f>IF(Categorias_Registro[[#This Row],[Puntos]]&lt;=ROUND(Piso,0),Piso,IF(Categorias_Registro[[#This Row],[Puntos]]&lt;D2482,C2482,D2482+1))</f>
        <v>133</v>
      </c>
      <c r="D2481" s="15">
        <f>IF(Categorias_Registro[[#This Row],[Puntos]]=ROUND(Piso,0),ROUND(Categorias_Registro[[#This Row],[Puntos]]*(1+Categorias_Registro[[#This Row],[Amplitud]]),0),IF(Categorias_Registro[[#This Row],[Puntos]]&lt;D2482,D2482,ROUND(D2482*(1+Categorias_Registro[[#This Row],[Amplitud]]),0)))</f>
        <v>152</v>
      </c>
      <c r="E2481" s="15">
        <f>E2482+IF(D2482=Categorias_Registro[[#This Row],[Máximo]],0,1)</f>
        <v>4</v>
      </c>
      <c r="F2481" s="15">
        <f>ROUND(Categorias_Registro[[#This Row],[Mínimo]]+((Categorias_Registro[[#This Row],[Máximo]]-Categorias_Registro[[#This Row],[Mínimo]])/2),0)</f>
        <v>143</v>
      </c>
      <c r="G2481" s="78">
        <f>VLOOKUP(Categorias_Registro[[#This Row],[Puntos]],Categorias_Configuracion[],MATCH(Categorias_Configuracion[[#Headers],[% Amplitud]],Categorias_Configuracion[#Headers],0),TRUE)</f>
        <v>0.15</v>
      </c>
      <c r="H2481" s="15" t="str">
        <f ca="1">TEXT(Categorias_Registro[[#This Row],[Mínimo]],Formato_Rango_Categorias)&amp;" - "&amp;TEXT(Categorias_Registro[[#This Row],[Máximo]],Formato_Rango_Categorias)</f>
        <v>133 - 152</v>
      </c>
    </row>
    <row r="2482" spans="2:8">
      <c r="B2482" s="15">
        <f>Techo - ROW() + ROW(Categorias_Registro[])</f>
        <v>147</v>
      </c>
      <c r="C2482" s="15">
        <f>IF(Categorias_Registro[[#This Row],[Puntos]]&lt;=ROUND(Piso,0),Piso,IF(Categorias_Registro[[#This Row],[Puntos]]&lt;D2483,C2483,D2483+1))</f>
        <v>133</v>
      </c>
      <c r="D2482" s="15">
        <f>IF(Categorias_Registro[[#This Row],[Puntos]]=ROUND(Piso,0),ROUND(Categorias_Registro[[#This Row],[Puntos]]*(1+Categorias_Registro[[#This Row],[Amplitud]]),0),IF(Categorias_Registro[[#This Row],[Puntos]]&lt;D2483,D2483,ROUND(D2483*(1+Categorias_Registro[[#This Row],[Amplitud]]),0)))</f>
        <v>152</v>
      </c>
      <c r="E2482" s="15">
        <f>E2483+IF(D2483=Categorias_Registro[[#This Row],[Máximo]],0,1)</f>
        <v>4</v>
      </c>
      <c r="F2482" s="15">
        <f>ROUND(Categorias_Registro[[#This Row],[Mínimo]]+((Categorias_Registro[[#This Row],[Máximo]]-Categorias_Registro[[#This Row],[Mínimo]])/2),0)</f>
        <v>143</v>
      </c>
      <c r="G2482" s="78">
        <f>VLOOKUP(Categorias_Registro[[#This Row],[Puntos]],Categorias_Configuracion[],MATCH(Categorias_Configuracion[[#Headers],[% Amplitud]],Categorias_Configuracion[#Headers],0),TRUE)</f>
        <v>0.15</v>
      </c>
      <c r="H2482" s="15" t="str">
        <f ca="1">TEXT(Categorias_Registro[[#This Row],[Mínimo]],Formato_Rango_Categorias)&amp;" - "&amp;TEXT(Categorias_Registro[[#This Row],[Máximo]],Formato_Rango_Categorias)</f>
        <v>133 - 152</v>
      </c>
    </row>
    <row r="2483" spans="2:8">
      <c r="B2483" s="15">
        <f>Techo - ROW() + ROW(Categorias_Registro[])</f>
        <v>146</v>
      </c>
      <c r="C2483" s="15">
        <f>IF(Categorias_Registro[[#This Row],[Puntos]]&lt;=ROUND(Piso,0),Piso,IF(Categorias_Registro[[#This Row],[Puntos]]&lt;D2484,C2484,D2484+1))</f>
        <v>133</v>
      </c>
      <c r="D2483" s="15">
        <f>IF(Categorias_Registro[[#This Row],[Puntos]]=ROUND(Piso,0),ROUND(Categorias_Registro[[#This Row],[Puntos]]*(1+Categorias_Registro[[#This Row],[Amplitud]]),0),IF(Categorias_Registro[[#This Row],[Puntos]]&lt;D2484,D2484,ROUND(D2484*(1+Categorias_Registro[[#This Row],[Amplitud]]),0)))</f>
        <v>152</v>
      </c>
      <c r="E2483" s="15">
        <f>E2484+IF(D2484=Categorias_Registro[[#This Row],[Máximo]],0,1)</f>
        <v>4</v>
      </c>
      <c r="F2483" s="15">
        <f>ROUND(Categorias_Registro[[#This Row],[Mínimo]]+((Categorias_Registro[[#This Row],[Máximo]]-Categorias_Registro[[#This Row],[Mínimo]])/2),0)</f>
        <v>143</v>
      </c>
      <c r="G2483" s="78">
        <f>VLOOKUP(Categorias_Registro[[#This Row],[Puntos]],Categorias_Configuracion[],MATCH(Categorias_Configuracion[[#Headers],[% Amplitud]],Categorias_Configuracion[#Headers],0),TRUE)</f>
        <v>0.15</v>
      </c>
      <c r="H2483" s="15" t="str">
        <f ca="1">TEXT(Categorias_Registro[[#This Row],[Mínimo]],Formato_Rango_Categorias)&amp;" - "&amp;TEXT(Categorias_Registro[[#This Row],[Máximo]],Formato_Rango_Categorias)</f>
        <v>133 - 152</v>
      </c>
    </row>
    <row r="2484" spans="2:8">
      <c r="B2484" s="15">
        <f>Techo - ROW() + ROW(Categorias_Registro[])</f>
        <v>145</v>
      </c>
      <c r="C2484" s="15">
        <f>IF(Categorias_Registro[[#This Row],[Puntos]]&lt;=ROUND(Piso,0),Piso,IF(Categorias_Registro[[#This Row],[Puntos]]&lt;D2485,C2485,D2485+1))</f>
        <v>133</v>
      </c>
      <c r="D2484" s="15">
        <f>IF(Categorias_Registro[[#This Row],[Puntos]]=ROUND(Piso,0),ROUND(Categorias_Registro[[#This Row],[Puntos]]*(1+Categorias_Registro[[#This Row],[Amplitud]]),0),IF(Categorias_Registro[[#This Row],[Puntos]]&lt;D2485,D2485,ROUND(D2485*(1+Categorias_Registro[[#This Row],[Amplitud]]),0)))</f>
        <v>152</v>
      </c>
      <c r="E2484" s="15">
        <f>E2485+IF(D2485=Categorias_Registro[[#This Row],[Máximo]],0,1)</f>
        <v>4</v>
      </c>
      <c r="F2484" s="15">
        <f>ROUND(Categorias_Registro[[#This Row],[Mínimo]]+((Categorias_Registro[[#This Row],[Máximo]]-Categorias_Registro[[#This Row],[Mínimo]])/2),0)</f>
        <v>143</v>
      </c>
      <c r="G2484" s="78">
        <f>VLOOKUP(Categorias_Registro[[#This Row],[Puntos]],Categorias_Configuracion[],MATCH(Categorias_Configuracion[[#Headers],[% Amplitud]],Categorias_Configuracion[#Headers],0),TRUE)</f>
        <v>0.15</v>
      </c>
      <c r="H2484" s="15" t="str">
        <f ca="1">TEXT(Categorias_Registro[[#This Row],[Mínimo]],Formato_Rango_Categorias)&amp;" - "&amp;TEXT(Categorias_Registro[[#This Row],[Máximo]],Formato_Rango_Categorias)</f>
        <v>133 - 152</v>
      </c>
    </row>
    <row r="2485" spans="2:8">
      <c r="B2485" s="15">
        <f>Techo - ROW() + ROW(Categorias_Registro[])</f>
        <v>144</v>
      </c>
      <c r="C2485" s="15">
        <f>IF(Categorias_Registro[[#This Row],[Puntos]]&lt;=ROUND(Piso,0),Piso,IF(Categorias_Registro[[#This Row],[Puntos]]&lt;D2486,C2486,D2486+1))</f>
        <v>133</v>
      </c>
      <c r="D2485" s="15">
        <f>IF(Categorias_Registro[[#This Row],[Puntos]]=ROUND(Piso,0),ROUND(Categorias_Registro[[#This Row],[Puntos]]*(1+Categorias_Registro[[#This Row],[Amplitud]]),0),IF(Categorias_Registro[[#This Row],[Puntos]]&lt;D2486,D2486,ROUND(D2486*(1+Categorias_Registro[[#This Row],[Amplitud]]),0)))</f>
        <v>152</v>
      </c>
      <c r="E2485" s="15">
        <f>E2486+IF(D2486=Categorias_Registro[[#This Row],[Máximo]],0,1)</f>
        <v>4</v>
      </c>
      <c r="F2485" s="15">
        <f>ROUND(Categorias_Registro[[#This Row],[Mínimo]]+((Categorias_Registro[[#This Row],[Máximo]]-Categorias_Registro[[#This Row],[Mínimo]])/2),0)</f>
        <v>143</v>
      </c>
      <c r="G2485" s="78">
        <f>VLOOKUP(Categorias_Registro[[#This Row],[Puntos]],Categorias_Configuracion[],MATCH(Categorias_Configuracion[[#Headers],[% Amplitud]],Categorias_Configuracion[#Headers],0),TRUE)</f>
        <v>0.15</v>
      </c>
      <c r="H2485" s="15" t="str">
        <f ca="1">TEXT(Categorias_Registro[[#This Row],[Mínimo]],Formato_Rango_Categorias)&amp;" - "&amp;TEXT(Categorias_Registro[[#This Row],[Máximo]],Formato_Rango_Categorias)</f>
        <v>133 - 152</v>
      </c>
    </row>
    <row r="2486" spans="2:8">
      <c r="B2486" s="15">
        <f>Techo - ROW() + ROW(Categorias_Registro[])</f>
        <v>143</v>
      </c>
      <c r="C2486" s="15">
        <f>IF(Categorias_Registro[[#This Row],[Puntos]]&lt;=ROUND(Piso,0),Piso,IF(Categorias_Registro[[#This Row],[Puntos]]&lt;D2487,C2487,D2487+1))</f>
        <v>133</v>
      </c>
      <c r="D2486" s="15">
        <f>IF(Categorias_Registro[[#This Row],[Puntos]]=ROUND(Piso,0),ROUND(Categorias_Registro[[#This Row],[Puntos]]*(1+Categorias_Registro[[#This Row],[Amplitud]]),0),IF(Categorias_Registro[[#This Row],[Puntos]]&lt;D2487,D2487,ROUND(D2487*(1+Categorias_Registro[[#This Row],[Amplitud]]),0)))</f>
        <v>152</v>
      </c>
      <c r="E2486" s="15">
        <f>E2487+IF(D2487=Categorias_Registro[[#This Row],[Máximo]],0,1)</f>
        <v>4</v>
      </c>
      <c r="F2486" s="15">
        <f>ROUND(Categorias_Registro[[#This Row],[Mínimo]]+((Categorias_Registro[[#This Row],[Máximo]]-Categorias_Registro[[#This Row],[Mínimo]])/2),0)</f>
        <v>143</v>
      </c>
      <c r="G2486" s="78">
        <f>VLOOKUP(Categorias_Registro[[#This Row],[Puntos]],Categorias_Configuracion[],MATCH(Categorias_Configuracion[[#Headers],[% Amplitud]],Categorias_Configuracion[#Headers],0),TRUE)</f>
        <v>0.15</v>
      </c>
      <c r="H2486" s="15" t="str">
        <f ca="1">TEXT(Categorias_Registro[[#This Row],[Mínimo]],Formato_Rango_Categorias)&amp;" - "&amp;TEXT(Categorias_Registro[[#This Row],[Máximo]],Formato_Rango_Categorias)</f>
        <v>133 - 152</v>
      </c>
    </row>
    <row r="2487" spans="2:8">
      <c r="B2487" s="15">
        <f>Techo - ROW() + ROW(Categorias_Registro[])</f>
        <v>142</v>
      </c>
      <c r="C2487" s="15">
        <f>IF(Categorias_Registro[[#This Row],[Puntos]]&lt;=ROUND(Piso,0),Piso,IF(Categorias_Registro[[#This Row],[Puntos]]&lt;D2488,C2488,D2488+1))</f>
        <v>133</v>
      </c>
      <c r="D2487" s="15">
        <f>IF(Categorias_Registro[[#This Row],[Puntos]]=ROUND(Piso,0),ROUND(Categorias_Registro[[#This Row],[Puntos]]*(1+Categorias_Registro[[#This Row],[Amplitud]]),0),IF(Categorias_Registro[[#This Row],[Puntos]]&lt;D2488,D2488,ROUND(D2488*(1+Categorias_Registro[[#This Row],[Amplitud]]),0)))</f>
        <v>152</v>
      </c>
      <c r="E2487" s="15">
        <f>E2488+IF(D2488=Categorias_Registro[[#This Row],[Máximo]],0,1)</f>
        <v>4</v>
      </c>
      <c r="F2487" s="15">
        <f>ROUND(Categorias_Registro[[#This Row],[Mínimo]]+((Categorias_Registro[[#This Row],[Máximo]]-Categorias_Registro[[#This Row],[Mínimo]])/2),0)</f>
        <v>143</v>
      </c>
      <c r="G2487" s="78">
        <f>VLOOKUP(Categorias_Registro[[#This Row],[Puntos]],Categorias_Configuracion[],MATCH(Categorias_Configuracion[[#Headers],[% Amplitud]],Categorias_Configuracion[#Headers],0),TRUE)</f>
        <v>0.15</v>
      </c>
      <c r="H2487" s="15" t="str">
        <f ca="1">TEXT(Categorias_Registro[[#This Row],[Mínimo]],Formato_Rango_Categorias)&amp;" - "&amp;TEXT(Categorias_Registro[[#This Row],[Máximo]],Formato_Rango_Categorias)</f>
        <v>133 - 152</v>
      </c>
    </row>
    <row r="2488" spans="2:8">
      <c r="B2488" s="15">
        <f>Techo - ROW() + ROW(Categorias_Registro[])</f>
        <v>141</v>
      </c>
      <c r="C2488" s="15">
        <f>IF(Categorias_Registro[[#This Row],[Puntos]]&lt;=ROUND(Piso,0),Piso,IF(Categorias_Registro[[#This Row],[Puntos]]&lt;D2489,C2489,D2489+1))</f>
        <v>133</v>
      </c>
      <c r="D2488" s="15">
        <f>IF(Categorias_Registro[[#This Row],[Puntos]]=ROUND(Piso,0),ROUND(Categorias_Registro[[#This Row],[Puntos]]*(1+Categorias_Registro[[#This Row],[Amplitud]]),0),IF(Categorias_Registro[[#This Row],[Puntos]]&lt;D2489,D2489,ROUND(D2489*(1+Categorias_Registro[[#This Row],[Amplitud]]),0)))</f>
        <v>152</v>
      </c>
      <c r="E2488" s="15">
        <f>E2489+IF(D2489=Categorias_Registro[[#This Row],[Máximo]],0,1)</f>
        <v>4</v>
      </c>
      <c r="F2488" s="15">
        <f>ROUND(Categorias_Registro[[#This Row],[Mínimo]]+((Categorias_Registro[[#This Row],[Máximo]]-Categorias_Registro[[#This Row],[Mínimo]])/2),0)</f>
        <v>143</v>
      </c>
      <c r="G2488" s="78">
        <f>VLOOKUP(Categorias_Registro[[#This Row],[Puntos]],Categorias_Configuracion[],MATCH(Categorias_Configuracion[[#Headers],[% Amplitud]],Categorias_Configuracion[#Headers],0),TRUE)</f>
        <v>0.15</v>
      </c>
      <c r="H2488" s="15" t="str">
        <f ca="1">TEXT(Categorias_Registro[[#This Row],[Mínimo]],Formato_Rango_Categorias)&amp;" - "&amp;TEXT(Categorias_Registro[[#This Row],[Máximo]],Formato_Rango_Categorias)</f>
        <v>133 - 152</v>
      </c>
    </row>
    <row r="2489" spans="2:8">
      <c r="B2489" s="15">
        <f>Techo - ROW() + ROW(Categorias_Registro[])</f>
        <v>140</v>
      </c>
      <c r="C2489" s="15">
        <f>IF(Categorias_Registro[[#This Row],[Puntos]]&lt;=ROUND(Piso,0),Piso,IF(Categorias_Registro[[#This Row],[Puntos]]&lt;D2490,C2490,D2490+1))</f>
        <v>133</v>
      </c>
      <c r="D2489" s="15">
        <f>IF(Categorias_Registro[[#This Row],[Puntos]]=ROUND(Piso,0),ROUND(Categorias_Registro[[#This Row],[Puntos]]*(1+Categorias_Registro[[#This Row],[Amplitud]]),0),IF(Categorias_Registro[[#This Row],[Puntos]]&lt;D2490,D2490,ROUND(D2490*(1+Categorias_Registro[[#This Row],[Amplitud]]),0)))</f>
        <v>152</v>
      </c>
      <c r="E2489" s="15">
        <f>E2490+IF(D2490=Categorias_Registro[[#This Row],[Máximo]],0,1)</f>
        <v>4</v>
      </c>
      <c r="F2489" s="15">
        <f>ROUND(Categorias_Registro[[#This Row],[Mínimo]]+((Categorias_Registro[[#This Row],[Máximo]]-Categorias_Registro[[#This Row],[Mínimo]])/2),0)</f>
        <v>143</v>
      </c>
      <c r="G2489" s="78">
        <f>VLOOKUP(Categorias_Registro[[#This Row],[Puntos]],Categorias_Configuracion[],MATCH(Categorias_Configuracion[[#Headers],[% Amplitud]],Categorias_Configuracion[#Headers],0),TRUE)</f>
        <v>0.15</v>
      </c>
      <c r="H2489" s="15" t="str">
        <f ca="1">TEXT(Categorias_Registro[[#This Row],[Mínimo]],Formato_Rango_Categorias)&amp;" - "&amp;TEXT(Categorias_Registro[[#This Row],[Máximo]],Formato_Rango_Categorias)</f>
        <v>133 - 152</v>
      </c>
    </row>
    <row r="2490" spans="2:8">
      <c r="B2490" s="15">
        <f>Techo - ROW() + ROW(Categorias_Registro[])</f>
        <v>139</v>
      </c>
      <c r="C2490" s="15">
        <f>IF(Categorias_Registro[[#This Row],[Puntos]]&lt;=ROUND(Piso,0),Piso,IF(Categorias_Registro[[#This Row],[Puntos]]&lt;D2491,C2491,D2491+1))</f>
        <v>133</v>
      </c>
      <c r="D2490" s="15">
        <f>IF(Categorias_Registro[[#This Row],[Puntos]]=ROUND(Piso,0),ROUND(Categorias_Registro[[#This Row],[Puntos]]*(1+Categorias_Registro[[#This Row],[Amplitud]]),0),IF(Categorias_Registro[[#This Row],[Puntos]]&lt;D2491,D2491,ROUND(D2491*(1+Categorias_Registro[[#This Row],[Amplitud]]),0)))</f>
        <v>152</v>
      </c>
      <c r="E2490" s="15">
        <f>E2491+IF(D2491=Categorias_Registro[[#This Row],[Máximo]],0,1)</f>
        <v>4</v>
      </c>
      <c r="F2490" s="15">
        <f>ROUND(Categorias_Registro[[#This Row],[Mínimo]]+((Categorias_Registro[[#This Row],[Máximo]]-Categorias_Registro[[#This Row],[Mínimo]])/2),0)</f>
        <v>143</v>
      </c>
      <c r="G2490" s="78">
        <f>VLOOKUP(Categorias_Registro[[#This Row],[Puntos]],Categorias_Configuracion[],MATCH(Categorias_Configuracion[[#Headers],[% Amplitud]],Categorias_Configuracion[#Headers],0),TRUE)</f>
        <v>0.15</v>
      </c>
      <c r="H2490" s="15" t="str">
        <f ca="1">TEXT(Categorias_Registro[[#This Row],[Mínimo]],Formato_Rango_Categorias)&amp;" - "&amp;TEXT(Categorias_Registro[[#This Row],[Máximo]],Formato_Rango_Categorias)</f>
        <v>133 - 152</v>
      </c>
    </row>
    <row r="2491" spans="2:8">
      <c r="B2491" s="15">
        <f>Techo - ROW() + ROW(Categorias_Registro[])</f>
        <v>138</v>
      </c>
      <c r="C2491" s="15">
        <f>IF(Categorias_Registro[[#This Row],[Puntos]]&lt;=ROUND(Piso,0),Piso,IF(Categorias_Registro[[#This Row],[Puntos]]&lt;D2492,C2492,D2492+1))</f>
        <v>133</v>
      </c>
      <c r="D2491" s="15">
        <f>IF(Categorias_Registro[[#This Row],[Puntos]]=ROUND(Piso,0),ROUND(Categorias_Registro[[#This Row],[Puntos]]*(1+Categorias_Registro[[#This Row],[Amplitud]]),0),IF(Categorias_Registro[[#This Row],[Puntos]]&lt;D2492,D2492,ROUND(D2492*(1+Categorias_Registro[[#This Row],[Amplitud]]),0)))</f>
        <v>152</v>
      </c>
      <c r="E2491" s="15">
        <f>E2492+IF(D2492=Categorias_Registro[[#This Row],[Máximo]],0,1)</f>
        <v>4</v>
      </c>
      <c r="F2491" s="15">
        <f>ROUND(Categorias_Registro[[#This Row],[Mínimo]]+((Categorias_Registro[[#This Row],[Máximo]]-Categorias_Registro[[#This Row],[Mínimo]])/2),0)</f>
        <v>143</v>
      </c>
      <c r="G2491" s="78">
        <f>VLOOKUP(Categorias_Registro[[#This Row],[Puntos]],Categorias_Configuracion[],MATCH(Categorias_Configuracion[[#Headers],[% Amplitud]],Categorias_Configuracion[#Headers],0),TRUE)</f>
        <v>0.15</v>
      </c>
      <c r="H2491" s="15" t="str">
        <f ca="1">TEXT(Categorias_Registro[[#This Row],[Mínimo]],Formato_Rango_Categorias)&amp;" - "&amp;TEXT(Categorias_Registro[[#This Row],[Máximo]],Formato_Rango_Categorias)</f>
        <v>133 - 152</v>
      </c>
    </row>
    <row r="2492" spans="2:8">
      <c r="B2492" s="15">
        <f>Techo - ROW() + ROW(Categorias_Registro[])</f>
        <v>137</v>
      </c>
      <c r="C2492" s="15">
        <f>IF(Categorias_Registro[[#This Row],[Puntos]]&lt;=ROUND(Piso,0),Piso,IF(Categorias_Registro[[#This Row],[Puntos]]&lt;D2493,C2493,D2493+1))</f>
        <v>133</v>
      </c>
      <c r="D2492" s="15">
        <f>IF(Categorias_Registro[[#This Row],[Puntos]]=ROUND(Piso,0),ROUND(Categorias_Registro[[#This Row],[Puntos]]*(1+Categorias_Registro[[#This Row],[Amplitud]]),0),IF(Categorias_Registro[[#This Row],[Puntos]]&lt;D2493,D2493,ROUND(D2493*(1+Categorias_Registro[[#This Row],[Amplitud]]),0)))</f>
        <v>152</v>
      </c>
      <c r="E2492" s="15">
        <f>E2493+IF(D2493=Categorias_Registro[[#This Row],[Máximo]],0,1)</f>
        <v>4</v>
      </c>
      <c r="F2492" s="15">
        <f>ROUND(Categorias_Registro[[#This Row],[Mínimo]]+((Categorias_Registro[[#This Row],[Máximo]]-Categorias_Registro[[#This Row],[Mínimo]])/2),0)</f>
        <v>143</v>
      </c>
      <c r="G2492" s="78">
        <f>VLOOKUP(Categorias_Registro[[#This Row],[Puntos]],Categorias_Configuracion[],MATCH(Categorias_Configuracion[[#Headers],[% Amplitud]],Categorias_Configuracion[#Headers],0),TRUE)</f>
        <v>0.15</v>
      </c>
      <c r="H2492" s="15" t="str">
        <f ca="1">TEXT(Categorias_Registro[[#This Row],[Mínimo]],Formato_Rango_Categorias)&amp;" - "&amp;TEXT(Categorias_Registro[[#This Row],[Máximo]],Formato_Rango_Categorias)</f>
        <v>133 - 152</v>
      </c>
    </row>
    <row r="2493" spans="2:8">
      <c r="B2493" s="15">
        <f>Techo - ROW() + ROW(Categorias_Registro[])</f>
        <v>136</v>
      </c>
      <c r="C2493" s="15">
        <f>IF(Categorias_Registro[[#This Row],[Puntos]]&lt;=ROUND(Piso,0),Piso,IF(Categorias_Registro[[#This Row],[Puntos]]&lt;D2494,C2494,D2494+1))</f>
        <v>133</v>
      </c>
      <c r="D2493" s="15">
        <f>IF(Categorias_Registro[[#This Row],[Puntos]]=ROUND(Piso,0),ROUND(Categorias_Registro[[#This Row],[Puntos]]*(1+Categorias_Registro[[#This Row],[Amplitud]]),0),IF(Categorias_Registro[[#This Row],[Puntos]]&lt;D2494,D2494,ROUND(D2494*(1+Categorias_Registro[[#This Row],[Amplitud]]),0)))</f>
        <v>152</v>
      </c>
      <c r="E2493" s="15">
        <f>E2494+IF(D2494=Categorias_Registro[[#This Row],[Máximo]],0,1)</f>
        <v>4</v>
      </c>
      <c r="F2493" s="15">
        <f>ROUND(Categorias_Registro[[#This Row],[Mínimo]]+((Categorias_Registro[[#This Row],[Máximo]]-Categorias_Registro[[#This Row],[Mínimo]])/2),0)</f>
        <v>143</v>
      </c>
      <c r="G2493" s="78">
        <f>VLOOKUP(Categorias_Registro[[#This Row],[Puntos]],Categorias_Configuracion[],MATCH(Categorias_Configuracion[[#Headers],[% Amplitud]],Categorias_Configuracion[#Headers],0),TRUE)</f>
        <v>0.15</v>
      </c>
      <c r="H2493" s="15" t="str">
        <f ca="1">TEXT(Categorias_Registro[[#This Row],[Mínimo]],Formato_Rango_Categorias)&amp;" - "&amp;TEXT(Categorias_Registro[[#This Row],[Máximo]],Formato_Rango_Categorias)</f>
        <v>133 - 152</v>
      </c>
    </row>
    <row r="2494" spans="2:8">
      <c r="B2494" s="15">
        <f>Techo - ROW() + ROW(Categorias_Registro[])</f>
        <v>135</v>
      </c>
      <c r="C2494" s="15">
        <f>IF(Categorias_Registro[[#This Row],[Puntos]]&lt;=ROUND(Piso,0),Piso,IF(Categorias_Registro[[#This Row],[Puntos]]&lt;D2495,C2495,D2495+1))</f>
        <v>133</v>
      </c>
      <c r="D2494" s="15">
        <f>IF(Categorias_Registro[[#This Row],[Puntos]]=ROUND(Piso,0),ROUND(Categorias_Registro[[#This Row],[Puntos]]*(1+Categorias_Registro[[#This Row],[Amplitud]]),0),IF(Categorias_Registro[[#This Row],[Puntos]]&lt;D2495,D2495,ROUND(D2495*(1+Categorias_Registro[[#This Row],[Amplitud]]),0)))</f>
        <v>152</v>
      </c>
      <c r="E2494" s="15">
        <f>E2495+IF(D2495=Categorias_Registro[[#This Row],[Máximo]],0,1)</f>
        <v>4</v>
      </c>
      <c r="F2494" s="15">
        <f>ROUND(Categorias_Registro[[#This Row],[Mínimo]]+((Categorias_Registro[[#This Row],[Máximo]]-Categorias_Registro[[#This Row],[Mínimo]])/2),0)</f>
        <v>143</v>
      </c>
      <c r="G2494" s="78">
        <f>VLOOKUP(Categorias_Registro[[#This Row],[Puntos]],Categorias_Configuracion[],MATCH(Categorias_Configuracion[[#Headers],[% Amplitud]],Categorias_Configuracion[#Headers],0),TRUE)</f>
        <v>0.15</v>
      </c>
      <c r="H2494" s="15" t="str">
        <f ca="1">TEXT(Categorias_Registro[[#This Row],[Mínimo]],Formato_Rango_Categorias)&amp;" - "&amp;TEXT(Categorias_Registro[[#This Row],[Máximo]],Formato_Rango_Categorias)</f>
        <v>133 - 152</v>
      </c>
    </row>
    <row r="2495" spans="2:8">
      <c r="B2495" s="15">
        <f>Techo - ROW() + ROW(Categorias_Registro[])</f>
        <v>134</v>
      </c>
      <c r="C2495" s="15">
        <f>IF(Categorias_Registro[[#This Row],[Puntos]]&lt;=ROUND(Piso,0),Piso,IF(Categorias_Registro[[#This Row],[Puntos]]&lt;D2496,C2496,D2496+1))</f>
        <v>133</v>
      </c>
      <c r="D2495" s="15">
        <f>IF(Categorias_Registro[[#This Row],[Puntos]]=ROUND(Piso,0),ROUND(Categorias_Registro[[#This Row],[Puntos]]*(1+Categorias_Registro[[#This Row],[Amplitud]]),0),IF(Categorias_Registro[[#This Row],[Puntos]]&lt;D2496,D2496,ROUND(D2496*(1+Categorias_Registro[[#This Row],[Amplitud]]),0)))</f>
        <v>152</v>
      </c>
      <c r="E2495" s="15">
        <f>E2496+IF(D2496=Categorias_Registro[[#This Row],[Máximo]],0,1)</f>
        <v>4</v>
      </c>
      <c r="F2495" s="15">
        <f>ROUND(Categorias_Registro[[#This Row],[Mínimo]]+((Categorias_Registro[[#This Row],[Máximo]]-Categorias_Registro[[#This Row],[Mínimo]])/2),0)</f>
        <v>143</v>
      </c>
      <c r="G2495" s="78">
        <f>VLOOKUP(Categorias_Registro[[#This Row],[Puntos]],Categorias_Configuracion[],MATCH(Categorias_Configuracion[[#Headers],[% Amplitud]],Categorias_Configuracion[#Headers],0),TRUE)</f>
        <v>0.15</v>
      </c>
      <c r="H2495" s="15" t="str">
        <f ca="1">TEXT(Categorias_Registro[[#This Row],[Mínimo]],Formato_Rango_Categorias)&amp;" - "&amp;TEXT(Categorias_Registro[[#This Row],[Máximo]],Formato_Rango_Categorias)</f>
        <v>133 - 152</v>
      </c>
    </row>
    <row r="2496" spans="2:8">
      <c r="B2496" s="15">
        <f>Techo - ROW() + ROW(Categorias_Registro[])</f>
        <v>133</v>
      </c>
      <c r="C2496" s="15">
        <f>IF(Categorias_Registro[[#This Row],[Puntos]]&lt;=ROUND(Piso,0),Piso,IF(Categorias_Registro[[#This Row],[Puntos]]&lt;D2497,C2497,D2497+1))</f>
        <v>133</v>
      </c>
      <c r="D2496" s="15">
        <f>IF(Categorias_Registro[[#This Row],[Puntos]]=ROUND(Piso,0),ROUND(Categorias_Registro[[#This Row],[Puntos]]*(1+Categorias_Registro[[#This Row],[Amplitud]]),0),IF(Categorias_Registro[[#This Row],[Puntos]]&lt;D2497,D2497,ROUND(D2497*(1+Categorias_Registro[[#This Row],[Amplitud]]),0)))</f>
        <v>152</v>
      </c>
      <c r="E2496" s="15">
        <f>E2497+IF(D2497=Categorias_Registro[[#This Row],[Máximo]],0,1)</f>
        <v>4</v>
      </c>
      <c r="F2496" s="15">
        <f>ROUND(Categorias_Registro[[#This Row],[Mínimo]]+((Categorias_Registro[[#This Row],[Máximo]]-Categorias_Registro[[#This Row],[Mínimo]])/2),0)</f>
        <v>143</v>
      </c>
      <c r="G2496" s="78">
        <f>VLOOKUP(Categorias_Registro[[#This Row],[Puntos]],Categorias_Configuracion[],MATCH(Categorias_Configuracion[[#Headers],[% Amplitud]],Categorias_Configuracion[#Headers],0),TRUE)</f>
        <v>0.15</v>
      </c>
      <c r="H2496" s="15" t="str">
        <f ca="1">TEXT(Categorias_Registro[[#This Row],[Mínimo]],Formato_Rango_Categorias)&amp;" - "&amp;TEXT(Categorias_Registro[[#This Row],[Máximo]],Formato_Rango_Categorias)</f>
        <v>133 - 152</v>
      </c>
    </row>
    <row r="2497" spans="2:8">
      <c r="B2497" s="15">
        <f>Techo - ROW() + ROW(Categorias_Registro[])</f>
        <v>132</v>
      </c>
      <c r="C2497" s="15">
        <f>IF(Categorias_Registro[[#This Row],[Puntos]]&lt;=ROUND(Piso,0),Piso,IF(Categorias_Registro[[#This Row],[Puntos]]&lt;D2498,C2498,D2498+1))</f>
        <v>133</v>
      </c>
      <c r="D2497" s="15">
        <f>IF(Categorias_Registro[[#This Row],[Puntos]]=ROUND(Piso,0),ROUND(Categorias_Registro[[#This Row],[Puntos]]*(1+Categorias_Registro[[#This Row],[Amplitud]]),0),IF(Categorias_Registro[[#This Row],[Puntos]]&lt;D2498,D2498,ROUND(D2498*(1+Categorias_Registro[[#This Row],[Amplitud]]),0)))</f>
        <v>152</v>
      </c>
      <c r="E2497" s="15">
        <f>E2498+IF(D2498=Categorias_Registro[[#This Row],[Máximo]],0,1)</f>
        <v>4</v>
      </c>
      <c r="F2497" s="15">
        <f>ROUND(Categorias_Registro[[#This Row],[Mínimo]]+((Categorias_Registro[[#This Row],[Máximo]]-Categorias_Registro[[#This Row],[Mínimo]])/2),0)</f>
        <v>143</v>
      </c>
      <c r="G2497" s="78">
        <f>VLOOKUP(Categorias_Registro[[#This Row],[Puntos]],Categorias_Configuracion[],MATCH(Categorias_Configuracion[[#Headers],[% Amplitud]],Categorias_Configuracion[#Headers],0),TRUE)</f>
        <v>0.15</v>
      </c>
      <c r="H2497" s="15" t="str">
        <f ca="1">TEXT(Categorias_Registro[[#This Row],[Mínimo]],Formato_Rango_Categorias)&amp;" - "&amp;TEXT(Categorias_Registro[[#This Row],[Máximo]],Formato_Rango_Categorias)</f>
        <v>133 - 152</v>
      </c>
    </row>
    <row r="2498" spans="2:8">
      <c r="B2498" s="15">
        <f>Techo - ROW() + ROW(Categorias_Registro[])</f>
        <v>131</v>
      </c>
      <c r="C2498" s="15">
        <f>IF(Categorias_Registro[[#This Row],[Puntos]]&lt;=ROUND(Piso,0),Piso,IF(Categorias_Registro[[#This Row],[Puntos]]&lt;D2499,C2499,D2499+1))</f>
        <v>116</v>
      </c>
      <c r="D2498" s="15">
        <f>IF(Categorias_Registro[[#This Row],[Puntos]]=ROUND(Piso,0),ROUND(Categorias_Registro[[#This Row],[Puntos]]*(1+Categorias_Registro[[#This Row],[Amplitud]]),0),IF(Categorias_Registro[[#This Row],[Puntos]]&lt;D2499,D2499,ROUND(D2499*(1+Categorias_Registro[[#This Row],[Amplitud]]),0)))</f>
        <v>132</v>
      </c>
      <c r="E2498" s="15">
        <f>E2499+IF(D2499=Categorias_Registro[[#This Row],[Máximo]],0,1)</f>
        <v>3</v>
      </c>
      <c r="F2498" s="15">
        <f>ROUND(Categorias_Registro[[#This Row],[Mínimo]]+((Categorias_Registro[[#This Row],[Máximo]]-Categorias_Registro[[#This Row],[Mínimo]])/2),0)</f>
        <v>124</v>
      </c>
      <c r="G2498" s="78">
        <f>VLOOKUP(Categorias_Registro[[#This Row],[Puntos]],Categorias_Configuracion[],MATCH(Categorias_Configuracion[[#Headers],[% Amplitud]],Categorias_Configuracion[#Headers],0),TRUE)</f>
        <v>0.15</v>
      </c>
      <c r="H2498" s="15" t="str">
        <f ca="1">TEXT(Categorias_Registro[[#This Row],[Mínimo]],Formato_Rango_Categorias)&amp;" - "&amp;TEXT(Categorias_Registro[[#This Row],[Máximo]],Formato_Rango_Categorias)</f>
        <v>116 - 132</v>
      </c>
    </row>
    <row r="2499" spans="2:8">
      <c r="B2499" s="15">
        <f>Techo - ROW() + ROW(Categorias_Registro[])</f>
        <v>130</v>
      </c>
      <c r="C2499" s="15">
        <f>IF(Categorias_Registro[[#This Row],[Puntos]]&lt;=ROUND(Piso,0),Piso,IF(Categorias_Registro[[#This Row],[Puntos]]&lt;D2500,C2500,D2500+1))</f>
        <v>116</v>
      </c>
      <c r="D2499" s="15">
        <f>IF(Categorias_Registro[[#This Row],[Puntos]]=ROUND(Piso,0),ROUND(Categorias_Registro[[#This Row],[Puntos]]*(1+Categorias_Registro[[#This Row],[Amplitud]]),0),IF(Categorias_Registro[[#This Row],[Puntos]]&lt;D2500,D2500,ROUND(D2500*(1+Categorias_Registro[[#This Row],[Amplitud]]),0)))</f>
        <v>132</v>
      </c>
      <c r="E2499" s="15">
        <f>E2500+IF(D2500=Categorias_Registro[[#This Row],[Máximo]],0,1)</f>
        <v>3</v>
      </c>
      <c r="F2499" s="15">
        <f>ROUND(Categorias_Registro[[#This Row],[Mínimo]]+((Categorias_Registro[[#This Row],[Máximo]]-Categorias_Registro[[#This Row],[Mínimo]])/2),0)</f>
        <v>124</v>
      </c>
      <c r="G2499" s="78">
        <f>VLOOKUP(Categorias_Registro[[#This Row],[Puntos]],Categorias_Configuracion[],MATCH(Categorias_Configuracion[[#Headers],[% Amplitud]],Categorias_Configuracion[#Headers],0),TRUE)</f>
        <v>0.15</v>
      </c>
      <c r="H2499" s="15" t="str">
        <f ca="1">TEXT(Categorias_Registro[[#This Row],[Mínimo]],Formato_Rango_Categorias)&amp;" - "&amp;TEXT(Categorias_Registro[[#This Row],[Máximo]],Formato_Rango_Categorias)</f>
        <v>116 - 132</v>
      </c>
    </row>
    <row r="2500" spans="2:8">
      <c r="B2500" s="15">
        <f>Techo - ROW() + ROW(Categorias_Registro[])</f>
        <v>129</v>
      </c>
      <c r="C2500" s="15">
        <f>IF(Categorias_Registro[[#This Row],[Puntos]]&lt;=ROUND(Piso,0),Piso,IF(Categorias_Registro[[#This Row],[Puntos]]&lt;D2501,C2501,D2501+1))</f>
        <v>116</v>
      </c>
      <c r="D2500" s="15">
        <f>IF(Categorias_Registro[[#This Row],[Puntos]]=ROUND(Piso,0),ROUND(Categorias_Registro[[#This Row],[Puntos]]*(1+Categorias_Registro[[#This Row],[Amplitud]]),0),IF(Categorias_Registro[[#This Row],[Puntos]]&lt;D2501,D2501,ROUND(D2501*(1+Categorias_Registro[[#This Row],[Amplitud]]),0)))</f>
        <v>132</v>
      </c>
      <c r="E2500" s="15">
        <f>E2501+IF(D2501=Categorias_Registro[[#This Row],[Máximo]],0,1)</f>
        <v>3</v>
      </c>
      <c r="F2500" s="15">
        <f>ROUND(Categorias_Registro[[#This Row],[Mínimo]]+((Categorias_Registro[[#This Row],[Máximo]]-Categorias_Registro[[#This Row],[Mínimo]])/2),0)</f>
        <v>124</v>
      </c>
      <c r="G2500" s="78">
        <f>VLOOKUP(Categorias_Registro[[#This Row],[Puntos]],Categorias_Configuracion[],MATCH(Categorias_Configuracion[[#Headers],[% Amplitud]],Categorias_Configuracion[#Headers],0),TRUE)</f>
        <v>0.15</v>
      </c>
      <c r="H2500" s="15" t="str">
        <f ca="1">TEXT(Categorias_Registro[[#This Row],[Mínimo]],Formato_Rango_Categorias)&amp;" - "&amp;TEXT(Categorias_Registro[[#This Row],[Máximo]],Formato_Rango_Categorias)</f>
        <v>116 - 132</v>
      </c>
    </row>
    <row r="2501" spans="2:8">
      <c r="B2501" s="15">
        <f>Techo - ROW() + ROW(Categorias_Registro[])</f>
        <v>128</v>
      </c>
      <c r="C2501" s="15">
        <f>IF(Categorias_Registro[[#This Row],[Puntos]]&lt;=ROUND(Piso,0),Piso,IF(Categorias_Registro[[#This Row],[Puntos]]&lt;D2502,C2502,D2502+1))</f>
        <v>116</v>
      </c>
      <c r="D2501" s="15">
        <f>IF(Categorias_Registro[[#This Row],[Puntos]]=ROUND(Piso,0),ROUND(Categorias_Registro[[#This Row],[Puntos]]*(1+Categorias_Registro[[#This Row],[Amplitud]]),0),IF(Categorias_Registro[[#This Row],[Puntos]]&lt;D2502,D2502,ROUND(D2502*(1+Categorias_Registro[[#This Row],[Amplitud]]),0)))</f>
        <v>132</v>
      </c>
      <c r="E2501" s="15">
        <f>E2502+IF(D2502=Categorias_Registro[[#This Row],[Máximo]],0,1)</f>
        <v>3</v>
      </c>
      <c r="F2501" s="15">
        <f>ROUND(Categorias_Registro[[#This Row],[Mínimo]]+((Categorias_Registro[[#This Row],[Máximo]]-Categorias_Registro[[#This Row],[Mínimo]])/2),0)</f>
        <v>124</v>
      </c>
      <c r="G2501" s="78">
        <f>VLOOKUP(Categorias_Registro[[#This Row],[Puntos]],Categorias_Configuracion[],MATCH(Categorias_Configuracion[[#Headers],[% Amplitud]],Categorias_Configuracion[#Headers],0),TRUE)</f>
        <v>0.15</v>
      </c>
      <c r="H2501" s="15" t="str">
        <f ca="1">TEXT(Categorias_Registro[[#This Row],[Mínimo]],Formato_Rango_Categorias)&amp;" - "&amp;TEXT(Categorias_Registro[[#This Row],[Máximo]],Formato_Rango_Categorias)</f>
        <v>116 - 132</v>
      </c>
    </row>
    <row r="2502" spans="2:8">
      <c r="B2502" s="15">
        <f>Techo - ROW() + ROW(Categorias_Registro[])</f>
        <v>127</v>
      </c>
      <c r="C2502" s="15">
        <f>IF(Categorias_Registro[[#This Row],[Puntos]]&lt;=ROUND(Piso,0),Piso,IF(Categorias_Registro[[#This Row],[Puntos]]&lt;D2503,C2503,D2503+1))</f>
        <v>116</v>
      </c>
      <c r="D2502" s="15">
        <f>IF(Categorias_Registro[[#This Row],[Puntos]]=ROUND(Piso,0),ROUND(Categorias_Registro[[#This Row],[Puntos]]*(1+Categorias_Registro[[#This Row],[Amplitud]]),0),IF(Categorias_Registro[[#This Row],[Puntos]]&lt;D2503,D2503,ROUND(D2503*(1+Categorias_Registro[[#This Row],[Amplitud]]),0)))</f>
        <v>132</v>
      </c>
      <c r="E2502" s="15">
        <f>E2503+IF(D2503=Categorias_Registro[[#This Row],[Máximo]],0,1)</f>
        <v>3</v>
      </c>
      <c r="F2502" s="15">
        <f>ROUND(Categorias_Registro[[#This Row],[Mínimo]]+((Categorias_Registro[[#This Row],[Máximo]]-Categorias_Registro[[#This Row],[Mínimo]])/2),0)</f>
        <v>124</v>
      </c>
      <c r="G2502" s="78">
        <f>VLOOKUP(Categorias_Registro[[#This Row],[Puntos]],Categorias_Configuracion[],MATCH(Categorias_Configuracion[[#Headers],[% Amplitud]],Categorias_Configuracion[#Headers],0),TRUE)</f>
        <v>0.15</v>
      </c>
      <c r="H2502" s="15" t="str">
        <f ca="1">TEXT(Categorias_Registro[[#This Row],[Mínimo]],Formato_Rango_Categorias)&amp;" - "&amp;TEXT(Categorias_Registro[[#This Row],[Máximo]],Formato_Rango_Categorias)</f>
        <v>116 - 132</v>
      </c>
    </row>
    <row r="2503" spans="2:8">
      <c r="B2503" s="15">
        <f>Techo - ROW() + ROW(Categorias_Registro[])</f>
        <v>126</v>
      </c>
      <c r="C2503" s="15">
        <f>IF(Categorias_Registro[[#This Row],[Puntos]]&lt;=ROUND(Piso,0),Piso,IF(Categorias_Registro[[#This Row],[Puntos]]&lt;D2504,C2504,D2504+1))</f>
        <v>116</v>
      </c>
      <c r="D2503" s="15">
        <f>IF(Categorias_Registro[[#This Row],[Puntos]]=ROUND(Piso,0),ROUND(Categorias_Registro[[#This Row],[Puntos]]*(1+Categorias_Registro[[#This Row],[Amplitud]]),0),IF(Categorias_Registro[[#This Row],[Puntos]]&lt;D2504,D2504,ROUND(D2504*(1+Categorias_Registro[[#This Row],[Amplitud]]),0)))</f>
        <v>132</v>
      </c>
      <c r="E2503" s="15">
        <f>E2504+IF(D2504=Categorias_Registro[[#This Row],[Máximo]],0,1)</f>
        <v>3</v>
      </c>
      <c r="F2503" s="15">
        <f>ROUND(Categorias_Registro[[#This Row],[Mínimo]]+((Categorias_Registro[[#This Row],[Máximo]]-Categorias_Registro[[#This Row],[Mínimo]])/2),0)</f>
        <v>124</v>
      </c>
      <c r="G2503" s="78">
        <f>VLOOKUP(Categorias_Registro[[#This Row],[Puntos]],Categorias_Configuracion[],MATCH(Categorias_Configuracion[[#Headers],[% Amplitud]],Categorias_Configuracion[#Headers],0),TRUE)</f>
        <v>0.15</v>
      </c>
      <c r="H2503" s="15" t="str">
        <f ca="1">TEXT(Categorias_Registro[[#This Row],[Mínimo]],Formato_Rango_Categorias)&amp;" - "&amp;TEXT(Categorias_Registro[[#This Row],[Máximo]],Formato_Rango_Categorias)</f>
        <v>116 - 132</v>
      </c>
    </row>
    <row r="2504" spans="2:8">
      <c r="B2504" s="15">
        <f>Techo - ROW() + ROW(Categorias_Registro[])</f>
        <v>125</v>
      </c>
      <c r="C2504" s="15">
        <f>IF(Categorias_Registro[[#This Row],[Puntos]]&lt;=ROUND(Piso,0),Piso,IF(Categorias_Registro[[#This Row],[Puntos]]&lt;D2505,C2505,D2505+1))</f>
        <v>116</v>
      </c>
      <c r="D2504" s="15">
        <f>IF(Categorias_Registro[[#This Row],[Puntos]]=ROUND(Piso,0),ROUND(Categorias_Registro[[#This Row],[Puntos]]*(1+Categorias_Registro[[#This Row],[Amplitud]]),0),IF(Categorias_Registro[[#This Row],[Puntos]]&lt;D2505,D2505,ROUND(D2505*(1+Categorias_Registro[[#This Row],[Amplitud]]),0)))</f>
        <v>132</v>
      </c>
      <c r="E2504" s="15">
        <f>E2505+IF(D2505=Categorias_Registro[[#This Row],[Máximo]],0,1)</f>
        <v>3</v>
      </c>
      <c r="F2504" s="15">
        <f>ROUND(Categorias_Registro[[#This Row],[Mínimo]]+((Categorias_Registro[[#This Row],[Máximo]]-Categorias_Registro[[#This Row],[Mínimo]])/2),0)</f>
        <v>124</v>
      </c>
      <c r="G2504" s="78">
        <f>VLOOKUP(Categorias_Registro[[#This Row],[Puntos]],Categorias_Configuracion[],MATCH(Categorias_Configuracion[[#Headers],[% Amplitud]],Categorias_Configuracion[#Headers],0),TRUE)</f>
        <v>0.15</v>
      </c>
      <c r="H2504" s="15" t="str">
        <f ca="1">TEXT(Categorias_Registro[[#This Row],[Mínimo]],Formato_Rango_Categorias)&amp;" - "&amp;TEXT(Categorias_Registro[[#This Row],[Máximo]],Formato_Rango_Categorias)</f>
        <v>116 - 132</v>
      </c>
    </row>
    <row r="2505" spans="2:8">
      <c r="B2505" s="15">
        <f>Techo - ROW() + ROW(Categorias_Registro[])</f>
        <v>124</v>
      </c>
      <c r="C2505" s="15">
        <f>IF(Categorias_Registro[[#This Row],[Puntos]]&lt;=ROUND(Piso,0),Piso,IF(Categorias_Registro[[#This Row],[Puntos]]&lt;D2506,C2506,D2506+1))</f>
        <v>116</v>
      </c>
      <c r="D2505" s="15">
        <f>IF(Categorias_Registro[[#This Row],[Puntos]]=ROUND(Piso,0),ROUND(Categorias_Registro[[#This Row],[Puntos]]*(1+Categorias_Registro[[#This Row],[Amplitud]]),0),IF(Categorias_Registro[[#This Row],[Puntos]]&lt;D2506,D2506,ROUND(D2506*(1+Categorias_Registro[[#This Row],[Amplitud]]),0)))</f>
        <v>132</v>
      </c>
      <c r="E2505" s="15">
        <f>E2506+IF(D2506=Categorias_Registro[[#This Row],[Máximo]],0,1)</f>
        <v>3</v>
      </c>
      <c r="F2505" s="15">
        <f>ROUND(Categorias_Registro[[#This Row],[Mínimo]]+((Categorias_Registro[[#This Row],[Máximo]]-Categorias_Registro[[#This Row],[Mínimo]])/2),0)</f>
        <v>124</v>
      </c>
      <c r="G2505" s="78">
        <f>VLOOKUP(Categorias_Registro[[#This Row],[Puntos]],Categorias_Configuracion[],MATCH(Categorias_Configuracion[[#Headers],[% Amplitud]],Categorias_Configuracion[#Headers],0),TRUE)</f>
        <v>0.15</v>
      </c>
      <c r="H2505" s="15" t="str">
        <f ca="1">TEXT(Categorias_Registro[[#This Row],[Mínimo]],Formato_Rango_Categorias)&amp;" - "&amp;TEXT(Categorias_Registro[[#This Row],[Máximo]],Formato_Rango_Categorias)</f>
        <v>116 - 132</v>
      </c>
    </row>
    <row r="2506" spans="2:8">
      <c r="B2506" s="15">
        <f>Techo - ROW() + ROW(Categorias_Registro[])</f>
        <v>123</v>
      </c>
      <c r="C2506" s="15">
        <f>IF(Categorias_Registro[[#This Row],[Puntos]]&lt;=ROUND(Piso,0),Piso,IF(Categorias_Registro[[#This Row],[Puntos]]&lt;D2507,C2507,D2507+1))</f>
        <v>116</v>
      </c>
      <c r="D2506" s="15">
        <f>IF(Categorias_Registro[[#This Row],[Puntos]]=ROUND(Piso,0),ROUND(Categorias_Registro[[#This Row],[Puntos]]*(1+Categorias_Registro[[#This Row],[Amplitud]]),0),IF(Categorias_Registro[[#This Row],[Puntos]]&lt;D2507,D2507,ROUND(D2507*(1+Categorias_Registro[[#This Row],[Amplitud]]),0)))</f>
        <v>132</v>
      </c>
      <c r="E2506" s="15">
        <f>E2507+IF(D2507=Categorias_Registro[[#This Row],[Máximo]],0,1)</f>
        <v>3</v>
      </c>
      <c r="F2506" s="15">
        <f>ROUND(Categorias_Registro[[#This Row],[Mínimo]]+((Categorias_Registro[[#This Row],[Máximo]]-Categorias_Registro[[#This Row],[Mínimo]])/2),0)</f>
        <v>124</v>
      </c>
      <c r="G2506" s="78">
        <f>VLOOKUP(Categorias_Registro[[#This Row],[Puntos]],Categorias_Configuracion[],MATCH(Categorias_Configuracion[[#Headers],[% Amplitud]],Categorias_Configuracion[#Headers],0),TRUE)</f>
        <v>0.15</v>
      </c>
      <c r="H2506" s="15" t="str">
        <f ca="1">TEXT(Categorias_Registro[[#This Row],[Mínimo]],Formato_Rango_Categorias)&amp;" - "&amp;TEXT(Categorias_Registro[[#This Row],[Máximo]],Formato_Rango_Categorias)</f>
        <v>116 - 132</v>
      </c>
    </row>
    <row r="2507" spans="2:8">
      <c r="B2507" s="15">
        <f>Techo - ROW() + ROW(Categorias_Registro[])</f>
        <v>122</v>
      </c>
      <c r="C2507" s="15">
        <f>IF(Categorias_Registro[[#This Row],[Puntos]]&lt;=ROUND(Piso,0),Piso,IF(Categorias_Registro[[#This Row],[Puntos]]&lt;D2508,C2508,D2508+1))</f>
        <v>116</v>
      </c>
      <c r="D2507" s="15">
        <f>IF(Categorias_Registro[[#This Row],[Puntos]]=ROUND(Piso,0),ROUND(Categorias_Registro[[#This Row],[Puntos]]*(1+Categorias_Registro[[#This Row],[Amplitud]]),0),IF(Categorias_Registro[[#This Row],[Puntos]]&lt;D2508,D2508,ROUND(D2508*(1+Categorias_Registro[[#This Row],[Amplitud]]),0)))</f>
        <v>132</v>
      </c>
      <c r="E2507" s="15">
        <f>E2508+IF(D2508=Categorias_Registro[[#This Row],[Máximo]],0,1)</f>
        <v>3</v>
      </c>
      <c r="F2507" s="15">
        <f>ROUND(Categorias_Registro[[#This Row],[Mínimo]]+((Categorias_Registro[[#This Row],[Máximo]]-Categorias_Registro[[#This Row],[Mínimo]])/2),0)</f>
        <v>124</v>
      </c>
      <c r="G2507" s="78">
        <f>VLOOKUP(Categorias_Registro[[#This Row],[Puntos]],Categorias_Configuracion[],MATCH(Categorias_Configuracion[[#Headers],[% Amplitud]],Categorias_Configuracion[#Headers],0),TRUE)</f>
        <v>0.15</v>
      </c>
      <c r="H2507" s="15" t="str">
        <f ca="1">TEXT(Categorias_Registro[[#This Row],[Mínimo]],Formato_Rango_Categorias)&amp;" - "&amp;TEXT(Categorias_Registro[[#This Row],[Máximo]],Formato_Rango_Categorias)</f>
        <v>116 - 132</v>
      </c>
    </row>
    <row r="2508" spans="2:8">
      <c r="B2508" s="15">
        <f>Techo - ROW() + ROW(Categorias_Registro[])</f>
        <v>121</v>
      </c>
      <c r="C2508" s="15">
        <f>IF(Categorias_Registro[[#This Row],[Puntos]]&lt;=ROUND(Piso,0),Piso,IF(Categorias_Registro[[#This Row],[Puntos]]&lt;D2509,C2509,D2509+1))</f>
        <v>116</v>
      </c>
      <c r="D2508" s="15">
        <f>IF(Categorias_Registro[[#This Row],[Puntos]]=ROUND(Piso,0),ROUND(Categorias_Registro[[#This Row],[Puntos]]*(1+Categorias_Registro[[#This Row],[Amplitud]]),0),IF(Categorias_Registro[[#This Row],[Puntos]]&lt;D2509,D2509,ROUND(D2509*(1+Categorias_Registro[[#This Row],[Amplitud]]),0)))</f>
        <v>132</v>
      </c>
      <c r="E2508" s="15">
        <f>E2509+IF(D2509=Categorias_Registro[[#This Row],[Máximo]],0,1)</f>
        <v>3</v>
      </c>
      <c r="F2508" s="15">
        <f>ROUND(Categorias_Registro[[#This Row],[Mínimo]]+((Categorias_Registro[[#This Row],[Máximo]]-Categorias_Registro[[#This Row],[Mínimo]])/2),0)</f>
        <v>124</v>
      </c>
      <c r="G2508" s="78">
        <f>VLOOKUP(Categorias_Registro[[#This Row],[Puntos]],Categorias_Configuracion[],MATCH(Categorias_Configuracion[[#Headers],[% Amplitud]],Categorias_Configuracion[#Headers],0),TRUE)</f>
        <v>0.15</v>
      </c>
      <c r="H2508" s="15" t="str">
        <f ca="1">TEXT(Categorias_Registro[[#This Row],[Mínimo]],Formato_Rango_Categorias)&amp;" - "&amp;TEXT(Categorias_Registro[[#This Row],[Máximo]],Formato_Rango_Categorias)</f>
        <v>116 - 132</v>
      </c>
    </row>
    <row r="2509" spans="2:8">
      <c r="B2509" s="15">
        <f>Techo - ROW() + ROW(Categorias_Registro[])</f>
        <v>120</v>
      </c>
      <c r="C2509" s="15">
        <f>IF(Categorias_Registro[[#This Row],[Puntos]]&lt;=ROUND(Piso,0),Piso,IF(Categorias_Registro[[#This Row],[Puntos]]&lt;D2510,C2510,D2510+1))</f>
        <v>116</v>
      </c>
      <c r="D2509" s="15">
        <f>IF(Categorias_Registro[[#This Row],[Puntos]]=ROUND(Piso,0),ROUND(Categorias_Registro[[#This Row],[Puntos]]*(1+Categorias_Registro[[#This Row],[Amplitud]]),0),IF(Categorias_Registro[[#This Row],[Puntos]]&lt;D2510,D2510,ROUND(D2510*(1+Categorias_Registro[[#This Row],[Amplitud]]),0)))</f>
        <v>132</v>
      </c>
      <c r="E2509" s="15">
        <f>E2510+IF(D2510=Categorias_Registro[[#This Row],[Máximo]],0,1)</f>
        <v>3</v>
      </c>
      <c r="F2509" s="15">
        <f>ROUND(Categorias_Registro[[#This Row],[Mínimo]]+((Categorias_Registro[[#This Row],[Máximo]]-Categorias_Registro[[#This Row],[Mínimo]])/2),0)</f>
        <v>124</v>
      </c>
      <c r="G2509" s="78">
        <f>VLOOKUP(Categorias_Registro[[#This Row],[Puntos]],Categorias_Configuracion[],MATCH(Categorias_Configuracion[[#Headers],[% Amplitud]],Categorias_Configuracion[#Headers],0),TRUE)</f>
        <v>0.15</v>
      </c>
      <c r="H2509" s="15" t="str">
        <f ca="1">TEXT(Categorias_Registro[[#This Row],[Mínimo]],Formato_Rango_Categorias)&amp;" - "&amp;TEXT(Categorias_Registro[[#This Row],[Máximo]],Formato_Rango_Categorias)</f>
        <v>116 - 132</v>
      </c>
    </row>
    <row r="2510" spans="2:8">
      <c r="B2510" s="15">
        <f>Techo - ROW() + ROW(Categorias_Registro[])</f>
        <v>119</v>
      </c>
      <c r="C2510" s="15">
        <f>IF(Categorias_Registro[[#This Row],[Puntos]]&lt;=ROUND(Piso,0),Piso,IF(Categorias_Registro[[#This Row],[Puntos]]&lt;D2511,C2511,D2511+1))</f>
        <v>116</v>
      </c>
      <c r="D2510" s="15">
        <f>IF(Categorias_Registro[[#This Row],[Puntos]]=ROUND(Piso,0),ROUND(Categorias_Registro[[#This Row],[Puntos]]*(1+Categorias_Registro[[#This Row],[Amplitud]]),0),IF(Categorias_Registro[[#This Row],[Puntos]]&lt;D2511,D2511,ROUND(D2511*(1+Categorias_Registro[[#This Row],[Amplitud]]),0)))</f>
        <v>132</v>
      </c>
      <c r="E2510" s="15">
        <f>E2511+IF(D2511=Categorias_Registro[[#This Row],[Máximo]],0,1)</f>
        <v>3</v>
      </c>
      <c r="F2510" s="15">
        <f>ROUND(Categorias_Registro[[#This Row],[Mínimo]]+((Categorias_Registro[[#This Row],[Máximo]]-Categorias_Registro[[#This Row],[Mínimo]])/2),0)</f>
        <v>124</v>
      </c>
      <c r="G2510" s="78">
        <f>VLOOKUP(Categorias_Registro[[#This Row],[Puntos]],Categorias_Configuracion[],MATCH(Categorias_Configuracion[[#Headers],[% Amplitud]],Categorias_Configuracion[#Headers],0),TRUE)</f>
        <v>0.15</v>
      </c>
      <c r="H2510" s="15" t="str">
        <f ca="1">TEXT(Categorias_Registro[[#This Row],[Mínimo]],Formato_Rango_Categorias)&amp;" - "&amp;TEXT(Categorias_Registro[[#This Row],[Máximo]],Formato_Rango_Categorias)</f>
        <v>116 - 132</v>
      </c>
    </row>
    <row r="2511" spans="2:8">
      <c r="B2511" s="15">
        <f>Techo - ROW() + ROW(Categorias_Registro[])</f>
        <v>118</v>
      </c>
      <c r="C2511" s="15">
        <f>IF(Categorias_Registro[[#This Row],[Puntos]]&lt;=ROUND(Piso,0),Piso,IF(Categorias_Registro[[#This Row],[Puntos]]&lt;D2512,C2512,D2512+1))</f>
        <v>116</v>
      </c>
      <c r="D2511" s="15">
        <f>IF(Categorias_Registro[[#This Row],[Puntos]]=ROUND(Piso,0),ROUND(Categorias_Registro[[#This Row],[Puntos]]*(1+Categorias_Registro[[#This Row],[Amplitud]]),0),IF(Categorias_Registro[[#This Row],[Puntos]]&lt;D2512,D2512,ROUND(D2512*(1+Categorias_Registro[[#This Row],[Amplitud]]),0)))</f>
        <v>132</v>
      </c>
      <c r="E2511" s="15">
        <f>E2512+IF(D2512=Categorias_Registro[[#This Row],[Máximo]],0,1)</f>
        <v>3</v>
      </c>
      <c r="F2511" s="15">
        <f>ROUND(Categorias_Registro[[#This Row],[Mínimo]]+((Categorias_Registro[[#This Row],[Máximo]]-Categorias_Registro[[#This Row],[Mínimo]])/2),0)</f>
        <v>124</v>
      </c>
      <c r="G2511" s="78">
        <f>VLOOKUP(Categorias_Registro[[#This Row],[Puntos]],Categorias_Configuracion[],MATCH(Categorias_Configuracion[[#Headers],[% Amplitud]],Categorias_Configuracion[#Headers],0),TRUE)</f>
        <v>0.15</v>
      </c>
      <c r="H2511" s="15" t="str">
        <f ca="1">TEXT(Categorias_Registro[[#This Row],[Mínimo]],Formato_Rango_Categorias)&amp;" - "&amp;TEXT(Categorias_Registro[[#This Row],[Máximo]],Formato_Rango_Categorias)</f>
        <v>116 - 132</v>
      </c>
    </row>
    <row r="2512" spans="2:8">
      <c r="B2512" s="15">
        <f>Techo - ROW() + ROW(Categorias_Registro[])</f>
        <v>117</v>
      </c>
      <c r="C2512" s="15">
        <f>IF(Categorias_Registro[[#This Row],[Puntos]]&lt;=ROUND(Piso,0),Piso,IF(Categorias_Registro[[#This Row],[Puntos]]&lt;D2513,C2513,D2513+1))</f>
        <v>116</v>
      </c>
      <c r="D2512" s="15">
        <f>IF(Categorias_Registro[[#This Row],[Puntos]]=ROUND(Piso,0),ROUND(Categorias_Registro[[#This Row],[Puntos]]*(1+Categorias_Registro[[#This Row],[Amplitud]]),0),IF(Categorias_Registro[[#This Row],[Puntos]]&lt;D2513,D2513,ROUND(D2513*(1+Categorias_Registro[[#This Row],[Amplitud]]),0)))</f>
        <v>132</v>
      </c>
      <c r="E2512" s="15">
        <f>E2513+IF(D2513=Categorias_Registro[[#This Row],[Máximo]],0,1)</f>
        <v>3</v>
      </c>
      <c r="F2512" s="15">
        <f>ROUND(Categorias_Registro[[#This Row],[Mínimo]]+((Categorias_Registro[[#This Row],[Máximo]]-Categorias_Registro[[#This Row],[Mínimo]])/2),0)</f>
        <v>124</v>
      </c>
      <c r="G2512" s="78">
        <f>VLOOKUP(Categorias_Registro[[#This Row],[Puntos]],Categorias_Configuracion[],MATCH(Categorias_Configuracion[[#Headers],[% Amplitud]],Categorias_Configuracion[#Headers],0),TRUE)</f>
        <v>0.15</v>
      </c>
      <c r="H2512" s="15" t="str">
        <f ca="1">TEXT(Categorias_Registro[[#This Row],[Mínimo]],Formato_Rango_Categorias)&amp;" - "&amp;TEXT(Categorias_Registro[[#This Row],[Máximo]],Formato_Rango_Categorias)</f>
        <v>116 - 132</v>
      </c>
    </row>
    <row r="2513" spans="2:8">
      <c r="B2513" s="15">
        <f>Techo - ROW() + ROW(Categorias_Registro[])</f>
        <v>116</v>
      </c>
      <c r="C2513" s="15">
        <f>IF(Categorias_Registro[[#This Row],[Puntos]]&lt;=ROUND(Piso,0),Piso,IF(Categorias_Registro[[#This Row],[Puntos]]&lt;D2514,C2514,D2514+1))</f>
        <v>116</v>
      </c>
      <c r="D2513" s="15">
        <f>IF(Categorias_Registro[[#This Row],[Puntos]]=ROUND(Piso,0),ROUND(Categorias_Registro[[#This Row],[Puntos]]*(1+Categorias_Registro[[#This Row],[Amplitud]]),0),IF(Categorias_Registro[[#This Row],[Puntos]]&lt;D2514,D2514,ROUND(D2514*(1+Categorias_Registro[[#This Row],[Amplitud]]),0)))</f>
        <v>132</v>
      </c>
      <c r="E2513" s="15">
        <f>E2514+IF(D2514=Categorias_Registro[[#This Row],[Máximo]],0,1)</f>
        <v>3</v>
      </c>
      <c r="F2513" s="15">
        <f>ROUND(Categorias_Registro[[#This Row],[Mínimo]]+((Categorias_Registro[[#This Row],[Máximo]]-Categorias_Registro[[#This Row],[Mínimo]])/2),0)</f>
        <v>124</v>
      </c>
      <c r="G2513" s="78">
        <f>VLOOKUP(Categorias_Registro[[#This Row],[Puntos]],Categorias_Configuracion[],MATCH(Categorias_Configuracion[[#Headers],[% Amplitud]],Categorias_Configuracion[#Headers],0),TRUE)</f>
        <v>0.15</v>
      </c>
      <c r="H2513" s="15" t="str">
        <f ca="1">TEXT(Categorias_Registro[[#This Row],[Mínimo]],Formato_Rango_Categorias)&amp;" - "&amp;TEXT(Categorias_Registro[[#This Row],[Máximo]],Formato_Rango_Categorias)</f>
        <v>116 - 132</v>
      </c>
    </row>
    <row r="2514" spans="2:8">
      <c r="B2514" s="15">
        <f>Techo - ROW() + ROW(Categorias_Registro[])</f>
        <v>115</v>
      </c>
      <c r="C2514" s="15">
        <f>IF(Categorias_Registro[[#This Row],[Puntos]]&lt;=ROUND(Piso,0),Piso,IF(Categorias_Registro[[#This Row],[Puntos]]&lt;D2515,C2515,D2515+1))</f>
        <v>116</v>
      </c>
      <c r="D2514" s="15">
        <f>IF(Categorias_Registro[[#This Row],[Puntos]]=ROUND(Piso,0),ROUND(Categorias_Registro[[#This Row],[Puntos]]*(1+Categorias_Registro[[#This Row],[Amplitud]]),0),IF(Categorias_Registro[[#This Row],[Puntos]]&lt;D2515,D2515,ROUND(D2515*(1+Categorias_Registro[[#This Row],[Amplitud]]),0)))</f>
        <v>132</v>
      </c>
      <c r="E2514" s="15">
        <f>E2515+IF(D2515=Categorias_Registro[[#This Row],[Máximo]],0,1)</f>
        <v>3</v>
      </c>
      <c r="F2514" s="15">
        <f>ROUND(Categorias_Registro[[#This Row],[Mínimo]]+((Categorias_Registro[[#This Row],[Máximo]]-Categorias_Registro[[#This Row],[Mínimo]])/2),0)</f>
        <v>124</v>
      </c>
      <c r="G2514" s="78">
        <f>VLOOKUP(Categorias_Registro[[#This Row],[Puntos]],Categorias_Configuracion[],MATCH(Categorias_Configuracion[[#Headers],[% Amplitud]],Categorias_Configuracion[#Headers],0),TRUE)</f>
        <v>0.15</v>
      </c>
      <c r="H2514" s="15" t="str">
        <f ca="1">TEXT(Categorias_Registro[[#This Row],[Mínimo]],Formato_Rango_Categorias)&amp;" - "&amp;TEXT(Categorias_Registro[[#This Row],[Máximo]],Formato_Rango_Categorias)</f>
        <v>116 - 132</v>
      </c>
    </row>
    <row r="2515" spans="2:8">
      <c r="B2515" s="15">
        <f>Techo - ROW() + ROW(Categorias_Registro[])</f>
        <v>114</v>
      </c>
      <c r="C2515" s="15">
        <f>IF(Categorias_Registro[[#This Row],[Puntos]]&lt;=ROUND(Piso,0),Piso,IF(Categorias_Registro[[#This Row],[Puntos]]&lt;D2516,C2516,D2516+1))</f>
        <v>101</v>
      </c>
      <c r="D2515" s="15">
        <f>IF(Categorias_Registro[[#This Row],[Puntos]]=ROUND(Piso,0),ROUND(Categorias_Registro[[#This Row],[Puntos]]*(1+Categorias_Registro[[#This Row],[Amplitud]]),0),IF(Categorias_Registro[[#This Row],[Puntos]]&lt;D2516,D2516,ROUND(D2516*(1+Categorias_Registro[[#This Row],[Amplitud]]),0)))</f>
        <v>115</v>
      </c>
      <c r="E2515" s="15">
        <f>E2516+IF(D2516=Categorias_Registro[[#This Row],[Máximo]],0,1)</f>
        <v>2</v>
      </c>
      <c r="F2515" s="15">
        <f>ROUND(Categorias_Registro[[#This Row],[Mínimo]]+((Categorias_Registro[[#This Row],[Máximo]]-Categorias_Registro[[#This Row],[Mínimo]])/2),0)</f>
        <v>108</v>
      </c>
      <c r="G2515" s="78">
        <f>VLOOKUP(Categorias_Registro[[#This Row],[Puntos]],Categorias_Configuracion[],MATCH(Categorias_Configuracion[[#Headers],[% Amplitud]],Categorias_Configuracion[#Headers],0),TRUE)</f>
        <v>0.15</v>
      </c>
      <c r="H2515" s="15" t="str">
        <f ca="1">TEXT(Categorias_Registro[[#This Row],[Mínimo]],Formato_Rango_Categorias)&amp;" - "&amp;TEXT(Categorias_Registro[[#This Row],[Máximo]],Formato_Rango_Categorias)</f>
        <v>101 - 115</v>
      </c>
    </row>
    <row r="2516" spans="2:8">
      <c r="B2516" s="15">
        <f>Techo - ROW() + ROW(Categorias_Registro[])</f>
        <v>113</v>
      </c>
      <c r="C2516" s="15">
        <f>IF(Categorias_Registro[[#This Row],[Puntos]]&lt;=ROUND(Piso,0),Piso,IF(Categorias_Registro[[#This Row],[Puntos]]&lt;D2517,C2517,D2517+1))</f>
        <v>101</v>
      </c>
      <c r="D2516" s="15">
        <f>IF(Categorias_Registro[[#This Row],[Puntos]]=ROUND(Piso,0),ROUND(Categorias_Registro[[#This Row],[Puntos]]*(1+Categorias_Registro[[#This Row],[Amplitud]]),0),IF(Categorias_Registro[[#This Row],[Puntos]]&lt;D2517,D2517,ROUND(D2517*(1+Categorias_Registro[[#This Row],[Amplitud]]),0)))</f>
        <v>115</v>
      </c>
      <c r="E2516" s="15">
        <f>E2517+IF(D2517=Categorias_Registro[[#This Row],[Máximo]],0,1)</f>
        <v>2</v>
      </c>
      <c r="F2516" s="15">
        <f>ROUND(Categorias_Registro[[#This Row],[Mínimo]]+((Categorias_Registro[[#This Row],[Máximo]]-Categorias_Registro[[#This Row],[Mínimo]])/2),0)</f>
        <v>108</v>
      </c>
      <c r="G2516" s="78">
        <f>VLOOKUP(Categorias_Registro[[#This Row],[Puntos]],Categorias_Configuracion[],MATCH(Categorias_Configuracion[[#Headers],[% Amplitud]],Categorias_Configuracion[#Headers],0),TRUE)</f>
        <v>0.15</v>
      </c>
      <c r="H2516" s="15" t="str">
        <f ca="1">TEXT(Categorias_Registro[[#This Row],[Mínimo]],Formato_Rango_Categorias)&amp;" - "&amp;TEXT(Categorias_Registro[[#This Row],[Máximo]],Formato_Rango_Categorias)</f>
        <v>101 - 115</v>
      </c>
    </row>
    <row r="2517" spans="2:8">
      <c r="B2517" s="15">
        <f>Techo - ROW() + ROW(Categorias_Registro[])</f>
        <v>112</v>
      </c>
      <c r="C2517" s="15">
        <f>IF(Categorias_Registro[[#This Row],[Puntos]]&lt;=ROUND(Piso,0),Piso,IF(Categorias_Registro[[#This Row],[Puntos]]&lt;D2518,C2518,D2518+1))</f>
        <v>101</v>
      </c>
      <c r="D2517" s="15">
        <f>IF(Categorias_Registro[[#This Row],[Puntos]]=ROUND(Piso,0),ROUND(Categorias_Registro[[#This Row],[Puntos]]*(1+Categorias_Registro[[#This Row],[Amplitud]]),0),IF(Categorias_Registro[[#This Row],[Puntos]]&lt;D2518,D2518,ROUND(D2518*(1+Categorias_Registro[[#This Row],[Amplitud]]),0)))</f>
        <v>115</v>
      </c>
      <c r="E2517" s="15">
        <f>E2518+IF(D2518=Categorias_Registro[[#This Row],[Máximo]],0,1)</f>
        <v>2</v>
      </c>
      <c r="F2517" s="15">
        <f>ROUND(Categorias_Registro[[#This Row],[Mínimo]]+((Categorias_Registro[[#This Row],[Máximo]]-Categorias_Registro[[#This Row],[Mínimo]])/2),0)</f>
        <v>108</v>
      </c>
      <c r="G2517" s="78">
        <f>VLOOKUP(Categorias_Registro[[#This Row],[Puntos]],Categorias_Configuracion[],MATCH(Categorias_Configuracion[[#Headers],[% Amplitud]],Categorias_Configuracion[#Headers],0),TRUE)</f>
        <v>0.15</v>
      </c>
      <c r="H2517" s="15" t="str">
        <f ca="1">TEXT(Categorias_Registro[[#This Row],[Mínimo]],Formato_Rango_Categorias)&amp;" - "&amp;TEXT(Categorias_Registro[[#This Row],[Máximo]],Formato_Rango_Categorias)</f>
        <v>101 - 115</v>
      </c>
    </row>
    <row r="2518" spans="2:8">
      <c r="B2518" s="15">
        <f>Techo - ROW() + ROW(Categorias_Registro[])</f>
        <v>111</v>
      </c>
      <c r="C2518" s="15">
        <f>IF(Categorias_Registro[[#This Row],[Puntos]]&lt;=ROUND(Piso,0),Piso,IF(Categorias_Registro[[#This Row],[Puntos]]&lt;D2519,C2519,D2519+1))</f>
        <v>101</v>
      </c>
      <c r="D2518" s="15">
        <f>IF(Categorias_Registro[[#This Row],[Puntos]]=ROUND(Piso,0),ROUND(Categorias_Registro[[#This Row],[Puntos]]*(1+Categorias_Registro[[#This Row],[Amplitud]]),0),IF(Categorias_Registro[[#This Row],[Puntos]]&lt;D2519,D2519,ROUND(D2519*(1+Categorias_Registro[[#This Row],[Amplitud]]),0)))</f>
        <v>115</v>
      </c>
      <c r="E2518" s="15">
        <f>E2519+IF(D2519=Categorias_Registro[[#This Row],[Máximo]],0,1)</f>
        <v>2</v>
      </c>
      <c r="F2518" s="15">
        <f>ROUND(Categorias_Registro[[#This Row],[Mínimo]]+((Categorias_Registro[[#This Row],[Máximo]]-Categorias_Registro[[#This Row],[Mínimo]])/2),0)</f>
        <v>108</v>
      </c>
      <c r="G2518" s="78">
        <f>VLOOKUP(Categorias_Registro[[#This Row],[Puntos]],Categorias_Configuracion[],MATCH(Categorias_Configuracion[[#Headers],[% Amplitud]],Categorias_Configuracion[#Headers],0),TRUE)</f>
        <v>0.15</v>
      </c>
      <c r="H2518" s="15" t="str">
        <f ca="1">TEXT(Categorias_Registro[[#This Row],[Mínimo]],Formato_Rango_Categorias)&amp;" - "&amp;TEXT(Categorias_Registro[[#This Row],[Máximo]],Formato_Rango_Categorias)</f>
        <v>101 - 115</v>
      </c>
    </row>
    <row r="2519" spans="2:8">
      <c r="B2519" s="15">
        <f>Techo - ROW() + ROW(Categorias_Registro[])</f>
        <v>110</v>
      </c>
      <c r="C2519" s="15">
        <f>IF(Categorias_Registro[[#This Row],[Puntos]]&lt;=ROUND(Piso,0),Piso,IF(Categorias_Registro[[#This Row],[Puntos]]&lt;D2520,C2520,D2520+1))</f>
        <v>101</v>
      </c>
      <c r="D2519" s="15">
        <f>IF(Categorias_Registro[[#This Row],[Puntos]]=ROUND(Piso,0),ROUND(Categorias_Registro[[#This Row],[Puntos]]*(1+Categorias_Registro[[#This Row],[Amplitud]]),0),IF(Categorias_Registro[[#This Row],[Puntos]]&lt;D2520,D2520,ROUND(D2520*(1+Categorias_Registro[[#This Row],[Amplitud]]),0)))</f>
        <v>115</v>
      </c>
      <c r="E2519" s="15">
        <f>E2520+IF(D2520=Categorias_Registro[[#This Row],[Máximo]],0,1)</f>
        <v>2</v>
      </c>
      <c r="F2519" s="15">
        <f>ROUND(Categorias_Registro[[#This Row],[Mínimo]]+((Categorias_Registro[[#This Row],[Máximo]]-Categorias_Registro[[#This Row],[Mínimo]])/2),0)</f>
        <v>108</v>
      </c>
      <c r="G2519" s="78">
        <f>VLOOKUP(Categorias_Registro[[#This Row],[Puntos]],Categorias_Configuracion[],MATCH(Categorias_Configuracion[[#Headers],[% Amplitud]],Categorias_Configuracion[#Headers],0),TRUE)</f>
        <v>0.15</v>
      </c>
      <c r="H2519" s="15" t="str">
        <f ca="1">TEXT(Categorias_Registro[[#This Row],[Mínimo]],Formato_Rango_Categorias)&amp;" - "&amp;TEXT(Categorias_Registro[[#This Row],[Máximo]],Formato_Rango_Categorias)</f>
        <v>101 - 115</v>
      </c>
    </row>
    <row r="2520" spans="2:8">
      <c r="B2520" s="15">
        <f>Techo - ROW() + ROW(Categorias_Registro[])</f>
        <v>109</v>
      </c>
      <c r="C2520" s="15">
        <f>IF(Categorias_Registro[[#This Row],[Puntos]]&lt;=ROUND(Piso,0),Piso,IF(Categorias_Registro[[#This Row],[Puntos]]&lt;D2521,C2521,D2521+1))</f>
        <v>101</v>
      </c>
      <c r="D2520" s="15">
        <f>IF(Categorias_Registro[[#This Row],[Puntos]]=ROUND(Piso,0),ROUND(Categorias_Registro[[#This Row],[Puntos]]*(1+Categorias_Registro[[#This Row],[Amplitud]]),0),IF(Categorias_Registro[[#This Row],[Puntos]]&lt;D2521,D2521,ROUND(D2521*(1+Categorias_Registro[[#This Row],[Amplitud]]),0)))</f>
        <v>115</v>
      </c>
      <c r="E2520" s="15">
        <f>E2521+IF(D2521=Categorias_Registro[[#This Row],[Máximo]],0,1)</f>
        <v>2</v>
      </c>
      <c r="F2520" s="15">
        <f>ROUND(Categorias_Registro[[#This Row],[Mínimo]]+((Categorias_Registro[[#This Row],[Máximo]]-Categorias_Registro[[#This Row],[Mínimo]])/2),0)</f>
        <v>108</v>
      </c>
      <c r="G2520" s="78">
        <f>VLOOKUP(Categorias_Registro[[#This Row],[Puntos]],Categorias_Configuracion[],MATCH(Categorias_Configuracion[[#Headers],[% Amplitud]],Categorias_Configuracion[#Headers],0),TRUE)</f>
        <v>0.15</v>
      </c>
      <c r="H2520" s="15" t="str">
        <f ca="1">TEXT(Categorias_Registro[[#This Row],[Mínimo]],Formato_Rango_Categorias)&amp;" - "&amp;TEXT(Categorias_Registro[[#This Row],[Máximo]],Formato_Rango_Categorias)</f>
        <v>101 - 115</v>
      </c>
    </row>
    <row r="2521" spans="2:8">
      <c r="B2521" s="15">
        <f>Techo - ROW() + ROW(Categorias_Registro[])</f>
        <v>108</v>
      </c>
      <c r="C2521" s="15">
        <f>IF(Categorias_Registro[[#This Row],[Puntos]]&lt;=ROUND(Piso,0),Piso,IF(Categorias_Registro[[#This Row],[Puntos]]&lt;D2522,C2522,D2522+1))</f>
        <v>101</v>
      </c>
      <c r="D2521" s="15">
        <f>IF(Categorias_Registro[[#This Row],[Puntos]]=ROUND(Piso,0),ROUND(Categorias_Registro[[#This Row],[Puntos]]*(1+Categorias_Registro[[#This Row],[Amplitud]]),0),IF(Categorias_Registro[[#This Row],[Puntos]]&lt;D2522,D2522,ROUND(D2522*(1+Categorias_Registro[[#This Row],[Amplitud]]),0)))</f>
        <v>115</v>
      </c>
      <c r="E2521" s="15">
        <f>E2522+IF(D2522=Categorias_Registro[[#This Row],[Máximo]],0,1)</f>
        <v>2</v>
      </c>
      <c r="F2521" s="15">
        <f>ROUND(Categorias_Registro[[#This Row],[Mínimo]]+((Categorias_Registro[[#This Row],[Máximo]]-Categorias_Registro[[#This Row],[Mínimo]])/2),0)</f>
        <v>108</v>
      </c>
      <c r="G2521" s="78">
        <f>VLOOKUP(Categorias_Registro[[#This Row],[Puntos]],Categorias_Configuracion[],MATCH(Categorias_Configuracion[[#Headers],[% Amplitud]],Categorias_Configuracion[#Headers],0),TRUE)</f>
        <v>0.15</v>
      </c>
      <c r="H2521" s="15" t="str">
        <f ca="1">TEXT(Categorias_Registro[[#This Row],[Mínimo]],Formato_Rango_Categorias)&amp;" - "&amp;TEXT(Categorias_Registro[[#This Row],[Máximo]],Formato_Rango_Categorias)</f>
        <v>101 - 115</v>
      </c>
    </row>
    <row r="2522" spans="2:8">
      <c r="B2522" s="15">
        <f>Techo - ROW() + ROW(Categorias_Registro[])</f>
        <v>107</v>
      </c>
      <c r="C2522" s="15">
        <f>IF(Categorias_Registro[[#This Row],[Puntos]]&lt;=ROUND(Piso,0),Piso,IF(Categorias_Registro[[#This Row],[Puntos]]&lt;D2523,C2523,D2523+1))</f>
        <v>101</v>
      </c>
      <c r="D2522" s="15">
        <f>IF(Categorias_Registro[[#This Row],[Puntos]]=ROUND(Piso,0),ROUND(Categorias_Registro[[#This Row],[Puntos]]*(1+Categorias_Registro[[#This Row],[Amplitud]]),0),IF(Categorias_Registro[[#This Row],[Puntos]]&lt;D2523,D2523,ROUND(D2523*(1+Categorias_Registro[[#This Row],[Amplitud]]),0)))</f>
        <v>115</v>
      </c>
      <c r="E2522" s="15">
        <f>E2523+IF(D2523=Categorias_Registro[[#This Row],[Máximo]],0,1)</f>
        <v>2</v>
      </c>
      <c r="F2522" s="15">
        <f>ROUND(Categorias_Registro[[#This Row],[Mínimo]]+((Categorias_Registro[[#This Row],[Máximo]]-Categorias_Registro[[#This Row],[Mínimo]])/2),0)</f>
        <v>108</v>
      </c>
      <c r="G2522" s="78">
        <f>VLOOKUP(Categorias_Registro[[#This Row],[Puntos]],Categorias_Configuracion[],MATCH(Categorias_Configuracion[[#Headers],[% Amplitud]],Categorias_Configuracion[#Headers],0),TRUE)</f>
        <v>0.15</v>
      </c>
      <c r="H2522" s="15" t="str">
        <f ca="1">TEXT(Categorias_Registro[[#This Row],[Mínimo]],Formato_Rango_Categorias)&amp;" - "&amp;TEXT(Categorias_Registro[[#This Row],[Máximo]],Formato_Rango_Categorias)</f>
        <v>101 - 115</v>
      </c>
    </row>
    <row r="2523" spans="2:8">
      <c r="B2523" s="15">
        <f>Techo - ROW() + ROW(Categorias_Registro[])</f>
        <v>106</v>
      </c>
      <c r="C2523" s="15">
        <f>IF(Categorias_Registro[[#This Row],[Puntos]]&lt;=ROUND(Piso,0),Piso,IF(Categorias_Registro[[#This Row],[Puntos]]&lt;D2524,C2524,D2524+1))</f>
        <v>101</v>
      </c>
      <c r="D2523" s="15">
        <f>IF(Categorias_Registro[[#This Row],[Puntos]]=ROUND(Piso,0),ROUND(Categorias_Registro[[#This Row],[Puntos]]*(1+Categorias_Registro[[#This Row],[Amplitud]]),0),IF(Categorias_Registro[[#This Row],[Puntos]]&lt;D2524,D2524,ROUND(D2524*(1+Categorias_Registro[[#This Row],[Amplitud]]),0)))</f>
        <v>115</v>
      </c>
      <c r="E2523" s="15">
        <f>E2524+IF(D2524=Categorias_Registro[[#This Row],[Máximo]],0,1)</f>
        <v>2</v>
      </c>
      <c r="F2523" s="15">
        <f>ROUND(Categorias_Registro[[#This Row],[Mínimo]]+((Categorias_Registro[[#This Row],[Máximo]]-Categorias_Registro[[#This Row],[Mínimo]])/2),0)</f>
        <v>108</v>
      </c>
      <c r="G2523" s="78">
        <f>VLOOKUP(Categorias_Registro[[#This Row],[Puntos]],Categorias_Configuracion[],MATCH(Categorias_Configuracion[[#Headers],[% Amplitud]],Categorias_Configuracion[#Headers],0),TRUE)</f>
        <v>0.15</v>
      </c>
      <c r="H2523" s="15" t="str">
        <f ca="1">TEXT(Categorias_Registro[[#This Row],[Mínimo]],Formato_Rango_Categorias)&amp;" - "&amp;TEXT(Categorias_Registro[[#This Row],[Máximo]],Formato_Rango_Categorias)</f>
        <v>101 - 115</v>
      </c>
    </row>
    <row r="2524" spans="2:8">
      <c r="B2524" s="15">
        <f>Techo - ROW() + ROW(Categorias_Registro[])</f>
        <v>105</v>
      </c>
      <c r="C2524" s="15">
        <f>IF(Categorias_Registro[[#This Row],[Puntos]]&lt;=ROUND(Piso,0),Piso,IF(Categorias_Registro[[#This Row],[Puntos]]&lt;D2525,C2525,D2525+1))</f>
        <v>101</v>
      </c>
      <c r="D2524" s="15">
        <f>IF(Categorias_Registro[[#This Row],[Puntos]]=ROUND(Piso,0),ROUND(Categorias_Registro[[#This Row],[Puntos]]*(1+Categorias_Registro[[#This Row],[Amplitud]]),0),IF(Categorias_Registro[[#This Row],[Puntos]]&lt;D2525,D2525,ROUND(D2525*(1+Categorias_Registro[[#This Row],[Amplitud]]),0)))</f>
        <v>115</v>
      </c>
      <c r="E2524" s="15">
        <f>E2525+IF(D2525=Categorias_Registro[[#This Row],[Máximo]],0,1)</f>
        <v>2</v>
      </c>
      <c r="F2524" s="15">
        <f>ROUND(Categorias_Registro[[#This Row],[Mínimo]]+((Categorias_Registro[[#This Row],[Máximo]]-Categorias_Registro[[#This Row],[Mínimo]])/2),0)</f>
        <v>108</v>
      </c>
      <c r="G2524" s="78">
        <f>VLOOKUP(Categorias_Registro[[#This Row],[Puntos]],Categorias_Configuracion[],MATCH(Categorias_Configuracion[[#Headers],[% Amplitud]],Categorias_Configuracion[#Headers],0),TRUE)</f>
        <v>0.15</v>
      </c>
      <c r="H2524" s="15" t="str">
        <f ca="1">TEXT(Categorias_Registro[[#This Row],[Mínimo]],Formato_Rango_Categorias)&amp;" - "&amp;TEXT(Categorias_Registro[[#This Row],[Máximo]],Formato_Rango_Categorias)</f>
        <v>101 - 115</v>
      </c>
    </row>
    <row r="2525" spans="2:8">
      <c r="B2525" s="15">
        <f>Techo - ROW() + ROW(Categorias_Registro[])</f>
        <v>104</v>
      </c>
      <c r="C2525" s="15">
        <f>IF(Categorias_Registro[[#This Row],[Puntos]]&lt;=ROUND(Piso,0),Piso,IF(Categorias_Registro[[#This Row],[Puntos]]&lt;D2526,C2526,D2526+1))</f>
        <v>101</v>
      </c>
      <c r="D2525" s="15">
        <f>IF(Categorias_Registro[[#This Row],[Puntos]]=ROUND(Piso,0),ROUND(Categorias_Registro[[#This Row],[Puntos]]*(1+Categorias_Registro[[#This Row],[Amplitud]]),0),IF(Categorias_Registro[[#This Row],[Puntos]]&lt;D2526,D2526,ROUND(D2526*(1+Categorias_Registro[[#This Row],[Amplitud]]),0)))</f>
        <v>115</v>
      </c>
      <c r="E2525" s="15">
        <f>E2526+IF(D2526=Categorias_Registro[[#This Row],[Máximo]],0,1)</f>
        <v>2</v>
      </c>
      <c r="F2525" s="15">
        <f>ROUND(Categorias_Registro[[#This Row],[Mínimo]]+((Categorias_Registro[[#This Row],[Máximo]]-Categorias_Registro[[#This Row],[Mínimo]])/2),0)</f>
        <v>108</v>
      </c>
      <c r="G2525" s="78">
        <f>VLOOKUP(Categorias_Registro[[#This Row],[Puntos]],Categorias_Configuracion[],MATCH(Categorias_Configuracion[[#Headers],[% Amplitud]],Categorias_Configuracion[#Headers],0),TRUE)</f>
        <v>0.15</v>
      </c>
      <c r="H2525" s="15" t="str">
        <f ca="1">TEXT(Categorias_Registro[[#This Row],[Mínimo]],Formato_Rango_Categorias)&amp;" - "&amp;TEXT(Categorias_Registro[[#This Row],[Máximo]],Formato_Rango_Categorias)</f>
        <v>101 - 115</v>
      </c>
    </row>
    <row r="2526" spans="2:8">
      <c r="B2526" s="15">
        <f>Techo - ROW() + ROW(Categorias_Registro[])</f>
        <v>103</v>
      </c>
      <c r="C2526" s="15">
        <f>IF(Categorias_Registro[[#This Row],[Puntos]]&lt;=ROUND(Piso,0),Piso,IF(Categorias_Registro[[#This Row],[Puntos]]&lt;D2527,C2527,D2527+1))</f>
        <v>101</v>
      </c>
      <c r="D2526" s="15">
        <f>IF(Categorias_Registro[[#This Row],[Puntos]]=ROUND(Piso,0),ROUND(Categorias_Registro[[#This Row],[Puntos]]*(1+Categorias_Registro[[#This Row],[Amplitud]]),0),IF(Categorias_Registro[[#This Row],[Puntos]]&lt;D2527,D2527,ROUND(D2527*(1+Categorias_Registro[[#This Row],[Amplitud]]),0)))</f>
        <v>115</v>
      </c>
      <c r="E2526" s="15">
        <f>E2527+IF(D2527=Categorias_Registro[[#This Row],[Máximo]],0,1)</f>
        <v>2</v>
      </c>
      <c r="F2526" s="15">
        <f>ROUND(Categorias_Registro[[#This Row],[Mínimo]]+((Categorias_Registro[[#This Row],[Máximo]]-Categorias_Registro[[#This Row],[Mínimo]])/2),0)</f>
        <v>108</v>
      </c>
      <c r="G2526" s="78">
        <f>VLOOKUP(Categorias_Registro[[#This Row],[Puntos]],Categorias_Configuracion[],MATCH(Categorias_Configuracion[[#Headers],[% Amplitud]],Categorias_Configuracion[#Headers],0),TRUE)</f>
        <v>0.15</v>
      </c>
      <c r="H2526" s="15" t="str">
        <f ca="1">TEXT(Categorias_Registro[[#This Row],[Mínimo]],Formato_Rango_Categorias)&amp;" - "&amp;TEXT(Categorias_Registro[[#This Row],[Máximo]],Formato_Rango_Categorias)</f>
        <v>101 - 115</v>
      </c>
    </row>
    <row r="2527" spans="2:8">
      <c r="B2527" s="15">
        <f>Techo - ROW() + ROW(Categorias_Registro[])</f>
        <v>102</v>
      </c>
      <c r="C2527" s="15">
        <f>IF(Categorias_Registro[[#This Row],[Puntos]]&lt;=ROUND(Piso,0),Piso,IF(Categorias_Registro[[#This Row],[Puntos]]&lt;D2528,C2528,D2528+1))</f>
        <v>101</v>
      </c>
      <c r="D2527" s="15">
        <f>IF(Categorias_Registro[[#This Row],[Puntos]]=ROUND(Piso,0),ROUND(Categorias_Registro[[#This Row],[Puntos]]*(1+Categorias_Registro[[#This Row],[Amplitud]]),0),IF(Categorias_Registro[[#This Row],[Puntos]]&lt;D2528,D2528,ROUND(D2528*(1+Categorias_Registro[[#This Row],[Amplitud]]),0)))</f>
        <v>115</v>
      </c>
      <c r="E2527" s="15">
        <f>E2528+IF(D2528=Categorias_Registro[[#This Row],[Máximo]],0,1)</f>
        <v>2</v>
      </c>
      <c r="F2527" s="15">
        <f>ROUND(Categorias_Registro[[#This Row],[Mínimo]]+((Categorias_Registro[[#This Row],[Máximo]]-Categorias_Registro[[#This Row],[Mínimo]])/2),0)</f>
        <v>108</v>
      </c>
      <c r="G2527" s="78">
        <f>VLOOKUP(Categorias_Registro[[#This Row],[Puntos]],Categorias_Configuracion[],MATCH(Categorias_Configuracion[[#Headers],[% Amplitud]],Categorias_Configuracion[#Headers],0),TRUE)</f>
        <v>0.15</v>
      </c>
      <c r="H2527" s="15" t="str">
        <f ca="1">TEXT(Categorias_Registro[[#This Row],[Mínimo]],Formato_Rango_Categorias)&amp;" - "&amp;TEXT(Categorias_Registro[[#This Row],[Máximo]],Formato_Rango_Categorias)</f>
        <v>101 - 115</v>
      </c>
    </row>
    <row r="2528" spans="2:8">
      <c r="B2528" s="15">
        <f>Techo - ROW() + ROW(Categorias_Registro[])</f>
        <v>101</v>
      </c>
      <c r="C2528" s="15">
        <f>IF(Categorias_Registro[[#This Row],[Puntos]]&lt;=ROUND(Piso,0),Piso,IF(Categorias_Registro[[#This Row],[Puntos]]&lt;D2529,C2529,D2529+1))</f>
        <v>101</v>
      </c>
      <c r="D2528" s="15">
        <f>IF(Categorias_Registro[[#This Row],[Puntos]]=ROUND(Piso,0),ROUND(Categorias_Registro[[#This Row],[Puntos]]*(1+Categorias_Registro[[#This Row],[Amplitud]]),0),IF(Categorias_Registro[[#This Row],[Puntos]]&lt;D2529,D2529,ROUND(D2529*(1+Categorias_Registro[[#This Row],[Amplitud]]),0)))</f>
        <v>115</v>
      </c>
      <c r="E2528" s="15">
        <f>E2529+IF(D2529=Categorias_Registro[[#This Row],[Máximo]],0,1)</f>
        <v>2</v>
      </c>
      <c r="F2528" s="15">
        <f>ROUND(Categorias_Registro[[#This Row],[Mínimo]]+((Categorias_Registro[[#This Row],[Máximo]]-Categorias_Registro[[#This Row],[Mínimo]])/2),0)</f>
        <v>108</v>
      </c>
      <c r="G2528" s="78">
        <f>VLOOKUP(Categorias_Registro[[#This Row],[Puntos]],Categorias_Configuracion[],MATCH(Categorias_Configuracion[[#Headers],[% Amplitud]],Categorias_Configuracion[#Headers],0),TRUE)</f>
        <v>0.15</v>
      </c>
      <c r="H2528" s="15" t="str">
        <f ca="1">TEXT(Categorias_Registro[[#This Row],[Mínimo]],Formato_Rango_Categorias)&amp;" - "&amp;TEXT(Categorias_Registro[[#This Row],[Máximo]],Formato_Rango_Categorias)</f>
        <v>101 - 115</v>
      </c>
    </row>
    <row r="2529" spans="2:8">
      <c r="B2529" s="15">
        <f>Techo - ROW() + ROW(Categorias_Registro[])</f>
        <v>100</v>
      </c>
      <c r="C2529" s="15">
        <f>IF(Categorias_Registro[[#This Row],[Puntos]]&lt;=ROUND(Piso,0),Piso,IF(Categorias_Registro[[#This Row],[Puntos]]&lt;D2530,C2530,D2530+1))</f>
        <v>101</v>
      </c>
      <c r="D2529" s="15">
        <f>IF(Categorias_Registro[[#This Row],[Puntos]]=ROUND(Piso,0),ROUND(Categorias_Registro[[#This Row],[Puntos]]*(1+Categorias_Registro[[#This Row],[Amplitud]]),0),IF(Categorias_Registro[[#This Row],[Puntos]]&lt;D2530,D2530,ROUND(D2530*(1+Categorias_Registro[[#This Row],[Amplitud]]),0)))</f>
        <v>115</v>
      </c>
      <c r="E2529" s="15">
        <f>E2530+IF(D2530=Categorias_Registro[[#This Row],[Máximo]],0,1)</f>
        <v>2</v>
      </c>
      <c r="F2529" s="15">
        <f>ROUND(Categorias_Registro[[#This Row],[Mínimo]]+((Categorias_Registro[[#This Row],[Máximo]]-Categorias_Registro[[#This Row],[Mínimo]])/2),0)</f>
        <v>108</v>
      </c>
      <c r="G2529" s="78">
        <f>VLOOKUP(Categorias_Registro[[#This Row],[Puntos]],Categorias_Configuracion[],MATCH(Categorias_Configuracion[[#Headers],[% Amplitud]],Categorias_Configuracion[#Headers],0),TRUE)</f>
        <v>0.15</v>
      </c>
      <c r="H2529" s="15" t="str">
        <f ca="1">TEXT(Categorias_Registro[[#This Row],[Mínimo]],Formato_Rango_Categorias)&amp;" - "&amp;TEXT(Categorias_Registro[[#This Row],[Máximo]],Formato_Rango_Categorias)</f>
        <v>101 - 115</v>
      </c>
    </row>
    <row r="2530" spans="2:8">
      <c r="B2530" s="15">
        <f>Techo - ROW() + ROW(Categorias_Registro[])</f>
        <v>99</v>
      </c>
      <c r="C2530" s="15">
        <f>IF(Categorias_Registro[[#This Row],[Puntos]]&lt;=ROUND(Piso,0),Piso,IF(Categorias_Registro[[#This Row],[Puntos]]&lt;D2531,C2531,D2531+1))</f>
        <v>87</v>
      </c>
      <c r="D2530" s="15">
        <f>IF(Categorias_Registro[[#This Row],[Puntos]]=ROUND(Piso,0),ROUND(Categorias_Registro[[#This Row],[Puntos]]*(1+Categorias_Registro[[#This Row],[Amplitud]]),0),IF(Categorias_Registro[[#This Row],[Puntos]]&lt;D2531,D2531,ROUND(D2531*(1+Categorias_Registro[[#This Row],[Amplitud]]),0)))</f>
        <v>100</v>
      </c>
      <c r="E2530" s="15">
        <f>E2531+IF(D2531=Categorias_Registro[[#This Row],[Máximo]],0,1)</f>
        <v>1</v>
      </c>
      <c r="F2530" s="15">
        <f>ROUND(Categorias_Registro[[#This Row],[Mínimo]]+((Categorias_Registro[[#This Row],[Máximo]]-Categorias_Registro[[#This Row],[Mínimo]])/2),0)</f>
        <v>94</v>
      </c>
      <c r="G2530" s="78">
        <f>VLOOKUP(Categorias_Registro[[#This Row],[Puntos]],Categorias_Configuracion[],MATCH(Categorias_Configuracion[[#Headers],[% Amplitud]],Categorias_Configuracion[#Headers],0),TRUE)</f>
        <v>0.15</v>
      </c>
      <c r="H2530" s="15" t="str">
        <f ca="1">TEXT(Categorias_Registro[[#This Row],[Mínimo]],Formato_Rango_Categorias)&amp;" - "&amp;TEXT(Categorias_Registro[[#This Row],[Máximo]],Formato_Rango_Categorias)</f>
        <v>87 - 100</v>
      </c>
    </row>
    <row r="2531" spans="2:8">
      <c r="B2531" s="15">
        <f>Techo - ROW() + ROW(Categorias_Registro[])</f>
        <v>98</v>
      </c>
      <c r="C2531" s="15">
        <f>IF(Categorias_Registro[[#This Row],[Puntos]]&lt;=ROUND(Piso,0),Piso,IF(Categorias_Registro[[#This Row],[Puntos]]&lt;D2532,C2532,D2532+1))</f>
        <v>87</v>
      </c>
      <c r="D2531" s="15">
        <f>IF(Categorias_Registro[[#This Row],[Puntos]]=ROUND(Piso,0),ROUND(Categorias_Registro[[#This Row],[Puntos]]*(1+Categorias_Registro[[#This Row],[Amplitud]]),0),IF(Categorias_Registro[[#This Row],[Puntos]]&lt;D2532,D2532,ROUND(D2532*(1+Categorias_Registro[[#This Row],[Amplitud]]),0)))</f>
        <v>100</v>
      </c>
      <c r="E2531" s="15">
        <f>E2532+IF(D2532=Categorias_Registro[[#This Row],[Máximo]],0,1)</f>
        <v>1</v>
      </c>
      <c r="F2531" s="15">
        <f>ROUND(Categorias_Registro[[#This Row],[Mínimo]]+((Categorias_Registro[[#This Row],[Máximo]]-Categorias_Registro[[#This Row],[Mínimo]])/2),0)</f>
        <v>94</v>
      </c>
      <c r="G2531" s="78">
        <f>VLOOKUP(Categorias_Registro[[#This Row],[Puntos]],Categorias_Configuracion[],MATCH(Categorias_Configuracion[[#Headers],[% Amplitud]],Categorias_Configuracion[#Headers],0),TRUE)</f>
        <v>0.15</v>
      </c>
      <c r="H2531" s="15" t="str">
        <f ca="1">TEXT(Categorias_Registro[[#This Row],[Mínimo]],Formato_Rango_Categorias)&amp;" - "&amp;TEXT(Categorias_Registro[[#This Row],[Máximo]],Formato_Rango_Categorias)</f>
        <v>87 - 100</v>
      </c>
    </row>
    <row r="2532" spans="2:8">
      <c r="B2532" s="15">
        <f>Techo - ROW() + ROW(Categorias_Registro[])</f>
        <v>97</v>
      </c>
      <c r="C2532" s="15">
        <f>IF(Categorias_Registro[[#This Row],[Puntos]]&lt;=ROUND(Piso,0),Piso,IF(Categorias_Registro[[#This Row],[Puntos]]&lt;D2533,C2533,D2533+1))</f>
        <v>87</v>
      </c>
      <c r="D2532" s="15">
        <f>IF(Categorias_Registro[[#This Row],[Puntos]]=ROUND(Piso,0),ROUND(Categorias_Registro[[#This Row],[Puntos]]*(1+Categorias_Registro[[#This Row],[Amplitud]]),0),IF(Categorias_Registro[[#This Row],[Puntos]]&lt;D2533,D2533,ROUND(D2533*(1+Categorias_Registro[[#This Row],[Amplitud]]),0)))</f>
        <v>100</v>
      </c>
      <c r="E2532" s="15">
        <f>E2533+IF(D2533=Categorias_Registro[[#This Row],[Máximo]],0,1)</f>
        <v>1</v>
      </c>
      <c r="F2532" s="15">
        <f>ROUND(Categorias_Registro[[#This Row],[Mínimo]]+((Categorias_Registro[[#This Row],[Máximo]]-Categorias_Registro[[#This Row],[Mínimo]])/2),0)</f>
        <v>94</v>
      </c>
      <c r="G2532" s="78">
        <f>VLOOKUP(Categorias_Registro[[#This Row],[Puntos]],Categorias_Configuracion[],MATCH(Categorias_Configuracion[[#Headers],[% Amplitud]],Categorias_Configuracion[#Headers],0),TRUE)</f>
        <v>0.15</v>
      </c>
      <c r="H2532" s="15" t="str">
        <f ca="1">TEXT(Categorias_Registro[[#This Row],[Mínimo]],Formato_Rango_Categorias)&amp;" - "&amp;TEXT(Categorias_Registro[[#This Row],[Máximo]],Formato_Rango_Categorias)</f>
        <v>87 - 100</v>
      </c>
    </row>
    <row r="2533" spans="2:8">
      <c r="B2533" s="15">
        <f>Techo - ROW() + ROW(Categorias_Registro[])</f>
        <v>96</v>
      </c>
      <c r="C2533" s="15">
        <f>IF(Categorias_Registro[[#This Row],[Puntos]]&lt;=ROUND(Piso,0),Piso,IF(Categorias_Registro[[#This Row],[Puntos]]&lt;D2534,C2534,D2534+1))</f>
        <v>87</v>
      </c>
      <c r="D2533" s="15">
        <f>IF(Categorias_Registro[[#This Row],[Puntos]]=ROUND(Piso,0),ROUND(Categorias_Registro[[#This Row],[Puntos]]*(1+Categorias_Registro[[#This Row],[Amplitud]]),0),IF(Categorias_Registro[[#This Row],[Puntos]]&lt;D2534,D2534,ROUND(D2534*(1+Categorias_Registro[[#This Row],[Amplitud]]),0)))</f>
        <v>100</v>
      </c>
      <c r="E2533" s="15">
        <f>E2534+IF(D2534=Categorias_Registro[[#This Row],[Máximo]],0,1)</f>
        <v>1</v>
      </c>
      <c r="F2533" s="15">
        <f>ROUND(Categorias_Registro[[#This Row],[Mínimo]]+((Categorias_Registro[[#This Row],[Máximo]]-Categorias_Registro[[#This Row],[Mínimo]])/2),0)</f>
        <v>94</v>
      </c>
      <c r="G2533" s="78">
        <f>VLOOKUP(Categorias_Registro[[#This Row],[Puntos]],Categorias_Configuracion[],MATCH(Categorias_Configuracion[[#Headers],[% Amplitud]],Categorias_Configuracion[#Headers],0),TRUE)</f>
        <v>0.15</v>
      </c>
      <c r="H2533" s="15" t="str">
        <f ca="1">TEXT(Categorias_Registro[[#This Row],[Mínimo]],Formato_Rango_Categorias)&amp;" - "&amp;TEXT(Categorias_Registro[[#This Row],[Máximo]],Formato_Rango_Categorias)</f>
        <v>87 - 100</v>
      </c>
    </row>
    <row r="2534" spans="2:8">
      <c r="B2534" s="15">
        <f>Techo - ROW() + ROW(Categorias_Registro[])</f>
        <v>95</v>
      </c>
      <c r="C2534" s="15">
        <f>IF(Categorias_Registro[[#This Row],[Puntos]]&lt;=ROUND(Piso,0),Piso,IF(Categorias_Registro[[#This Row],[Puntos]]&lt;D2535,C2535,D2535+1))</f>
        <v>87</v>
      </c>
      <c r="D2534" s="15">
        <f>IF(Categorias_Registro[[#This Row],[Puntos]]=ROUND(Piso,0),ROUND(Categorias_Registro[[#This Row],[Puntos]]*(1+Categorias_Registro[[#This Row],[Amplitud]]),0),IF(Categorias_Registro[[#This Row],[Puntos]]&lt;D2535,D2535,ROUND(D2535*(1+Categorias_Registro[[#This Row],[Amplitud]]),0)))</f>
        <v>100</v>
      </c>
      <c r="E2534" s="15">
        <f>E2535+IF(D2535=Categorias_Registro[[#This Row],[Máximo]],0,1)</f>
        <v>1</v>
      </c>
      <c r="F2534" s="15">
        <f>ROUND(Categorias_Registro[[#This Row],[Mínimo]]+((Categorias_Registro[[#This Row],[Máximo]]-Categorias_Registro[[#This Row],[Mínimo]])/2),0)</f>
        <v>94</v>
      </c>
      <c r="G2534" s="78">
        <f>VLOOKUP(Categorias_Registro[[#This Row],[Puntos]],Categorias_Configuracion[],MATCH(Categorias_Configuracion[[#Headers],[% Amplitud]],Categorias_Configuracion[#Headers],0),TRUE)</f>
        <v>0.15</v>
      </c>
      <c r="H2534" s="15" t="str">
        <f ca="1">TEXT(Categorias_Registro[[#This Row],[Mínimo]],Formato_Rango_Categorias)&amp;" - "&amp;TEXT(Categorias_Registro[[#This Row],[Máximo]],Formato_Rango_Categorias)</f>
        <v>87 - 100</v>
      </c>
    </row>
    <row r="2535" spans="2:8">
      <c r="B2535" s="15">
        <f>Techo - ROW() + ROW(Categorias_Registro[])</f>
        <v>94</v>
      </c>
      <c r="C2535" s="15">
        <f>IF(Categorias_Registro[[#This Row],[Puntos]]&lt;=ROUND(Piso,0),Piso,IF(Categorias_Registro[[#This Row],[Puntos]]&lt;D2536,C2536,D2536+1))</f>
        <v>87</v>
      </c>
      <c r="D2535" s="15">
        <f>IF(Categorias_Registro[[#This Row],[Puntos]]=ROUND(Piso,0),ROUND(Categorias_Registro[[#This Row],[Puntos]]*(1+Categorias_Registro[[#This Row],[Amplitud]]),0),IF(Categorias_Registro[[#This Row],[Puntos]]&lt;D2536,D2536,ROUND(D2536*(1+Categorias_Registro[[#This Row],[Amplitud]]),0)))</f>
        <v>100</v>
      </c>
      <c r="E2535" s="15">
        <f>E2536+IF(D2536=Categorias_Registro[[#This Row],[Máximo]],0,1)</f>
        <v>1</v>
      </c>
      <c r="F2535" s="15">
        <f>ROUND(Categorias_Registro[[#This Row],[Mínimo]]+((Categorias_Registro[[#This Row],[Máximo]]-Categorias_Registro[[#This Row],[Mínimo]])/2),0)</f>
        <v>94</v>
      </c>
      <c r="G2535" s="78">
        <f>VLOOKUP(Categorias_Registro[[#This Row],[Puntos]],Categorias_Configuracion[],MATCH(Categorias_Configuracion[[#Headers],[% Amplitud]],Categorias_Configuracion[#Headers],0),TRUE)</f>
        <v>0.15</v>
      </c>
      <c r="H2535" s="15" t="str">
        <f ca="1">TEXT(Categorias_Registro[[#This Row],[Mínimo]],Formato_Rango_Categorias)&amp;" - "&amp;TEXT(Categorias_Registro[[#This Row],[Máximo]],Formato_Rango_Categorias)</f>
        <v>87 - 100</v>
      </c>
    </row>
    <row r="2536" spans="2:8">
      <c r="B2536" s="15">
        <f>Techo - ROW() + ROW(Categorias_Registro[])</f>
        <v>93</v>
      </c>
      <c r="C2536" s="15">
        <f>IF(Categorias_Registro[[#This Row],[Puntos]]&lt;=ROUND(Piso,0),Piso,IF(Categorias_Registro[[#This Row],[Puntos]]&lt;D2537,C2537,D2537+1))</f>
        <v>87</v>
      </c>
      <c r="D2536" s="15">
        <f>IF(Categorias_Registro[[#This Row],[Puntos]]=ROUND(Piso,0),ROUND(Categorias_Registro[[#This Row],[Puntos]]*(1+Categorias_Registro[[#This Row],[Amplitud]]),0),IF(Categorias_Registro[[#This Row],[Puntos]]&lt;D2537,D2537,ROUND(D2537*(1+Categorias_Registro[[#This Row],[Amplitud]]),0)))</f>
        <v>100</v>
      </c>
      <c r="E2536" s="15">
        <f>E2537+IF(D2537=Categorias_Registro[[#This Row],[Máximo]],0,1)</f>
        <v>1</v>
      </c>
      <c r="F2536" s="15">
        <f>ROUND(Categorias_Registro[[#This Row],[Mínimo]]+((Categorias_Registro[[#This Row],[Máximo]]-Categorias_Registro[[#This Row],[Mínimo]])/2),0)</f>
        <v>94</v>
      </c>
      <c r="G2536" s="78">
        <f>VLOOKUP(Categorias_Registro[[#This Row],[Puntos]],Categorias_Configuracion[],MATCH(Categorias_Configuracion[[#Headers],[% Amplitud]],Categorias_Configuracion[#Headers],0),TRUE)</f>
        <v>0.15</v>
      </c>
      <c r="H2536" s="15" t="str">
        <f ca="1">TEXT(Categorias_Registro[[#This Row],[Mínimo]],Formato_Rango_Categorias)&amp;" - "&amp;TEXT(Categorias_Registro[[#This Row],[Máximo]],Formato_Rango_Categorias)</f>
        <v>87 - 100</v>
      </c>
    </row>
    <row r="2537" spans="2:8">
      <c r="B2537" s="15">
        <f>Techo - ROW() + ROW(Categorias_Registro[])</f>
        <v>92</v>
      </c>
      <c r="C2537" s="15">
        <f>IF(Categorias_Registro[[#This Row],[Puntos]]&lt;=ROUND(Piso,0),Piso,IF(Categorias_Registro[[#This Row],[Puntos]]&lt;D2538,C2538,D2538+1))</f>
        <v>87</v>
      </c>
      <c r="D2537" s="15">
        <f>IF(Categorias_Registro[[#This Row],[Puntos]]=ROUND(Piso,0),ROUND(Categorias_Registro[[#This Row],[Puntos]]*(1+Categorias_Registro[[#This Row],[Amplitud]]),0),IF(Categorias_Registro[[#This Row],[Puntos]]&lt;D2538,D2538,ROUND(D2538*(1+Categorias_Registro[[#This Row],[Amplitud]]),0)))</f>
        <v>100</v>
      </c>
      <c r="E2537" s="15">
        <f>E2538+IF(D2538=Categorias_Registro[[#This Row],[Máximo]],0,1)</f>
        <v>1</v>
      </c>
      <c r="F2537" s="15">
        <f>ROUND(Categorias_Registro[[#This Row],[Mínimo]]+((Categorias_Registro[[#This Row],[Máximo]]-Categorias_Registro[[#This Row],[Mínimo]])/2),0)</f>
        <v>94</v>
      </c>
      <c r="G2537" s="78">
        <f>VLOOKUP(Categorias_Registro[[#This Row],[Puntos]],Categorias_Configuracion[],MATCH(Categorias_Configuracion[[#Headers],[% Amplitud]],Categorias_Configuracion[#Headers],0),TRUE)</f>
        <v>0.15</v>
      </c>
      <c r="H2537" s="15" t="str">
        <f ca="1">TEXT(Categorias_Registro[[#This Row],[Mínimo]],Formato_Rango_Categorias)&amp;" - "&amp;TEXT(Categorias_Registro[[#This Row],[Máximo]],Formato_Rango_Categorias)</f>
        <v>87 - 100</v>
      </c>
    </row>
    <row r="2538" spans="2:8">
      <c r="B2538" s="15">
        <f>Techo - ROW() + ROW(Categorias_Registro[])</f>
        <v>91</v>
      </c>
      <c r="C2538" s="15">
        <f>IF(Categorias_Registro[[#This Row],[Puntos]]&lt;=ROUND(Piso,0),Piso,IF(Categorias_Registro[[#This Row],[Puntos]]&lt;D2539,C2539,D2539+1))</f>
        <v>87</v>
      </c>
      <c r="D2538" s="15">
        <f>IF(Categorias_Registro[[#This Row],[Puntos]]=ROUND(Piso,0),ROUND(Categorias_Registro[[#This Row],[Puntos]]*(1+Categorias_Registro[[#This Row],[Amplitud]]),0),IF(Categorias_Registro[[#This Row],[Puntos]]&lt;D2539,D2539,ROUND(D2539*(1+Categorias_Registro[[#This Row],[Amplitud]]),0)))</f>
        <v>100</v>
      </c>
      <c r="E2538" s="15">
        <f>E2539+IF(D2539=Categorias_Registro[[#This Row],[Máximo]],0,1)</f>
        <v>1</v>
      </c>
      <c r="F2538" s="15">
        <f>ROUND(Categorias_Registro[[#This Row],[Mínimo]]+((Categorias_Registro[[#This Row],[Máximo]]-Categorias_Registro[[#This Row],[Mínimo]])/2),0)</f>
        <v>94</v>
      </c>
      <c r="G2538" s="78">
        <f>VLOOKUP(Categorias_Registro[[#This Row],[Puntos]],Categorias_Configuracion[],MATCH(Categorias_Configuracion[[#Headers],[% Amplitud]],Categorias_Configuracion[#Headers],0),TRUE)</f>
        <v>0.15</v>
      </c>
      <c r="H2538" s="15" t="str">
        <f ca="1">TEXT(Categorias_Registro[[#This Row],[Mínimo]],Formato_Rango_Categorias)&amp;" - "&amp;TEXT(Categorias_Registro[[#This Row],[Máximo]],Formato_Rango_Categorias)</f>
        <v>87 - 100</v>
      </c>
    </row>
    <row r="2539" spans="2:8">
      <c r="B2539" s="15">
        <f>Techo - ROW() + ROW(Categorias_Registro[])</f>
        <v>90</v>
      </c>
      <c r="C2539" s="15">
        <f>IF(Categorias_Registro[[#This Row],[Puntos]]&lt;=ROUND(Piso,0),Piso,IF(Categorias_Registro[[#This Row],[Puntos]]&lt;D2540,C2540,D2540+1))</f>
        <v>87</v>
      </c>
      <c r="D2539" s="15">
        <f>IF(Categorias_Registro[[#This Row],[Puntos]]=ROUND(Piso,0),ROUND(Categorias_Registro[[#This Row],[Puntos]]*(1+Categorias_Registro[[#This Row],[Amplitud]]),0),IF(Categorias_Registro[[#This Row],[Puntos]]&lt;D2540,D2540,ROUND(D2540*(1+Categorias_Registro[[#This Row],[Amplitud]]),0)))</f>
        <v>100</v>
      </c>
      <c r="E2539" s="15">
        <f>E2540+IF(D2540=Categorias_Registro[[#This Row],[Máximo]],0,1)</f>
        <v>1</v>
      </c>
      <c r="F2539" s="15">
        <f>ROUND(Categorias_Registro[[#This Row],[Mínimo]]+((Categorias_Registro[[#This Row],[Máximo]]-Categorias_Registro[[#This Row],[Mínimo]])/2),0)</f>
        <v>94</v>
      </c>
      <c r="G2539" s="78">
        <f>VLOOKUP(Categorias_Registro[[#This Row],[Puntos]],Categorias_Configuracion[],MATCH(Categorias_Configuracion[[#Headers],[% Amplitud]],Categorias_Configuracion[#Headers],0),TRUE)</f>
        <v>0.15</v>
      </c>
      <c r="H2539" s="15" t="str">
        <f ca="1">TEXT(Categorias_Registro[[#This Row],[Mínimo]],Formato_Rango_Categorias)&amp;" - "&amp;TEXT(Categorias_Registro[[#This Row],[Máximo]],Formato_Rango_Categorias)</f>
        <v>87 - 100</v>
      </c>
    </row>
    <row r="2540" spans="2:8">
      <c r="B2540" s="15">
        <f>Techo - ROW() + ROW(Categorias_Registro[])</f>
        <v>89</v>
      </c>
      <c r="C2540" s="15">
        <f>IF(Categorias_Registro[[#This Row],[Puntos]]&lt;=ROUND(Piso,0),Piso,IF(Categorias_Registro[[#This Row],[Puntos]]&lt;D2541,C2541,D2541+1))</f>
        <v>87</v>
      </c>
      <c r="D2540" s="15">
        <f>IF(Categorias_Registro[[#This Row],[Puntos]]=ROUND(Piso,0),ROUND(Categorias_Registro[[#This Row],[Puntos]]*(1+Categorias_Registro[[#This Row],[Amplitud]]),0),IF(Categorias_Registro[[#This Row],[Puntos]]&lt;D2541,D2541,ROUND(D2541*(1+Categorias_Registro[[#This Row],[Amplitud]]),0)))</f>
        <v>100</v>
      </c>
      <c r="E2540" s="15">
        <f>E2541+IF(D2541=Categorias_Registro[[#This Row],[Máximo]],0,1)</f>
        <v>1</v>
      </c>
      <c r="F2540" s="15">
        <f>ROUND(Categorias_Registro[[#This Row],[Mínimo]]+((Categorias_Registro[[#This Row],[Máximo]]-Categorias_Registro[[#This Row],[Mínimo]])/2),0)</f>
        <v>94</v>
      </c>
      <c r="G2540" s="78">
        <f>VLOOKUP(Categorias_Registro[[#This Row],[Puntos]],Categorias_Configuracion[],MATCH(Categorias_Configuracion[[#Headers],[% Amplitud]],Categorias_Configuracion[#Headers],0),TRUE)</f>
        <v>0.15</v>
      </c>
      <c r="H2540" s="15" t="str">
        <f ca="1">TEXT(Categorias_Registro[[#This Row],[Mínimo]],Formato_Rango_Categorias)&amp;" - "&amp;TEXT(Categorias_Registro[[#This Row],[Máximo]],Formato_Rango_Categorias)</f>
        <v>87 - 100</v>
      </c>
    </row>
    <row r="2541" spans="2:8">
      <c r="B2541" s="15">
        <f>Techo - ROW() + ROW(Categorias_Registro[])</f>
        <v>88</v>
      </c>
      <c r="C2541" s="15">
        <f>IF(Categorias_Registro[[#This Row],[Puntos]]&lt;=ROUND(Piso,0),Piso,IF(Categorias_Registro[[#This Row],[Puntos]]&lt;D2542,C2542,D2542+1))</f>
        <v>87</v>
      </c>
      <c r="D2541" s="15">
        <f>IF(Categorias_Registro[[#This Row],[Puntos]]=ROUND(Piso,0),ROUND(Categorias_Registro[[#This Row],[Puntos]]*(1+Categorias_Registro[[#This Row],[Amplitud]]),0),IF(Categorias_Registro[[#This Row],[Puntos]]&lt;D2542,D2542,ROUND(D2542*(1+Categorias_Registro[[#This Row],[Amplitud]]),0)))</f>
        <v>100</v>
      </c>
      <c r="E2541" s="15">
        <f>E2542+IF(D2542=Categorias_Registro[[#This Row],[Máximo]],0,1)</f>
        <v>1</v>
      </c>
      <c r="F2541" s="15">
        <f>ROUND(Categorias_Registro[[#This Row],[Mínimo]]+((Categorias_Registro[[#This Row],[Máximo]]-Categorias_Registro[[#This Row],[Mínimo]])/2),0)</f>
        <v>94</v>
      </c>
      <c r="G2541" s="78">
        <f>VLOOKUP(Categorias_Registro[[#This Row],[Puntos]],Categorias_Configuracion[],MATCH(Categorias_Configuracion[[#Headers],[% Amplitud]],Categorias_Configuracion[#Headers],0),TRUE)</f>
        <v>0.15</v>
      </c>
      <c r="H2541" s="15" t="str">
        <f ca="1">TEXT(Categorias_Registro[[#This Row],[Mínimo]],Formato_Rango_Categorias)&amp;" - "&amp;TEXT(Categorias_Registro[[#This Row],[Máximo]],Formato_Rango_Categorias)</f>
        <v>87 - 100</v>
      </c>
    </row>
    <row r="2542" spans="2:8">
      <c r="B2542" s="15">
        <f>Techo - ROW() + ROW(Categorias_Registro[])</f>
        <v>87</v>
      </c>
      <c r="C2542" s="15">
        <f>IF(Categorias_Registro[[#This Row],[Puntos]]&lt;=ROUND(Piso,0),Piso,IF(Categorias_Registro[[#This Row],[Puntos]]&lt;D2543,C2543,D2543+1))</f>
        <v>87</v>
      </c>
      <c r="D2542" s="15">
        <f>IF(Categorias_Registro[[#This Row],[Puntos]]=ROUND(Piso,0),ROUND(Categorias_Registro[[#This Row],[Puntos]]*(1+Categorias_Registro[[#This Row],[Amplitud]]),0),IF(Categorias_Registro[[#This Row],[Puntos]]&lt;D2543,D2543,ROUND(D2543*(1+Categorias_Registro[[#This Row],[Amplitud]]),0)))</f>
        <v>100</v>
      </c>
      <c r="E2542" s="15">
        <f>E2543+IF(D2543=Categorias_Registro[[#This Row],[Máximo]],0,1)</f>
        <v>1</v>
      </c>
      <c r="F2542" s="15">
        <f>ROUND(Categorias_Registro[[#This Row],[Mínimo]]+((Categorias_Registro[[#This Row],[Máximo]]-Categorias_Registro[[#This Row],[Mínimo]])/2),0)</f>
        <v>94</v>
      </c>
      <c r="G2542" s="78">
        <f>VLOOKUP(Categorias_Registro[[#This Row],[Puntos]],Categorias_Configuracion[],MATCH(Categorias_Configuracion[[#Headers],[% Amplitud]],Categorias_Configuracion[#Headers],0),TRUE)</f>
        <v>0.15</v>
      </c>
      <c r="H2542" s="15" t="str">
        <f ca="1">TEXT(Categorias_Registro[[#This Row],[Mínimo]],Formato_Rango_Categorias)&amp;" - "&amp;TEXT(Categorias_Registro[[#This Row],[Máximo]],Formato_Rango_Categorias)</f>
        <v>87 - 100</v>
      </c>
    </row>
  </sheetData>
  <pageMargins left="0.7" right="0.7" top="0.75" bottom="0.75" header="0.3" footer="0.3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3F80CD"/>
  </sheetPr>
  <dimension ref="A1:AQ17"/>
  <sheetViews>
    <sheetView topLeftCell="I1" workbookViewId="0"/>
  </sheetViews>
  <sheetFormatPr baseColWidth="10" defaultColWidth="0" defaultRowHeight="13.8" zeroHeight="1"/>
  <cols>
    <col min="1" max="1" width="1.5546875" style="84" customWidth="1"/>
    <col min="2" max="2" width="14.5546875" style="84" bestFit="1" customWidth="1"/>
    <col min="3" max="3" width="1.5546875" style="84" customWidth="1"/>
    <col min="4" max="4" width="17.5546875" style="84" customWidth="1"/>
    <col min="5" max="5" width="45.5546875" style="84" customWidth="1"/>
    <col min="6" max="6" width="1.5546875" style="84" customWidth="1"/>
    <col min="7" max="7" width="20.44140625" style="84" customWidth="1"/>
    <col min="8" max="8" width="12.5546875" style="84" bestFit="1" customWidth="1"/>
    <col min="9" max="9" width="45.5546875" style="84" customWidth="1"/>
    <col min="10" max="10" width="1.5546875" style="84" customWidth="1"/>
    <col min="11" max="11" width="17.44140625" style="84" bestFit="1" customWidth="1"/>
    <col min="12" max="12" width="28.44140625" style="84" bestFit="1" customWidth="1"/>
    <col min="13" max="13" width="1.5546875" style="84" customWidth="1"/>
    <col min="14" max="14" width="13.44140625" style="84" bestFit="1" customWidth="1"/>
    <col min="15" max="15" width="28" style="84" bestFit="1" customWidth="1"/>
    <col min="16" max="16" width="1.5546875" style="84" customWidth="1"/>
    <col min="17" max="17" width="27.44140625" style="84" bestFit="1" customWidth="1"/>
    <col min="18" max="18" width="12.5546875" style="84" bestFit="1" customWidth="1"/>
    <col min="19" max="19" width="1.5546875" style="84" customWidth="1"/>
    <col min="20" max="20" width="31" style="84" bestFit="1" customWidth="1"/>
    <col min="21" max="21" width="14.44140625" style="84" bestFit="1" customWidth="1"/>
    <col min="22" max="22" width="45.44140625" style="84" bestFit="1" customWidth="1"/>
    <col min="23" max="23" width="1.5546875" style="84" customWidth="1"/>
    <col min="24" max="24" width="27.5546875" style="84" bestFit="1" customWidth="1"/>
    <col min="25" max="25" width="15.44140625" style="84" bestFit="1" customWidth="1"/>
    <col min="26" max="26" width="45.44140625" style="84" bestFit="1" customWidth="1"/>
    <col min="27" max="27" width="1.5546875" style="84" customWidth="1"/>
    <col min="28" max="28" width="19.44140625" style="84" bestFit="1" customWidth="1"/>
    <col min="29" max="29" width="27.44140625" style="84" bestFit="1" customWidth="1"/>
    <col min="30" max="30" width="44.44140625" style="84" bestFit="1" customWidth="1"/>
    <col min="31" max="31" width="1.5546875" style="84" customWidth="1"/>
    <col min="32" max="32" width="21.44140625" style="84" bestFit="1" customWidth="1"/>
    <col min="33" max="33" width="17.44140625" style="84" bestFit="1" customWidth="1"/>
    <col min="34" max="34" width="45.44140625" style="84" bestFit="1" customWidth="1"/>
    <col min="35" max="35" width="1.5546875" style="84" customWidth="1"/>
    <col min="36" max="36" width="15.44140625" style="84" bestFit="1" customWidth="1"/>
    <col min="37" max="37" width="16" style="84" bestFit="1" customWidth="1"/>
    <col min="38" max="38" width="45.5546875" style="84" customWidth="1"/>
    <col min="39" max="39" width="1.5546875" style="84" customWidth="1"/>
    <col min="40" max="40" width="22.5546875" style="10" bestFit="1" customWidth="1"/>
    <col min="41" max="42" width="20.5546875" style="10" bestFit="1" customWidth="1"/>
    <col min="43" max="43" width="1.5546875" style="84" customWidth="1"/>
    <col min="44" max="16384" width="45.5546875" style="84" hidden="1"/>
  </cols>
  <sheetData>
    <row r="1" spans="2:42">
      <c r="J1" s="84" t="s">
        <v>62</v>
      </c>
    </row>
    <row r="2" spans="2:42">
      <c r="B2" s="85" t="s">
        <v>63</v>
      </c>
      <c r="D2" s="85" t="s">
        <v>64</v>
      </c>
      <c r="E2" s="85" t="s">
        <v>65</v>
      </c>
      <c r="G2" s="85" t="s">
        <v>66</v>
      </c>
      <c r="H2" s="85" t="s">
        <v>67</v>
      </c>
      <c r="I2" s="85" t="s">
        <v>65</v>
      </c>
      <c r="K2" s="85" t="s">
        <v>68</v>
      </c>
      <c r="L2" s="85" t="s">
        <v>67</v>
      </c>
      <c r="N2" s="85" t="s">
        <v>69</v>
      </c>
      <c r="O2" s="85" t="s">
        <v>67</v>
      </c>
      <c r="Q2" s="85" t="s">
        <v>70</v>
      </c>
      <c r="R2" s="85" t="s">
        <v>67</v>
      </c>
      <c r="T2" s="85" t="s">
        <v>71</v>
      </c>
      <c r="U2" s="85" t="s">
        <v>67</v>
      </c>
      <c r="V2" s="85" t="s">
        <v>65</v>
      </c>
      <c r="X2" s="85" t="s">
        <v>72</v>
      </c>
      <c r="Y2" s="85" t="s">
        <v>67</v>
      </c>
      <c r="Z2" s="85" t="s">
        <v>65</v>
      </c>
      <c r="AB2" s="85" t="s">
        <v>73</v>
      </c>
      <c r="AC2" s="85" t="s">
        <v>67</v>
      </c>
      <c r="AD2" s="85" t="s">
        <v>65</v>
      </c>
      <c r="AF2" s="85" t="s">
        <v>74</v>
      </c>
      <c r="AG2" s="85" t="s">
        <v>67</v>
      </c>
      <c r="AH2" s="85" t="s">
        <v>65</v>
      </c>
      <c r="AJ2" s="85" t="s">
        <v>75</v>
      </c>
      <c r="AK2" s="85" t="s">
        <v>67</v>
      </c>
      <c r="AL2" s="85" t="s">
        <v>65</v>
      </c>
      <c r="AN2" s="10" t="s">
        <v>76</v>
      </c>
      <c r="AO2" s="10" t="s">
        <v>7</v>
      </c>
      <c r="AP2" s="10" t="s">
        <v>77</v>
      </c>
    </row>
    <row r="3" spans="2:42">
      <c r="B3" s="84" t="s">
        <v>78</v>
      </c>
      <c r="D3" s="84" t="s">
        <v>79</v>
      </c>
      <c r="E3" s="86" t="s">
        <v>80</v>
      </c>
      <c r="G3" s="84" t="s">
        <v>81</v>
      </c>
      <c r="H3" s="84" t="s">
        <v>82</v>
      </c>
      <c r="I3" s="86" t="s">
        <v>83</v>
      </c>
      <c r="K3" s="84" t="s">
        <v>84</v>
      </c>
      <c r="L3" s="86" t="s">
        <v>85</v>
      </c>
      <c r="N3" s="84" t="s">
        <v>79</v>
      </c>
      <c r="O3" s="86" t="s">
        <v>86</v>
      </c>
      <c r="Q3" s="84" t="s">
        <v>84</v>
      </c>
      <c r="R3" s="86" t="s">
        <v>87</v>
      </c>
      <c r="T3" s="84" t="s">
        <v>81</v>
      </c>
      <c r="U3" s="84" t="s">
        <v>88</v>
      </c>
      <c r="V3" s="86" t="s">
        <v>89</v>
      </c>
      <c r="X3" s="84" t="s">
        <v>84</v>
      </c>
      <c r="Y3" s="84" t="s">
        <v>90</v>
      </c>
      <c r="Z3" s="86" t="s">
        <v>91</v>
      </c>
      <c r="AB3" s="84" t="s">
        <v>79</v>
      </c>
      <c r="AC3" s="86" t="s">
        <v>92</v>
      </c>
      <c r="AD3" s="86" t="s">
        <v>93</v>
      </c>
      <c r="AF3" s="84" t="s">
        <v>81</v>
      </c>
      <c r="AG3" s="86" t="s">
        <v>94</v>
      </c>
      <c r="AH3" s="86" t="s">
        <v>95</v>
      </c>
      <c r="AJ3" s="84" t="s">
        <v>79</v>
      </c>
      <c r="AK3" s="86" t="s">
        <v>82</v>
      </c>
      <c r="AL3" s="86" t="s">
        <v>96</v>
      </c>
      <c r="AN3" s="10">
        <v>1</v>
      </c>
      <c r="AO3" s="87">
        <v>0</v>
      </c>
      <c r="AP3" s="87">
        <v>0</v>
      </c>
    </row>
    <row r="4" spans="2:42">
      <c r="B4" s="84" t="s">
        <v>97</v>
      </c>
      <c r="D4" s="84" t="s">
        <v>98</v>
      </c>
      <c r="E4" s="86" t="s">
        <v>99</v>
      </c>
      <c r="G4" s="84" t="s">
        <v>100</v>
      </c>
      <c r="H4" s="84" t="s">
        <v>101</v>
      </c>
      <c r="I4" s="86" t="s">
        <v>102</v>
      </c>
      <c r="K4" s="84" t="s">
        <v>103</v>
      </c>
      <c r="L4" s="86" t="s">
        <v>104</v>
      </c>
      <c r="N4" s="84" t="s">
        <v>98</v>
      </c>
      <c r="O4" s="86" t="s">
        <v>105</v>
      </c>
      <c r="Q4" s="84" t="s">
        <v>103</v>
      </c>
      <c r="R4" s="86" t="s">
        <v>106</v>
      </c>
      <c r="T4" s="84" t="s">
        <v>100</v>
      </c>
      <c r="U4" s="84" t="s">
        <v>107</v>
      </c>
      <c r="V4" s="86" t="s">
        <v>108</v>
      </c>
      <c r="X4" s="84" t="s">
        <v>103</v>
      </c>
      <c r="Y4" s="84" t="s">
        <v>109</v>
      </c>
      <c r="Z4" s="86" t="s">
        <v>110</v>
      </c>
      <c r="AB4" s="84" t="s">
        <v>98</v>
      </c>
      <c r="AC4" s="86" t="s">
        <v>111</v>
      </c>
      <c r="AD4" s="86" t="s">
        <v>112</v>
      </c>
      <c r="AF4" s="84" t="s">
        <v>100</v>
      </c>
      <c r="AG4" s="86" t="s">
        <v>113</v>
      </c>
      <c r="AH4" s="86" t="s">
        <v>114</v>
      </c>
      <c r="AJ4" s="84" t="s">
        <v>98</v>
      </c>
      <c r="AK4" s="86" t="s">
        <v>115</v>
      </c>
      <c r="AL4" s="86" t="s">
        <v>116</v>
      </c>
      <c r="AN4" s="10">
        <v>2</v>
      </c>
      <c r="AO4" s="87">
        <v>0</v>
      </c>
      <c r="AP4" s="87">
        <v>0.5</v>
      </c>
    </row>
    <row r="5" spans="2:42">
      <c r="B5" s="84" t="s">
        <v>117</v>
      </c>
      <c r="D5" s="84" t="s">
        <v>118</v>
      </c>
      <c r="E5" s="86" t="s">
        <v>119</v>
      </c>
      <c r="G5" s="84" t="s">
        <v>120</v>
      </c>
      <c r="H5" s="84" t="s">
        <v>121</v>
      </c>
      <c r="I5" s="86" t="s">
        <v>122</v>
      </c>
      <c r="K5" s="84" t="s">
        <v>123</v>
      </c>
      <c r="L5" s="86" t="s">
        <v>124</v>
      </c>
      <c r="N5" s="84" t="s">
        <v>118</v>
      </c>
      <c r="O5" s="86" t="s">
        <v>125</v>
      </c>
      <c r="Q5" s="84" t="s">
        <v>123</v>
      </c>
      <c r="R5" s="86" t="s">
        <v>126</v>
      </c>
      <c r="T5" s="84" t="s">
        <v>120</v>
      </c>
      <c r="U5" s="84" t="s">
        <v>127</v>
      </c>
      <c r="V5" s="86" t="s">
        <v>128</v>
      </c>
      <c r="X5" s="84" t="s">
        <v>123</v>
      </c>
      <c r="Y5" s="84" t="s">
        <v>129</v>
      </c>
      <c r="Z5" s="86" t="s">
        <v>130</v>
      </c>
      <c r="AB5" s="84" t="s">
        <v>118</v>
      </c>
      <c r="AC5" s="86" t="s">
        <v>131</v>
      </c>
      <c r="AD5" s="86" t="s">
        <v>132</v>
      </c>
      <c r="AF5" s="84" t="s">
        <v>120</v>
      </c>
      <c r="AG5" s="86" t="s">
        <v>133</v>
      </c>
      <c r="AH5" s="86" t="s">
        <v>134</v>
      </c>
      <c r="AJ5" s="84" t="s">
        <v>118</v>
      </c>
      <c r="AK5" s="86" t="s">
        <v>135</v>
      </c>
      <c r="AL5" s="86" t="s">
        <v>136</v>
      </c>
      <c r="AN5" s="10">
        <v>3</v>
      </c>
      <c r="AO5" s="87">
        <v>0.5</v>
      </c>
      <c r="AP5" s="87">
        <v>2</v>
      </c>
    </row>
    <row r="6" spans="2:42">
      <c r="D6" s="84" t="s">
        <v>137</v>
      </c>
      <c r="E6" s="86" t="s">
        <v>138</v>
      </c>
      <c r="G6" s="84" t="s">
        <v>139</v>
      </c>
      <c r="H6" s="84" t="s">
        <v>140</v>
      </c>
      <c r="I6" s="86" t="s">
        <v>141</v>
      </c>
      <c r="K6" s="84" t="s">
        <v>142</v>
      </c>
      <c r="L6" s="86" t="s">
        <v>143</v>
      </c>
      <c r="Q6" s="84" t="s">
        <v>142</v>
      </c>
      <c r="R6" s="86" t="s">
        <v>144</v>
      </c>
      <c r="T6" s="84" t="s">
        <v>139</v>
      </c>
      <c r="U6" s="84" t="s">
        <v>145</v>
      </c>
      <c r="V6" s="86" t="s">
        <v>146</v>
      </c>
      <c r="X6" s="84" t="s">
        <v>142</v>
      </c>
      <c r="Y6" s="84" t="s">
        <v>147</v>
      </c>
      <c r="Z6" s="86" t="s">
        <v>148</v>
      </c>
      <c r="AB6" s="84" t="s">
        <v>137</v>
      </c>
      <c r="AC6" s="86" t="s">
        <v>149</v>
      </c>
      <c r="AD6" s="86" t="s">
        <v>150</v>
      </c>
      <c r="AF6" s="84" t="s">
        <v>139</v>
      </c>
      <c r="AG6" s="86" t="s">
        <v>151</v>
      </c>
      <c r="AH6" s="86" t="s">
        <v>152</v>
      </c>
      <c r="AJ6" s="84" t="s">
        <v>137</v>
      </c>
      <c r="AK6" s="86" t="s">
        <v>153</v>
      </c>
      <c r="AL6" s="86" t="s">
        <v>154</v>
      </c>
      <c r="AN6" s="10">
        <v>4</v>
      </c>
      <c r="AO6" s="87">
        <v>2</v>
      </c>
      <c r="AP6" s="87">
        <v>6</v>
      </c>
    </row>
    <row r="7" spans="2:42">
      <c r="D7" s="84" t="s">
        <v>155</v>
      </c>
      <c r="E7" s="86" t="s">
        <v>156</v>
      </c>
      <c r="G7" s="84" t="s">
        <v>157</v>
      </c>
      <c r="H7" s="84" t="s">
        <v>158</v>
      </c>
      <c r="I7" s="86" t="s">
        <v>159</v>
      </c>
      <c r="T7" s="84" t="s">
        <v>157</v>
      </c>
      <c r="U7" s="84" t="s">
        <v>160</v>
      </c>
      <c r="V7" s="86" t="s">
        <v>161</v>
      </c>
      <c r="X7" s="84" t="s">
        <v>162</v>
      </c>
      <c r="Y7" s="84" t="s">
        <v>163</v>
      </c>
      <c r="Z7" s="86" t="s">
        <v>164</v>
      </c>
      <c r="AB7" s="84" t="s">
        <v>155</v>
      </c>
      <c r="AC7" s="86" t="s">
        <v>165</v>
      </c>
      <c r="AD7" s="86" t="s">
        <v>166</v>
      </c>
      <c r="AJ7" s="84" t="s">
        <v>155</v>
      </c>
      <c r="AK7" s="86" t="s">
        <v>167</v>
      </c>
      <c r="AL7" s="86" t="s">
        <v>168</v>
      </c>
      <c r="AN7" s="10">
        <v>5</v>
      </c>
      <c r="AO7" s="87">
        <v>6</v>
      </c>
      <c r="AP7" s="87">
        <v>12</v>
      </c>
    </row>
    <row r="8" spans="2:42">
      <c r="D8" s="84" t="s">
        <v>169</v>
      </c>
      <c r="E8" s="86" t="s">
        <v>170</v>
      </c>
      <c r="G8" s="84" t="s">
        <v>171</v>
      </c>
      <c r="H8" s="84" t="s">
        <v>172</v>
      </c>
      <c r="I8" s="86" t="s">
        <v>173</v>
      </c>
      <c r="AB8" s="84" t="s">
        <v>169</v>
      </c>
      <c r="AC8" s="86" t="s">
        <v>174</v>
      </c>
      <c r="AD8" s="86" t="s">
        <v>175</v>
      </c>
      <c r="AJ8" s="84" t="s">
        <v>169</v>
      </c>
      <c r="AK8" s="86" t="s">
        <v>176</v>
      </c>
      <c r="AL8" s="86" t="s">
        <v>177</v>
      </c>
      <c r="AN8" s="10">
        <v>6</v>
      </c>
      <c r="AO8" s="87">
        <v>12</v>
      </c>
      <c r="AP8" s="87">
        <v>24</v>
      </c>
    </row>
    <row r="9" spans="2:42">
      <c r="D9" s="84" t="s">
        <v>18</v>
      </c>
      <c r="E9" s="86" t="s">
        <v>178</v>
      </c>
      <c r="G9" s="84" t="s">
        <v>179</v>
      </c>
      <c r="H9" s="84" t="s">
        <v>180</v>
      </c>
      <c r="I9" s="86" t="s">
        <v>181</v>
      </c>
      <c r="AB9" s="84" t="s">
        <v>18</v>
      </c>
      <c r="AC9" s="86" t="s">
        <v>182</v>
      </c>
      <c r="AD9" s="86" t="s">
        <v>183</v>
      </c>
      <c r="AJ9" s="84" t="s">
        <v>18</v>
      </c>
      <c r="AK9" s="86" t="s">
        <v>184</v>
      </c>
      <c r="AL9" s="86" t="s">
        <v>185</v>
      </c>
      <c r="AN9" s="10">
        <v>7</v>
      </c>
      <c r="AO9" s="87">
        <v>24</v>
      </c>
      <c r="AP9" s="87">
        <v>48</v>
      </c>
    </row>
    <row r="10" spans="2:42">
      <c r="D10" s="84" t="s">
        <v>186</v>
      </c>
      <c r="E10" s="86" t="s">
        <v>187</v>
      </c>
      <c r="AB10" s="84" t="s">
        <v>186</v>
      </c>
      <c r="AC10" s="86" t="s">
        <v>188</v>
      </c>
      <c r="AD10" s="86" t="s">
        <v>189</v>
      </c>
      <c r="AN10" s="10">
        <v>8</v>
      </c>
      <c r="AO10" s="87">
        <v>48</v>
      </c>
      <c r="AP10" s="87">
        <v>96</v>
      </c>
    </row>
    <row r="11" spans="2:42">
      <c r="AN11" s="10">
        <v>9</v>
      </c>
      <c r="AO11" s="87">
        <v>96</v>
      </c>
      <c r="AP11" s="87">
        <v>192</v>
      </c>
    </row>
    <row r="12" spans="2:42">
      <c r="AN12" s="10">
        <v>10</v>
      </c>
      <c r="AO12" s="87">
        <v>192</v>
      </c>
      <c r="AP12" s="87">
        <v>384</v>
      </c>
    </row>
    <row r="13" spans="2:42">
      <c r="AN13" s="10">
        <v>11</v>
      </c>
      <c r="AO13" s="87">
        <v>384</v>
      </c>
      <c r="AP13" s="87">
        <v>768</v>
      </c>
    </row>
    <row r="14" spans="2:42">
      <c r="AN14" s="10">
        <v>12</v>
      </c>
      <c r="AO14" s="87">
        <v>768</v>
      </c>
      <c r="AP14" s="87">
        <v>1508.5</v>
      </c>
    </row>
    <row r="15" spans="2:42">
      <c r="AN15" s="10">
        <v>13</v>
      </c>
      <c r="AO15" s="87">
        <v>1508.5</v>
      </c>
      <c r="AP15" s="87">
        <v>3072</v>
      </c>
    </row>
    <row r="16" spans="2:42">
      <c r="AN16" s="10">
        <v>14</v>
      </c>
      <c r="AO16" s="87">
        <v>3072</v>
      </c>
      <c r="AP16" s="87" t="s">
        <v>190</v>
      </c>
    </row>
    <row r="17"/>
  </sheetData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74083085F3E4741954568EF2FEF3C05" ma:contentTypeVersion="3" ma:contentTypeDescription="Crear nuevo documento." ma:contentTypeScope="" ma:versionID="25564f2c54a96fdef6ef009b0e09c83a">
  <xsd:schema xmlns:xsd="http://www.w3.org/2001/XMLSchema" xmlns:xs="http://www.w3.org/2001/XMLSchema" xmlns:p="http://schemas.microsoft.com/office/2006/metadata/properties" xmlns:ns2="629f2d2f-b6b6-44db-ab00-3edb937bbcef" targetNamespace="http://schemas.microsoft.com/office/2006/metadata/properties" ma:root="true" ma:fieldsID="269438b61162fcce75903de3ef545ea5" ns2:_="">
    <xsd:import namespace="629f2d2f-b6b6-44db-ab00-3edb937bbc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9f2d2f-b6b6-44db-ab00-3edb937bbc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0F8FECF-1159-4C5C-8B96-32C13DA9725B}">
  <ds:schemaRefs>
    <ds:schemaRef ds:uri="http://purl.org/dc/elements/1.1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629f2d2f-b6b6-44db-ab00-3edb937bbcef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65BA4DAB-A2A1-44F6-98EF-1B8C82CFFDD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1FF513E-7FAD-4A00-8EFA-B1088CBF9C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9f2d2f-b6b6-44db-ab00-3edb937bbc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50</vt:i4>
      </vt:variant>
      <vt:variant>
        <vt:lpstr>Rangos con nombre</vt:lpstr>
      </vt:variant>
      <vt:variant>
        <vt:i4>122</vt:i4>
      </vt:variant>
    </vt:vector>
  </HeadingPairs>
  <TitlesOfParts>
    <vt:vector size="172" baseType="lpstr">
      <vt:lpstr>Menú</vt:lpstr>
      <vt:lpstr>Glosario de Términos</vt:lpstr>
      <vt:lpstr>Conocimiento</vt:lpstr>
      <vt:lpstr>Experiencia</vt:lpstr>
      <vt:lpstr>Habilidad Gerencia</vt:lpstr>
      <vt:lpstr>Rol del Cargo</vt:lpstr>
      <vt:lpstr>Contacto</vt:lpstr>
      <vt:lpstr>Frecuencia del Contacto</vt:lpstr>
      <vt:lpstr>Contenido Relaciones</vt:lpstr>
      <vt:lpstr>Complejidad Conceptual</vt:lpstr>
      <vt:lpstr>Guías de Apoyo</vt:lpstr>
      <vt:lpstr>Impacto</vt:lpstr>
      <vt:lpstr>Autonomía</vt:lpstr>
      <vt:lpstr>Magnitudes</vt:lpstr>
      <vt:lpstr>Criticidad</vt:lpstr>
      <vt:lpstr>Posicionamiento por área</vt:lpstr>
      <vt:lpstr>Estructura Vs Mediana</vt:lpstr>
      <vt:lpstr>Comparativos curvas</vt:lpstr>
      <vt:lpstr>Nomenclatura de Cargos</vt:lpstr>
      <vt:lpstr>Tabla Dinámica</vt:lpstr>
      <vt:lpstr>Base de Datos</vt:lpstr>
      <vt:lpstr>Plantilla de Valoración</vt:lpstr>
      <vt:lpstr>Gerencia General</vt:lpstr>
      <vt:lpstr>Actualización Curva - Costo Lab</vt:lpstr>
      <vt:lpstr>Gráfico de Dispersión Equidad</vt:lpstr>
      <vt:lpstr>Gráfico de Dispersión Competiti</vt:lpstr>
      <vt:lpstr>Nivel de Equidad</vt:lpstr>
      <vt:lpstr>Política de Administración</vt:lpstr>
      <vt:lpstr>Nivel de Competitividad</vt:lpstr>
      <vt:lpstr>Estructura Vs Política</vt:lpstr>
      <vt:lpstr>Costos de Nivelación</vt:lpstr>
      <vt:lpstr>Curva Equidad y Competitividad</vt:lpstr>
      <vt:lpstr>Comercial y Mercadeo</vt:lpstr>
      <vt:lpstr>Admon y Financiera</vt:lpstr>
      <vt:lpstr>GH</vt:lpstr>
      <vt:lpstr>Operaciones</vt:lpstr>
      <vt:lpstr>Metodologia Nomenclatura</vt:lpstr>
      <vt:lpstr>E&amp;E X CAT</vt:lpstr>
      <vt:lpstr>E&amp;E X AREA</vt:lpstr>
      <vt:lpstr>Criticidades</vt:lpstr>
      <vt:lpstr>Niveles</vt:lpstr>
      <vt:lpstr>NivelSHR</vt:lpstr>
      <vt:lpstr>Factor 1</vt:lpstr>
      <vt:lpstr>Factor 2</vt:lpstr>
      <vt:lpstr>Factor 3</vt:lpstr>
      <vt:lpstr>Factor 4</vt:lpstr>
      <vt:lpstr>Variables</vt:lpstr>
      <vt:lpstr>Categorias Configuración</vt:lpstr>
      <vt:lpstr>Categorias</vt:lpstr>
      <vt:lpstr>Valoración Tablas</vt:lpstr>
      <vt:lpstr>Ajuste_Curv</vt:lpstr>
      <vt:lpstr>Ajuste_de_Curva_Anual</vt:lpstr>
      <vt:lpstr>'Actualización Curva - Costo Lab'!Año_análisis</vt:lpstr>
      <vt:lpstr>Año_análisis</vt:lpstr>
      <vt:lpstr>'Actualización Curva - Costo Lab'!Año_original_informe</vt:lpstr>
      <vt:lpstr>Año_original_informe</vt:lpstr>
      <vt:lpstr>'Actualización Curva - Costo Lab'!Autonomia_Lista</vt:lpstr>
      <vt:lpstr>'E&amp;E X AREA'!Autonomia_Lista</vt:lpstr>
      <vt:lpstr>'Estructura Vs Política'!Autonomia_Lista</vt:lpstr>
      <vt:lpstr>'Gráfico de Dispersión Competiti'!Autonomia_Lista</vt:lpstr>
      <vt:lpstr>'Política de Administración'!Autonomia_Lista</vt:lpstr>
      <vt:lpstr>Autonomia_Lista</vt:lpstr>
      <vt:lpstr>Beneficios_Salarios_Ordinarios</vt:lpstr>
      <vt:lpstr>'Actualización Curva - Costo Lab'!Cargos</vt:lpstr>
      <vt:lpstr>'E&amp;E X AREA'!Cargos</vt:lpstr>
      <vt:lpstr>'Estructura Vs Política'!Cargos</vt:lpstr>
      <vt:lpstr>'Gráfico de Dispersión Competiti'!Cargos</vt:lpstr>
      <vt:lpstr>'Política de Administración'!Cargos</vt:lpstr>
      <vt:lpstr>Cargos</vt:lpstr>
      <vt:lpstr>Cargos_Iniciales</vt:lpstr>
      <vt:lpstr>'E&amp;E X AREA'!Cargos_Valorados</vt:lpstr>
      <vt:lpstr>Cargos_Valorados</vt:lpstr>
      <vt:lpstr>'Actualización Curva - Costo Lab'!CargosValorados</vt:lpstr>
      <vt:lpstr>'E&amp;E X AREA'!CargosValorados</vt:lpstr>
      <vt:lpstr>'Estructura Vs Política'!CargosValorados</vt:lpstr>
      <vt:lpstr>'Gráfico de Dispersión Competiti'!CargosValorados</vt:lpstr>
      <vt:lpstr>'Política de Administración'!CargosValorados</vt:lpstr>
      <vt:lpstr>CargosValorados</vt:lpstr>
      <vt:lpstr>'E&amp;E X AREA'!CargoValorado</vt:lpstr>
      <vt:lpstr>CargoValorado</vt:lpstr>
      <vt:lpstr>Categoria</vt:lpstr>
      <vt:lpstr>Categorias_Maximo</vt:lpstr>
      <vt:lpstr>'Actualización Curva - Costo Lab'!Complejidad_Conceptual_Lista</vt:lpstr>
      <vt:lpstr>'E&amp;E X AREA'!Complejidad_Conceptual_Lista</vt:lpstr>
      <vt:lpstr>'Estructura Vs Política'!Complejidad_Conceptual_Lista</vt:lpstr>
      <vt:lpstr>'Gráfico de Dispersión Competiti'!Complejidad_Conceptual_Lista</vt:lpstr>
      <vt:lpstr>'Política de Administración'!Complejidad_Conceptual_Lista</vt:lpstr>
      <vt:lpstr>Complejidad_Conceptual_Lista</vt:lpstr>
      <vt:lpstr>'Actualización Curva - Costo Lab'!Conocimientos_Lista</vt:lpstr>
      <vt:lpstr>'E&amp;E X AREA'!Conocimientos_Lista</vt:lpstr>
      <vt:lpstr>'Estructura Vs Política'!Conocimientos_Lista</vt:lpstr>
      <vt:lpstr>'Gráfico de Dispersión Competiti'!Conocimientos_Lista</vt:lpstr>
      <vt:lpstr>'Política de Administración'!Conocimientos_Lista</vt:lpstr>
      <vt:lpstr>Conocimientos_Lista</vt:lpstr>
      <vt:lpstr>'Actualización Curva - Costo Lab'!Contacto_Lista</vt:lpstr>
      <vt:lpstr>'E&amp;E X AREA'!Contacto_Lista</vt:lpstr>
      <vt:lpstr>'Estructura Vs Política'!Contacto_Lista</vt:lpstr>
      <vt:lpstr>'Gráfico de Dispersión Competiti'!Contacto_Lista</vt:lpstr>
      <vt:lpstr>'Política de Administración'!Contacto_Lista</vt:lpstr>
      <vt:lpstr>Contacto_Lista</vt:lpstr>
      <vt:lpstr>'Actualización Curva - Costo Lab'!Contenido_de_las_Relaciones_Lista</vt:lpstr>
      <vt:lpstr>'E&amp;E X AREA'!Contenido_de_las_Relaciones_Lista</vt:lpstr>
      <vt:lpstr>'Estructura Vs Política'!Contenido_de_las_Relaciones_Lista</vt:lpstr>
      <vt:lpstr>'Gráfico de Dispersión Competiti'!Contenido_de_las_Relaciones_Lista</vt:lpstr>
      <vt:lpstr>'Política de Administración'!Contenido_de_las_Relaciones_Lista</vt:lpstr>
      <vt:lpstr>Contenido_de_las_Relaciones_Lista</vt:lpstr>
      <vt:lpstr>'Actualización Curva - Costo Lab'!Criticidad_Lista</vt:lpstr>
      <vt:lpstr>'E&amp;E X AREA'!Criticidad_Lista</vt:lpstr>
      <vt:lpstr>'Estructura Vs Política'!Criticidad_Lista</vt:lpstr>
      <vt:lpstr>'Gráfico de Dispersión Competiti'!Criticidad_Lista</vt:lpstr>
      <vt:lpstr>'Política de Administración'!Criticidad_Lista</vt:lpstr>
      <vt:lpstr>Criticidad_Lista</vt:lpstr>
      <vt:lpstr>Datos_Iniciales</vt:lpstr>
      <vt:lpstr>FactorPrestacionalIntegral</vt:lpstr>
      <vt:lpstr>FactorPrestacionalOrdinario</vt:lpstr>
      <vt:lpstr>Formato_Rango_Categorias</vt:lpstr>
      <vt:lpstr>FPVIntegral</vt:lpstr>
      <vt:lpstr>FPVOrdinario</vt:lpstr>
      <vt:lpstr>'Actualización Curva - Costo Lab'!Frecuencia_del_Contacto_Lista</vt:lpstr>
      <vt:lpstr>'E&amp;E X AREA'!Frecuencia_del_Contacto_Lista</vt:lpstr>
      <vt:lpstr>'Estructura Vs Política'!Frecuencia_del_Contacto_Lista</vt:lpstr>
      <vt:lpstr>'Gráfico de Dispersión Competiti'!Frecuencia_del_Contacto_Lista</vt:lpstr>
      <vt:lpstr>'Política de Administración'!Frecuencia_del_Contacto_Lista</vt:lpstr>
      <vt:lpstr>Frecuencia_del_Contacto_Lista</vt:lpstr>
      <vt:lpstr>'Actualización Curva - Costo Lab'!Guias_de_Apoyo_Lista</vt:lpstr>
      <vt:lpstr>'E&amp;E X AREA'!Guias_de_Apoyo_Lista</vt:lpstr>
      <vt:lpstr>'Estructura Vs Política'!Guias_de_Apoyo_Lista</vt:lpstr>
      <vt:lpstr>'Gráfico de Dispersión Competiti'!Guias_de_Apoyo_Lista</vt:lpstr>
      <vt:lpstr>'Política de Administración'!Guias_de_Apoyo_Lista</vt:lpstr>
      <vt:lpstr>Guias_de_Apoyo_Lista</vt:lpstr>
      <vt:lpstr>'Actualización Curva - Costo Lab'!Habilidad_Gerencial_Lista</vt:lpstr>
      <vt:lpstr>'E&amp;E X AREA'!Habilidad_Gerencial_Lista</vt:lpstr>
      <vt:lpstr>'Estructura Vs Política'!Habilidad_Gerencial_Lista</vt:lpstr>
      <vt:lpstr>'Gráfico de Dispersión Competiti'!Habilidad_Gerencial_Lista</vt:lpstr>
      <vt:lpstr>'Política de Administración'!Habilidad_Gerencial_Lista</vt:lpstr>
      <vt:lpstr>Habilidad_Gerencial_Lista</vt:lpstr>
      <vt:lpstr>Idioma</vt:lpstr>
      <vt:lpstr>'Actualización Curva - Costo Lab'!Impacto_del_Cargo_Lista</vt:lpstr>
      <vt:lpstr>'E&amp;E X AREA'!Impacto_del_Cargo_Lista</vt:lpstr>
      <vt:lpstr>'Estructura Vs Política'!Impacto_del_Cargo_Lista</vt:lpstr>
      <vt:lpstr>'Gráfico de Dispersión Competiti'!Impacto_del_Cargo_Lista</vt:lpstr>
      <vt:lpstr>'Política de Administración'!Impacto_del_Cargo_Lista</vt:lpstr>
      <vt:lpstr>Impacto_del_Cargo_Lista</vt:lpstr>
      <vt:lpstr>IndiceIncrementoC</vt:lpstr>
      <vt:lpstr>IndiceIncrementoE</vt:lpstr>
      <vt:lpstr>'Actualización Curva - Costo Lab'!Magnitud_de_Cifras_Lista</vt:lpstr>
      <vt:lpstr>'E&amp;E X AREA'!Magnitud_de_Cifras_Lista</vt:lpstr>
      <vt:lpstr>'Estructura Vs Política'!Magnitud_de_Cifras_Lista</vt:lpstr>
      <vt:lpstr>'Gráfico de Dispersión Competiti'!Magnitud_de_Cifras_Lista</vt:lpstr>
      <vt:lpstr>'Política de Administración'!Magnitud_de_Cifras_Lista</vt:lpstr>
      <vt:lpstr>Magnitud_de_Cifras_Lista</vt:lpstr>
      <vt:lpstr>'Actualización Curva - Costo Lab'!Niveles_Lista</vt:lpstr>
      <vt:lpstr>'E&amp;E X AREA'!Niveles_Lista</vt:lpstr>
      <vt:lpstr>'Estructura Vs Política'!Niveles_Lista</vt:lpstr>
      <vt:lpstr>'Gráfico de Dispersión Competiti'!Niveles_Lista</vt:lpstr>
      <vt:lpstr>'Política de Administración'!Niveles_Lista</vt:lpstr>
      <vt:lpstr>Niveles_Lista</vt:lpstr>
      <vt:lpstr>Piso</vt:lpstr>
      <vt:lpstr>'Actualización Curva - Costo Lab'!Rol_del_Cargo_Lista</vt:lpstr>
      <vt:lpstr>'E&amp;E X AREA'!Rol_del_Cargo_Lista</vt:lpstr>
      <vt:lpstr>'Estructura Vs Política'!Rol_del_Cargo_Lista</vt:lpstr>
      <vt:lpstr>'Gráfico de Dispersión Competiti'!Rol_del_Cargo_Lista</vt:lpstr>
      <vt:lpstr>'Política de Administración'!Rol_del_Cargo_Lista</vt:lpstr>
      <vt:lpstr>Rol_del_Cargo_Lista</vt:lpstr>
      <vt:lpstr>SMMLV</vt:lpstr>
      <vt:lpstr>Techo</vt:lpstr>
      <vt:lpstr>'Actualización Curva - Costo Lab'!Tendencia_Lista</vt:lpstr>
      <vt:lpstr>'E&amp;E X AREA'!Tendencia_Lista</vt:lpstr>
      <vt:lpstr>'Estructura Vs Política'!Tendencia_Lista</vt:lpstr>
      <vt:lpstr>'Gráfico de Dispersión Competiti'!Tendencia_Lista</vt:lpstr>
      <vt:lpstr>'Política de Administración'!Tendencia_Lista</vt:lpstr>
      <vt:lpstr>Tendencia_Lista</vt:lpstr>
    </vt:vector>
  </TitlesOfParts>
  <Manager>Johanna Andrea Vargas Rojas</Manager>
  <Company>Asesorías y Consultas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Hoja de toma de información del cliente (Versión 2.01)</dc:title>
  <dc:subject>Recolección y procesamiento de información ShR Consulting</dc:subject>
  <dc:creator>SHR</dc:creator>
  <cp:keywords>Toma información, Valoración, Categoria, Nivel, Criticidad. Segmentación</cp:keywords>
  <dc:description>José García_x000d_
Asesorías y Consultas_x000d_
aycjosegarcia@gmail.com (e-mail)_x000d_
+57 (3) 300 671 8289 (móvil)</dc:description>
  <cp:lastModifiedBy>Seres Humanos Realizados</cp:lastModifiedBy>
  <cp:revision/>
  <dcterms:created xsi:type="dcterms:W3CDTF">2013-10-24T11:26:40Z</dcterms:created>
  <dcterms:modified xsi:type="dcterms:W3CDTF">2026-04-20T21:32:32Z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0x010100274083085F3E4741954568EF2FEF3C05</vt:lpwstr>
  </property>
  <property fmtid="{D5CDD505-2E9C-101B-9397-08002B2CF9AE}" pid="3" name="MediaServiceImageTags">
    <vt:lpwstr/>
  </property>
</Properties>
</file>